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24226"/>
  <bookViews>
    <workbookView xWindow="0" yWindow="0" windowWidth="28545" windowHeight="11460"/>
  </bookViews>
  <sheets>
    <sheet name="3 pr-1" sheetId="1" r:id="rId1"/>
    <sheet name="IV-1 su proj" sheetId="10" state="hidden" r:id="rId2"/>
    <sheet name="3 pr-2" sheetId="2" r:id="rId3"/>
    <sheet name="IV-3" sheetId="11" state="hidden" r:id="rId4"/>
    <sheet name="3 pr-3" sheetId="20" r:id="rId5"/>
    <sheet name="3 pr-4" sheetId="22" r:id="rId6"/>
    <sheet name="3 pr-(5-6)" sheetId="19" r:id="rId7"/>
    <sheet name="3 pr-7" sheetId="12" r:id="rId8"/>
    <sheet name="IV-2 amsa" sheetId="3" state="hidden" r:id="rId9"/>
    <sheet name="IV-2 arsa" sheetId="6" state="hidden" r:id="rId10"/>
    <sheet name="IV-2 dsa" sheetId="7" state="hidden" r:id="rId11"/>
    <sheet name="IV-2 lrsa" sheetId="8" state="hidden" r:id="rId12"/>
    <sheet name="IV-2 vrsa" sheetId="9" state="hidden" r:id="rId13"/>
    <sheet name="Lęšos priemonės" sheetId="13" state="hidden" r:id="rId14"/>
    <sheet name="4 pr-(1-2)" sheetId="33" r:id="rId15"/>
    <sheet name="4 pr-3" sheetId="34" r:id="rId16"/>
    <sheet name="4pr-(4-5)" sheetId="21" r:id="rId17"/>
    <sheet name="4 pr-6" sheetId="36" r:id="rId18"/>
    <sheet name="4 pr-7" sheetId="37" state="hidden" r:id="rId19"/>
    <sheet name="ketv. 1lent" sheetId="29" state="hidden" r:id="rId20"/>
    <sheet name="ketv. 2lent" sheetId="23" state="hidden" r:id="rId21"/>
    <sheet name="PP pateikimas" sheetId="38" state="hidden" r:id="rId22"/>
    <sheet name="ketv. 3lent" sheetId="24" state="hidden" r:id="rId23"/>
    <sheet name="ketv. 4 lent" sheetId="25" state="hidden" r:id="rId24"/>
    <sheet name="ketv. 5 lent" sheetId="26" state="hidden" r:id="rId25"/>
    <sheet name="ketv. 6 lent" sheetId="27" state="hidden" r:id="rId26"/>
    <sheet name="ketv. 7 lent" sheetId="28" state="hidden" r:id="rId27"/>
    <sheet name="ketv. 8 lent" sheetId="30" state="hidden" r:id="rId28"/>
    <sheet name="ketv. 9 lent." sheetId="31" state="hidden" r:id="rId29"/>
    <sheet name="ketv. 10 lent" sheetId="32" state="hidden" r:id="rId30"/>
  </sheets>
  <definedNames>
    <definedName name="_xlnm._FilterDatabase" localSheetId="2" hidden="1">'3 pr-2'!$A$1:$AJ$188</definedName>
    <definedName name="_xlnm._FilterDatabase" localSheetId="4" hidden="1">'3 pr-3'!$A$1:$DG$894</definedName>
    <definedName name="_xlnm._FilterDatabase" localSheetId="3" hidden="1">'IV-3'!$A$1:$W$179</definedName>
    <definedName name="_xlnm._FilterDatabase" localSheetId="20" hidden="1">'ketv. 2lent'!$A$1:$S$180</definedName>
    <definedName name="_xlnm._FilterDatabase" localSheetId="22" hidden="1">'ketv. 3lent'!$A$5:$S$180</definedName>
    <definedName name="_xlnm._FilterDatabase" localSheetId="23" hidden="1">'ketv. 4 lent'!$A$1:$X$181</definedName>
    <definedName name="_xlnm._FilterDatabase" localSheetId="24" hidden="1">'ketv. 5 lent'!$A$1:$S$181</definedName>
    <definedName name="_GoBack" localSheetId="0">'3 pr-1'!#REF!</definedName>
  </definedNames>
  <calcPr calcId="152511"/>
  <fileRecoveryPr autoRecover="0"/>
</workbook>
</file>

<file path=xl/calcChain.xml><?xml version="1.0" encoding="utf-8"?>
<calcChain xmlns="http://schemas.openxmlformats.org/spreadsheetml/2006/main">
  <c r="C10" i="12" l="1"/>
  <c r="B173" i="20" l="1"/>
  <c r="B172" i="20"/>
  <c r="B169" i="20"/>
  <c r="B168" i="20"/>
  <c r="B161" i="20"/>
  <c r="B160" i="20"/>
  <c r="B154" i="20"/>
  <c r="B148" i="20"/>
  <c r="B147" i="20"/>
  <c r="B141" i="20"/>
  <c r="B135" i="20"/>
  <c r="B121" i="20"/>
  <c r="B120" i="20"/>
  <c r="B114" i="20"/>
  <c r="B108" i="20"/>
  <c r="B102" i="20"/>
  <c r="B101" i="20"/>
  <c r="B100" i="20"/>
  <c r="B92" i="20"/>
  <c r="B86" i="20"/>
  <c r="B79" i="20"/>
  <c r="B73" i="20"/>
  <c r="B74" i="20"/>
  <c r="B67" i="20"/>
  <c r="B58" i="20"/>
  <c r="B62" i="20"/>
  <c r="B56" i="20"/>
  <c r="B50" i="2" l="1"/>
  <c r="B50" i="20" s="1"/>
  <c r="B46" i="20"/>
  <c r="B39" i="20"/>
  <c r="B33" i="20"/>
  <c r="B9" i="20"/>
  <c r="B8" i="20"/>
  <c r="B7" i="20"/>
  <c r="AP121" i="20" l="1"/>
  <c r="V121" i="20" l="1"/>
  <c r="AO134" i="20"/>
  <c r="U134" i="20"/>
  <c r="B134" i="20"/>
  <c r="A134" i="20"/>
  <c r="D33" i="12"/>
  <c r="C33" i="12"/>
  <c r="B132" i="11"/>
  <c r="A132" i="11"/>
  <c r="P55" i="9"/>
  <c r="O55" i="9"/>
  <c r="N55" i="9"/>
  <c r="M55" i="9"/>
  <c r="Q55" i="9"/>
  <c r="P120" i="10" l="1"/>
  <c r="O120" i="10"/>
  <c r="N120" i="10"/>
  <c r="M120" i="10"/>
  <c r="L120" i="10"/>
  <c r="K120" i="10"/>
  <c r="J120" i="10"/>
  <c r="I120" i="10"/>
  <c r="H120" i="10"/>
  <c r="G120" i="10"/>
  <c r="F120" i="10"/>
  <c r="E120" i="10"/>
  <c r="D120" i="10"/>
  <c r="C120" i="10"/>
  <c r="T120" i="10"/>
  <c r="S120" i="10"/>
  <c r="R120" i="10"/>
  <c r="Q120" i="10"/>
  <c r="V120" i="10"/>
  <c r="A133" i="10"/>
  <c r="L57" i="9"/>
  <c r="B57" i="9" l="1"/>
  <c r="A57" i="9"/>
  <c r="D134" i="2" l="1"/>
  <c r="D134" i="20" s="1"/>
  <c r="E134" i="2"/>
  <c r="F134" i="2"/>
  <c r="G134" i="2"/>
  <c r="H134" i="2"/>
  <c r="I134" i="2"/>
  <c r="J134" i="2"/>
  <c r="K134" i="2"/>
  <c r="AJ134" i="2"/>
  <c r="AH134" i="2"/>
  <c r="AG134" i="2"/>
  <c r="AF134" i="2"/>
  <c r="AC134" i="2"/>
  <c r="AD134" i="2" s="1"/>
  <c r="AB134" i="2"/>
  <c r="AA134" i="2"/>
  <c r="Y134" i="2"/>
  <c r="Z134" i="2" s="1"/>
  <c r="X134" i="2"/>
  <c r="AQ133" i="10" s="1"/>
  <c r="AA133" i="10" s="1"/>
  <c r="V134" i="2"/>
  <c r="W134" i="2" s="1"/>
  <c r="U134" i="2"/>
  <c r="AO133" i="10" s="1"/>
  <c r="Z133" i="10" s="1"/>
  <c r="S134" i="2"/>
  <c r="T134" i="2" s="1"/>
  <c r="R134" i="2"/>
  <c r="AM133" i="10" s="1"/>
  <c r="Y133" i="10" s="1"/>
  <c r="P134" i="2"/>
  <c r="Q134" i="2" s="1"/>
  <c r="O134" i="2"/>
  <c r="AK133" i="10" s="1"/>
  <c r="X133" i="10" s="1"/>
  <c r="L134" i="2"/>
  <c r="J132" i="11" l="1"/>
  <c r="K134" i="20"/>
  <c r="F132" i="11"/>
  <c r="G134" i="20"/>
  <c r="I132" i="11"/>
  <c r="J134" i="20"/>
  <c r="E132" i="11"/>
  <c r="F134" i="20"/>
  <c r="AO134" i="2"/>
  <c r="AK134" i="2"/>
  <c r="AM134" i="2"/>
  <c r="AN134" i="2"/>
  <c r="AL134" i="2"/>
  <c r="H132" i="11"/>
  <c r="I134" i="20"/>
  <c r="D132" i="11"/>
  <c r="E134" i="20"/>
  <c r="CH133" i="10"/>
  <c r="AX134" i="20"/>
  <c r="AT134" i="20"/>
  <c r="DE134" i="20"/>
  <c r="DA134" i="20"/>
  <c r="AV134" i="20"/>
  <c r="DG134" i="20"/>
  <c r="DC134" i="20"/>
  <c r="AS134" i="20"/>
  <c r="AY134" i="20"/>
  <c r="AU134" i="20"/>
  <c r="DF134" i="20"/>
  <c r="DB134" i="20"/>
  <c r="AW134" i="20"/>
  <c r="DD134" i="20"/>
  <c r="AC134" i="20"/>
  <c r="Y134" i="20"/>
  <c r="AB134" i="20"/>
  <c r="Z134" i="20"/>
  <c r="AE134" i="20"/>
  <c r="AA134" i="20"/>
  <c r="AD134" i="20"/>
  <c r="G132" i="11"/>
  <c r="H134" i="20"/>
  <c r="W132" i="11"/>
  <c r="AS133" i="10"/>
  <c r="AB133" i="10" s="1"/>
  <c r="V132" i="11"/>
  <c r="AI133" i="10"/>
  <c r="W133" i="10" s="1"/>
  <c r="AI134" i="2"/>
  <c r="CG133" i="10"/>
  <c r="C132" i="11"/>
  <c r="B133" i="10"/>
  <c r="D10" i="12" l="1"/>
  <c r="D20" i="12"/>
  <c r="C20" i="12"/>
  <c r="B35" i="22" l="1"/>
  <c r="A35" i="22"/>
  <c r="CJ77" i="10"/>
  <c r="CM37" i="10"/>
  <c r="CL37" i="10"/>
  <c r="CM53" i="10"/>
  <c r="CL53" i="10"/>
  <c r="CK53" i="10"/>
  <c r="CJ53" i="10"/>
  <c r="CJ182" i="10" l="1"/>
  <c r="A182" i="10"/>
  <c r="Y34" i="6" l="1"/>
  <c r="Z34" i="6" s="1"/>
  <c r="Y33" i="7" l="1"/>
  <c r="Z33" i="7" s="1"/>
  <c r="Z34" i="8" l="1"/>
  <c r="AA34" i="8" s="1"/>
  <c r="Z28" i="3" l="1"/>
  <c r="AA28" i="3" s="1"/>
  <c r="A182" i="20" l="1"/>
  <c r="BI180" i="20" l="1"/>
  <c r="C105" i="21" l="1"/>
  <c r="D105" i="21" s="1"/>
  <c r="D29" i="12"/>
  <c r="D21" i="12"/>
  <c r="C21" i="12"/>
  <c r="DG56" i="20" l="1"/>
  <c r="DG79" i="20"/>
  <c r="DG92" i="20"/>
  <c r="DG102" i="20"/>
  <c r="DF102" i="20"/>
  <c r="DE102" i="20"/>
  <c r="DD102" i="20"/>
  <c r="DC102" i="20"/>
  <c r="DB102" i="20"/>
  <c r="DA102" i="20"/>
  <c r="DG180" i="20"/>
  <c r="V173" i="20"/>
  <c r="AP173" i="20"/>
  <c r="BJ173" i="20"/>
  <c r="CD173" i="20"/>
  <c r="CX173" i="20"/>
  <c r="DF180" i="20"/>
  <c r="DE180" i="20"/>
  <c r="DD180" i="20"/>
  <c r="DC180" i="20"/>
  <c r="DB180" i="20"/>
  <c r="DA180" i="20"/>
  <c r="DF92" i="20"/>
  <c r="DE92" i="20"/>
  <c r="DD92" i="20"/>
  <c r="DC92" i="20"/>
  <c r="DB92" i="20"/>
  <c r="DA92" i="20"/>
  <c r="DF56" i="20"/>
  <c r="DE56" i="20"/>
  <c r="DD56" i="20"/>
  <c r="DC56" i="20"/>
  <c r="DB56" i="20"/>
  <c r="DA56" i="20"/>
  <c r="BI182" i="20"/>
  <c r="U182" i="20"/>
  <c r="CW182" i="20"/>
  <c r="CC182" i="20"/>
  <c r="AO182" i="20"/>
  <c r="C182" i="20"/>
  <c r="B182" i="20"/>
  <c r="B180" i="11" l="1"/>
  <c r="A180" i="11"/>
  <c r="AJ182" i="2" l="1"/>
  <c r="AH182" i="2"/>
  <c r="CG182" i="10" s="1"/>
  <c r="CI182" i="10" s="1"/>
  <c r="AG182" i="2"/>
  <c r="AF182" i="2"/>
  <c r="AA182" i="2"/>
  <c r="X182" i="2"/>
  <c r="U182" i="2"/>
  <c r="R182" i="2"/>
  <c r="AM182" i="10" s="1"/>
  <c r="O182" i="2"/>
  <c r="AK182" i="10" s="1"/>
  <c r="K182" i="2"/>
  <c r="J182" i="2"/>
  <c r="I182" i="2"/>
  <c r="H182" i="2"/>
  <c r="G182" i="2"/>
  <c r="F182" i="2"/>
  <c r="E182" i="2"/>
  <c r="D182" i="2"/>
  <c r="O75" i="7"/>
  <c r="N75" i="7"/>
  <c r="M75" i="7"/>
  <c r="L75" i="7"/>
  <c r="P75" i="7"/>
  <c r="V82" i="7" s="1"/>
  <c r="B77" i="7"/>
  <c r="A77" i="7"/>
  <c r="K77" i="7"/>
  <c r="AO182" i="2"/>
  <c r="AE182" i="2"/>
  <c r="AC182" i="2"/>
  <c r="AD182" i="2" s="1"/>
  <c r="Y182" i="2"/>
  <c r="Z182" i="2" s="1"/>
  <c r="V182" i="2"/>
  <c r="W182" i="2" s="1"/>
  <c r="S182" i="2"/>
  <c r="T182" i="2" s="1"/>
  <c r="P182" i="2"/>
  <c r="Q182" i="2" s="1"/>
  <c r="M182" i="2"/>
  <c r="N182" i="2" s="1"/>
  <c r="C182" i="2"/>
  <c r="J182" i="20" l="1"/>
  <c r="I180" i="11"/>
  <c r="AO182" i="10"/>
  <c r="I182" i="20"/>
  <c r="H180" i="11"/>
  <c r="F182" i="20"/>
  <c r="E180" i="11"/>
  <c r="G182" i="20"/>
  <c r="F180" i="11"/>
  <c r="K182" i="20"/>
  <c r="J180" i="11"/>
  <c r="AQ182" i="10"/>
  <c r="E182" i="20"/>
  <c r="D180" i="11"/>
  <c r="B182" i="10"/>
  <c r="D182" i="20"/>
  <c r="C180" i="11"/>
  <c r="H182" i="20"/>
  <c r="G180" i="11"/>
  <c r="AL182" i="10"/>
  <c r="CL182" i="10"/>
  <c r="AD182" i="10" s="1"/>
  <c r="AS182" i="10"/>
  <c r="AT182" i="10" s="1"/>
  <c r="CK182" i="10" s="1"/>
  <c r="AH182" i="10" s="1"/>
  <c r="W180" i="11"/>
  <c r="CH182" i="10"/>
  <c r="DD182" i="20"/>
  <c r="DG182" i="20"/>
  <c r="DC182" i="20"/>
  <c r="DF182" i="20"/>
  <c r="DE182" i="20"/>
  <c r="DA182" i="20"/>
  <c r="AB182" i="20"/>
  <c r="CJ182" i="20"/>
  <c r="BP182" i="20"/>
  <c r="AY182" i="20"/>
  <c r="AU182" i="20"/>
  <c r="CH182" i="20"/>
  <c r="AW182" i="20"/>
  <c r="DB182" i="20"/>
  <c r="Y182" i="20"/>
  <c r="AC182" i="20"/>
  <c r="CM182" i="20"/>
  <c r="CI182" i="20"/>
  <c r="BS182" i="20"/>
  <c r="BO182" i="20"/>
  <c r="AX182" i="20"/>
  <c r="AT182" i="20"/>
  <c r="Z182" i="20"/>
  <c r="AD182" i="20"/>
  <c r="CL182" i="20"/>
  <c r="BR182" i="20"/>
  <c r="BN182" i="20"/>
  <c r="AS182" i="20"/>
  <c r="CK182" i="20"/>
  <c r="BM182" i="20"/>
  <c r="CG182" i="20"/>
  <c r="AA182" i="20"/>
  <c r="AV182" i="20"/>
  <c r="AE182" i="20"/>
  <c r="BQ182" i="20"/>
  <c r="L182" i="2"/>
  <c r="AL182" i="2"/>
  <c r="AI182" i="2"/>
  <c r="AM182" i="2"/>
  <c r="AN182" i="2"/>
  <c r="AK182" i="2"/>
  <c r="AI182" i="10" l="1"/>
  <c r="V180" i="11"/>
  <c r="X182" i="10"/>
  <c r="AB182" i="10"/>
  <c r="CR182" i="10" s="1"/>
  <c r="C121" i="25"/>
  <c r="C120" i="25"/>
  <c r="U126" i="2"/>
  <c r="U127" i="2"/>
  <c r="CK130" i="10"/>
  <c r="CK127" i="10"/>
  <c r="CT134" i="10"/>
  <c r="CK123" i="10"/>
  <c r="CK122" i="10"/>
  <c r="A132" i="10"/>
  <c r="A131" i="10"/>
  <c r="A130" i="10"/>
  <c r="A129" i="10"/>
  <c r="A84" i="10"/>
  <c r="A83" i="10"/>
  <c r="AO133" i="20"/>
  <c r="AO132" i="20"/>
  <c r="AO131" i="20"/>
  <c r="AO130" i="20"/>
  <c r="U133" i="20"/>
  <c r="U132" i="20"/>
  <c r="U131" i="20"/>
  <c r="U130" i="20"/>
  <c r="AN121" i="20"/>
  <c r="AM121" i="20"/>
  <c r="AL121" i="20"/>
  <c r="AK121" i="20"/>
  <c r="AJ121" i="20"/>
  <c r="AI121" i="20"/>
  <c r="AH121" i="20"/>
  <c r="T121" i="20"/>
  <c r="S121" i="20"/>
  <c r="R121" i="20"/>
  <c r="Q121" i="20"/>
  <c r="P121" i="20"/>
  <c r="O121" i="20"/>
  <c r="N121" i="20"/>
  <c r="F45" i="32" s="1"/>
  <c r="G45" i="32" s="1"/>
  <c r="Y131" i="28"/>
  <c r="AA131" i="28" s="1"/>
  <c r="V131" i="28"/>
  <c r="X131" i="28" s="1"/>
  <c r="S131" i="28"/>
  <c r="U131" i="28" s="1"/>
  <c r="P131" i="28"/>
  <c r="R131" i="28" s="1"/>
  <c r="M131" i="28"/>
  <c r="O131" i="28" s="1"/>
  <c r="J131" i="28"/>
  <c r="L131" i="28" s="1"/>
  <c r="A131" i="28"/>
  <c r="Y130" i="28"/>
  <c r="AA130" i="28" s="1"/>
  <c r="V130" i="28"/>
  <c r="X130" i="28" s="1"/>
  <c r="S130" i="28"/>
  <c r="U130" i="28" s="1"/>
  <c r="P130" i="28"/>
  <c r="R130" i="28" s="1"/>
  <c r="M130" i="28"/>
  <c r="O130" i="28" s="1"/>
  <c r="L130" i="28"/>
  <c r="J130" i="28"/>
  <c r="A130" i="28"/>
  <c r="Y129" i="28"/>
  <c r="AA129" i="28" s="1"/>
  <c r="X129" i="28"/>
  <c r="V129" i="28"/>
  <c r="S129" i="28"/>
  <c r="U129" i="28" s="1"/>
  <c r="P129" i="28"/>
  <c r="R129" i="28" s="1"/>
  <c r="M129" i="28"/>
  <c r="O129" i="28" s="1"/>
  <c r="J129" i="28"/>
  <c r="L129" i="28" s="1"/>
  <c r="A129" i="28"/>
  <c r="Y128" i="28"/>
  <c r="AA128" i="28" s="1"/>
  <c r="V128" i="28"/>
  <c r="X128" i="28" s="1"/>
  <c r="U128" i="28"/>
  <c r="S128" i="28"/>
  <c r="P128" i="28"/>
  <c r="R128" i="28" s="1"/>
  <c r="M128" i="28"/>
  <c r="O128" i="28" s="1"/>
  <c r="J128" i="28"/>
  <c r="L128" i="28" s="1"/>
  <c r="A128" i="28"/>
  <c r="AG133" i="27"/>
  <c r="AC133" i="27"/>
  <c r="Y133" i="27"/>
  <c r="U133" i="27"/>
  <c r="Q133" i="27"/>
  <c r="M133" i="27"/>
  <c r="B133" i="27"/>
  <c r="B131" i="28" s="1"/>
  <c r="A133" i="27"/>
  <c r="AG132" i="27"/>
  <c r="AC132" i="27"/>
  <c r="Y132" i="27"/>
  <c r="U132" i="27"/>
  <c r="Q132" i="27"/>
  <c r="M132" i="27"/>
  <c r="B132" i="27"/>
  <c r="B130" i="28" s="1"/>
  <c r="A132" i="27"/>
  <c r="AG131" i="27"/>
  <c r="AC131" i="27"/>
  <c r="Y131" i="27"/>
  <c r="U131" i="27"/>
  <c r="Q131" i="27"/>
  <c r="M131" i="27"/>
  <c r="B131" i="27"/>
  <c r="B129" i="28" s="1"/>
  <c r="A131" i="27"/>
  <c r="AG130" i="27"/>
  <c r="AC130" i="27"/>
  <c r="Y130" i="27"/>
  <c r="U130" i="27"/>
  <c r="Q130" i="27"/>
  <c r="M130" i="27"/>
  <c r="B130" i="27"/>
  <c r="B128" i="28" s="1"/>
  <c r="A130" i="27"/>
  <c r="O133" i="26"/>
  <c r="N133" i="26"/>
  <c r="M133" i="26"/>
  <c r="L133" i="26"/>
  <c r="K133" i="26"/>
  <c r="J133" i="26"/>
  <c r="B133" i="26"/>
  <c r="A133" i="26"/>
  <c r="O132" i="26"/>
  <c r="N132" i="26"/>
  <c r="M132" i="26"/>
  <c r="L132" i="26"/>
  <c r="K132" i="26"/>
  <c r="J132" i="26"/>
  <c r="B132" i="26"/>
  <c r="A132" i="26"/>
  <c r="O131" i="26"/>
  <c r="N131" i="26"/>
  <c r="M131" i="26"/>
  <c r="L131" i="26"/>
  <c r="K131" i="26"/>
  <c r="J131" i="26"/>
  <c r="B131" i="26"/>
  <c r="A131" i="26"/>
  <c r="O130" i="26"/>
  <c r="N130" i="26"/>
  <c r="M130" i="26"/>
  <c r="L130" i="26"/>
  <c r="K130" i="26"/>
  <c r="J130" i="26"/>
  <c r="B130" i="26"/>
  <c r="A130" i="26"/>
  <c r="T133" i="25"/>
  <c r="S133" i="25"/>
  <c r="R133" i="25"/>
  <c r="Q133" i="25"/>
  <c r="P133" i="25"/>
  <c r="O133" i="25"/>
  <c r="N133" i="25"/>
  <c r="M133" i="25"/>
  <c r="L133" i="25"/>
  <c r="K133" i="25"/>
  <c r="J133" i="25"/>
  <c r="B133" i="25"/>
  <c r="A133" i="25"/>
  <c r="T132" i="25"/>
  <c r="S132" i="25"/>
  <c r="R132" i="25"/>
  <c r="Q132" i="25"/>
  <c r="P132" i="25"/>
  <c r="O132" i="25"/>
  <c r="N132" i="25"/>
  <c r="M132" i="25"/>
  <c r="L132" i="25"/>
  <c r="K132" i="25"/>
  <c r="J132" i="25"/>
  <c r="B132" i="25"/>
  <c r="A132" i="25"/>
  <c r="T131" i="25"/>
  <c r="S131" i="25"/>
  <c r="R131" i="25"/>
  <c r="Q131" i="25"/>
  <c r="P131" i="25"/>
  <c r="O131" i="25"/>
  <c r="N131" i="25"/>
  <c r="M131" i="25"/>
  <c r="L131" i="25"/>
  <c r="K131" i="25"/>
  <c r="J131" i="25"/>
  <c r="B131" i="25"/>
  <c r="A131" i="25"/>
  <c r="T130" i="25"/>
  <c r="S130" i="25"/>
  <c r="R130" i="25"/>
  <c r="Q130" i="25"/>
  <c r="P130" i="25"/>
  <c r="O130" i="25"/>
  <c r="N130" i="25"/>
  <c r="M130" i="25"/>
  <c r="L130" i="25"/>
  <c r="K130" i="25"/>
  <c r="J130" i="25"/>
  <c r="B130" i="25"/>
  <c r="A130" i="25"/>
  <c r="O133" i="24"/>
  <c r="N133" i="24"/>
  <c r="M133" i="24"/>
  <c r="L133" i="24"/>
  <c r="K133" i="24"/>
  <c r="J133" i="24"/>
  <c r="B133" i="24"/>
  <c r="A133" i="24"/>
  <c r="O132" i="24"/>
  <c r="N132" i="24"/>
  <c r="M132" i="24"/>
  <c r="L132" i="24"/>
  <c r="K132" i="24"/>
  <c r="J132" i="24"/>
  <c r="B132" i="24"/>
  <c r="A132" i="24"/>
  <c r="O131" i="24"/>
  <c r="N131" i="24"/>
  <c r="M131" i="24"/>
  <c r="L131" i="24"/>
  <c r="K131" i="24"/>
  <c r="J131" i="24"/>
  <c r="B131" i="24"/>
  <c r="A131" i="24"/>
  <c r="O130" i="24"/>
  <c r="N130" i="24"/>
  <c r="M130" i="24"/>
  <c r="L130" i="24"/>
  <c r="K130" i="24"/>
  <c r="J130" i="24"/>
  <c r="B130" i="24"/>
  <c r="A130" i="24"/>
  <c r="O132" i="23"/>
  <c r="N132" i="23"/>
  <c r="M132" i="23"/>
  <c r="L132" i="23"/>
  <c r="K132" i="23"/>
  <c r="J132" i="23"/>
  <c r="A132" i="23"/>
  <c r="O131" i="23"/>
  <c r="N131" i="23"/>
  <c r="M131" i="23"/>
  <c r="L131" i="23"/>
  <c r="K131" i="23"/>
  <c r="J131" i="23"/>
  <c r="A131" i="23"/>
  <c r="O130" i="23"/>
  <c r="N130" i="23"/>
  <c r="M130" i="23"/>
  <c r="L130" i="23"/>
  <c r="K130" i="23"/>
  <c r="J130" i="23"/>
  <c r="A130" i="23"/>
  <c r="O129" i="23"/>
  <c r="N129" i="23"/>
  <c r="M129" i="23"/>
  <c r="L129" i="23"/>
  <c r="K129" i="23"/>
  <c r="J129" i="23"/>
  <c r="A129" i="23"/>
  <c r="C152" i="23"/>
  <c r="H45" i="32" l="1"/>
  <c r="I45" i="32" s="1"/>
  <c r="J45" i="32" s="1"/>
  <c r="K45" i="32" s="1"/>
  <c r="L45" i="32" s="1"/>
  <c r="AJ182" i="10"/>
  <c r="CM182" i="10"/>
  <c r="BB121" i="20"/>
  <c r="BC121" i="20"/>
  <c r="BD121" i="20"/>
  <c r="BE121" i="20"/>
  <c r="BF121" i="20"/>
  <c r="BG121" i="20"/>
  <c r="BH121" i="20"/>
  <c r="BI122" i="20"/>
  <c r="BI123" i="20"/>
  <c r="C98" i="21"/>
  <c r="D98" i="21" s="1"/>
  <c r="L45" i="21"/>
  <c r="L98" i="21" s="1"/>
  <c r="C45" i="22"/>
  <c r="B133" i="20"/>
  <c r="A133" i="20"/>
  <c r="B132" i="20"/>
  <c r="A132" i="20"/>
  <c r="B131" i="20"/>
  <c r="A131" i="20"/>
  <c r="B130" i="20"/>
  <c r="A130" i="20"/>
  <c r="C36" i="12"/>
  <c r="D25" i="12"/>
  <c r="C25" i="12"/>
  <c r="B131" i="11"/>
  <c r="A131" i="11"/>
  <c r="B130" i="11"/>
  <c r="A130" i="11"/>
  <c r="B129" i="11"/>
  <c r="A129" i="11"/>
  <c r="B128" i="11"/>
  <c r="A128" i="11"/>
  <c r="AJ133" i="2"/>
  <c r="AH133" i="2"/>
  <c r="AG133" i="2"/>
  <c r="P133" i="24" s="1"/>
  <c r="S133" i="24" s="1"/>
  <c r="AF133" i="2"/>
  <c r="P132" i="23" s="1"/>
  <c r="S132" i="23" s="1"/>
  <c r="AA133" i="2"/>
  <c r="X133" i="2"/>
  <c r="U133" i="2"/>
  <c r="R133" i="2"/>
  <c r="O133" i="2"/>
  <c r="K133" i="2"/>
  <c r="K133" i="20" s="1"/>
  <c r="J133" i="2"/>
  <c r="I133" i="2"/>
  <c r="H131" i="11" s="1"/>
  <c r="H133" i="2"/>
  <c r="G133" i="2"/>
  <c r="F133" i="2"/>
  <c r="E133" i="2"/>
  <c r="D133" i="2"/>
  <c r="C56" i="9"/>
  <c r="B56" i="9"/>
  <c r="A56" i="9"/>
  <c r="L56" i="9"/>
  <c r="AJ132" i="2"/>
  <c r="AH132" i="2"/>
  <c r="AG132" i="2"/>
  <c r="P132" i="24" s="1"/>
  <c r="S132" i="24" s="1"/>
  <c r="AF132" i="2"/>
  <c r="P131" i="23" s="1"/>
  <c r="S131" i="23" s="1"/>
  <c r="AA132" i="2"/>
  <c r="W130" i="11" s="1"/>
  <c r="X132" i="2"/>
  <c r="U132" i="2"/>
  <c r="R132" i="2"/>
  <c r="O132" i="2"/>
  <c r="K132" i="2"/>
  <c r="K132" i="20" s="1"/>
  <c r="J132" i="2"/>
  <c r="J132" i="20" s="1"/>
  <c r="I132" i="2"/>
  <c r="H130" i="11" s="1"/>
  <c r="H132" i="2"/>
  <c r="G132" i="2"/>
  <c r="G132" i="20" s="1"/>
  <c r="F132" i="2"/>
  <c r="F132" i="20" s="1"/>
  <c r="E132" i="2"/>
  <c r="D130" i="11" s="1"/>
  <c r="D132" i="2"/>
  <c r="B51" i="8"/>
  <c r="A51" i="8"/>
  <c r="L51" i="8"/>
  <c r="L132" i="2" s="1"/>
  <c r="AJ131" i="2"/>
  <c r="AJ130" i="2"/>
  <c r="AJ129" i="2"/>
  <c r="AJ128" i="2"/>
  <c r="AH131" i="2"/>
  <c r="AG131" i="2"/>
  <c r="P131" i="24" s="1"/>
  <c r="S131" i="24" s="1"/>
  <c r="AH130" i="2"/>
  <c r="AG130" i="2"/>
  <c r="P130" i="24" s="1"/>
  <c r="S130" i="24" s="1"/>
  <c r="AH129" i="2"/>
  <c r="CG128" i="10" s="1"/>
  <c r="CJ128" i="10" s="1"/>
  <c r="AG129" i="2"/>
  <c r="AH128" i="2"/>
  <c r="CG127" i="10" s="1"/>
  <c r="CJ127" i="10" s="1"/>
  <c r="CL127" i="10" s="1"/>
  <c r="AG128" i="2"/>
  <c r="AF131" i="2"/>
  <c r="P130" i="23" s="1"/>
  <c r="S130" i="23" s="1"/>
  <c r="AF130" i="2"/>
  <c r="P129" i="23" s="1"/>
  <c r="S129" i="23" s="1"/>
  <c r="AF129" i="2"/>
  <c r="AF128" i="2"/>
  <c r="AA131" i="2"/>
  <c r="AA130" i="2"/>
  <c r="W128" i="11" s="1"/>
  <c r="AA129" i="2"/>
  <c r="AS128" i="10" s="1"/>
  <c r="AA128" i="2"/>
  <c r="X131" i="2"/>
  <c r="X130" i="2"/>
  <c r="X129" i="2"/>
  <c r="X128" i="2"/>
  <c r="U131" i="2"/>
  <c r="U130" i="2"/>
  <c r="U129" i="2"/>
  <c r="U128" i="2"/>
  <c r="R131" i="2"/>
  <c r="R130" i="2"/>
  <c r="R129" i="2"/>
  <c r="R128" i="2"/>
  <c r="O131" i="2"/>
  <c r="O130" i="2"/>
  <c r="O129" i="2"/>
  <c r="O128" i="2"/>
  <c r="K131" i="2"/>
  <c r="K131" i="20" s="1"/>
  <c r="J131" i="2"/>
  <c r="J131" i="20" s="1"/>
  <c r="I131" i="2"/>
  <c r="H129" i="11" s="1"/>
  <c r="H131" i="2"/>
  <c r="G131" i="2"/>
  <c r="F131" i="2"/>
  <c r="F131" i="20" s="1"/>
  <c r="E131" i="2"/>
  <c r="E131" i="20" s="1"/>
  <c r="K130" i="2"/>
  <c r="K130" i="20" s="1"/>
  <c r="J130" i="2"/>
  <c r="I130" i="2"/>
  <c r="I130" i="20" s="1"/>
  <c r="H130" i="2"/>
  <c r="G130" i="2"/>
  <c r="F130" i="2"/>
  <c r="F130" i="20" s="1"/>
  <c r="E130" i="2"/>
  <c r="E130" i="20" s="1"/>
  <c r="K129" i="2"/>
  <c r="J129" i="2"/>
  <c r="I129" i="2"/>
  <c r="H129" i="2"/>
  <c r="G129" i="2"/>
  <c r="F129" i="2"/>
  <c r="E129" i="2"/>
  <c r="K128" i="2"/>
  <c r="J128" i="2"/>
  <c r="I128" i="2"/>
  <c r="H128" i="2"/>
  <c r="G128" i="2"/>
  <c r="F128" i="2"/>
  <c r="E128" i="2"/>
  <c r="D131" i="2"/>
  <c r="D130" i="2"/>
  <c r="D129" i="2"/>
  <c r="D128" i="2"/>
  <c r="B57" i="7"/>
  <c r="B56" i="7"/>
  <c r="B55" i="7"/>
  <c r="B54" i="7"/>
  <c r="A57" i="7"/>
  <c r="A56" i="7"/>
  <c r="A55" i="7"/>
  <c r="A54" i="7"/>
  <c r="O53" i="7"/>
  <c r="N53" i="7"/>
  <c r="M53" i="7"/>
  <c r="L53" i="7"/>
  <c r="P53" i="7"/>
  <c r="K57" i="7"/>
  <c r="L131" i="2" s="1"/>
  <c r="K56" i="7"/>
  <c r="L130" i="2" s="1"/>
  <c r="K55" i="7"/>
  <c r="L129" i="2" s="1"/>
  <c r="K54" i="7"/>
  <c r="B59" i="7"/>
  <c r="B61" i="7"/>
  <c r="B64" i="7"/>
  <c r="B66" i="7"/>
  <c r="B69" i="7"/>
  <c r="B73" i="7"/>
  <c r="AJ127" i="2"/>
  <c r="AH127" i="2"/>
  <c r="CG126" i="10" s="1"/>
  <c r="CJ126" i="10" s="1"/>
  <c r="AG127" i="2"/>
  <c r="AF127" i="2"/>
  <c r="AJ126" i="2"/>
  <c r="AH126" i="2"/>
  <c r="CG125" i="10" s="1"/>
  <c r="CJ125" i="10" s="1"/>
  <c r="AG126" i="2"/>
  <c r="AF126" i="2"/>
  <c r="AA127" i="2"/>
  <c r="X127" i="2"/>
  <c r="R127" i="2"/>
  <c r="O127" i="2"/>
  <c r="AA126" i="2"/>
  <c r="X126" i="2"/>
  <c r="R126" i="2"/>
  <c r="O126" i="2"/>
  <c r="L133" i="2" l="1"/>
  <c r="L55" i="9"/>
  <c r="CH128" i="10"/>
  <c r="CK128" i="10" s="1"/>
  <c r="CL128" i="10" s="1"/>
  <c r="CM128" i="10" s="1"/>
  <c r="DG129" i="20"/>
  <c r="DE129" i="20"/>
  <c r="DA129" i="20"/>
  <c r="DD129" i="20"/>
  <c r="DB129" i="20"/>
  <c r="DC129" i="20"/>
  <c r="DF129" i="20"/>
  <c r="AX130" i="20"/>
  <c r="DF130" i="20"/>
  <c r="DB130" i="20"/>
  <c r="DE130" i="20"/>
  <c r="DA130" i="20"/>
  <c r="DC130" i="20"/>
  <c r="DD130" i="20"/>
  <c r="DG130" i="20"/>
  <c r="K53" i="7"/>
  <c r="DG131" i="20"/>
  <c r="DC131" i="20"/>
  <c r="DF131" i="20"/>
  <c r="DB131" i="20"/>
  <c r="DD131" i="20"/>
  <c r="DA131" i="20"/>
  <c r="DE131" i="20"/>
  <c r="AV133" i="20"/>
  <c r="DE133" i="20"/>
  <c r="DA133" i="20"/>
  <c r="DD133" i="20"/>
  <c r="DB133" i="20"/>
  <c r="DG133" i="20"/>
  <c r="DF133" i="20"/>
  <c r="DC133" i="20"/>
  <c r="AC182" i="10"/>
  <c r="W182" i="10"/>
  <c r="CH125" i="10"/>
  <c r="CK125" i="10" s="1"/>
  <c r="CL125" i="10" s="1"/>
  <c r="DC126" i="20"/>
  <c r="DF126" i="20"/>
  <c r="DB126" i="20"/>
  <c r="DG126" i="20"/>
  <c r="DD126" i="20"/>
  <c r="DA126" i="20"/>
  <c r="DE126" i="20"/>
  <c r="CH126" i="10"/>
  <c r="CK126" i="10" s="1"/>
  <c r="CL126" i="10" s="1"/>
  <c r="DE127" i="20"/>
  <c r="DA127" i="20"/>
  <c r="DD127" i="20"/>
  <c r="DF127" i="20"/>
  <c r="DG127" i="20"/>
  <c r="DC127" i="20"/>
  <c r="DB127" i="20"/>
  <c r="L128" i="2"/>
  <c r="CH127" i="10"/>
  <c r="CI127" i="10" s="1"/>
  <c r="DC128" i="20"/>
  <c r="DG128" i="20"/>
  <c r="DF128" i="20"/>
  <c r="DB128" i="20"/>
  <c r="DE128" i="20"/>
  <c r="DA128" i="20"/>
  <c r="DD128" i="20"/>
  <c r="AD132" i="20"/>
  <c r="DD132" i="20"/>
  <c r="DG132" i="20"/>
  <c r="DC132" i="20"/>
  <c r="DA132" i="20"/>
  <c r="DF132" i="20"/>
  <c r="DB132" i="20"/>
  <c r="DE132" i="20"/>
  <c r="BI121" i="20"/>
  <c r="AV130" i="20"/>
  <c r="D128" i="11"/>
  <c r="E132" i="20"/>
  <c r="AB130" i="20"/>
  <c r="AT132" i="20"/>
  <c r="I131" i="20"/>
  <c r="H128" i="11"/>
  <c r="D129" i="11"/>
  <c r="I132" i="20"/>
  <c r="Z132" i="20"/>
  <c r="AX132" i="20"/>
  <c r="I130" i="27"/>
  <c r="I130" i="26"/>
  <c r="I130" i="25"/>
  <c r="I128" i="28"/>
  <c r="I130" i="24"/>
  <c r="I129" i="23"/>
  <c r="N131" i="27"/>
  <c r="P131" i="27" s="1"/>
  <c r="AK130" i="10"/>
  <c r="V131" i="27"/>
  <c r="X131" i="27" s="1"/>
  <c r="AO130" i="10"/>
  <c r="Z131" i="27"/>
  <c r="AB131" i="27" s="1"/>
  <c r="AQ130" i="10"/>
  <c r="AD131" i="27"/>
  <c r="AF131" i="27" s="1"/>
  <c r="AS130" i="10"/>
  <c r="U131" i="25"/>
  <c r="X131" i="25" s="1"/>
  <c r="CG130" i="10"/>
  <c r="CJ130" i="10" s="1"/>
  <c r="CL130" i="10" s="1"/>
  <c r="CH130" i="10"/>
  <c r="P131" i="26"/>
  <c r="R131" i="26" s="1"/>
  <c r="G132" i="26"/>
  <c r="G132" i="27"/>
  <c r="G132" i="25"/>
  <c r="G130" i="28"/>
  <c r="G132" i="24"/>
  <c r="G131" i="23"/>
  <c r="Z132" i="27"/>
  <c r="AB132" i="27" s="1"/>
  <c r="AQ131" i="10"/>
  <c r="CG131" i="10"/>
  <c r="CJ131" i="10" s="1"/>
  <c r="U132" i="25"/>
  <c r="X132" i="25" s="1"/>
  <c r="D131" i="28"/>
  <c r="D133" i="27"/>
  <c r="D133" i="25"/>
  <c r="D133" i="26"/>
  <c r="D133" i="24"/>
  <c r="D132" i="23"/>
  <c r="N133" i="27"/>
  <c r="P133" i="27" s="1"/>
  <c r="AK132" i="10"/>
  <c r="AC131" i="20"/>
  <c r="AA133" i="20"/>
  <c r="AE133" i="20"/>
  <c r="AW131" i="20"/>
  <c r="AU133" i="20"/>
  <c r="F130" i="27"/>
  <c r="F130" i="26"/>
  <c r="F130" i="25"/>
  <c r="F128" i="28"/>
  <c r="F130" i="24"/>
  <c r="F129" i="23"/>
  <c r="G129" i="28"/>
  <c r="G131" i="26"/>
  <c r="G131" i="27"/>
  <c r="G131" i="25"/>
  <c r="G130" i="23"/>
  <c r="G131" i="24"/>
  <c r="D132" i="27"/>
  <c r="D132" i="25"/>
  <c r="D130" i="28"/>
  <c r="D132" i="26"/>
  <c r="D132" i="24"/>
  <c r="D131" i="23"/>
  <c r="H132" i="27"/>
  <c r="H132" i="25"/>
  <c r="H130" i="28"/>
  <c r="H132" i="26"/>
  <c r="H132" i="24"/>
  <c r="H131" i="23"/>
  <c r="N132" i="27"/>
  <c r="P132" i="27" s="1"/>
  <c r="AK131" i="10"/>
  <c r="AD132" i="27"/>
  <c r="AF132" i="27" s="1"/>
  <c r="AS131" i="10"/>
  <c r="CH131" i="10"/>
  <c r="P132" i="26"/>
  <c r="R132" i="26" s="1"/>
  <c r="E133" i="26"/>
  <c r="E133" i="24"/>
  <c r="E131" i="28"/>
  <c r="E133" i="27"/>
  <c r="E133" i="25"/>
  <c r="E132" i="23"/>
  <c r="I133" i="26"/>
  <c r="I133" i="24"/>
  <c r="I133" i="27"/>
  <c r="I133" i="25"/>
  <c r="I132" i="23"/>
  <c r="I131" i="28"/>
  <c r="R133" i="27"/>
  <c r="T133" i="27" s="1"/>
  <c r="AM132" i="10"/>
  <c r="E128" i="11"/>
  <c r="I128" i="11"/>
  <c r="E129" i="11"/>
  <c r="I129" i="11"/>
  <c r="E130" i="11"/>
  <c r="I130" i="11"/>
  <c r="E131" i="11"/>
  <c r="I131" i="11"/>
  <c r="J130" i="20"/>
  <c r="F133" i="20"/>
  <c r="J133" i="20"/>
  <c r="Y130" i="20"/>
  <c r="AC130" i="20"/>
  <c r="Z131" i="20"/>
  <c r="AD131" i="20"/>
  <c r="AA132" i="20"/>
  <c r="AE132" i="20"/>
  <c r="AB133" i="20"/>
  <c r="AS130" i="20"/>
  <c r="AW130" i="20"/>
  <c r="AT131" i="20"/>
  <c r="AX131" i="20"/>
  <c r="AU132" i="20"/>
  <c r="AY132" i="20"/>
  <c r="B130" i="10"/>
  <c r="C131" i="27"/>
  <c r="C131" i="25"/>
  <c r="C130" i="23"/>
  <c r="C129" i="28"/>
  <c r="C131" i="26"/>
  <c r="C131" i="24"/>
  <c r="E130" i="27"/>
  <c r="E130" i="26"/>
  <c r="E130" i="25"/>
  <c r="E128" i="28"/>
  <c r="E130" i="24"/>
  <c r="E129" i="23"/>
  <c r="F129" i="28"/>
  <c r="F131" i="26"/>
  <c r="F131" i="24"/>
  <c r="F131" i="25"/>
  <c r="F131" i="27"/>
  <c r="F130" i="23"/>
  <c r="AI130" i="10"/>
  <c r="J131" i="27"/>
  <c r="L131" i="27" s="1"/>
  <c r="R131" i="27"/>
  <c r="T131" i="27" s="1"/>
  <c r="AM130" i="10"/>
  <c r="C132" i="27"/>
  <c r="C132" i="25"/>
  <c r="C132" i="26"/>
  <c r="C130" i="28"/>
  <c r="B131" i="10"/>
  <c r="C132" i="24"/>
  <c r="C131" i="23"/>
  <c r="AI131" i="10"/>
  <c r="J132" i="27"/>
  <c r="L132" i="27" s="1"/>
  <c r="H131" i="28"/>
  <c r="H133" i="25"/>
  <c r="H133" i="27"/>
  <c r="H133" i="26"/>
  <c r="H133" i="24"/>
  <c r="H132" i="23"/>
  <c r="AS132" i="10"/>
  <c r="AD133" i="27"/>
  <c r="AF133" i="27" s="1"/>
  <c r="CH132" i="10"/>
  <c r="P133" i="26"/>
  <c r="R133" i="26" s="1"/>
  <c r="W129" i="11"/>
  <c r="D131" i="11"/>
  <c r="W131" i="11"/>
  <c r="E133" i="20"/>
  <c r="I133" i="20"/>
  <c r="Y131" i="20"/>
  <c r="AS131" i="20"/>
  <c r="AY133" i="20"/>
  <c r="G128" i="28"/>
  <c r="G130" i="24"/>
  <c r="G129" i="23"/>
  <c r="G130" i="27"/>
  <c r="G130" i="26"/>
  <c r="G130" i="25"/>
  <c r="D131" i="27"/>
  <c r="D131" i="25"/>
  <c r="D130" i="23"/>
  <c r="D129" i="28"/>
  <c r="D131" i="26"/>
  <c r="D131" i="24"/>
  <c r="H131" i="27"/>
  <c r="H131" i="25"/>
  <c r="H130" i="23"/>
  <c r="H129" i="28"/>
  <c r="H131" i="26"/>
  <c r="H131" i="24"/>
  <c r="CG129" i="10"/>
  <c r="CJ129" i="10" s="1"/>
  <c r="U130" i="25"/>
  <c r="X130" i="25" s="1"/>
  <c r="E130" i="28"/>
  <c r="E132" i="26"/>
  <c r="E132" i="24"/>
  <c r="E131" i="23"/>
  <c r="E132" i="25"/>
  <c r="E132" i="27"/>
  <c r="I130" i="28"/>
  <c r="I132" i="27"/>
  <c r="I132" i="26"/>
  <c r="I132" i="24"/>
  <c r="I131" i="23"/>
  <c r="I132" i="25"/>
  <c r="R132" i="27"/>
  <c r="T132" i="27" s="1"/>
  <c r="AM131" i="10"/>
  <c r="F133" i="26"/>
  <c r="F133" i="24"/>
  <c r="F133" i="27"/>
  <c r="F133" i="25"/>
  <c r="F132" i="23"/>
  <c r="F131" i="28"/>
  <c r="V133" i="27"/>
  <c r="X133" i="27" s="1"/>
  <c r="AO132" i="10"/>
  <c r="F128" i="11"/>
  <c r="J128" i="11"/>
  <c r="F129" i="11"/>
  <c r="J129" i="11"/>
  <c r="F130" i="11"/>
  <c r="J130" i="11"/>
  <c r="F131" i="11"/>
  <c r="J131" i="11"/>
  <c r="G130" i="20"/>
  <c r="G131" i="20"/>
  <c r="G133" i="20"/>
  <c r="Z130" i="20"/>
  <c r="AD130" i="20"/>
  <c r="AA131" i="20"/>
  <c r="AE131" i="20"/>
  <c r="AB132" i="20"/>
  <c r="Y133" i="20"/>
  <c r="AC133" i="20"/>
  <c r="AT130" i="20"/>
  <c r="AU131" i="20"/>
  <c r="AY131" i="20"/>
  <c r="AV132" i="20"/>
  <c r="AS133" i="20"/>
  <c r="AW133" i="20"/>
  <c r="C128" i="28"/>
  <c r="C130" i="24"/>
  <c r="B129" i="10"/>
  <c r="C130" i="27"/>
  <c r="C130" i="26"/>
  <c r="C129" i="23"/>
  <c r="C130" i="25"/>
  <c r="D129" i="23"/>
  <c r="D130" i="27"/>
  <c r="D130" i="26"/>
  <c r="D130" i="25"/>
  <c r="D128" i="28"/>
  <c r="D130" i="24"/>
  <c r="H129" i="23"/>
  <c r="H128" i="28"/>
  <c r="H130" i="27"/>
  <c r="H130" i="26"/>
  <c r="H130" i="25"/>
  <c r="H130" i="24"/>
  <c r="E131" i="27"/>
  <c r="E131" i="25"/>
  <c r="E130" i="23"/>
  <c r="E129" i="28"/>
  <c r="E131" i="26"/>
  <c r="E131" i="24"/>
  <c r="I131" i="27"/>
  <c r="I131" i="25"/>
  <c r="I130" i="23"/>
  <c r="I129" i="28"/>
  <c r="I131" i="26"/>
  <c r="I131" i="24"/>
  <c r="J130" i="27"/>
  <c r="L130" i="27" s="1"/>
  <c r="AI129" i="10"/>
  <c r="N130" i="27"/>
  <c r="P130" i="27" s="1"/>
  <c r="AK129" i="10"/>
  <c r="R130" i="27"/>
  <c r="T130" i="27" s="1"/>
  <c r="AM129" i="10"/>
  <c r="V130" i="27"/>
  <c r="X130" i="27" s="1"/>
  <c r="AO129" i="10"/>
  <c r="Z130" i="27"/>
  <c r="AB130" i="27" s="1"/>
  <c r="AQ129" i="10"/>
  <c r="AS129" i="10"/>
  <c r="AD130" i="27"/>
  <c r="AF130" i="27" s="1"/>
  <c r="CH129" i="10"/>
  <c r="P130" i="26"/>
  <c r="R130" i="26" s="1"/>
  <c r="F132" i="26"/>
  <c r="F132" i="24"/>
  <c r="F131" i="23"/>
  <c r="F130" i="28"/>
  <c r="F132" i="27"/>
  <c r="F132" i="25"/>
  <c r="V132" i="27"/>
  <c r="X132" i="27" s="1"/>
  <c r="AO131" i="10"/>
  <c r="C133" i="27"/>
  <c r="C133" i="25"/>
  <c r="C132" i="23"/>
  <c r="B132" i="10"/>
  <c r="C131" i="28"/>
  <c r="C133" i="26"/>
  <c r="C133" i="24"/>
  <c r="G133" i="27"/>
  <c r="G133" i="25"/>
  <c r="G132" i="23"/>
  <c r="G133" i="26"/>
  <c r="G131" i="28"/>
  <c r="G133" i="24"/>
  <c r="AI132" i="10"/>
  <c r="Z133" i="27"/>
  <c r="AB133" i="27" s="1"/>
  <c r="AQ132" i="10"/>
  <c r="CG132" i="10"/>
  <c r="CJ132" i="10" s="1"/>
  <c r="U133" i="25"/>
  <c r="X133" i="25" s="1"/>
  <c r="C128" i="11"/>
  <c r="G128" i="11"/>
  <c r="V128" i="11"/>
  <c r="C129" i="11"/>
  <c r="G129" i="11"/>
  <c r="V129" i="11"/>
  <c r="C130" i="11"/>
  <c r="G130" i="11"/>
  <c r="V130" i="11"/>
  <c r="C131" i="11"/>
  <c r="G131" i="11"/>
  <c r="D130" i="20"/>
  <c r="H130" i="20"/>
  <c r="D131" i="20"/>
  <c r="H131" i="20"/>
  <c r="D132" i="20"/>
  <c r="H132" i="20"/>
  <c r="D133" i="20"/>
  <c r="H133" i="20"/>
  <c r="AA130" i="20"/>
  <c r="AE130" i="20"/>
  <c r="AB131" i="20"/>
  <c r="Y132" i="20"/>
  <c r="AC132" i="20"/>
  <c r="Z133" i="20"/>
  <c r="AD133" i="20"/>
  <c r="AU130" i="20"/>
  <c r="AY130" i="20"/>
  <c r="AV131" i="20"/>
  <c r="AS132" i="20"/>
  <c r="AW132" i="20"/>
  <c r="AT133" i="20"/>
  <c r="AX133" i="20"/>
  <c r="CI128" i="10"/>
  <c r="AO133" i="2"/>
  <c r="AN133" i="2"/>
  <c r="AM133" i="2"/>
  <c r="AL133" i="2"/>
  <c r="AK133" i="2"/>
  <c r="AO132" i="2"/>
  <c r="AN132" i="2"/>
  <c r="AM132" i="2"/>
  <c r="AL132" i="2"/>
  <c r="AK132" i="2"/>
  <c r="AO131" i="2"/>
  <c r="AN131" i="2"/>
  <c r="AM131" i="2"/>
  <c r="AL131" i="2"/>
  <c r="AK131" i="2"/>
  <c r="AO130" i="2"/>
  <c r="AN130" i="2"/>
  <c r="AM130" i="2"/>
  <c r="AL130" i="2"/>
  <c r="AK130" i="2"/>
  <c r="AO129" i="2"/>
  <c r="AN129" i="2"/>
  <c r="AM129" i="2"/>
  <c r="AL129" i="2"/>
  <c r="AK129" i="2"/>
  <c r="AO128" i="2"/>
  <c r="AN128" i="2"/>
  <c r="AM128" i="2"/>
  <c r="AL128" i="2"/>
  <c r="AK128" i="2"/>
  <c r="AO127" i="2"/>
  <c r="AN127" i="2"/>
  <c r="AM127" i="2"/>
  <c r="AL127" i="2"/>
  <c r="AK127" i="2"/>
  <c r="AO126" i="2"/>
  <c r="AN126" i="2"/>
  <c r="AM126" i="2"/>
  <c r="AL126" i="2"/>
  <c r="AK126" i="2"/>
  <c r="AI135" i="2"/>
  <c r="AI133" i="2"/>
  <c r="AI132" i="2"/>
  <c r="AI131" i="2"/>
  <c r="AI130" i="2"/>
  <c r="AI129" i="2"/>
  <c r="AI128" i="2"/>
  <c r="AI127" i="2"/>
  <c r="AI126" i="2"/>
  <c r="AC133" i="2"/>
  <c r="AD133" i="2" s="1"/>
  <c r="AB133" i="2"/>
  <c r="AC132" i="2"/>
  <c r="AD132" i="2" s="1"/>
  <c r="AB132" i="2"/>
  <c r="AC131" i="2"/>
  <c r="AD131" i="2" s="1"/>
  <c r="AB131" i="2"/>
  <c r="AB130" i="2"/>
  <c r="AC129" i="2"/>
  <c r="AD129" i="2" s="1"/>
  <c r="AB129" i="2"/>
  <c r="AC128" i="2"/>
  <c r="AD128" i="2" s="1"/>
  <c r="AB128" i="2"/>
  <c r="AC127" i="2"/>
  <c r="AD127" i="2" s="1"/>
  <c r="AB127" i="2"/>
  <c r="AC126" i="2"/>
  <c r="AD126" i="2" s="1"/>
  <c r="AB126" i="2"/>
  <c r="AC125" i="2"/>
  <c r="AD125" i="2" s="1"/>
  <c r="AB125" i="2"/>
  <c r="AC124" i="2"/>
  <c r="AD124" i="2" s="1"/>
  <c r="AB124" i="2"/>
  <c r="AC123" i="2"/>
  <c r="AD123" i="2" s="1"/>
  <c r="AB123" i="2"/>
  <c r="AC122" i="2"/>
  <c r="AD122" i="2" s="1"/>
  <c r="AB122" i="2"/>
  <c r="Y133" i="2"/>
  <c r="Z133" i="2" s="1"/>
  <c r="Y132" i="2"/>
  <c r="Z132" i="2" s="1"/>
  <c r="Y131" i="2"/>
  <c r="Z131" i="2" s="1"/>
  <c r="Y129" i="2"/>
  <c r="Z129" i="2" s="1"/>
  <c r="Y128" i="2"/>
  <c r="Z128" i="2" s="1"/>
  <c r="Y127" i="2"/>
  <c r="Z127" i="2" s="1"/>
  <c r="Y126" i="2"/>
  <c r="Z126" i="2" s="1"/>
  <c r="Y125" i="2"/>
  <c r="Z125" i="2" s="1"/>
  <c r="Y124" i="2"/>
  <c r="Z124" i="2" s="1"/>
  <c r="Y123" i="2"/>
  <c r="Z123" i="2" s="1"/>
  <c r="Y122" i="2"/>
  <c r="Z122" i="2" s="1"/>
  <c r="V133" i="2"/>
  <c r="W133" i="2" s="1"/>
  <c r="V132" i="2"/>
  <c r="W132" i="2" s="1"/>
  <c r="V131" i="2"/>
  <c r="W131" i="2" s="1"/>
  <c r="V129" i="2"/>
  <c r="W129" i="2" s="1"/>
  <c r="V128" i="2"/>
  <c r="W128" i="2" s="1"/>
  <c r="V127" i="2"/>
  <c r="W127" i="2" s="1"/>
  <c r="V126" i="2"/>
  <c r="W126" i="2" s="1"/>
  <c r="V125" i="2"/>
  <c r="W125" i="2" s="1"/>
  <c r="V124" i="2"/>
  <c r="W124" i="2" s="1"/>
  <c r="V123" i="2"/>
  <c r="W123" i="2" s="1"/>
  <c r="V122" i="2"/>
  <c r="S133" i="2"/>
  <c r="T133" i="2" s="1"/>
  <c r="S132" i="2"/>
  <c r="T132" i="2" s="1"/>
  <c r="S131" i="2"/>
  <c r="T131" i="2" s="1"/>
  <c r="S129" i="2"/>
  <c r="T129" i="2" s="1"/>
  <c r="S128" i="2"/>
  <c r="T128" i="2" s="1"/>
  <c r="S127" i="2"/>
  <c r="T127" i="2" s="1"/>
  <c r="S126" i="2"/>
  <c r="T126" i="2" s="1"/>
  <c r="S125" i="2"/>
  <c r="T125" i="2" s="1"/>
  <c r="S124" i="2"/>
  <c r="T124" i="2" s="1"/>
  <c r="S123" i="2"/>
  <c r="T123" i="2" s="1"/>
  <c r="S122" i="2"/>
  <c r="P133" i="2"/>
  <c r="Q133" i="2" s="1"/>
  <c r="P132" i="2"/>
  <c r="Q132" i="2" s="1"/>
  <c r="P131" i="2"/>
  <c r="Q131" i="2" s="1"/>
  <c r="P129" i="2"/>
  <c r="Q129" i="2" s="1"/>
  <c r="P128" i="2"/>
  <c r="Q128" i="2" s="1"/>
  <c r="P127" i="2"/>
  <c r="Q127" i="2" s="1"/>
  <c r="P126" i="2"/>
  <c r="Q126" i="2" s="1"/>
  <c r="K126" i="2"/>
  <c r="K127" i="2"/>
  <c r="J127" i="2"/>
  <c r="I127" i="2"/>
  <c r="H127" i="2"/>
  <c r="G127" i="2"/>
  <c r="F127" i="2"/>
  <c r="E127" i="2"/>
  <c r="J126" i="2"/>
  <c r="I126" i="2"/>
  <c r="H126" i="2"/>
  <c r="G126" i="2"/>
  <c r="F126" i="2"/>
  <c r="E126" i="2"/>
  <c r="D127" i="2"/>
  <c r="D126" i="2"/>
  <c r="O50" i="6"/>
  <c r="N50" i="6"/>
  <c r="M50" i="6"/>
  <c r="L50" i="6"/>
  <c r="P50" i="6"/>
  <c r="K52" i="6"/>
  <c r="L127" i="2" s="1"/>
  <c r="K51" i="6"/>
  <c r="L126" i="2" s="1"/>
  <c r="B52" i="6"/>
  <c r="B51" i="6"/>
  <c r="A52" i="6"/>
  <c r="A51" i="6"/>
  <c r="P125" i="2"/>
  <c r="Q125" i="2" s="1"/>
  <c r="P124" i="2"/>
  <c r="Q124" i="2" s="1"/>
  <c r="P123" i="2"/>
  <c r="Q123" i="2" s="1"/>
  <c r="P122" i="2"/>
  <c r="Q122" i="2" s="1"/>
  <c r="M125" i="2"/>
  <c r="N125" i="2" s="1"/>
  <c r="M124" i="2"/>
  <c r="N124" i="2" s="1"/>
  <c r="M123" i="2"/>
  <c r="N123" i="2" s="1"/>
  <c r="M122" i="2"/>
  <c r="AA125" i="2"/>
  <c r="AA124" i="2"/>
  <c r="AA123" i="2"/>
  <c r="AA122" i="2"/>
  <c r="AA121" i="2" s="1"/>
  <c r="X125" i="2"/>
  <c r="X124" i="2"/>
  <c r="X123" i="2"/>
  <c r="X122" i="2"/>
  <c r="X121" i="2" s="1"/>
  <c r="U125" i="2"/>
  <c r="U124" i="2"/>
  <c r="U123" i="2"/>
  <c r="U122" i="2"/>
  <c r="U121" i="2" s="1"/>
  <c r="R125" i="2"/>
  <c r="R124" i="2"/>
  <c r="R123" i="2"/>
  <c r="R122" i="2"/>
  <c r="R121" i="2" s="1"/>
  <c r="O125" i="2"/>
  <c r="O124" i="2"/>
  <c r="O123" i="2"/>
  <c r="O122" i="2"/>
  <c r="O121" i="2" s="1"/>
  <c r="AJ125" i="2"/>
  <c r="AJ124" i="2"/>
  <c r="AJ123" i="2"/>
  <c r="AJ122" i="2"/>
  <c r="AH125" i="2"/>
  <c r="CG124" i="10" s="1"/>
  <c r="CJ124" i="10" s="1"/>
  <c r="AH124" i="2"/>
  <c r="CG123" i="10" s="1"/>
  <c r="CJ123" i="10" s="1"/>
  <c r="CL123" i="10" s="1"/>
  <c r="AH123" i="2"/>
  <c r="CG122" i="10" s="1"/>
  <c r="CJ122" i="10" s="1"/>
  <c r="CL122" i="10" s="1"/>
  <c r="AH122" i="2"/>
  <c r="CG121" i="10" s="1"/>
  <c r="CJ121" i="10" s="1"/>
  <c r="AG125" i="2"/>
  <c r="AG124" i="2"/>
  <c r="AG123" i="2"/>
  <c r="AG122" i="2"/>
  <c r="AF125" i="2"/>
  <c r="AF124" i="2"/>
  <c r="AF123" i="2"/>
  <c r="AF122" i="2"/>
  <c r="K125" i="2"/>
  <c r="J125" i="2"/>
  <c r="I125" i="2"/>
  <c r="H125" i="2"/>
  <c r="G125" i="2"/>
  <c r="F125" i="2"/>
  <c r="E125" i="2"/>
  <c r="D125" i="2"/>
  <c r="K124" i="2"/>
  <c r="J124" i="2"/>
  <c r="I124" i="2"/>
  <c r="H124" i="2"/>
  <c r="G124" i="2"/>
  <c r="F124" i="2"/>
  <c r="E124" i="2"/>
  <c r="D124" i="2"/>
  <c r="K123" i="2"/>
  <c r="J123" i="2"/>
  <c r="I123" i="2"/>
  <c r="H123" i="2"/>
  <c r="G123" i="2"/>
  <c r="F123" i="2"/>
  <c r="E123" i="2"/>
  <c r="D123" i="2"/>
  <c r="K122" i="2"/>
  <c r="J122" i="2"/>
  <c r="I122" i="2"/>
  <c r="H122" i="2"/>
  <c r="G122" i="2"/>
  <c r="F122" i="2"/>
  <c r="E122" i="2"/>
  <c r="D120" i="11" s="1"/>
  <c r="B50" i="3"/>
  <c r="A50" i="3"/>
  <c r="B49" i="3"/>
  <c r="A49" i="3"/>
  <c r="B48" i="3"/>
  <c r="A48" i="3"/>
  <c r="B47" i="3"/>
  <c r="A47" i="3"/>
  <c r="D122" i="2"/>
  <c r="P46" i="3"/>
  <c r="O46" i="3"/>
  <c r="N46" i="3"/>
  <c r="M46" i="3"/>
  <c r="Q46" i="3"/>
  <c r="L50" i="3"/>
  <c r="L125" i="2" s="1"/>
  <c r="L49" i="3"/>
  <c r="L124" i="2" s="1"/>
  <c r="L48" i="3"/>
  <c r="L123" i="2" s="1"/>
  <c r="L47" i="3"/>
  <c r="C50" i="3"/>
  <c r="D51" i="3"/>
  <c r="L51" i="3"/>
  <c r="M51" i="3"/>
  <c r="N51" i="3"/>
  <c r="O51" i="3"/>
  <c r="P51" i="3"/>
  <c r="Q51" i="3"/>
  <c r="A52" i="3"/>
  <c r="B52" i="3"/>
  <c r="D58" i="3"/>
  <c r="L58" i="3"/>
  <c r="M58" i="3"/>
  <c r="N58" i="3"/>
  <c r="O58" i="3"/>
  <c r="P58" i="3"/>
  <c r="Q58" i="3"/>
  <c r="A59" i="3"/>
  <c r="B59" i="3"/>
  <c r="M61" i="3"/>
  <c r="N61" i="3"/>
  <c r="O61" i="3"/>
  <c r="P61" i="3"/>
  <c r="Q61" i="3"/>
  <c r="A62" i="3"/>
  <c r="B62" i="3"/>
  <c r="L62" i="3"/>
  <c r="L61" i="3" s="1"/>
  <c r="V62" i="3"/>
  <c r="M63" i="3"/>
  <c r="N63" i="3"/>
  <c r="O63" i="3"/>
  <c r="P63" i="3"/>
  <c r="Q63" i="3"/>
  <c r="A64" i="3"/>
  <c r="B64" i="3"/>
  <c r="L64" i="3"/>
  <c r="L63" i="3" s="1"/>
  <c r="M66" i="3"/>
  <c r="M65" i="3" s="1"/>
  <c r="N66" i="3"/>
  <c r="N65" i="3" s="1"/>
  <c r="O66" i="3"/>
  <c r="O65" i="3" s="1"/>
  <c r="P66" i="3"/>
  <c r="P65" i="3" s="1"/>
  <c r="Q66" i="3"/>
  <c r="Q65" i="3" s="1"/>
  <c r="A67" i="3"/>
  <c r="B67" i="3"/>
  <c r="L67" i="3"/>
  <c r="A68" i="3"/>
  <c r="B68" i="3"/>
  <c r="C68" i="3"/>
  <c r="L68" i="3"/>
  <c r="M71" i="3"/>
  <c r="M70" i="3" s="1"/>
  <c r="N71" i="3"/>
  <c r="N70" i="3" s="1"/>
  <c r="O71" i="3"/>
  <c r="O70" i="3" s="1"/>
  <c r="P71" i="3"/>
  <c r="P70" i="3" s="1"/>
  <c r="Q71" i="3"/>
  <c r="Q70" i="3" s="1"/>
  <c r="K50" i="6" l="1"/>
  <c r="N60" i="3"/>
  <c r="N122" i="2"/>
  <c r="N121" i="2" s="1"/>
  <c r="M121" i="2"/>
  <c r="CQ182" i="10"/>
  <c r="W122" i="2"/>
  <c r="T122" i="2"/>
  <c r="V131" i="11"/>
  <c r="J133" i="27"/>
  <c r="L133" i="27" s="1"/>
  <c r="CI126" i="10"/>
  <c r="CI125" i="10"/>
  <c r="CH123" i="10"/>
  <c r="CI123" i="10" s="1"/>
  <c r="DG124" i="20"/>
  <c r="DC124" i="20"/>
  <c r="DF124" i="20"/>
  <c r="DB124" i="20"/>
  <c r="DE124" i="20"/>
  <c r="DA124" i="20"/>
  <c r="DD124" i="20"/>
  <c r="L46" i="3"/>
  <c r="CH124" i="10"/>
  <c r="CK124" i="10" s="1"/>
  <c r="CL124" i="10" s="1"/>
  <c r="DG125" i="20"/>
  <c r="DE125" i="20"/>
  <c r="DA125" i="20"/>
  <c r="DD125" i="20"/>
  <c r="DB125" i="20"/>
  <c r="DC125" i="20"/>
  <c r="DF125" i="20"/>
  <c r="CH121" i="10"/>
  <c r="CI121" i="10" s="1"/>
  <c r="DG122" i="20"/>
  <c r="L122" i="2"/>
  <c r="L121" i="2" s="1"/>
  <c r="AB121" i="2"/>
  <c r="O60" i="3"/>
  <c r="CH122" i="10"/>
  <c r="CI122" i="10" s="1"/>
  <c r="DG123" i="20"/>
  <c r="DE123" i="20"/>
  <c r="DA123" i="20"/>
  <c r="DD123" i="20"/>
  <c r="DF123" i="20"/>
  <c r="DC123" i="20"/>
  <c r="DB123" i="20"/>
  <c r="AO124" i="2"/>
  <c r="AM122" i="2"/>
  <c r="AL123" i="2"/>
  <c r="CM130" i="10"/>
  <c r="AH130" i="10" s="1"/>
  <c r="AK124" i="2"/>
  <c r="CR130" i="10"/>
  <c r="AE130" i="10" s="1"/>
  <c r="CI130" i="10"/>
  <c r="AB128" i="10"/>
  <c r="AH128" i="10"/>
  <c r="AI125" i="2"/>
  <c r="AI122" i="2"/>
  <c r="AN122" i="2"/>
  <c r="AM123" i="2"/>
  <c r="AL124" i="2"/>
  <c r="AK125" i="2"/>
  <c r="AO125" i="2"/>
  <c r="CK129" i="10"/>
  <c r="CL129" i="10" s="1"/>
  <c r="CS129" i="10" s="1"/>
  <c r="CI129" i="10"/>
  <c r="CT130" i="10"/>
  <c r="AN125" i="2"/>
  <c r="AI123" i="2"/>
  <c r="AK122" i="2"/>
  <c r="AO122" i="2"/>
  <c r="AN123" i="2"/>
  <c r="AM124" i="2"/>
  <c r="AL125" i="2"/>
  <c r="CI132" i="10"/>
  <c r="CK132" i="10"/>
  <c r="CL132" i="10" s="1"/>
  <c r="CM132" i="10" s="1"/>
  <c r="CI131" i="10"/>
  <c r="CK131" i="10"/>
  <c r="CL131" i="10" s="1"/>
  <c r="AI124" i="2"/>
  <c r="AL122" i="2"/>
  <c r="AK123" i="2"/>
  <c r="AO123" i="2"/>
  <c r="AN124" i="2"/>
  <c r="AM125" i="2"/>
  <c r="CS130" i="10"/>
  <c r="Q60" i="3"/>
  <c r="M60" i="3"/>
  <c r="P60" i="3"/>
  <c r="L66" i="3"/>
  <c r="L65" i="3" s="1"/>
  <c r="L60" i="3"/>
  <c r="AM121" i="2" l="1"/>
  <c r="F22" i="19" s="1"/>
  <c r="AN121" i="2"/>
  <c r="CI124" i="10"/>
  <c r="AL121" i="2"/>
  <c r="E22" i="19" s="1"/>
  <c r="AK121" i="2"/>
  <c r="D22" i="19" s="1"/>
  <c r="CK121" i="10"/>
  <c r="CL121" i="10" s="1"/>
  <c r="Y130" i="10"/>
  <c r="AO121" i="2"/>
  <c r="H22" i="19" s="1"/>
  <c r="AB130" i="10"/>
  <c r="G22" i="19"/>
  <c r="AH132" i="10"/>
  <c r="AB132" i="10"/>
  <c r="CT131" i="10"/>
  <c r="CR131" i="10"/>
  <c r="CS131" i="10"/>
  <c r="CM131" i="10"/>
  <c r="AD129" i="10"/>
  <c r="X129" i="10"/>
  <c r="CT132" i="10"/>
  <c r="CS132" i="10"/>
  <c r="CR132" i="10"/>
  <c r="AF130" i="10"/>
  <c r="Z130" i="10"/>
  <c r="AD130" i="10"/>
  <c r="X130" i="10"/>
  <c r="CT129" i="10"/>
  <c r="CM129" i="10"/>
  <c r="CR129" i="10"/>
  <c r="W77" i="28"/>
  <c r="T77" i="28"/>
  <c r="Q77" i="28"/>
  <c r="N77" i="28"/>
  <c r="Z77" i="28"/>
  <c r="Y83" i="28"/>
  <c r="AA83" i="28" s="1"/>
  <c r="V83" i="28"/>
  <c r="X83" i="28" s="1"/>
  <c r="S83" i="28"/>
  <c r="U83" i="28" s="1"/>
  <c r="P83" i="28"/>
  <c r="R83" i="28" s="1"/>
  <c r="K83" i="28"/>
  <c r="J83" i="28"/>
  <c r="A83" i="28"/>
  <c r="A84" i="28"/>
  <c r="B84" i="28"/>
  <c r="C84" i="28"/>
  <c r="N84" i="28"/>
  <c r="Q84" i="28"/>
  <c r="T84" i="28"/>
  <c r="W84" i="28"/>
  <c r="Z84" i="28"/>
  <c r="Y82" i="28"/>
  <c r="AA82" i="28" s="1"/>
  <c r="V82" i="28"/>
  <c r="X82" i="28" s="1"/>
  <c r="S82" i="28"/>
  <c r="U82" i="28" s="1"/>
  <c r="P82" i="28"/>
  <c r="R82" i="28" s="1"/>
  <c r="K82" i="28"/>
  <c r="J82" i="28"/>
  <c r="A82" i="28"/>
  <c r="AA79" i="27"/>
  <c r="W79" i="27"/>
  <c r="S79" i="27"/>
  <c r="K79" i="27"/>
  <c r="AE79" i="27"/>
  <c r="AC85" i="27"/>
  <c r="Y85" i="27"/>
  <c r="U85" i="27"/>
  <c r="O85" i="27"/>
  <c r="M83" i="28" s="1"/>
  <c r="O83" i="28" s="1"/>
  <c r="B85" i="27"/>
  <c r="B83" i="28" s="1"/>
  <c r="A85" i="27"/>
  <c r="AC84" i="27"/>
  <c r="Y84" i="27"/>
  <c r="U84" i="27"/>
  <c r="O84" i="27"/>
  <c r="M82" i="28" s="1"/>
  <c r="O82" i="28" s="1"/>
  <c r="B84" i="27"/>
  <c r="B82" i="28" s="1"/>
  <c r="A84" i="27"/>
  <c r="O85" i="26"/>
  <c r="N85" i="26"/>
  <c r="M85" i="26"/>
  <c r="L85" i="26"/>
  <c r="K85" i="26"/>
  <c r="J85" i="26"/>
  <c r="B85" i="26"/>
  <c r="A85" i="26"/>
  <c r="O84" i="26"/>
  <c r="N84" i="26"/>
  <c r="M84" i="26"/>
  <c r="L84" i="26"/>
  <c r="K84" i="26"/>
  <c r="J84" i="26"/>
  <c r="B84" i="26"/>
  <c r="A84" i="26"/>
  <c r="T85" i="25"/>
  <c r="S85" i="25"/>
  <c r="R85" i="25"/>
  <c r="P85" i="25"/>
  <c r="O85" i="25"/>
  <c r="Q85" i="25" s="1"/>
  <c r="N85" i="25"/>
  <c r="M85" i="25"/>
  <c r="L85" i="25"/>
  <c r="K85" i="25"/>
  <c r="J85" i="25"/>
  <c r="B85" i="25"/>
  <c r="A85" i="25"/>
  <c r="T84" i="25"/>
  <c r="S84" i="25"/>
  <c r="R84" i="25"/>
  <c r="P84" i="25"/>
  <c r="O84" i="25"/>
  <c r="Q84" i="25" s="1"/>
  <c r="N84" i="25"/>
  <c r="M84" i="25"/>
  <c r="L84" i="25"/>
  <c r="K84" i="25"/>
  <c r="J84" i="25"/>
  <c r="B84" i="25"/>
  <c r="A84" i="25"/>
  <c r="O85" i="24"/>
  <c r="N85" i="24"/>
  <c r="M85" i="24"/>
  <c r="L85" i="24"/>
  <c r="K85" i="24"/>
  <c r="J85" i="24"/>
  <c r="B85" i="24"/>
  <c r="A85" i="24"/>
  <c r="O84" i="24"/>
  <c r="N84" i="24"/>
  <c r="M84" i="24"/>
  <c r="L84" i="24"/>
  <c r="K84" i="24"/>
  <c r="J84" i="24"/>
  <c r="B84" i="24"/>
  <c r="A84" i="24"/>
  <c r="O84" i="23"/>
  <c r="N84" i="23"/>
  <c r="M84" i="23"/>
  <c r="L84" i="23"/>
  <c r="K84" i="23"/>
  <c r="J84" i="23"/>
  <c r="A84" i="23"/>
  <c r="O83" i="23"/>
  <c r="N83" i="23"/>
  <c r="M83" i="23"/>
  <c r="L83" i="23"/>
  <c r="K83" i="23"/>
  <c r="J83" i="23"/>
  <c r="A83" i="23"/>
  <c r="D14" i="12"/>
  <c r="C14" i="12"/>
  <c r="K38" i="7"/>
  <c r="O34" i="7"/>
  <c r="N34" i="7"/>
  <c r="M34" i="7"/>
  <c r="L34" i="7"/>
  <c r="P34" i="7"/>
  <c r="AC130" i="10" l="1"/>
  <c r="AD132" i="10"/>
  <c r="X132" i="10"/>
  <c r="AH129" i="10"/>
  <c r="AB129" i="10"/>
  <c r="AF132" i="10"/>
  <c r="Z132" i="10"/>
  <c r="AD131" i="10"/>
  <c r="X131" i="10"/>
  <c r="Y129" i="10"/>
  <c r="AE129" i="10"/>
  <c r="Z129" i="10"/>
  <c r="AF129" i="10"/>
  <c r="Y131" i="10"/>
  <c r="AE131" i="10"/>
  <c r="AH131" i="10"/>
  <c r="AB131" i="10"/>
  <c r="W130" i="10"/>
  <c r="Y132" i="10"/>
  <c r="AE132" i="10"/>
  <c r="Z131" i="10"/>
  <c r="AF131" i="10"/>
  <c r="L83" i="28"/>
  <c r="L82" i="28"/>
  <c r="W129" i="10" l="1"/>
  <c r="W131" i="10"/>
  <c r="AC131" i="10"/>
  <c r="AC129" i="10"/>
  <c r="W132" i="10"/>
  <c r="AC132" i="10"/>
  <c r="W85" i="20"/>
  <c r="V79" i="20"/>
  <c r="C85" i="20"/>
  <c r="B85" i="20"/>
  <c r="A85" i="20"/>
  <c r="C84" i="20"/>
  <c r="B84" i="20"/>
  <c r="A84" i="20"/>
  <c r="K37" i="7"/>
  <c r="C88" i="21" l="1"/>
  <c r="D88" i="21" s="1"/>
  <c r="C13" i="12"/>
  <c r="BJ79" i="20"/>
  <c r="C35" i="22" s="1"/>
  <c r="B83" i="11"/>
  <c r="A83" i="11"/>
  <c r="B82" i="11"/>
  <c r="A82" i="11"/>
  <c r="L35" i="21" l="1"/>
  <c r="L88" i="21" s="1"/>
  <c r="B38" i="7"/>
  <c r="A38" i="7"/>
  <c r="B37" i="7"/>
  <c r="A37" i="7"/>
  <c r="AJ85" i="2"/>
  <c r="AH85" i="2"/>
  <c r="AG85" i="2"/>
  <c r="P85" i="24" s="1"/>
  <c r="AF85" i="2"/>
  <c r="P84" i="23" s="1"/>
  <c r="AE85" i="2"/>
  <c r="AC85" i="2"/>
  <c r="AD85" i="2" s="1"/>
  <c r="AB85" i="2"/>
  <c r="AA85" i="2"/>
  <c r="AS84" i="10" s="1"/>
  <c r="AH84" i="10" s="1"/>
  <c r="Y85" i="2"/>
  <c r="Z85" i="2" s="1"/>
  <c r="X85" i="2"/>
  <c r="V85" i="2"/>
  <c r="W85" i="2" s="1"/>
  <c r="U85" i="2"/>
  <c r="S85" i="2"/>
  <c r="T85" i="2" s="1"/>
  <c r="R85" i="2"/>
  <c r="P85" i="2"/>
  <c r="Q85" i="2" s="1"/>
  <c r="O85" i="2"/>
  <c r="M85" i="2"/>
  <c r="N85" i="2" s="1"/>
  <c r="L85" i="2"/>
  <c r="AI84" i="10" s="1"/>
  <c r="AC84" i="10" s="1"/>
  <c r="AJ84" i="2"/>
  <c r="CH83" i="10" s="1"/>
  <c r="AH84" i="2"/>
  <c r="AG84" i="2"/>
  <c r="P84" i="24" s="1"/>
  <c r="AF84" i="2"/>
  <c r="P83" i="23" s="1"/>
  <c r="AE84" i="2"/>
  <c r="AB84" i="2"/>
  <c r="AA84" i="2"/>
  <c r="AS83" i="10" s="1"/>
  <c r="AB83" i="10" s="1"/>
  <c r="X84" i="2"/>
  <c r="U84" i="2"/>
  <c r="R84" i="2"/>
  <c r="O84" i="2"/>
  <c r="AK83" i="10" s="1"/>
  <c r="X83" i="10" s="1"/>
  <c r="L84" i="2"/>
  <c r="AI83" i="10" s="1"/>
  <c r="W83" i="10" s="1"/>
  <c r="K85" i="2"/>
  <c r="K85" i="20" s="1"/>
  <c r="J85" i="2"/>
  <c r="I85" i="2"/>
  <c r="H85" i="2"/>
  <c r="G85" i="2"/>
  <c r="F85" i="2"/>
  <c r="E85" i="2"/>
  <c r="D85" i="2"/>
  <c r="B84" i="10" s="1"/>
  <c r="K84" i="2"/>
  <c r="K84" i="20" s="1"/>
  <c r="J84" i="2"/>
  <c r="I84" i="2"/>
  <c r="H84" i="2"/>
  <c r="G84" i="2"/>
  <c r="F84" i="2"/>
  <c r="E84" i="2"/>
  <c r="D84" i="2"/>
  <c r="CG84" i="10" l="1"/>
  <c r="AO85" i="2"/>
  <c r="AK85" i="2"/>
  <c r="AN85" i="2"/>
  <c r="AM85" i="2"/>
  <c r="AL85" i="2"/>
  <c r="CG83" i="10"/>
  <c r="AL84" i="2"/>
  <c r="AM84" i="2"/>
  <c r="AO84" i="2"/>
  <c r="AK84" i="2"/>
  <c r="AN84" i="2"/>
  <c r="N85" i="27"/>
  <c r="AK84" i="10"/>
  <c r="AD84" i="10" s="1"/>
  <c r="V85" i="27"/>
  <c r="X85" i="27" s="1"/>
  <c r="AO84" i="10"/>
  <c r="AF84" i="10" s="1"/>
  <c r="V84" i="27"/>
  <c r="X84" i="27" s="1"/>
  <c r="AO83" i="10"/>
  <c r="Z83" i="10" s="1"/>
  <c r="R85" i="27"/>
  <c r="T85" i="27" s="1"/>
  <c r="AM84" i="10"/>
  <c r="AE84" i="10" s="1"/>
  <c r="Z85" i="27"/>
  <c r="AB85" i="27" s="1"/>
  <c r="AQ84" i="10"/>
  <c r="AG84" i="10" s="1"/>
  <c r="R84" i="27"/>
  <c r="T84" i="27" s="1"/>
  <c r="AM83" i="10"/>
  <c r="Y83" i="10" s="1"/>
  <c r="Z84" i="27"/>
  <c r="AB84" i="27" s="1"/>
  <c r="AQ83" i="10"/>
  <c r="AA83" i="10" s="1"/>
  <c r="D84" i="20"/>
  <c r="B83" i="10"/>
  <c r="P85" i="26"/>
  <c r="R85" i="26" s="1"/>
  <c r="CH84" i="10"/>
  <c r="H84" i="24"/>
  <c r="H84" i="26"/>
  <c r="H84" i="25"/>
  <c r="H83" i="23"/>
  <c r="H82" i="28"/>
  <c r="H84" i="27"/>
  <c r="I84" i="20"/>
  <c r="H82" i="11"/>
  <c r="S84" i="24"/>
  <c r="R84" i="24"/>
  <c r="AI85" i="2"/>
  <c r="U85" i="25"/>
  <c r="D82" i="11"/>
  <c r="D84" i="24"/>
  <c r="D84" i="26"/>
  <c r="D84" i="25"/>
  <c r="D83" i="23"/>
  <c r="D82" i="28"/>
  <c r="D84" i="27"/>
  <c r="E84" i="20"/>
  <c r="D83" i="28"/>
  <c r="D85" i="27"/>
  <c r="D84" i="23"/>
  <c r="D85" i="25"/>
  <c r="D85" i="26"/>
  <c r="D85" i="24"/>
  <c r="H83" i="28"/>
  <c r="H85" i="27"/>
  <c r="H84" i="23"/>
  <c r="H85" i="25"/>
  <c r="H85" i="26"/>
  <c r="H85" i="24"/>
  <c r="I85" i="20"/>
  <c r="H83" i="11"/>
  <c r="P84" i="26"/>
  <c r="R84" i="26" s="1"/>
  <c r="AB84" i="20"/>
  <c r="AD84" i="20"/>
  <c r="Z84" i="20"/>
  <c r="AC84" i="20"/>
  <c r="AE84" i="20"/>
  <c r="AA84" i="20"/>
  <c r="Y84" i="20"/>
  <c r="W83" i="11"/>
  <c r="AD85" i="27"/>
  <c r="S84" i="23"/>
  <c r="R84" i="23"/>
  <c r="E84" i="26"/>
  <c r="E84" i="25"/>
  <c r="E82" i="28"/>
  <c r="E84" i="27"/>
  <c r="E83" i="23"/>
  <c r="E84" i="24"/>
  <c r="F84" i="20"/>
  <c r="E82" i="11"/>
  <c r="I84" i="26"/>
  <c r="I84" i="25"/>
  <c r="I82" i="28"/>
  <c r="I84" i="27"/>
  <c r="I83" i="23"/>
  <c r="I84" i="24"/>
  <c r="J84" i="20"/>
  <c r="I82" i="11"/>
  <c r="E85" i="26"/>
  <c r="E85" i="25"/>
  <c r="E85" i="24"/>
  <c r="E84" i="23"/>
  <c r="E83" i="28"/>
  <c r="E85" i="27"/>
  <c r="F85" i="20"/>
  <c r="E83" i="11"/>
  <c r="I85" i="26"/>
  <c r="I85" i="25"/>
  <c r="I85" i="24"/>
  <c r="I84" i="23"/>
  <c r="I83" i="28"/>
  <c r="I85" i="27"/>
  <c r="J85" i="20"/>
  <c r="I83" i="11"/>
  <c r="AD84" i="27"/>
  <c r="W82" i="11"/>
  <c r="S83" i="23"/>
  <c r="R83" i="23"/>
  <c r="V83" i="11"/>
  <c r="J85" i="27"/>
  <c r="S85" i="24"/>
  <c r="R85" i="24"/>
  <c r="F84" i="25"/>
  <c r="F83" i="23"/>
  <c r="F82" i="28"/>
  <c r="F84" i="27"/>
  <c r="F84" i="24"/>
  <c r="F84" i="26"/>
  <c r="G84" i="20"/>
  <c r="F82" i="11"/>
  <c r="F85" i="24"/>
  <c r="F83" i="28"/>
  <c r="F85" i="27"/>
  <c r="F84" i="23"/>
  <c r="F85" i="25"/>
  <c r="F85" i="26"/>
  <c r="G85" i="20"/>
  <c r="F83" i="11"/>
  <c r="C82" i="11"/>
  <c r="C82" i="28"/>
  <c r="C84" i="27"/>
  <c r="C83" i="23"/>
  <c r="C84" i="24"/>
  <c r="C84" i="26"/>
  <c r="C84" i="25"/>
  <c r="G82" i="28"/>
  <c r="G84" i="27"/>
  <c r="G83" i="23"/>
  <c r="G84" i="24"/>
  <c r="G84" i="26"/>
  <c r="G84" i="25"/>
  <c r="H84" i="20"/>
  <c r="G82" i="11"/>
  <c r="C84" i="23"/>
  <c r="C83" i="28"/>
  <c r="C85" i="27"/>
  <c r="C85" i="26"/>
  <c r="C85" i="25"/>
  <c r="C85" i="24"/>
  <c r="G84" i="23"/>
  <c r="G83" i="28"/>
  <c r="G85" i="27"/>
  <c r="G85" i="26"/>
  <c r="G85" i="25"/>
  <c r="G85" i="24"/>
  <c r="H85" i="20"/>
  <c r="G83" i="11"/>
  <c r="J84" i="27"/>
  <c r="V82" i="11"/>
  <c r="AI84" i="2"/>
  <c r="U84" i="25"/>
  <c r="N84" i="27"/>
  <c r="P85" i="27"/>
  <c r="Q85" i="27"/>
  <c r="AB85" i="20"/>
  <c r="Y85" i="20"/>
  <c r="AE85" i="20"/>
  <c r="AA85" i="20"/>
  <c r="AD85" i="20"/>
  <c r="Z85" i="20"/>
  <c r="AC85" i="20"/>
  <c r="E85" i="20"/>
  <c r="D83" i="11"/>
  <c r="D85" i="20"/>
  <c r="C83" i="11"/>
  <c r="J91" i="10"/>
  <c r="I91" i="10"/>
  <c r="H91" i="10"/>
  <c r="G91" i="10"/>
  <c r="F91" i="10"/>
  <c r="E91" i="10"/>
  <c r="D91" i="10"/>
  <c r="C91" i="10"/>
  <c r="A98" i="10"/>
  <c r="X85" i="25" l="1"/>
  <c r="W85" i="25"/>
  <c r="M84" i="27"/>
  <c r="L84" i="27"/>
  <c r="AG84" i="27"/>
  <c r="AF84" i="27"/>
  <c r="AG85" i="27"/>
  <c r="AF85" i="27"/>
  <c r="W84" i="25"/>
  <c r="X84" i="25"/>
  <c r="M85" i="27"/>
  <c r="L85" i="27"/>
  <c r="P84" i="27"/>
  <c r="Q84" i="27"/>
  <c r="K61" i="7"/>
  <c r="U81" i="2" l="1"/>
  <c r="AO69" i="20" l="1"/>
  <c r="C12" i="12" l="1"/>
  <c r="P82" i="10" l="1"/>
  <c r="O82" i="10"/>
  <c r="N82" i="10"/>
  <c r="M82" i="10"/>
  <c r="L82" i="10"/>
  <c r="P81" i="10"/>
  <c r="O81" i="10"/>
  <c r="N81" i="10"/>
  <c r="M81" i="10"/>
  <c r="L81" i="10"/>
  <c r="P80" i="10"/>
  <c r="O80" i="10"/>
  <c r="N80" i="10"/>
  <c r="M80" i="10"/>
  <c r="L80" i="10"/>
  <c r="P79" i="10"/>
  <c r="O79" i="10"/>
  <c r="N79" i="10"/>
  <c r="M79" i="10"/>
  <c r="L79" i="10"/>
  <c r="P70" i="10"/>
  <c r="O70" i="10"/>
  <c r="N70" i="10"/>
  <c r="M70" i="10"/>
  <c r="L70" i="10"/>
  <c r="P69" i="10"/>
  <c r="O69" i="10"/>
  <c r="N69" i="10"/>
  <c r="M69" i="10"/>
  <c r="L69" i="10"/>
  <c r="P68" i="10"/>
  <c r="O68" i="10"/>
  <c r="N68" i="10"/>
  <c r="M68" i="10"/>
  <c r="L68" i="10"/>
  <c r="P67" i="10"/>
  <c r="O67" i="10"/>
  <c r="N67" i="10"/>
  <c r="M67" i="10"/>
  <c r="L67" i="10"/>
  <c r="P59" i="10"/>
  <c r="O59" i="10"/>
  <c r="N59" i="10"/>
  <c r="M59" i="10"/>
  <c r="L59" i="10"/>
  <c r="P58" i="10"/>
  <c r="O58" i="10"/>
  <c r="N58" i="10"/>
  <c r="M58" i="10"/>
  <c r="L58" i="10"/>
  <c r="P54" i="10"/>
  <c r="O54" i="10"/>
  <c r="N54" i="10"/>
  <c r="M54" i="10"/>
  <c r="L54" i="10"/>
  <c r="P48" i="10"/>
  <c r="M48" i="10"/>
  <c r="L48" i="10"/>
  <c r="P47" i="10"/>
  <c r="M47" i="10"/>
  <c r="L47" i="10"/>
  <c r="P46" i="10"/>
  <c r="M46" i="10"/>
  <c r="L46" i="10"/>
  <c r="P37" i="10"/>
  <c r="L78" i="10" l="1"/>
  <c r="P78" i="10"/>
  <c r="K48" i="10"/>
  <c r="K46" i="10"/>
  <c r="K81" i="10"/>
  <c r="K82" i="10"/>
  <c r="K54" i="10"/>
  <c r="K68" i="10"/>
  <c r="K80" i="10"/>
  <c r="K59" i="10"/>
  <c r="K69" i="10"/>
  <c r="K58" i="10"/>
  <c r="K67" i="10"/>
  <c r="K47" i="10"/>
  <c r="K70" i="10"/>
  <c r="AB180" i="2" l="1"/>
  <c r="AB179" i="2"/>
  <c r="AB178" i="2"/>
  <c r="AB177" i="2"/>
  <c r="AB176" i="2"/>
  <c r="AB175" i="2"/>
  <c r="AB174" i="2"/>
  <c r="AB171" i="2"/>
  <c r="AB167" i="2"/>
  <c r="AB166" i="2"/>
  <c r="AB165" i="2"/>
  <c r="AB164" i="2"/>
  <c r="AB163" i="2"/>
  <c r="AB162" i="2"/>
  <c r="AB159" i="2"/>
  <c r="AB158" i="2"/>
  <c r="AB157" i="2"/>
  <c r="AB156" i="2"/>
  <c r="AB155" i="2"/>
  <c r="AB153" i="2"/>
  <c r="AB152" i="2"/>
  <c r="AB151" i="2"/>
  <c r="AB150" i="2"/>
  <c r="AB149" i="2"/>
  <c r="AB146" i="2"/>
  <c r="AB145" i="2"/>
  <c r="AB144" i="2"/>
  <c r="AB143" i="2"/>
  <c r="AB142" i="2"/>
  <c r="AB140" i="2"/>
  <c r="AB139" i="2"/>
  <c r="AB138" i="2"/>
  <c r="AB137" i="2"/>
  <c r="AB136" i="2"/>
  <c r="AB119" i="2"/>
  <c r="AB118" i="2"/>
  <c r="AB117" i="2"/>
  <c r="AB116" i="2"/>
  <c r="AB115" i="2"/>
  <c r="K110" i="27"/>
  <c r="K111" i="27"/>
  <c r="K109" i="27"/>
  <c r="K112" i="27"/>
  <c r="AB113" i="2"/>
  <c r="AB112" i="2"/>
  <c r="AB111" i="2"/>
  <c r="AB110" i="2"/>
  <c r="AB109" i="2"/>
  <c r="K104" i="27"/>
  <c r="K103" i="27"/>
  <c r="K106" i="27"/>
  <c r="AB107" i="2"/>
  <c r="AB106" i="2"/>
  <c r="AB105" i="2"/>
  <c r="AB104" i="2"/>
  <c r="AB103" i="2"/>
  <c r="AB99" i="2"/>
  <c r="AB98" i="2"/>
  <c r="AB97" i="2"/>
  <c r="AB96" i="2"/>
  <c r="AB95" i="2"/>
  <c r="AB94" i="2"/>
  <c r="AB93" i="2"/>
  <c r="AB91" i="2"/>
  <c r="AB90" i="2"/>
  <c r="AB89" i="2"/>
  <c r="AB88" i="2"/>
  <c r="AB87" i="2"/>
  <c r="AB83" i="2"/>
  <c r="AB82" i="2"/>
  <c r="AB81" i="2"/>
  <c r="AB80" i="2"/>
  <c r="AB78" i="2"/>
  <c r="AB77" i="2"/>
  <c r="AB76" i="2"/>
  <c r="AB75" i="2"/>
  <c r="AB72" i="2"/>
  <c r="AB71" i="2"/>
  <c r="AB70" i="2"/>
  <c r="AB69" i="2"/>
  <c r="AB68" i="2"/>
  <c r="AC63" i="2"/>
  <c r="AC64" i="2"/>
  <c r="AC65" i="2"/>
  <c r="AC66" i="2"/>
  <c r="AD66" i="2" s="1"/>
  <c r="AB66" i="2"/>
  <c r="AB65" i="2"/>
  <c r="AB64" i="2"/>
  <c r="AB63" i="2"/>
  <c r="AB61" i="2"/>
  <c r="AB60" i="2"/>
  <c r="AB59" i="2"/>
  <c r="K54" i="27"/>
  <c r="AB55" i="2"/>
  <c r="AB54" i="2"/>
  <c r="AB53" i="2"/>
  <c r="AB52" i="2"/>
  <c r="AB51" i="2"/>
  <c r="AB49" i="2"/>
  <c r="AB48" i="2"/>
  <c r="AB47" i="2"/>
  <c r="K42" i="27"/>
  <c r="AB45" i="2"/>
  <c r="AB44" i="2"/>
  <c r="AB43" i="2"/>
  <c r="AB42" i="2"/>
  <c r="AB41" i="2"/>
  <c r="AB40" i="2"/>
  <c r="AB38" i="2"/>
  <c r="AB37" i="2"/>
  <c r="AB36" i="2"/>
  <c r="AB35" i="2"/>
  <c r="AB34" i="2"/>
  <c r="AB32" i="2"/>
  <c r="AB31" i="2"/>
  <c r="AB30" i="2"/>
  <c r="AB29" i="2"/>
  <c r="AB28" i="2"/>
  <c r="AB27" i="2"/>
  <c r="AB26" i="2"/>
  <c r="AB25" i="2"/>
  <c r="AB24" i="2"/>
  <c r="AB23" i="2"/>
  <c r="AB22" i="2"/>
  <c r="AB21" i="2"/>
  <c r="AB20" i="2"/>
  <c r="AB19" i="2"/>
  <c r="AB18" i="2"/>
  <c r="AB17" i="2"/>
  <c r="AB16" i="2"/>
  <c r="AB15" i="2"/>
  <c r="AB14" i="2"/>
  <c r="AB13" i="2"/>
  <c r="AB12" i="2"/>
  <c r="AB11" i="2"/>
  <c r="AB10" i="2"/>
  <c r="K161" i="27"/>
  <c r="A43" i="7"/>
  <c r="B43" i="7"/>
  <c r="AE99" i="2"/>
  <c r="AC99" i="2"/>
  <c r="A98" i="23"/>
  <c r="O99" i="24"/>
  <c r="N99" i="24"/>
  <c r="M99" i="24"/>
  <c r="L99" i="24"/>
  <c r="K99" i="24"/>
  <c r="J99" i="24"/>
  <c r="B99" i="24"/>
  <c r="A99" i="24"/>
  <c r="T99" i="25"/>
  <c r="S99" i="25"/>
  <c r="R99" i="25"/>
  <c r="Q99" i="25"/>
  <c r="P99" i="25"/>
  <c r="O99" i="25"/>
  <c r="N99" i="25"/>
  <c r="M99" i="25"/>
  <c r="L99" i="25"/>
  <c r="K99" i="25"/>
  <c r="J99" i="25"/>
  <c r="B99" i="25"/>
  <c r="A99" i="25"/>
  <c r="O99" i="26"/>
  <c r="N99" i="26"/>
  <c r="M99" i="26"/>
  <c r="L99" i="26"/>
  <c r="K99" i="26"/>
  <c r="J99" i="26"/>
  <c r="B99" i="26"/>
  <c r="A99" i="26"/>
  <c r="AG99" i="27"/>
  <c r="AC99" i="27"/>
  <c r="Y99" i="27"/>
  <c r="U99" i="27"/>
  <c r="Q99" i="27"/>
  <c r="M99" i="27"/>
  <c r="B99" i="27"/>
  <c r="B97" i="28" s="1"/>
  <c r="A99" i="27"/>
  <c r="Y97" i="28"/>
  <c r="AA97" i="28" s="1"/>
  <c r="V97" i="28"/>
  <c r="X97" i="28" s="1"/>
  <c r="S97" i="28"/>
  <c r="U97" i="28" s="1"/>
  <c r="P97" i="28"/>
  <c r="R97" i="28" s="1"/>
  <c r="M97" i="28"/>
  <c r="O97" i="28" s="1"/>
  <c r="J97" i="28"/>
  <c r="L97" i="28" s="1"/>
  <c r="A97" i="28"/>
  <c r="D36" i="12"/>
  <c r="B97" i="11"/>
  <c r="A97" i="11"/>
  <c r="BJ92" i="20"/>
  <c r="AP92" i="20"/>
  <c r="V92" i="20"/>
  <c r="V86" i="20"/>
  <c r="B99" i="20"/>
  <c r="A99" i="20"/>
  <c r="AJ99" i="2"/>
  <c r="AH99" i="2"/>
  <c r="AG99" i="2"/>
  <c r="P99" i="24" s="1"/>
  <c r="S99" i="24" s="1"/>
  <c r="AF99" i="2"/>
  <c r="P98" i="23" s="1"/>
  <c r="S98" i="23" s="1"/>
  <c r="AA99" i="2"/>
  <c r="X99" i="2"/>
  <c r="U99" i="2"/>
  <c r="R99" i="2"/>
  <c r="O99" i="2"/>
  <c r="K99" i="2"/>
  <c r="K99" i="20" s="1"/>
  <c r="J99" i="2"/>
  <c r="I97" i="28" s="1"/>
  <c r="I99" i="2"/>
  <c r="H98" i="23" s="1"/>
  <c r="H99" i="2"/>
  <c r="G99" i="24" s="1"/>
  <c r="G99" i="2"/>
  <c r="F99" i="27" s="1"/>
  <c r="F99" i="2"/>
  <c r="E97" i="28" s="1"/>
  <c r="E99" i="2"/>
  <c r="D98" i="23" s="1"/>
  <c r="D99" i="2"/>
  <c r="O41" i="7"/>
  <c r="N41" i="7"/>
  <c r="M41" i="7"/>
  <c r="L41" i="7"/>
  <c r="P41" i="7"/>
  <c r="K43" i="7"/>
  <c r="L99" i="2" s="1"/>
  <c r="DG99" i="20" l="1"/>
  <c r="DE99" i="20"/>
  <c r="DA99" i="20"/>
  <c r="DD99" i="20"/>
  <c r="DF99" i="20"/>
  <c r="DC99" i="20"/>
  <c r="DB99" i="20"/>
  <c r="J99" i="27"/>
  <c r="L99" i="27" s="1"/>
  <c r="AI98" i="10"/>
  <c r="AJ98" i="10" s="1"/>
  <c r="W98" i="10"/>
  <c r="L98" i="23"/>
  <c r="AM98" i="10"/>
  <c r="AN98" i="10" s="1"/>
  <c r="Y98" i="10"/>
  <c r="C99" i="24"/>
  <c r="B98" i="10"/>
  <c r="N98" i="23"/>
  <c r="AA98" i="10"/>
  <c r="AQ98" i="10"/>
  <c r="AI99" i="2"/>
  <c r="CG98" i="10"/>
  <c r="M98" i="23"/>
  <c r="Z98" i="10"/>
  <c r="AO98" i="10"/>
  <c r="AP98" i="10" s="1"/>
  <c r="K98" i="23"/>
  <c r="X98" i="10"/>
  <c r="AK98" i="10"/>
  <c r="AL98" i="10" s="1"/>
  <c r="W97" i="11"/>
  <c r="AB98" i="10"/>
  <c r="AS98" i="10"/>
  <c r="AT98" i="10" s="1"/>
  <c r="P99" i="26"/>
  <c r="R99" i="26" s="1"/>
  <c r="CH98" i="10"/>
  <c r="H99" i="20"/>
  <c r="Z99" i="20"/>
  <c r="BO99" i="20"/>
  <c r="G99" i="27"/>
  <c r="AS99" i="20"/>
  <c r="CJ99" i="20"/>
  <c r="I99" i="20"/>
  <c r="AV99" i="20"/>
  <c r="AC99" i="20"/>
  <c r="BR99" i="20"/>
  <c r="CM99" i="20"/>
  <c r="AM99" i="2"/>
  <c r="G97" i="28"/>
  <c r="H99" i="27"/>
  <c r="D99" i="20"/>
  <c r="AW99" i="20"/>
  <c r="AD99" i="20"/>
  <c r="BS99" i="20"/>
  <c r="C99" i="27"/>
  <c r="D99" i="24"/>
  <c r="F97" i="28"/>
  <c r="E99" i="20"/>
  <c r="Y99" i="20"/>
  <c r="BN99" i="20"/>
  <c r="CI99" i="20"/>
  <c r="C97" i="28"/>
  <c r="D99" i="27"/>
  <c r="N99" i="27"/>
  <c r="P99" i="27" s="1"/>
  <c r="Z99" i="27"/>
  <c r="AB99" i="27" s="1"/>
  <c r="U99" i="25"/>
  <c r="X99" i="25" s="1"/>
  <c r="H99" i="24"/>
  <c r="I97" i="11"/>
  <c r="F97" i="11"/>
  <c r="J97" i="11"/>
  <c r="V99" i="27"/>
  <c r="X99" i="27" s="1"/>
  <c r="F99" i="26"/>
  <c r="F99" i="25"/>
  <c r="E99" i="24"/>
  <c r="I99" i="24"/>
  <c r="F99" i="20"/>
  <c r="J99" i="20"/>
  <c r="AT99" i="20"/>
  <c r="AX99" i="20"/>
  <c r="AA99" i="20"/>
  <c r="AE99" i="20"/>
  <c r="BP99" i="20"/>
  <c r="CG99" i="20"/>
  <c r="CK99" i="20"/>
  <c r="C97" i="11"/>
  <c r="G97" i="11"/>
  <c r="V97" i="11"/>
  <c r="AK99" i="2"/>
  <c r="D97" i="28"/>
  <c r="H97" i="28"/>
  <c r="E99" i="27"/>
  <c r="I99" i="27"/>
  <c r="AD99" i="27"/>
  <c r="AF99" i="27" s="1"/>
  <c r="C99" i="26"/>
  <c r="G99" i="26"/>
  <c r="C99" i="25"/>
  <c r="G99" i="25"/>
  <c r="F99" i="24"/>
  <c r="C98" i="23"/>
  <c r="G98" i="23"/>
  <c r="O98" i="23"/>
  <c r="E97" i="11"/>
  <c r="E99" i="26"/>
  <c r="I99" i="26"/>
  <c r="E99" i="25"/>
  <c r="I99" i="25"/>
  <c r="E98" i="23"/>
  <c r="I98" i="23"/>
  <c r="AO99" i="2"/>
  <c r="F98" i="23"/>
  <c r="J98" i="23"/>
  <c r="G99" i="20"/>
  <c r="AU99" i="20"/>
  <c r="AY99" i="20"/>
  <c r="AB99" i="20"/>
  <c r="BM99" i="20"/>
  <c r="BQ99" i="20"/>
  <c r="CH99" i="20"/>
  <c r="CL99" i="20"/>
  <c r="D97" i="11"/>
  <c r="H97" i="11"/>
  <c r="AL99" i="2"/>
  <c r="R99" i="27"/>
  <c r="T99" i="27" s="1"/>
  <c r="D99" i="26"/>
  <c r="H99" i="26"/>
  <c r="D99" i="25"/>
  <c r="H99" i="25"/>
  <c r="R98" i="23"/>
  <c r="AN99" i="2"/>
  <c r="AD99" i="2"/>
  <c r="A47" i="7" l="1"/>
  <c r="A49" i="7"/>
  <c r="A51" i="7"/>
  <c r="AR95" i="20" l="1"/>
  <c r="X162" i="20" l="1"/>
  <c r="AR104" i="20"/>
  <c r="CF55" i="20" l="1"/>
  <c r="BL55" i="20"/>
  <c r="B10" i="25" l="1"/>
  <c r="B78" i="9" l="1"/>
  <c r="B77" i="9"/>
  <c r="B74" i="9"/>
  <c r="A74" i="9"/>
  <c r="B70" i="9"/>
  <c r="B67" i="9"/>
  <c r="B65" i="9"/>
  <c r="C142" i="2"/>
  <c r="C143" i="2"/>
  <c r="C59" i="3" s="1"/>
  <c r="C144" i="2"/>
  <c r="C145" i="2"/>
  <c r="C146" i="2"/>
  <c r="C62" i="9" s="1"/>
  <c r="C139" i="23"/>
  <c r="B62" i="9"/>
  <c r="A62" i="9"/>
  <c r="B59" i="9"/>
  <c r="B53" i="9"/>
  <c r="B51" i="9"/>
  <c r="B49" i="9"/>
  <c r="B45" i="9"/>
  <c r="B43" i="9"/>
  <c r="B36" i="9"/>
  <c r="B34" i="9"/>
  <c r="B32" i="9"/>
  <c r="B31" i="9"/>
  <c r="B30" i="9"/>
  <c r="B3" i="9"/>
  <c r="B26" i="9"/>
  <c r="B22" i="9"/>
  <c r="B21" i="9"/>
  <c r="B20" i="9"/>
  <c r="B19" i="9"/>
  <c r="B18" i="9"/>
  <c r="A22" i="9"/>
  <c r="A21" i="9"/>
  <c r="A20" i="9"/>
  <c r="A19" i="9"/>
  <c r="A18" i="9"/>
  <c r="B17" i="9"/>
  <c r="B15" i="9"/>
  <c r="B14" i="9"/>
  <c r="B12" i="9"/>
  <c r="B11" i="9"/>
  <c r="B10" i="9"/>
  <c r="B9" i="9"/>
  <c r="B8" i="9"/>
  <c r="AA50" i="8" l="1"/>
  <c r="AA49" i="8"/>
  <c r="B67" i="8"/>
  <c r="A67" i="8"/>
  <c r="C55" i="8"/>
  <c r="B3" i="8"/>
  <c r="B71" i="8"/>
  <c r="B70" i="8"/>
  <c r="B63" i="8"/>
  <c r="B60" i="8"/>
  <c r="B58" i="8"/>
  <c r="B55" i="8"/>
  <c r="B53" i="8"/>
  <c r="B48" i="8"/>
  <c r="B46" i="8"/>
  <c r="B44" i="8"/>
  <c r="B40" i="8"/>
  <c r="B38" i="8"/>
  <c r="B34" i="8"/>
  <c r="B31" i="8"/>
  <c r="B29" i="8"/>
  <c r="B27" i="8"/>
  <c r="B26" i="8"/>
  <c r="B25" i="8"/>
  <c r="B21" i="8"/>
  <c r="B19" i="8"/>
  <c r="A8" i="8"/>
  <c r="B8" i="8"/>
  <c r="B13" i="8"/>
  <c r="B12" i="8"/>
  <c r="B11" i="8"/>
  <c r="B10" i="8"/>
  <c r="B9" i="8"/>
  <c r="B75" i="3" l="1"/>
  <c r="B72" i="3"/>
  <c r="B44" i="3"/>
  <c r="B42" i="3"/>
  <c r="B40" i="3"/>
  <c r="B36" i="3"/>
  <c r="B35" i="3"/>
  <c r="B33" i="3"/>
  <c r="B31" i="3"/>
  <c r="B30" i="3"/>
  <c r="B28" i="3"/>
  <c r="B25" i="3"/>
  <c r="B23" i="3"/>
  <c r="B20" i="3"/>
  <c r="B18" i="3"/>
  <c r="B16" i="3"/>
  <c r="B14" i="3"/>
  <c r="C60" i="21" l="1"/>
  <c r="D60" i="21" s="1"/>
  <c r="AP67" i="20"/>
  <c r="L7" i="21" s="1"/>
  <c r="L60" i="21" s="1"/>
  <c r="C6" i="22"/>
  <c r="B76" i="7"/>
  <c r="B51" i="7"/>
  <c r="B49" i="7"/>
  <c r="B47" i="7"/>
  <c r="B42" i="7"/>
  <c r="B40" i="7"/>
  <c r="B36" i="7"/>
  <c r="B35" i="7"/>
  <c r="B33" i="7"/>
  <c r="B30" i="7"/>
  <c r="B28" i="7"/>
  <c r="B26" i="7"/>
  <c r="B25" i="7"/>
  <c r="B24" i="7"/>
  <c r="B20" i="7"/>
  <c r="B18" i="7"/>
  <c r="B14" i="7"/>
  <c r="B13" i="7"/>
  <c r="B3" i="7"/>
  <c r="B11" i="7"/>
  <c r="B10" i="7"/>
  <c r="B9" i="7"/>
  <c r="B8" i="7"/>
  <c r="AJ163" i="2" l="1"/>
  <c r="AJ171" i="2"/>
  <c r="DF171" i="20" l="1"/>
  <c r="DB171" i="20"/>
  <c r="DE171" i="20"/>
  <c r="DA171" i="20"/>
  <c r="DC171" i="20"/>
  <c r="DD171" i="20"/>
  <c r="DG171" i="20"/>
  <c r="DG163" i="20"/>
  <c r="DF163" i="20"/>
  <c r="DB163" i="20"/>
  <c r="DE163" i="20"/>
  <c r="DA163" i="20"/>
  <c r="DD163" i="20"/>
  <c r="DC163" i="20"/>
  <c r="CL124" i="20"/>
  <c r="CH124" i="20"/>
  <c r="BR124" i="20"/>
  <c r="BN124" i="20"/>
  <c r="AW124" i="20"/>
  <c r="AS124" i="20"/>
  <c r="AB124" i="20"/>
  <c r="CM124" i="20"/>
  <c r="BS124" i="20"/>
  <c r="AT124" i="20"/>
  <c r="CK124" i="20"/>
  <c r="CG124" i="20"/>
  <c r="BQ124" i="20"/>
  <c r="BM124" i="20"/>
  <c r="AV124" i="20"/>
  <c r="AE124" i="20"/>
  <c r="AA124" i="20"/>
  <c r="BO124" i="20"/>
  <c r="AC124" i="20"/>
  <c r="CJ124" i="20"/>
  <c r="BP124" i="20"/>
  <c r="AY124" i="20"/>
  <c r="AU124" i="20"/>
  <c r="AD124" i="20"/>
  <c r="Z124" i="20"/>
  <c r="CI124" i="20"/>
  <c r="AX124" i="20"/>
  <c r="Y124" i="20"/>
  <c r="CK163" i="20"/>
  <c r="CG163" i="20"/>
  <c r="BP163" i="20"/>
  <c r="AY163" i="20"/>
  <c r="AU163" i="20"/>
  <c r="AD163" i="20"/>
  <c r="Z163" i="20"/>
  <c r="BM163" i="20"/>
  <c r="AA163" i="20"/>
  <c r="CJ163" i="20"/>
  <c r="BS163" i="20"/>
  <c r="BO163" i="20"/>
  <c r="AX163" i="20"/>
  <c r="AT163" i="20"/>
  <c r="AC163" i="20"/>
  <c r="Y163" i="20"/>
  <c r="CH163" i="20"/>
  <c r="AE163" i="20"/>
  <c r="CM163" i="20"/>
  <c r="CI163" i="20"/>
  <c r="BR163" i="20"/>
  <c r="BN163" i="20"/>
  <c r="AW163" i="20"/>
  <c r="AS163" i="20"/>
  <c r="AB163" i="20"/>
  <c r="CL163" i="20"/>
  <c r="BQ163" i="20"/>
  <c r="AV163" i="20"/>
  <c r="CM122" i="20"/>
  <c r="CI122" i="20"/>
  <c r="CL122" i="20"/>
  <c r="CH122" i="20"/>
  <c r="CK122" i="20"/>
  <c r="CG122" i="20"/>
  <c r="CJ122" i="20"/>
  <c r="BS122" i="20"/>
  <c r="BO122" i="20"/>
  <c r="BR122" i="20"/>
  <c r="BN122" i="20"/>
  <c r="AY122" i="20"/>
  <c r="AU122" i="20"/>
  <c r="AB122" i="20"/>
  <c r="Y122" i="20"/>
  <c r="BQ122" i="20"/>
  <c r="BM122" i="20"/>
  <c r="AX122" i="20"/>
  <c r="AT122" i="20"/>
  <c r="AE122" i="20"/>
  <c r="AA122" i="20"/>
  <c r="AV122" i="20"/>
  <c r="BP122" i="20"/>
  <c r="AW122" i="20"/>
  <c r="AS122" i="20"/>
  <c r="AD122" i="20"/>
  <c r="Z122" i="20"/>
  <c r="AC122" i="20"/>
  <c r="CK123" i="20"/>
  <c r="CG123" i="20"/>
  <c r="CJ123" i="20"/>
  <c r="CM123" i="20"/>
  <c r="CI123" i="20"/>
  <c r="CL123" i="20"/>
  <c r="CH123" i="20"/>
  <c r="BP123" i="20"/>
  <c r="AW123" i="20"/>
  <c r="BS123" i="20"/>
  <c r="BO123" i="20"/>
  <c r="AV123" i="20"/>
  <c r="AC123" i="20"/>
  <c r="Y123" i="20"/>
  <c r="AS123" i="20"/>
  <c r="Z123" i="20"/>
  <c r="BR123" i="20"/>
  <c r="BN123" i="20"/>
  <c r="AY123" i="20"/>
  <c r="AU123" i="20"/>
  <c r="AB123" i="20"/>
  <c r="AD123" i="20"/>
  <c r="BQ123" i="20"/>
  <c r="BM123" i="20"/>
  <c r="AX123" i="20"/>
  <c r="AT123" i="20"/>
  <c r="AE123" i="20"/>
  <c r="AA123" i="20"/>
  <c r="CL129" i="20"/>
  <c r="CH129" i="20"/>
  <c r="BP129" i="20"/>
  <c r="AV129" i="20"/>
  <c r="AB129" i="20"/>
  <c r="CK129" i="20"/>
  <c r="CG129" i="20"/>
  <c r="BS129" i="20"/>
  <c r="BO129" i="20"/>
  <c r="AY129" i="20"/>
  <c r="AU129" i="20"/>
  <c r="AE129" i="20"/>
  <c r="AA129" i="20"/>
  <c r="CJ129" i="20"/>
  <c r="BR129" i="20"/>
  <c r="BN129" i="20"/>
  <c r="AX129" i="20"/>
  <c r="AT129" i="20"/>
  <c r="AD129" i="20"/>
  <c r="Z129" i="20"/>
  <c r="CM129" i="20"/>
  <c r="BQ129" i="20"/>
  <c r="AS129" i="20"/>
  <c r="BM129" i="20"/>
  <c r="CI129" i="20"/>
  <c r="AW129" i="20"/>
  <c r="AC129" i="20"/>
  <c r="Y129" i="20"/>
  <c r="CK125" i="20"/>
  <c r="CG125" i="20"/>
  <c r="BR125" i="20"/>
  <c r="BN125" i="20"/>
  <c r="AY125" i="20"/>
  <c r="AU125" i="20"/>
  <c r="CJ125" i="20"/>
  <c r="BQ125" i="20"/>
  <c r="BM125" i="20"/>
  <c r="AX125" i="20"/>
  <c r="AT125" i="20"/>
  <c r="CM125" i="20"/>
  <c r="CI125" i="20"/>
  <c r="BP125" i="20"/>
  <c r="AW125" i="20"/>
  <c r="AS125" i="20"/>
  <c r="AD125" i="20"/>
  <c r="CL125" i="20"/>
  <c r="AE125" i="20"/>
  <c r="Z125" i="20"/>
  <c r="CH125" i="20"/>
  <c r="BS125" i="20"/>
  <c r="AC125" i="20"/>
  <c r="Y125" i="20"/>
  <c r="BO125" i="20"/>
  <c r="AB125" i="20"/>
  <c r="AV125" i="20"/>
  <c r="AA125" i="20"/>
  <c r="CJ171" i="20"/>
  <c r="BS171" i="20"/>
  <c r="BO171" i="20"/>
  <c r="AX171" i="20"/>
  <c r="AT171" i="20"/>
  <c r="AC171" i="20"/>
  <c r="Y171" i="20"/>
  <c r="CM171" i="20"/>
  <c r="CI171" i="20"/>
  <c r="BR171" i="20"/>
  <c r="BN171" i="20"/>
  <c r="AW171" i="20"/>
  <c r="AS171" i="20"/>
  <c r="AB171" i="20"/>
  <c r="CL171" i="20"/>
  <c r="CH171" i="20"/>
  <c r="BQ171" i="20"/>
  <c r="BM171" i="20"/>
  <c r="AV171" i="20"/>
  <c r="AE171" i="20"/>
  <c r="AA171" i="20"/>
  <c r="CG171" i="20"/>
  <c r="BP171" i="20"/>
  <c r="Z171" i="20"/>
  <c r="AD171" i="20"/>
  <c r="AY171" i="20"/>
  <c r="CK171" i="20"/>
  <c r="AU171" i="20"/>
  <c r="CM126" i="20"/>
  <c r="CI126" i="20"/>
  <c r="BS126" i="20"/>
  <c r="BO126" i="20"/>
  <c r="AV126" i="20"/>
  <c r="AC126" i="20"/>
  <c r="Y126" i="20"/>
  <c r="CL126" i="20"/>
  <c r="CH126" i="20"/>
  <c r="BR126" i="20"/>
  <c r="BN126" i="20"/>
  <c r="AY126" i="20"/>
  <c r="AU126" i="20"/>
  <c r="AB126" i="20"/>
  <c r="CK126" i="20"/>
  <c r="CG126" i="20"/>
  <c r="BQ126" i="20"/>
  <c r="BM126" i="20"/>
  <c r="AX126" i="20"/>
  <c r="AT126" i="20"/>
  <c r="AE126" i="20"/>
  <c r="AA126" i="20"/>
  <c r="CJ126" i="20"/>
  <c r="BP126" i="20"/>
  <c r="Z126" i="20"/>
  <c r="AW126" i="20"/>
  <c r="AS126" i="20"/>
  <c r="AD126" i="20"/>
  <c r="CJ127" i="20"/>
  <c r="BP127" i="20"/>
  <c r="AW127" i="20"/>
  <c r="AS127" i="20"/>
  <c r="AD127" i="20"/>
  <c r="Z127" i="20"/>
  <c r="CM127" i="20"/>
  <c r="CI127" i="20"/>
  <c r="BS127" i="20"/>
  <c r="BO127" i="20"/>
  <c r="AV127" i="20"/>
  <c r="AC127" i="20"/>
  <c r="Y127" i="20"/>
  <c r="CL127" i="20"/>
  <c r="CH127" i="20"/>
  <c r="BR127" i="20"/>
  <c r="BN127" i="20"/>
  <c r="AY127" i="20"/>
  <c r="AU127" i="20"/>
  <c r="AB127" i="20"/>
  <c r="AT127" i="20"/>
  <c r="AE127" i="20"/>
  <c r="CG127" i="20"/>
  <c r="AX127" i="20"/>
  <c r="AA127" i="20"/>
  <c r="BM127" i="20"/>
  <c r="CK127" i="20"/>
  <c r="BQ127" i="20"/>
  <c r="CM128" i="20"/>
  <c r="CI128" i="20"/>
  <c r="BQ128" i="20"/>
  <c r="BM128" i="20"/>
  <c r="AW128" i="20"/>
  <c r="AS128" i="20"/>
  <c r="AC128" i="20"/>
  <c r="Y128" i="20"/>
  <c r="CL128" i="20"/>
  <c r="CH128" i="20"/>
  <c r="BP128" i="20"/>
  <c r="AV128" i="20"/>
  <c r="AB128" i="20"/>
  <c r="CK128" i="20"/>
  <c r="CG128" i="20"/>
  <c r="BS128" i="20"/>
  <c r="BO128" i="20"/>
  <c r="AY128" i="20"/>
  <c r="AU128" i="20"/>
  <c r="AE128" i="20"/>
  <c r="AA128" i="20"/>
  <c r="BR128" i="20"/>
  <c r="AT128" i="20"/>
  <c r="Z128" i="20"/>
  <c r="CJ128" i="20"/>
  <c r="BN128" i="20"/>
  <c r="AD128" i="20"/>
  <c r="AX128" i="20"/>
  <c r="AJ63" i="2"/>
  <c r="AJ51" i="2"/>
  <c r="AJ52" i="2"/>
  <c r="AJ53" i="2"/>
  <c r="AJ54" i="2"/>
  <c r="AJ55" i="2"/>
  <c r="AJ11" i="2"/>
  <c r="AJ13" i="2"/>
  <c r="B181" i="20"/>
  <c r="B180" i="20"/>
  <c r="B179" i="20"/>
  <c r="B178" i="20"/>
  <c r="B177" i="20"/>
  <c r="B176" i="20"/>
  <c r="B175" i="20"/>
  <c r="B174" i="20"/>
  <c r="B171" i="20"/>
  <c r="B170" i="20"/>
  <c r="B167" i="20"/>
  <c r="B166" i="20"/>
  <c r="B165" i="20"/>
  <c r="B164" i="20"/>
  <c r="B163" i="20"/>
  <c r="B162" i="20"/>
  <c r="B159" i="20"/>
  <c r="B158" i="20"/>
  <c r="B157" i="20"/>
  <c r="B156" i="20"/>
  <c r="B155" i="20"/>
  <c r="B153" i="20"/>
  <c r="B152" i="20"/>
  <c r="B151" i="20"/>
  <c r="B150" i="20"/>
  <c r="B149" i="20"/>
  <c r="B146" i="20"/>
  <c r="B145" i="20"/>
  <c r="B144" i="20"/>
  <c r="B143" i="20"/>
  <c r="B142" i="20"/>
  <c r="B140" i="20"/>
  <c r="B139" i="20"/>
  <c r="B138" i="20"/>
  <c r="B137" i="20"/>
  <c r="B136" i="20"/>
  <c r="B129" i="20"/>
  <c r="B128" i="20"/>
  <c r="B127" i="20"/>
  <c r="B126" i="20"/>
  <c r="B125" i="20"/>
  <c r="B124" i="20"/>
  <c r="B123" i="20"/>
  <c r="B122" i="20"/>
  <c r="B119" i="20"/>
  <c r="B118" i="20"/>
  <c r="B117" i="20"/>
  <c r="B116" i="20"/>
  <c r="B115" i="20"/>
  <c r="B113" i="20"/>
  <c r="B112" i="20"/>
  <c r="B111" i="20"/>
  <c r="B110" i="20"/>
  <c r="B109" i="20"/>
  <c r="B107" i="20"/>
  <c r="B106" i="20"/>
  <c r="B105" i="20"/>
  <c r="B104" i="20"/>
  <c r="B103" i="20"/>
  <c r="B98" i="20"/>
  <c r="B97" i="20"/>
  <c r="B96" i="20"/>
  <c r="B95" i="20"/>
  <c r="B94" i="20"/>
  <c r="B93" i="20"/>
  <c r="B91" i="20"/>
  <c r="B90" i="20"/>
  <c r="B89" i="20"/>
  <c r="B88" i="20"/>
  <c r="B87" i="20"/>
  <c r="B83" i="20"/>
  <c r="B82" i="20"/>
  <c r="B81" i="20"/>
  <c r="B80" i="20"/>
  <c r="B78" i="20"/>
  <c r="B77" i="20"/>
  <c r="B76" i="20"/>
  <c r="B75" i="20"/>
  <c r="B72" i="20"/>
  <c r="B71" i="20"/>
  <c r="B70" i="20"/>
  <c r="B69" i="20"/>
  <c r="B68" i="20"/>
  <c r="B66" i="20"/>
  <c r="B65" i="20"/>
  <c r="B64" i="20"/>
  <c r="B63" i="20"/>
  <c r="B61" i="20"/>
  <c r="B60" i="20"/>
  <c r="B59" i="20"/>
  <c r="B57" i="20"/>
  <c r="B55" i="20"/>
  <c r="B54" i="20"/>
  <c r="B53" i="20"/>
  <c r="B52" i="20"/>
  <c r="B51" i="20"/>
  <c r="B49" i="20"/>
  <c r="B48" i="20"/>
  <c r="B47" i="20"/>
  <c r="B45" i="20"/>
  <c r="B44" i="20"/>
  <c r="B43" i="20"/>
  <c r="B42" i="20"/>
  <c r="B41" i="20"/>
  <c r="B40" i="20"/>
  <c r="B38" i="20"/>
  <c r="B37" i="20"/>
  <c r="B36" i="20"/>
  <c r="B35" i="20"/>
  <c r="B34" i="20"/>
  <c r="B32" i="20"/>
  <c r="B31" i="20"/>
  <c r="B30" i="20"/>
  <c r="B29" i="20"/>
  <c r="B28" i="20"/>
  <c r="B27" i="20"/>
  <c r="B26" i="20"/>
  <c r="B25" i="20"/>
  <c r="B24" i="20"/>
  <c r="B23" i="20"/>
  <c r="B22" i="20"/>
  <c r="B21" i="20"/>
  <c r="B20" i="20"/>
  <c r="B19" i="20"/>
  <c r="B18" i="20"/>
  <c r="B17" i="20"/>
  <c r="B16" i="20"/>
  <c r="B15" i="20"/>
  <c r="B14" i="20"/>
  <c r="B13" i="20"/>
  <c r="B12" i="20"/>
  <c r="B11" i="20"/>
  <c r="B10" i="20"/>
  <c r="A6" i="20"/>
  <c r="B4" i="20"/>
  <c r="B179" i="11"/>
  <c r="B178" i="11"/>
  <c r="B177" i="11"/>
  <c r="B176" i="11"/>
  <c r="B175" i="11"/>
  <c r="B174" i="11"/>
  <c r="B173" i="11"/>
  <c r="B172" i="11"/>
  <c r="B169" i="11"/>
  <c r="B165" i="11"/>
  <c r="B164" i="11"/>
  <c r="B163" i="11"/>
  <c r="B162" i="11"/>
  <c r="B161" i="11"/>
  <c r="B160" i="11"/>
  <c r="B157" i="11"/>
  <c r="B156" i="11"/>
  <c r="B155" i="11"/>
  <c r="B154" i="11"/>
  <c r="B153" i="11"/>
  <c r="B151" i="11"/>
  <c r="B150" i="11"/>
  <c r="B149" i="11"/>
  <c r="B148" i="11"/>
  <c r="B147" i="11"/>
  <c r="B144" i="11"/>
  <c r="B143" i="11"/>
  <c r="B142" i="11"/>
  <c r="B141" i="11"/>
  <c r="B140" i="11"/>
  <c r="B139" i="11"/>
  <c r="B138" i="11"/>
  <c r="B137" i="11"/>
  <c r="B136" i="11"/>
  <c r="B135" i="11"/>
  <c r="B134" i="11"/>
  <c r="B127" i="11"/>
  <c r="B126" i="11"/>
  <c r="B125" i="11"/>
  <c r="B124" i="11"/>
  <c r="B123" i="11"/>
  <c r="B122" i="11"/>
  <c r="B121" i="11"/>
  <c r="B120" i="11"/>
  <c r="B117" i="11"/>
  <c r="B116" i="11"/>
  <c r="B115" i="11"/>
  <c r="B114" i="11"/>
  <c r="B113" i="11"/>
  <c r="B111" i="11"/>
  <c r="B110" i="11"/>
  <c r="B109" i="11"/>
  <c r="B108" i="11"/>
  <c r="B107" i="11"/>
  <c r="B105" i="11"/>
  <c r="B104" i="11"/>
  <c r="B103" i="11"/>
  <c r="B102" i="11"/>
  <c r="B101" i="11"/>
  <c r="B96" i="11"/>
  <c r="B95" i="11"/>
  <c r="B94" i="11"/>
  <c r="B93" i="11"/>
  <c r="B92" i="11"/>
  <c r="B91" i="11"/>
  <c r="B90" i="11"/>
  <c r="B89" i="11"/>
  <c r="B88" i="11"/>
  <c r="B87" i="11"/>
  <c r="B86" i="11"/>
  <c r="B85" i="11"/>
  <c r="B81" i="11"/>
  <c r="B80" i="11"/>
  <c r="B79" i="11"/>
  <c r="B78" i="11"/>
  <c r="B76" i="11"/>
  <c r="B75" i="11"/>
  <c r="B74" i="11"/>
  <c r="B73" i="11"/>
  <c r="B70" i="11"/>
  <c r="B69" i="11"/>
  <c r="B68" i="11"/>
  <c r="B67" i="11"/>
  <c r="B66" i="11"/>
  <c r="B64" i="11"/>
  <c r="B63" i="11"/>
  <c r="B62" i="11"/>
  <c r="B61" i="11"/>
  <c r="B59" i="11"/>
  <c r="B58" i="11"/>
  <c r="B57" i="11"/>
  <c r="B55" i="11"/>
  <c r="B53" i="11"/>
  <c r="B52" i="11"/>
  <c r="B51" i="11"/>
  <c r="B50" i="11"/>
  <c r="B49" i="11"/>
  <c r="B47" i="11"/>
  <c r="B46" i="11"/>
  <c r="B45" i="11"/>
  <c r="B43" i="11"/>
  <c r="B42" i="11"/>
  <c r="B41" i="11"/>
  <c r="B40" i="11"/>
  <c r="B39" i="11"/>
  <c r="B38" i="11"/>
  <c r="B36" i="11"/>
  <c r="B35" i="11"/>
  <c r="B34" i="11"/>
  <c r="B33" i="11"/>
  <c r="B32" i="11"/>
  <c r="B30" i="11"/>
  <c r="B29" i="11"/>
  <c r="B28" i="11"/>
  <c r="B27" i="11"/>
  <c r="B26" i="11"/>
  <c r="B25" i="11"/>
  <c r="B24" i="11"/>
  <c r="B23" i="11"/>
  <c r="B22" i="11"/>
  <c r="B21" i="11"/>
  <c r="B20" i="11"/>
  <c r="B19" i="11"/>
  <c r="B18" i="11"/>
  <c r="B17" i="11"/>
  <c r="B16" i="11"/>
  <c r="B15" i="11"/>
  <c r="B14" i="11"/>
  <c r="B13" i="11"/>
  <c r="B12" i="11"/>
  <c r="B11" i="11"/>
  <c r="B10" i="11"/>
  <c r="B9" i="11"/>
  <c r="B8" i="11"/>
  <c r="AD121" i="20" l="1"/>
  <c r="AV121" i="20"/>
  <c r="AX121" i="20"/>
  <c r="AB121" i="20"/>
  <c r="AS121" i="20"/>
  <c r="AA121" i="20"/>
  <c r="AU121" i="20"/>
  <c r="AC121" i="20"/>
  <c r="AW121" i="20"/>
  <c r="AE121" i="20"/>
  <c r="AY121" i="20"/>
  <c r="Z121" i="20"/>
  <c r="AT121" i="20"/>
  <c r="Y121" i="20"/>
  <c r="CH54" i="10"/>
  <c r="DG55" i="20"/>
  <c r="DF55" i="20"/>
  <c r="DB55" i="20"/>
  <c r="DC55" i="20"/>
  <c r="DD55" i="20"/>
  <c r="DA55" i="20"/>
  <c r="DE55" i="20"/>
  <c r="CH50" i="10"/>
  <c r="DG51" i="20"/>
  <c r="DF51" i="20"/>
  <c r="DB51" i="20"/>
  <c r="DE51" i="20"/>
  <c r="DC51" i="20"/>
  <c r="DA51" i="20"/>
  <c r="DD51" i="20"/>
  <c r="CH53" i="10"/>
  <c r="DG54" i="20"/>
  <c r="DD54" i="20"/>
  <c r="DC54" i="20"/>
  <c r="DF54" i="20"/>
  <c r="DE54" i="20"/>
  <c r="DB54" i="20"/>
  <c r="DA54" i="20"/>
  <c r="DG63" i="20"/>
  <c r="DF63" i="20"/>
  <c r="DB63" i="20"/>
  <c r="DC63" i="20"/>
  <c r="DA63" i="20"/>
  <c r="DE63" i="20"/>
  <c r="DD63" i="20"/>
  <c r="DG13" i="20"/>
  <c r="DD13" i="20"/>
  <c r="DF13" i="20"/>
  <c r="DC13" i="20"/>
  <c r="DB13" i="20"/>
  <c r="DE13" i="20"/>
  <c r="DA13" i="20"/>
  <c r="CH52" i="10"/>
  <c r="DG53" i="20"/>
  <c r="DF53" i="20"/>
  <c r="DB53" i="20"/>
  <c r="DD53" i="20"/>
  <c r="DA53" i="20"/>
  <c r="DE53" i="20"/>
  <c r="DC53" i="20"/>
  <c r="DD11" i="20"/>
  <c r="DB11" i="20"/>
  <c r="DG11" i="20"/>
  <c r="DC11" i="20"/>
  <c r="DF11" i="20"/>
  <c r="DE11" i="20"/>
  <c r="DA11" i="20"/>
  <c r="CH51" i="10"/>
  <c r="DG52" i="20"/>
  <c r="DD52" i="20"/>
  <c r="DE52" i="20"/>
  <c r="DF52" i="20"/>
  <c r="DC52" i="20"/>
  <c r="DB52" i="20"/>
  <c r="DA52" i="20"/>
  <c r="I45" i="21"/>
  <c r="K45" i="21"/>
  <c r="F45" i="21"/>
  <c r="E45" i="21"/>
  <c r="E98" i="21" s="1"/>
  <c r="J45" i="21"/>
  <c r="H45" i="21"/>
  <c r="G45" i="21"/>
  <c r="BS13" i="20"/>
  <c r="CH12" i="10"/>
  <c r="BQ11" i="20"/>
  <c r="CH10" i="10"/>
  <c r="AG54" i="10"/>
  <c r="AG51" i="10"/>
  <c r="AE54" i="10"/>
  <c r="AE51" i="10"/>
  <c r="AD50" i="10"/>
  <c r="AD51" i="10"/>
  <c r="AE50" i="10"/>
  <c r="AG50" i="10"/>
  <c r="BQ63" i="20"/>
  <c r="CH62" i="10"/>
  <c r="AT63" i="20"/>
  <c r="CJ55" i="20"/>
  <c r="CG55" i="20"/>
  <c r="CM55" i="20"/>
  <c r="CI55" i="20"/>
  <c r="CL55" i="20"/>
  <c r="CH55" i="20"/>
  <c r="CK55" i="20"/>
  <c r="AX63" i="20"/>
  <c r="Y63" i="20"/>
  <c r="BO63" i="20"/>
  <c r="AC63" i="20"/>
  <c r="BS63" i="20"/>
  <c r="Z63" i="20"/>
  <c r="AD63" i="20"/>
  <c r="AU63" i="20"/>
  <c r="AY63" i="20"/>
  <c r="BP63" i="20"/>
  <c r="CM51" i="20"/>
  <c r="CI51" i="20"/>
  <c r="CL51" i="20"/>
  <c r="CH51" i="20"/>
  <c r="CK51" i="20"/>
  <c r="CG51" i="20"/>
  <c r="CJ51" i="20"/>
  <c r="AA63" i="20"/>
  <c r="AE63" i="20"/>
  <c r="AV63" i="20"/>
  <c r="BM63" i="20"/>
  <c r="CK63" i="20"/>
  <c r="CG63" i="20"/>
  <c r="CJ63" i="20"/>
  <c r="CM63" i="20"/>
  <c r="CI63" i="20"/>
  <c r="CL63" i="20"/>
  <c r="CH63" i="20"/>
  <c r="AB63" i="20"/>
  <c r="AS63" i="20"/>
  <c r="AW63" i="20"/>
  <c r="BN63" i="20"/>
  <c r="BR63" i="20"/>
  <c r="CL53" i="20"/>
  <c r="CH53" i="20"/>
  <c r="CK53" i="20"/>
  <c r="CG53" i="20"/>
  <c r="CJ53" i="20"/>
  <c r="CM53" i="20"/>
  <c r="CI53" i="20"/>
  <c r="CL52" i="20"/>
  <c r="CH52" i="20"/>
  <c r="CK52" i="20"/>
  <c r="CG52" i="20"/>
  <c r="CJ52" i="20"/>
  <c r="CM52" i="20"/>
  <c r="CI52" i="20"/>
  <c r="AT11" i="20"/>
  <c r="BM11" i="20"/>
  <c r="AB11" i="20"/>
  <c r="AX11" i="20"/>
  <c r="Z13" i="20"/>
  <c r="BO13" i="20"/>
  <c r="AD13" i="20"/>
  <c r="CJ54" i="20"/>
  <c r="CG54" i="20"/>
  <c r="CM54" i="20"/>
  <c r="CI54" i="20"/>
  <c r="CK54" i="20"/>
  <c r="CL54" i="20"/>
  <c r="CH54" i="20"/>
  <c r="CK13" i="20"/>
  <c r="CG13" i="20"/>
  <c r="CL13" i="20"/>
  <c r="CJ13" i="20"/>
  <c r="CM13" i="20"/>
  <c r="CI13" i="20"/>
  <c r="CH13" i="20"/>
  <c r="BR13" i="20"/>
  <c r="BN13" i="20"/>
  <c r="AY13" i="20"/>
  <c r="AU13" i="20"/>
  <c r="AC13" i="20"/>
  <c r="Y13" i="20"/>
  <c r="BQ13" i="20"/>
  <c r="BM13" i="20"/>
  <c r="AX13" i="20"/>
  <c r="AT13" i="20"/>
  <c r="AB13" i="20"/>
  <c r="BP13" i="20"/>
  <c r="AW13" i="20"/>
  <c r="AS13" i="20"/>
  <c r="AE13" i="20"/>
  <c r="AA13" i="20"/>
  <c r="AV13" i="20"/>
  <c r="CJ11" i="20"/>
  <c r="CG11" i="20"/>
  <c r="CM11" i="20"/>
  <c r="CI11" i="20"/>
  <c r="CK11" i="20"/>
  <c r="CL11" i="20"/>
  <c r="CH11" i="20"/>
  <c r="Y11" i="20"/>
  <c r="AC11" i="20"/>
  <c r="AU11" i="20"/>
  <c r="AY11" i="20"/>
  <c r="BN11" i="20"/>
  <c r="BR11" i="20"/>
  <c r="Z11" i="20"/>
  <c r="AD11" i="20"/>
  <c r="AV11" i="20"/>
  <c r="BO11" i="20"/>
  <c r="BS11" i="20"/>
  <c r="AA11" i="20"/>
  <c r="AE11" i="20"/>
  <c r="AS11" i="20"/>
  <c r="AW11" i="20"/>
  <c r="BP11" i="20"/>
  <c r="K152" i="28"/>
  <c r="P152" i="28"/>
  <c r="R152" i="28" s="1"/>
  <c r="S152" i="28"/>
  <c r="U152" i="28" s="1"/>
  <c r="V152" i="28"/>
  <c r="X152" i="28" s="1"/>
  <c r="Y152" i="28"/>
  <c r="K153" i="28"/>
  <c r="P153" i="28"/>
  <c r="R153" i="28" s="1"/>
  <c r="S153" i="28"/>
  <c r="U153" i="28" s="1"/>
  <c r="V153" i="28"/>
  <c r="X153" i="28" s="1"/>
  <c r="Y153" i="28"/>
  <c r="K154" i="28"/>
  <c r="P154" i="28"/>
  <c r="R154" i="28" s="1"/>
  <c r="S154" i="28"/>
  <c r="U154" i="28" s="1"/>
  <c r="V154" i="28"/>
  <c r="X154" i="28" s="1"/>
  <c r="Y154" i="28"/>
  <c r="K155" i="28"/>
  <c r="P155" i="28"/>
  <c r="R155" i="28" s="1"/>
  <c r="S155" i="28"/>
  <c r="U155" i="28" s="1"/>
  <c r="V155" i="28"/>
  <c r="X155" i="28" s="1"/>
  <c r="Y155" i="28"/>
  <c r="K156" i="28"/>
  <c r="P156" i="28"/>
  <c r="R156" i="28" s="1"/>
  <c r="S156" i="28"/>
  <c r="U156" i="28" s="1"/>
  <c r="V156" i="28"/>
  <c r="X156" i="28" s="1"/>
  <c r="Y156" i="28"/>
  <c r="K176" i="28"/>
  <c r="P176" i="28"/>
  <c r="R176" i="28" s="1"/>
  <c r="S176" i="28"/>
  <c r="U176" i="28" s="1"/>
  <c r="V176" i="28"/>
  <c r="X176" i="28" s="1"/>
  <c r="Y176" i="28"/>
  <c r="A138" i="28"/>
  <c r="A132" i="28"/>
  <c r="A34" i="24"/>
  <c r="F98" i="21" l="1"/>
  <c r="G98" i="21" s="1"/>
  <c r="H98" i="21" s="1"/>
  <c r="I98" i="21" s="1"/>
  <c r="J98" i="21" s="1"/>
  <c r="K98" i="21" s="1"/>
  <c r="P14" i="28"/>
  <c r="R140" i="26"/>
  <c r="R134" i="26"/>
  <c r="C15" i="31"/>
  <c r="K91" i="28"/>
  <c r="K63" i="28"/>
  <c r="K46" i="28"/>
  <c r="B180" i="27"/>
  <c r="B178" i="28" s="1"/>
  <c r="B179" i="27"/>
  <c r="B177" i="28" s="1"/>
  <c r="B174" i="27"/>
  <c r="B172" i="28" s="1"/>
  <c r="B166" i="27"/>
  <c r="B164" i="28" s="1"/>
  <c r="B165" i="27"/>
  <c r="B163" i="28" s="1"/>
  <c r="B164" i="27"/>
  <c r="B162" i="28" s="1"/>
  <c r="B163" i="27"/>
  <c r="B161" i="28" s="1"/>
  <c r="B162" i="27"/>
  <c r="B160" i="28" s="1"/>
  <c r="B145" i="27"/>
  <c r="B143" i="28" s="1"/>
  <c r="B144" i="27"/>
  <c r="B142" i="28" s="1"/>
  <c r="B143" i="27"/>
  <c r="B141" i="28" s="1"/>
  <c r="B142" i="27"/>
  <c r="B140" i="28" s="1"/>
  <c r="B141" i="27"/>
  <c r="B139" i="28" s="1"/>
  <c r="B139" i="27"/>
  <c r="B137" i="28" s="1"/>
  <c r="B138" i="27"/>
  <c r="B136" i="28" s="1"/>
  <c r="B137" i="27"/>
  <c r="B135" i="28" s="1"/>
  <c r="B136" i="27"/>
  <c r="B134" i="28" s="1"/>
  <c r="B135" i="27"/>
  <c r="B133" i="28" s="1"/>
  <c r="B129" i="27"/>
  <c r="B127" i="28" s="1"/>
  <c r="B128" i="27"/>
  <c r="B126" i="28" s="1"/>
  <c r="B127" i="27"/>
  <c r="B125" i="28" s="1"/>
  <c r="B126" i="27"/>
  <c r="B124" i="28" s="1"/>
  <c r="B125" i="27"/>
  <c r="B123" i="28" s="1"/>
  <c r="B124" i="27"/>
  <c r="B122" i="28" s="1"/>
  <c r="B123" i="27"/>
  <c r="B121" i="28" s="1"/>
  <c r="B122" i="27"/>
  <c r="B120" i="28" s="1"/>
  <c r="B119" i="27"/>
  <c r="B117" i="28" s="1"/>
  <c r="B118" i="27"/>
  <c r="B116" i="28" s="1"/>
  <c r="B117" i="27"/>
  <c r="B115" i="28" s="1"/>
  <c r="B116" i="27"/>
  <c r="B114" i="28" s="1"/>
  <c r="B115" i="27"/>
  <c r="B113" i="28" s="1"/>
  <c r="B107" i="27"/>
  <c r="B105" i="28" s="1"/>
  <c r="B105" i="27"/>
  <c r="B103" i="28" s="1"/>
  <c r="B98" i="27"/>
  <c r="B96" i="28" s="1"/>
  <c r="B97" i="27"/>
  <c r="B95" i="28" s="1"/>
  <c r="B96" i="27"/>
  <c r="B94" i="28" s="1"/>
  <c r="B95" i="27"/>
  <c r="B93" i="28" s="1"/>
  <c r="B91" i="27"/>
  <c r="B89" i="28" s="1"/>
  <c r="B90" i="27"/>
  <c r="B88" i="28" s="1"/>
  <c r="B87" i="27"/>
  <c r="B85" i="28" s="1"/>
  <c r="B82" i="27"/>
  <c r="B80" i="28" s="1"/>
  <c r="B80" i="27"/>
  <c r="B78" i="28" s="1"/>
  <c r="B78" i="27"/>
  <c r="B76" i="28" s="1"/>
  <c r="B77" i="27"/>
  <c r="B75" i="28" s="1"/>
  <c r="B76" i="27"/>
  <c r="B74" i="28" s="1"/>
  <c r="B75" i="27"/>
  <c r="B73" i="28" s="1"/>
  <c r="B71" i="27"/>
  <c r="B70" i="28" s="1"/>
  <c r="B70" i="27"/>
  <c r="B69" i="28" s="1"/>
  <c r="B69" i="27"/>
  <c r="B68" i="28" s="1"/>
  <c r="B68" i="27"/>
  <c r="B67" i="28" s="1"/>
  <c r="B67" i="27"/>
  <c r="B66" i="28" s="1"/>
  <c r="B65" i="27"/>
  <c r="B64" i="28" s="1"/>
  <c r="B60" i="27"/>
  <c r="B59" i="28" s="1"/>
  <c r="B44" i="27"/>
  <c r="B43" i="28" s="1"/>
  <c r="B43" i="27"/>
  <c r="B42" i="28" s="1"/>
  <c r="B41" i="27"/>
  <c r="B40" i="28" s="1"/>
  <c r="B37" i="27"/>
  <c r="B36" i="28" s="1"/>
  <c r="B36" i="27"/>
  <c r="B35" i="28" s="1"/>
  <c r="B35" i="27"/>
  <c r="B34" i="28" s="1"/>
  <c r="B34" i="27"/>
  <c r="B33" i="28" s="1"/>
  <c r="B33" i="27"/>
  <c r="B32" i="28" s="1"/>
  <c r="B31" i="27"/>
  <c r="B30" i="28" s="1"/>
  <c r="B30" i="27"/>
  <c r="B29" i="28" s="1"/>
  <c r="B28" i="27"/>
  <c r="B27" i="28" s="1"/>
  <c r="B27" i="27"/>
  <c r="B26" i="28" s="1"/>
  <c r="B26" i="27"/>
  <c r="B25" i="28" s="1"/>
  <c r="B24" i="27"/>
  <c r="B23" i="28" s="1"/>
  <c r="B23" i="27"/>
  <c r="B22" i="28" s="1"/>
  <c r="B22" i="27"/>
  <c r="B21" i="28" s="1"/>
  <c r="B21" i="27"/>
  <c r="B20" i="28" s="1"/>
  <c r="B20" i="27"/>
  <c r="B19" i="28" s="1"/>
  <c r="B19" i="27"/>
  <c r="B18" i="28" s="1"/>
  <c r="B18" i="27"/>
  <c r="B17" i="28" s="1"/>
  <c r="B17" i="27"/>
  <c r="B16" i="28" s="1"/>
  <c r="B15" i="27"/>
  <c r="B14" i="28" s="1"/>
  <c r="B14" i="27"/>
  <c r="B13" i="28" s="1"/>
  <c r="B13" i="27"/>
  <c r="B12" i="28" s="1"/>
  <c r="B12" i="27"/>
  <c r="B11" i="28" s="1"/>
  <c r="B11" i="27"/>
  <c r="B10" i="28" s="1"/>
  <c r="B10" i="27"/>
  <c r="B9" i="28" s="1"/>
  <c r="B9" i="27"/>
  <c r="B8" i="28" s="1"/>
  <c r="S16" i="2"/>
  <c r="K29" i="27"/>
  <c r="K25" i="27"/>
  <c r="K16" i="27"/>
  <c r="K15" i="27"/>
  <c r="B31" i="26" l="1"/>
  <c r="B30" i="26"/>
  <c r="B29" i="26"/>
  <c r="B28" i="26"/>
  <c r="B27" i="26"/>
  <c r="B26" i="26"/>
  <c r="B25" i="26"/>
  <c r="B24" i="26"/>
  <c r="B23" i="26"/>
  <c r="B22" i="26"/>
  <c r="B21" i="26"/>
  <c r="B20" i="26"/>
  <c r="B19" i="26"/>
  <c r="B18" i="26"/>
  <c r="B17" i="26"/>
  <c r="B16" i="26"/>
  <c r="B15" i="26"/>
  <c r="B14" i="26"/>
  <c r="B13" i="26"/>
  <c r="B12" i="26"/>
  <c r="B11" i="26"/>
  <c r="B10" i="26"/>
  <c r="B9" i="26"/>
  <c r="B38" i="25"/>
  <c r="B37" i="25"/>
  <c r="B36" i="25"/>
  <c r="B35" i="25"/>
  <c r="B34" i="25"/>
  <c r="B37" i="26"/>
  <c r="B36" i="26"/>
  <c r="B35" i="26"/>
  <c r="B34" i="26"/>
  <c r="B33" i="26"/>
  <c r="B32" i="25"/>
  <c r="B31" i="25"/>
  <c r="B30" i="25"/>
  <c r="B29" i="27" s="1"/>
  <c r="B28" i="28" s="1"/>
  <c r="B29" i="25"/>
  <c r="B28" i="25"/>
  <c r="B27" i="25"/>
  <c r="B26" i="25"/>
  <c r="B25" i="27" s="1"/>
  <c r="B24" i="28" s="1"/>
  <c r="B25" i="25"/>
  <c r="B24" i="25"/>
  <c r="B23" i="25"/>
  <c r="B22" i="25"/>
  <c r="B21" i="25"/>
  <c r="B20" i="25"/>
  <c r="B19" i="25"/>
  <c r="B18" i="25"/>
  <c r="B17" i="25"/>
  <c r="B16" i="27" s="1"/>
  <c r="B15" i="28" s="1"/>
  <c r="B16" i="25"/>
  <c r="B15" i="25"/>
  <c r="B14" i="25"/>
  <c r="B13" i="25"/>
  <c r="B12" i="25"/>
  <c r="B11" i="25"/>
  <c r="B31" i="24"/>
  <c r="B30" i="24"/>
  <c r="B29" i="24"/>
  <c r="B28" i="24"/>
  <c r="B27" i="24"/>
  <c r="B26" i="24"/>
  <c r="B25" i="24"/>
  <c r="B24" i="24"/>
  <c r="B23" i="24"/>
  <c r="B22" i="24"/>
  <c r="B21" i="24"/>
  <c r="B20" i="24"/>
  <c r="B19" i="24"/>
  <c r="B18" i="24"/>
  <c r="B17" i="24"/>
  <c r="B16" i="24"/>
  <c r="B15" i="24"/>
  <c r="B14" i="24"/>
  <c r="B13" i="24"/>
  <c r="B12" i="24"/>
  <c r="B11" i="24"/>
  <c r="B10" i="24"/>
  <c r="B9" i="24"/>
  <c r="AE181" i="2" l="1"/>
  <c r="C27" i="12" l="1"/>
  <c r="D27" i="12"/>
  <c r="C22" i="12"/>
  <c r="D22" i="12"/>
  <c r="V140" i="20" l="1"/>
  <c r="V139" i="20"/>
  <c r="V138" i="20"/>
  <c r="V137" i="20"/>
  <c r="V136" i="20"/>
  <c r="W81" i="20" l="1"/>
  <c r="W153" i="20"/>
  <c r="X153" i="20" s="1"/>
  <c r="W152" i="20"/>
  <c r="X152" i="20" s="1"/>
  <c r="W151" i="20"/>
  <c r="X151" i="20" s="1"/>
  <c r="W150" i="20"/>
  <c r="X150" i="20" s="1"/>
  <c r="W149" i="20"/>
  <c r="X149" i="20" s="1"/>
  <c r="AR113" i="20"/>
  <c r="W88" i="20"/>
  <c r="AR83" i="20"/>
  <c r="AR81" i="20"/>
  <c r="W65" i="20"/>
  <c r="W64" i="20"/>
  <c r="W63" i="20"/>
  <c r="X63" i="20" s="1"/>
  <c r="W179" i="20"/>
  <c r="W178" i="20"/>
  <c r="W176" i="20"/>
  <c r="W174" i="20"/>
  <c r="W181" i="20"/>
  <c r="W180" i="20"/>
  <c r="W177" i="20"/>
  <c r="W175" i="20"/>
  <c r="W171" i="20"/>
  <c r="W167" i="20"/>
  <c r="W166" i="20"/>
  <c r="W165" i="20"/>
  <c r="W164" i="20"/>
  <c r="W163" i="20"/>
  <c r="W159" i="20"/>
  <c r="W158" i="20"/>
  <c r="W157" i="20"/>
  <c r="W156" i="20"/>
  <c r="W155" i="20"/>
  <c r="W146" i="20"/>
  <c r="W145" i="20"/>
  <c r="W144" i="20"/>
  <c r="W143" i="20"/>
  <c r="W142" i="20"/>
  <c r="W140" i="20"/>
  <c r="W139" i="20"/>
  <c r="W138" i="20"/>
  <c r="W137" i="20"/>
  <c r="W136" i="20"/>
  <c r="W129" i="20"/>
  <c r="W128" i="20"/>
  <c r="W127" i="20"/>
  <c r="W126" i="20"/>
  <c r="W125" i="20"/>
  <c r="W124" i="20"/>
  <c r="W123" i="20"/>
  <c r="W122" i="20"/>
  <c r="W119" i="20"/>
  <c r="W118" i="20"/>
  <c r="W117" i="20"/>
  <c r="W116" i="20"/>
  <c r="W115" i="20"/>
  <c r="W112" i="20"/>
  <c r="W111" i="20"/>
  <c r="W110" i="20"/>
  <c r="W109" i="20"/>
  <c r="W107" i="20"/>
  <c r="W106" i="20"/>
  <c r="W105" i="20"/>
  <c r="W104" i="20"/>
  <c r="W103" i="20"/>
  <c r="W98" i="20"/>
  <c r="W97" i="20"/>
  <c r="W96" i="20"/>
  <c r="W95" i="20"/>
  <c r="W94" i="20"/>
  <c r="W91" i="20"/>
  <c r="W90" i="20"/>
  <c r="W87" i="20"/>
  <c r="W83" i="20"/>
  <c r="W82" i="20"/>
  <c r="W80" i="20"/>
  <c r="W78" i="20"/>
  <c r="W77" i="20"/>
  <c r="W76" i="20"/>
  <c r="W75" i="20"/>
  <c r="W72" i="20"/>
  <c r="W71" i="20"/>
  <c r="W70" i="20"/>
  <c r="W69" i="20"/>
  <c r="W68" i="20"/>
  <c r="W66" i="20"/>
  <c r="W60" i="20"/>
  <c r="W59" i="20"/>
  <c r="W55" i="20"/>
  <c r="W45" i="20"/>
  <c r="W44" i="20"/>
  <c r="W43" i="20"/>
  <c r="W42" i="20"/>
  <c r="W38" i="20"/>
  <c r="W37" i="20"/>
  <c r="W36" i="20"/>
  <c r="W35" i="20"/>
  <c r="W34" i="20"/>
  <c r="W32" i="20"/>
  <c r="W31" i="20"/>
  <c r="W30" i="20"/>
  <c r="W29" i="20"/>
  <c r="W28" i="20"/>
  <c r="W27" i="20"/>
  <c r="W26" i="20"/>
  <c r="W25" i="20"/>
  <c r="W24" i="20"/>
  <c r="W23" i="20"/>
  <c r="W22" i="20"/>
  <c r="W21" i="20"/>
  <c r="W20" i="20"/>
  <c r="W19" i="20"/>
  <c r="W18" i="20"/>
  <c r="W17" i="20"/>
  <c r="W16" i="20"/>
  <c r="W15" i="20"/>
  <c r="W14" i="20"/>
  <c r="W13" i="20"/>
  <c r="W12" i="20"/>
  <c r="W11" i="20"/>
  <c r="W10" i="20"/>
  <c r="AJ156" i="2" l="1"/>
  <c r="AJ157" i="2"/>
  <c r="B157" i="26"/>
  <c r="DG157" i="20" l="1"/>
  <c r="DF157" i="20"/>
  <c r="DB157" i="20"/>
  <c r="DE157" i="20"/>
  <c r="DA157" i="20"/>
  <c r="DC157" i="20"/>
  <c r="DD157" i="20"/>
  <c r="DD156" i="20"/>
  <c r="DG156" i="20"/>
  <c r="DC156" i="20"/>
  <c r="DF156" i="20"/>
  <c r="DE156" i="20"/>
  <c r="DB156" i="20"/>
  <c r="DA156" i="20"/>
  <c r="CL156" i="20"/>
  <c r="CH156" i="20"/>
  <c r="BQ156" i="20"/>
  <c r="BM156" i="20"/>
  <c r="AV156" i="20"/>
  <c r="AE156" i="20"/>
  <c r="AA156" i="20"/>
  <c r="CI156" i="20"/>
  <c r="AW156" i="20"/>
  <c r="CK156" i="20"/>
  <c r="CG156" i="20"/>
  <c r="BP156" i="20"/>
  <c r="AY156" i="20"/>
  <c r="AU156" i="20"/>
  <c r="AD156" i="20"/>
  <c r="Z156" i="20"/>
  <c r="BR156" i="20"/>
  <c r="AS156" i="20"/>
  <c r="CJ156" i="20"/>
  <c r="BS156" i="20"/>
  <c r="BO156" i="20"/>
  <c r="AX156" i="20"/>
  <c r="AT156" i="20"/>
  <c r="AC156" i="20"/>
  <c r="Y156" i="20"/>
  <c r="CM156" i="20"/>
  <c r="BN156" i="20"/>
  <c r="AB156" i="20"/>
  <c r="CM157" i="20"/>
  <c r="CI157" i="20"/>
  <c r="BP157" i="20"/>
  <c r="AV157" i="20"/>
  <c r="AB157" i="20"/>
  <c r="CL157" i="20"/>
  <c r="CH157" i="20"/>
  <c r="BS157" i="20"/>
  <c r="BO157" i="20"/>
  <c r="AY157" i="20"/>
  <c r="AU157" i="20"/>
  <c r="AE157" i="20"/>
  <c r="AA157" i="20"/>
  <c r="CK157" i="20"/>
  <c r="CG157" i="20"/>
  <c r="BR157" i="20"/>
  <c r="BN157" i="20"/>
  <c r="AX157" i="20"/>
  <c r="AT157" i="20"/>
  <c r="AD157" i="20"/>
  <c r="Z157" i="20"/>
  <c r="AW157" i="20"/>
  <c r="Y157" i="20"/>
  <c r="BQ157" i="20"/>
  <c r="AS157" i="20"/>
  <c r="CJ157" i="20"/>
  <c r="BM157" i="20"/>
  <c r="AC157" i="20"/>
  <c r="BI163" i="20"/>
  <c r="A36" i="11"/>
  <c r="L179" i="10" l="1"/>
  <c r="P178" i="10"/>
  <c r="L178" i="10"/>
  <c r="P174" i="10"/>
  <c r="L174" i="10"/>
  <c r="P170" i="10"/>
  <c r="L170" i="10"/>
  <c r="K170" i="10"/>
  <c r="P158" i="10"/>
  <c r="L158" i="10"/>
  <c r="P157" i="10"/>
  <c r="L157" i="10"/>
  <c r="L156" i="10"/>
  <c r="P155" i="10"/>
  <c r="L155" i="10"/>
  <c r="P154" i="10"/>
  <c r="P152" i="10"/>
  <c r="O152" i="10"/>
  <c r="N152" i="10"/>
  <c r="M152" i="10"/>
  <c r="L152" i="10"/>
  <c r="P151" i="10"/>
  <c r="O151" i="10"/>
  <c r="N151" i="10"/>
  <c r="M151" i="10"/>
  <c r="L151" i="10"/>
  <c r="P150" i="10"/>
  <c r="O150" i="10"/>
  <c r="N150" i="10"/>
  <c r="M150" i="10"/>
  <c r="L150" i="10"/>
  <c r="P149" i="10"/>
  <c r="O149" i="10"/>
  <c r="N149" i="10"/>
  <c r="M149" i="10"/>
  <c r="L149" i="10"/>
  <c r="L148" i="10"/>
  <c r="M148" i="10"/>
  <c r="N148" i="10"/>
  <c r="O148" i="10"/>
  <c r="P148" i="10"/>
  <c r="AA95" i="10"/>
  <c r="U95" i="10"/>
  <c r="AA97" i="10"/>
  <c r="U97" i="10"/>
  <c r="AA96" i="10"/>
  <c r="U96" i="10"/>
  <c r="U94" i="10"/>
  <c r="U93" i="10"/>
  <c r="AA94" i="10"/>
  <c r="AA93" i="10"/>
  <c r="P94" i="10"/>
  <c r="O94" i="10"/>
  <c r="L94" i="10"/>
  <c r="K94" i="10"/>
  <c r="L93" i="10"/>
  <c r="O93" i="10"/>
  <c r="P93" i="10"/>
  <c r="K92" i="10"/>
  <c r="L92" i="10"/>
  <c r="O92" i="10"/>
  <c r="P92" i="10"/>
  <c r="L87" i="10"/>
  <c r="P87" i="10"/>
  <c r="K155" i="10"/>
  <c r="K113" i="27"/>
  <c r="W113" i="20" s="1"/>
  <c r="X113" i="20" s="1"/>
  <c r="K92" i="28"/>
  <c r="K93" i="10" s="1"/>
  <c r="K86" i="28"/>
  <c r="K84" i="28" s="1"/>
  <c r="K79" i="28"/>
  <c r="K51" i="28"/>
  <c r="K39" i="28"/>
  <c r="K148" i="10" l="1"/>
  <c r="K151" i="10"/>
  <c r="K149" i="10"/>
  <c r="K150" i="10"/>
  <c r="K152" i="10"/>
  <c r="P76" i="9"/>
  <c r="O76" i="9"/>
  <c r="N76" i="9"/>
  <c r="M76" i="9"/>
  <c r="Q76" i="9"/>
  <c r="C56" i="19" l="1"/>
  <c r="L142" i="2"/>
  <c r="O142" i="2"/>
  <c r="N141" i="27" s="1"/>
  <c r="P141" i="27" s="1"/>
  <c r="R142" i="2"/>
  <c r="R141" i="27" s="1"/>
  <c r="T141" i="27" s="1"/>
  <c r="U142" i="2"/>
  <c r="X142" i="2"/>
  <c r="AA142" i="2"/>
  <c r="AD141" i="27" s="1"/>
  <c r="AF141" i="27" s="1"/>
  <c r="L143" i="2"/>
  <c r="J142" i="27" s="1"/>
  <c r="L142" i="27" s="1"/>
  <c r="O143" i="2"/>
  <c r="R143" i="2"/>
  <c r="U143" i="2"/>
  <c r="X143" i="2"/>
  <c r="Z142" i="27" s="1"/>
  <c r="AB142" i="27" s="1"/>
  <c r="AA143" i="2"/>
  <c r="L144" i="2"/>
  <c r="O144" i="2"/>
  <c r="R144" i="2"/>
  <c r="R143" i="27" s="1"/>
  <c r="T143" i="27" s="1"/>
  <c r="U144" i="2"/>
  <c r="X144" i="2"/>
  <c r="AA144" i="2"/>
  <c r="AD143" i="27" s="1"/>
  <c r="AF143" i="27" s="1"/>
  <c r="L145" i="2"/>
  <c r="J144" i="27" s="1"/>
  <c r="L144" i="27" s="1"/>
  <c r="O145" i="2"/>
  <c r="N144" i="27" s="1"/>
  <c r="P144" i="27" s="1"/>
  <c r="R145" i="2"/>
  <c r="R144" i="27" s="1"/>
  <c r="T144" i="27" s="1"/>
  <c r="U145" i="2"/>
  <c r="V144" i="27" s="1"/>
  <c r="X144" i="27" s="1"/>
  <c r="X145" i="2"/>
  <c r="Z144" i="27" s="1"/>
  <c r="AB144" i="27" s="1"/>
  <c r="AA145" i="2"/>
  <c r="AD144" i="27" s="1"/>
  <c r="AF144" i="27" s="1"/>
  <c r="L146" i="2"/>
  <c r="O146" i="2"/>
  <c r="R146" i="2"/>
  <c r="U146" i="2"/>
  <c r="X146" i="2"/>
  <c r="AA146" i="2"/>
  <c r="AD145" i="27" s="1"/>
  <c r="AF145" i="27" s="1"/>
  <c r="K137" i="2"/>
  <c r="J137" i="2"/>
  <c r="I137" i="2"/>
  <c r="E23" i="30"/>
  <c r="Z138" i="28"/>
  <c r="W138" i="28"/>
  <c r="T138" i="28"/>
  <c r="Q138" i="28"/>
  <c r="N138" i="28"/>
  <c r="K138" i="28"/>
  <c r="AE140" i="27"/>
  <c r="Y138" i="28" s="1"/>
  <c r="AA140" i="27"/>
  <c r="W140" i="27"/>
  <c r="S140" i="27"/>
  <c r="P138" i="28" s="1"/>
  <c r="O140" i="27"/>
  <c r="M138" i="28" s="1"/>
  <c r="K140" i="27"/>
  <c r="Y143" i="28"/>
  <c r="AA143" i="28" s="1"/>
  <c r="V143" i="28"/>
  <c r="X143" i="28" s="1"/>
  <c r="S143" i="28"/>
  <c r="U143" i="28" s="1"/>
  <c r="P143" i="28"/>
  <c r="R143" i="28" s="1"/>
  <c r="M143" i="28"/>
  <c r="O143" i="28" s="1"/>
  <c r="J143" i="28"/>
  <c r="L143" i="28" s="1"/>
  <c r="A143" i="28"/>
  <c r="Y142" i="28"/>
  <c r="AA142" i="28" s="1"/>
  <c r="V142" i="28"/>
  <c r="X142" i="28" s="1"/>
  <c r="S142" i="28"/>
  <c r="U142" i="28" s="1"/>
  <c r="P142" i="28"/>
  <c r="R142" i="28" s="1"/>
  <c r="M142" i="28"/>
  <c r="O142" i="28" s="1"/>
  <c r="J142" i="28"/>
  <c r="L142" i="28" s="1"/>
  <c r="A142" i="28"/>
  <c r="Y141" i="28"/>
  <c r="AA141" i="28" s="1"/>
  <c r="V141" i="28"/>
  <c r="X141" i="28" s="1"/>
  <c r="S141" i="28"/>
  <c r="U141" i="28" s="1"/>
  <c r="P141" i="28"/>
  <c r="R141" i="28" s="1"/>
  <c r="M141" i="28"/>
  <c r="O141" i="28" s="1"/>
  <c r="J141" i="28"/>
  <c r="L141" i="28" s="1"/>
  <c r="A141" i="28"/>
  <c r="Y140" i="28"/>
  <c r="AA140" i="28" s="1"/>
  <c r="V140" i="28"/>
  <c r="X140" i="28" s="1"/>
  <c r="S140" i="28"/>
  <c r="U140" i="28" s="1"/>
  <c r="P140" i="28"/>
  <c r="R140" i="28" s="1"/>
  <c r="M140" i="28"/>
  <c r="O140" i="28" s="1"/>
  <c r="J140" i="28"/>
  <c r="L140" i="28" s="1"/>
  <c r="A140" i="28"/>
  <c r="Y139" i="28"/>
  <c r="AA139" i="28" s="1"/>
  <c r="V139" i="28"/>
  <c r="X139" i="28" s="1"/>
  <c r="S139" i="28"/>
  <c r="U139" i="28" s="1"/>
  <c r="P139" i="28"/>
  <c r="R139" i="28" s="1"/>
  <c r="M139" i="28"/>
  <c r="O139" i="28" s="1"/>
  <c r="J139" i="28"/>
  <c r="L139" i="28" s="1"/>
  <c r="A139" i="28"/>
  <c r="V138" i="28"/>
  <c r="S138" i="28"/>
  <c r="J138" i="28"/>
  <c r="C138" i="28"/>
  <c r="B138" i="28"/>
  <c r="C134" i="27"/>
  <c r="C132" i="28"/>
  <c r="AG145" i="27"/>
  <c r="AC145" i="27"/>
  <c r="Y145" i="27"/>
  <c r="U145" i="27"/>
  <c r="Q145" i="27"/>
  <c r="M145" i="27"/>
  <c r="A145" i="27"/>
  <c r="AG144" i="27"/>
  <c r="AC144" i="27"/>
  <c r="Y144" i="27"/>
  <c r="U144" i="27"/>
  <c r="Q144" i="27"/>
  <c r="M144" i="27"/>
  <c r="A144" i="27"/>
  <c r="AG143" i="27"/>
  <c r="AC143" i="27"/>
  <c r="Z143" i="27"/>
  <c r="AB143" i="27" s="1"/>
  <c r="Y143" i="27"/>
  <c r="V143" i="27"/>
  <c r="X143" i="27" s="1"/>
  <c r="U143" i="27"/>
  <c r="Q143" i="27"/>
  <c r="N143" i="27"/>
  <c r="P143" i="27" s="1"/>
  <c r="M143" i="27"/>
  <c r="J143" i="27"/>
  <c r="L143" i="27" s="1"/>
  <c r="A143" i="27"/>
  <c r="AG142" i="27"/>
  <c r="AD142" i="27"/>
  <c r="AF142" i="27" s="1"/>
  <c r="AC142" i="27"/>
  <c r="Y142" i="27"/>
  <c r="V142" i="27"/>
  <c r="X142" i="27" s="1"/>
  <c r="U142" i="27"/>
  <c r="R142" i="27"/>
  <c r="T142" i="27" s="1"/>
  <c r="Q142" i="27"/>
  <c r="N142" i="27"/>
  <c r="P142" i="27" s="1"/>
  <c r="M142" i="27"/>
  <c r="A142" i="27"/>
  <c r="AG141" i="27"/>
  <c r="AC141" i="27"/>
  <c r="Z141" i="27"/>
  <c r="AB141" i="27" s="1"/>
  <c r="Y141" i="27"/>
  <c r="V141" i="27"/>
  <c r="X141" i="27" s="1"/>
  <c r="U141" i="27"/>
  <c r="Q141" i="27"/>
  <c r="M141" i="27"/>
  <c r="J141" i="27"/>
  <c r="L141" i="27" s="1"/>
  <c r="A141" i="27"/>
  <c r="B140" i="27"/>
  <c r="A140" i="27"/>
  <c r="O145" i="26"/>
  <c r="N145" i="26"/>
  <c r="M145" i="26"/>
  <c r="L145" i="26"/>
  <c r="K145" i="26"/>
  <c r="J145" i="26"/>
  <c r="B145" i="26"/>
  <c r="A145" i="26"/>
  <c r="O144" i="26"/>
  <c r="N144" i="26"/>
  <c r="M144" i="26"/>
  <c r="L144" i="26"/>
  <c r="K144" i="26"/>
  <c r="J144" i="26"/>
  <c r="B144" i="26"/>
  <c r="A144" i="26"/>
  <c r="O143" i="26"/>
  <c r="N143" i="26"/>
  <c r="M143" i="26"/>
  <c r="L143" i="26"/>
  <c r="K143" i="26"/>
  <c r="J143" i="26"/>
  <c r="B143" i="26"/>
  <c r="A143" i="26"/>
  <c r="O142" i="26"/>
  <c r="N142" i="26"/>
  <c r="M142" i="26"/>
  <c r="L142" i="26"/>
  <c r="K142" i="26"/>
  <c r="J142" i="26"/>
  <c r="B142" i="26"/>
  <c r="A142" i="26"/>
  <c r="O141" i="26"/>
  <c r="N141" i="26"/>
  <c r="N140" i="26" s="1"/>
  <c r="M141" i="26"/>
  <c r="L141" i="26"/>
  <c r="K141" i="26"/>
  <c r="J141" i="26"/>
  <c r="B141" i="26"/>
  <c r="A141" i="26"/>
  <c r="C140" i="26"/>
  <c r="B140" i="26"/>
  <c r="A140" i="26"/>
  <c r="J140" i="26" l="1"/>
  <c r="O140" i="26"/>
  <c r="L140" i="26"/>
  <c r="M140" i="26"/>
  <c r="K140" i="26"/>
  <c r="AJ146" i="2"/>
  <c r="AH146" i="2"/>
  <c r="U145" i="25" s="1"/>
  <c r="X145" i="25" s="1"/>
  <c r="AG146" i="2"/>
  <c r="P145" i="24" s="1"/>
  <c r="S145" i="24" s="1"/>
  <c r="AF146" i="2"/>
  <c r="P144" i="23" s="1"/>
  <c r="S144" i="23" s="1"/>
  <c r="Z145" i="27"/>
  <c r="AB145" i="27" s="1"/>
  <c r="V145" i="27"/>
  <c r="X145" i="27" s="1"/>
  <c r="R145" i="27"/>
  <c r="T145" i="27" s="1"/>
  <c r="N145" i="27"/>
  <c r="P145" i="27" s="1"/>
  <c r="J145" i="27"/>
  <c r="L145" i="27" s="1"/>
  <c r="K146" i="2"/>
  <c r="J146" i="2"/>
  <c r="I145" i="25" s="1"/>
  <c r="I146" i="2"/>
  <c r="H145" i="25" s="1"/>
  <c r="H146" i="2"/>
  <c r="G146" i="2"/>
  <c r="F145" i="25" s="1"/>
  <c r="F146" i="2"/>
  <c r="E145" i="24" s="1"/>
  <c r="E146" i="2"/>
  <c r="D145" i="25" s="1"/>
  <c r="D146" i="2"/>
  <c r="P61" i="9"/>
  <c r="O61" i="9"/>
  <c r="N61" i="9"/>
  <c r="M61" i="9"/>
  <c r="L61" i="9"/>
  <c r="Q61" i="9"/>
  <c r="Y61" i="9" s="1"/>
  <c r="X61" i="9"/>
  <c r="AJ145" i="2"/>
  <c r="AH145" i="2"/>
  <c r="U144" i="25" s="1"/>
  <c r="X144" i="25" s="1"/>
  <c r="AG145" i="2"/>
  <c r="P144" i="24" s="1"/>
  <c r="S144" i="24" s="1"/>
  <c r="AF145" i="2"/>
  <c r="P143" i="23" s="1"/>
  <c r="S143" i="23" s="1"/>
  <c r="K145" i="2"/>
  <c r="J145" i="2"/>
  <c r="I144" i="38" s="1"/>
  <c r="I145" i="2"/>
  <c r="H144" i="38" s="1"/>
  <c r="H145" i="2"/>
  <c r="G145" i="2"/>
  <c r="F144" i="38" s="1"/>
  <c r="F145" i="2"/>
  <c r="E144" i="25" s="1"/>
  <c r="E145" i="2"/>
  <c r="D144" i="25" s="1"/>
  <c r="D145" i="2"/>
  <c r="C144" i="25" s="1"/>
  <c r="A61" i="7"/>
  <c r="C60" i="7"/>
  <c r="A60" i="7"/>
  <c r="W60" i="7"/>
  <c r="P60" i="7"/>
  <c r="X60" i="7" s="1"/>
  <c r="O60" i="7"/>
  <c r="N60" i="7"/>
  <c r="M60" i="7"/>
  <c r="L60" i="7"/>
  <c r="K60" i="7"/>
  <c r="T145" i="25"/>
  <c r="S145" i="25"/>
  <c r="R145" i="25"/>
  <c r="Q145" i="25"/>
  <c r="P145" i="25"/>
  <c r="O145" i="25"/>
  <c r="N145" i="25"/>
  <c r="M145" i="25"/>
  <c r="L145" i="25"/>
  <c r="K145" i="25"/>
  <c r="J145" i="25"/>
  <c r="G145" i="25"/>
  <c r="B145" i="25"/>
  <c r="A145" i="25"/>
  <c r="T144" i="25"/>
  <c r="S144" i="25"/>
  <c r="R144" i="25"/>
  <c r="Q144" i="25"/>
  <c r="P144" i="25"/>
  <c r="O144" i="25"/>
  <c r="N144" i="25"/>
  <c r="M144" i="25"/>
  <c r="L144" i="25"/>
  <c r="K144" i="25"/>
  <c r="J144" i="25"/>
  <c r="B144" i="25"/>
  <c r="A144" i="25"/>
  <c r="T143" i="25"/>
  <c r="S143" i="25"/>
  <c r="R143" i="25"/>
  <c r="Q143" i="25"/>
  <c r="P143" i="25"/>
  <c r="O143" i="25"/>
  <c r="N143" i="25"/>
  <c r="M143" i="25"/>
  <c r="L143" i="25"/>
  <c r="K143" i="25"/>
  <c r="J143" i="25"/>
  <c r="B143" i="25"/>
  <c r="A143" i="25"/>
  <c r="T142" i="25"/>
  <c r="S142" i="25"/>
  <c r="R142" i="25"/>
  <c r="Q142" i="25"/>
  <c r="P142" i="25"/>
  <c r="O142" i="25"/>
  <c r="N142" i="25"/>
  <c r="M142" i="25"/>
  <c r="L142" i="25"/>
  <c r="K142" i="25"/>
  <c r="J142" i="25"/>
  <c r="B142" i="25"/>
  <c r="A142" i="25"/>
  <c r="T141" i="25"/>
  <c r="S141" i="25"/>
  <c r="R141" i="25"/>
  <c r="Q141" i="25"/>
  <c r="P141" i="25"/>
  <c r="O141" i="25"/>
  <c r="N141" i="25"/>
  <c r="M141" i="25"/>
  <c r="L141" i="25"/>
  <c r="K141" i="25"/>
  <c r="J141" i="25"/>
  <c r="B141" i="25"/>
  <c r="A141" i="25"/>
  <c r="C140" i="25"/>
  <c r="B140" i="25"/>
  <c r="A140" i="25"/>
  <c r="O145" i="24"/>
  <c r="N145" i="24"/>
  <c r="M145" i="24"/>
  <c r="L145" i="24"/>
  <c r="K145" i="24"/>
  <c r="J145" i="24"/>
  <c r="G145" i="24"/>
  <c r="B145" i="24"/>
  <c r="A145" i="24"/>
  <c r="O144" i="24"/>
  <c r="N144" i="24"/>
  <c r="M144" i="24"/>
  <c r="L144" i="24"/>
  <c r="K144" i="24"/>
  <c r="J144" i="24"/>
  <c r="B144" i="24"/>
  <c r="A144" i="24"/>
  <c r="O143" i="24"/>
  <c r="N143" i="24"/>
  <c r="M143" i="24"/>
  <c r="L143" i="24"/>
  <c r="K143" i="24"/>
  <c r="J143" i="24"/>
  <c r="B143" i="24"/>
  <c r="A143" i="24"/>
  <c r="O142" i="24"/>
  <c r="N142" i="24"/>
  <c r="M142" i="24"/>
  <c r="L142" i="24"/>
  <c r="K142" i="24"/>
  <c r="J142" i="24"/>
  <c r="B142" i="24"/>
  <c r="A142" i="24"/>
  <c r="O141" i="24"/>
  <c r="N141" i="24"/>
  <c r="M141" i="24"/>
  <c r="L141" i="24"/>
  <c r="K141" i="24"/>
  <c r="J141" i="24"/>
  <c r="B141" i="24"/>
  <c r="A141" i="24"/>
  <c r="I140" i="24"/>
  <c r="H140" i="24"/>
  <c r="G140" i="24"/>
  <c r="F140" i="24"/>
  <c r="E140" i="24"/>
  <c r="D140" i="24"/>
  <c r="C140" i="24"/>
  <c r="B140" i="24"/>
  <c r="A140" i="24"/>
  <c r="S145" i="38"/>
  <c r="R145" i="38"/>
  <c r="P145" i="38"/>
  <c r="O145" i="38"/>
  <c r="M145" i="38"/>
  <c r="L145" i="38"/>
  <c r="K145" i="38"/>
  <c r="G145" i="38"/>
  <c r="B145" i="38"/>
  <c r="A145" i="38"/>
  <c r="S144" i="38"/>
  <c r="R144" i="38"/>
  <c r="P144" i="38"/>
  <c r="O144" i="38"/>
  <c r="N144" i="38"/>
  <c r="M144" i="38"/>
  <c r="L144" i="38"/>
  <c r="K144" i="38"/>
  <c r="J144" i="38"/>
  <c r="B144" i="38"/>
  <c r="A144" i="38"/>
  <c r="S143" i="38"/>
  <c r="R143" i="38"/>
  <c r="P143" i="38"/>
  <c r="B143" i="38"/>
  <c r="A143" i="38"/>
  <c r="S142" i="38"/>
  <c r="R142" i="38"/>
  <c r="P142" i="38"/>
  <c r="B142" i="38"/>
  <c r="A142" i="38"/>
  <c r="S141" i="38"/>
  <c r="R141" i="38"/>
  <c r="P141" i="38"/>
  <c r="B141" i="38"/>
  <c r="A141" i="38"/>
  <c r="I140" i="38"/>
  <c r="H140" i="38"/>
  <c r="G140" i="38"/>
  <c r="F140" i="38"/>
  <c r="E140" i="38"/>
  <c r="D140" i="38"/>
  <c r="C140" i="38"/>
  <c r="B140" i="38"/>
  <c r="A140" i="38"/>
  <c r="O144" i="23"/>
  <c r="N144" i="23"/>
  <c r="M144" i="23"/>
  <c r="L144" i="23"/>
  <c r="K144" i="23"/>
  <c r="J144" i="23"/>
  <c r="O143" i="23"/>
  <c r="N143" i="23"/>
  <c r="M143" i="23"/>
  <c r="L143" i="23"/>
  <c r="K143" i="23"/>
  <c r="J143" i="23"/>
  <c r="O142" i="23"/>
  <c r="N142" i="23"/>
  <c r="M142" i="23"/>
  <c r="L142" i="23"/>
  <c r="K142" i="23"/>
  <c r="J142" i="23"/>
  <c r="O141" i="23"/>
  <c r="N141" i="23"/>
  <c r="M141" i="23"/>
  <c r="L141" i="23"/>
  <c r="K141" i="23"/>
  <c r="J141" i="23"/>
  <c r="O140" i="23"/>
  <c r="N140" i="23"/>
  <c r="M140" i="23"/>
  <c r="L140" i="23"/>
  <c r="K140" i="23"/>
  <c r="J140" i="23"/>
  <c r="A139" i="23"/>
  <c r="G144" i="23"/>
  <c r="A144" i="23"/>
  <c r="A143" i="23"/>
  <c r="A142" i="23"/>
  <c r="A141" i="23"/>
  <c r="A140" i="23"/>
  <c r="I139" i="23"/>
  <c r="H139" i="23"/>
  <c r="G139" i="23"/>
  <c r="F139" i="23"/>
  <c r="E139" i="23"/>
  <c r="D139" i="23"/>
  <c r="C78" i="21"/>
  <c r="D78" i="21" s="1"/>
  <c r="B25" i="21"/>
  <c r="B78" i="21" s="1"/>
  <c r="A25" i="21"/>
  <c r="A78" i="21" s="1"/>
  <c r="B48" i="21"/>
  <c r="B101" i="21" s="1"/>
  <c r="A48" i="21"/>
  <c r="A101" i="21" s="1"/>
  <c r="AJ144" i="2"/>
  <c r="AH144" i="2"/>
  <c r="U143" i="25" s="1"/>
  <c r="X143" i="25" s="1"/>
  <c r="AG144" i="2"/>
  <c r="P143" i="24" s="1"/>
  <c r="S143" i="24" s="1"/>
  <c r="AF144" i="2"/>
  <c r="P142" i="23" s="1"/>
  <c r="S142" i="23" s="1"/>
  <c r="O143" i="38"/>
  <c r="N143" i="38"/>
  <c r="M143" i="38"/>
  <c r="L143" i="38"/>
  <c r="K143" i="38"/>
  <c r="J143" i="38"/>
  <c r="K144" i="2"/>
  <c r="J144" i="2"/>
  <c r="I144" i="2"/>
  <c r="H143" i="25" s="1"/>
  <c r="H144" i="2"/>
  <c r="G143" i="25" s="1"/>
  <c r="G144" i="2"/>
  <c r="F143" i="24" s="1"/>
  <c r="F144" i="2"/>
  <c r="E144" i="2"/>
  <c r="D143" i="25" s="1"/>
  <c r="D144" i="2"/>
  <c r="C143" i="25" s="1"/>
  <c r="AJ140" i="2"/>
  <c r="A55" i="8"/>
  <c r="D54" i="8"/>
  <c r="X55" i="8"/>
  <c r="X54" i="8"/>
  <c r="Q54" i="8"/>
  <c r="Y54" i="8" s="1"/>
  <c r="P54" i="8"/>
  <c r="O54" i="8"/>
  <c r="N54" i="8"/>
  <c r="M54" i="8"/>
  <c r="L54" i="8"/>
  <c r="D52" i="8"/>
  <c r="L52" i="8"/>
  <c r="M52" i="8"/>
  <c r="N52" i="8"/>
  <c r="O52" i="8"/>
  <c r="P52" i="8"/>
  <c r="Q52" i="8"/>
  <c r="AT140" i="10"/>
  <c r="AT119" i="10" s="1"/>
  <c r="AP140" i="10"/>
  <c r="AP119" i="10" s="1"/>
  <c r="AN140" i="10"/>
  <c r="AN119" i="10" s="1"/>
  <c r="AL140" i="10"/>
  <c r="AL119" i="10" s="1"/>
  <c r="AJ140" i="10"/>
  <c r="AJ119" i="10" s="1"/>
  <c r="P140" i="10"/>
  <c r="H36" i="1" s="1"/>
  <c r="O140" i="10"/>
  <c r="N140" i="10"/>
  <c r="M140" i="10"/>
  <c r="L140" i="10"/>
  <c r="K140" i="10"/>
  <c r="G36" i="1" s="1"/>
  <c r="J140" i="10"/>
  <c r="F36" i="1" s="1"/>
  <c r="I140" i="10"/>
  <c r="I119" i="10" s="1"/>
  <c r="H140" i="10"/>
  <c r="H119" i="10" s="1"/>
  <c r="G140" i="10"/>
  <c r="G119" i="10" s="1"/>
  <c r="F140" i="10"/>
  <c r="E140" i="10"/>
  <c r="E36" i="1" s="1"/>
  <c r="D140" i="10"/>
  <c r="D36" i="1" s="1"/>
  <c r="C140" i="10"/>
  <c r="C36" i="1" s="1"/>
  <c r="B36" i="1"/>
  <c r="A36" i="1"/>
  <c r="B35" i="1"/>
  <c r="I143" i="23" l="1"/>
  <c r="DF140" i="20"/>
  <c r="DB140" i="20"/>
  <c r="DG140" i="20"/>
  <c r="DE140" i="20"/>
  <c r="DA140" i="20"/>
  <c r="DC140" i="20"/>
  <c r="DD140" i="20"/>
  <c r="DF145" i="20"/>
  <c r="DB145" i="20"/>
  <c r="DE145" i="20"/>
  <c r="DA145" i="20"/>
  <c r="DG145" i="20"/>
  <c r="DD145" i="20"/>
  <c r="DC145" i="20"/>
  <c r="DD146" i="20"/>
  <c r="DC146" i="20"/>
  <c r="DB146" i="20"/>
  <c r="DA146" i="20"/>
  <c r="DE146" i="20"/>
  <c r="DF146" i="20"/>
  <c r="DG146" i="20"/>
  <c r="DG144" i="20"/>
  <c r="DD144" i="20"/>
  <c r="DC144" i="20"/>
  <c r="DF144" i="20"/>
  <c r="DE144" i="20"/>
  <c r="DA144" i="20"/>
  <c r="DB144" i="20"/>
  <c r="I144" i="24"/>
  <c r="H144" i="24"/>
  <c r="I144" i="25"/>
  <c r="D144" i="38"/>
  <c r="H144" i="25"/>
  <c r="I145" i="24"/>
  <c r="F144" i="23"/>
  <c r="F145" i="38"/>
  <c r="E144" i="24"/>
  <c r="F145" i="24"/>
  <c r="E143" i="23"/>
  <c r="P145" i="26"/>
  <c r="R145" i="26" s="1"/>
  <c r="CK146" i="20"/>
  <c r="CG146" i="20"/>
  <c r="CJ146" i="20"/>
  <c r="CM146" i="20"/>
  <c r="CI146" i="20"/>
  <c r="CL146" i="20"/>
  <c r="CH146" i="20"/>
  <c r="P143" i="26"/>
  <c r="R143" i="26" s="1"/>
  <c r="CK144" i="20"/>
  <c r="CG144" i="20"/>
  <c r="CJ144" i="20"/>
  <c r="CM144" i="20"/>
  <c r="CI144" i="20"/>
  <c r="CL144" i="20"/>
  <c r="CH144" i="20"/>
  <c r="AW140" i="20"/>
  <c r="CM140" i="20"/>
  <c r="CI140" i="20"/>
  <c r="CL140" i="20"/>
  <c r="CH140" i="20"/>
  <c r="CK140" i="20"/>
  <c r="CG140" i="20"/>
  <c r="CJ140" i="20"/>
  <c r="H143" i="23"/>
  <c r="D144" i="24"/>
  <c r="D143" i="23"/>
  <c r="E144" i="38"/>
  <c r="P144" i="26"/>
  <c r="R144" i="26" s="1"/>
  <c r="CK145" i="20"/>
  <c r="CG145" i="20"/>
  <c r="CJ145" i="20"/>
  <c r="CM145" i="20"/>
  <c r="CI145" i="20"/>
  <c r="CL145" i="20"/>
  <c r="CH145" i="20"/>
  <c r="H144" i="23"/>
  <c r="F144" i="25"/>
  <c r="F144" i="24"/>
  <c r="O140" i="25"/>
  <c r="F143" i="25"/>
  <c r="F143" i="23"/>
  <c r="N139" i="23"/>
  <c r="H145" i="38"/>
  <c r="H145" i="24"/>
  <c r="S140" i="25"/>
  <c r="I143" i="38"/>
  <c r="I141" i="28"/>
  <c r="I143" i="27"/>
  <c r="I143" i="26"/>
  <c r="G144" i="38"/>
  <c r="G142" i="28"/>
  <c r="G144" i="26"/>
  <c r="G144" i="27"/>
  <c r="E145" i="26"/>
  <c r="E143" i="28"/>
  <c r="E145" i="27"/>
  <c r="F143" i="38"/>
  <c r="F143" i="26"/>
  <c r="F141" i="28"/>
  <c r="F143" i="27"/>
  <c r="G143" i="24"/>
  <c r="C144" i="24"/>
  <c r="G144" i="24"/>
  <c r="E145" i="25"/>
  <c r="D144" i="27"/>
  <c r="D142" i="28"/>
  <c r="D144" i="26"/>
  <c r="H144" i="27"/>
  <c r="H142" i="28"/>
  <c r="H144" i="26"/>
  <c r="F143" i="28"/>
  <c r="F145" i="27"/>
  <c r="F145" i="26"/>
  <c r="I145" i="26"/>
  <c r="I143" i="28"/>
  <c r="I145" i="27"/>
  <c r="G143" i="38"/>
  <c r="A23" i="19"/>
  <c r="G143" i="26"/>
  <c r="G141" i="28"/>
  <c r="A23" i="30" s="1"/>
  <c r="G143" i="27"/>
  <c r="D143" i="24"/>
  <c r="H143" i="24"/>
  <c r="E142" i="28"/>
  <c r="E144" i="26"/>
  <c r="E144" i="27"/>
  <c r="I142" i="28"/>
  <c r="I144" i="26"/>
  <c r="I144" i="27"/>
  <c r="G145" i="27"/>
  <c r="G145" i="26"/>
  <c r="G143" i="28"/>
  <c r="E143" i="38"/>
  <c r="E141" i="28"/>
  <c r="E143" i="27"/>
  <c r="E143" i="26"/>
  <c r="C144" i="38"/>
  <c r="C144" i="27"/>
  <c r="C142" i="28"/>
  <c r="C144" i="26"/>
  <c r="D143" i="38"/>
  <c r="D141" i="28"/>
  <c r="D143" i="27"/>
  <c r="D143" i="26"/>
  <c r="H143" i="38"/>
  <c r="H141" i="28"/>
  <c r="H143" i="27"/>
  <c r="H143" i="26"/>
  <c r="E144" i="23"/>
  <c r="I144" i="23"/>
  <c r="E145" i="38"/>
  <c r="I145" i="38"/>
  <c r="E143" i="24"/>
  <c r="I143" i="24"/>
  <c r="E143" i="25"/>
  <c r="I143" i="25"/>
  <c r="F142" i="28"/>
  <c r="F144" i="26"/>
  <c r="F144" i="27"/>
  <c r="H145" i="26"/>
  <c r="H143" i="28"/>
  <c r="H145" i="27"/>
  <c r="K139" i="23"/>
  <c r="P140" i="25"/>
  <c r="G23" i="30" s="1"/>
  <c r="T140" i="25"/>
  <c r="Q140" i="25"/>
  <c r="R140" i="25"/>
  <c r="M140" i="25"/>
  <c r="J140" i="25"/>
  <c r="N140" i="25"/>
  <c r="K140" i="25"/>
  <c r="L140" i="25"/>
  <c r="J145" i="38"/>
  <c r="N145" i="38"/>
  <c r="D144" i="23"/>
  <c r="D145" i="27"/>
  <c r="D143" i="28"/>
  <c r="D145" i="26"/>
  <c r="D145" i="38"/>
  <c r="D145" i="24"/>
  <c r="C145" i="25"/>
  <c r="C145" i="26"/>
  <c r="C143" i="28"/>
  <c r="C145" i="27"/>
  <c r="C143" i="38"/>
  <c r="C143" i="27"/>
  <c r="C141" i="28"/>
  <c r="C143" i="26"/>
  <c r="C143" i="24"/>
  <c r="C142" i="23"/>
  <c r="C145" i="38"/>
  <c r="C144" i="23"/>
  <c r="C145" i="24"/>
  <c r="M139" i="23"/>
  <c r="G144" i="25"/>
  <c r="G143" i="23"/>
  <c r="C143" i="23"/>
  <c r="AT140" i="20"/>
  <c r="G142" i="23"/>
  <c r="AX140" i="20"/>
  <c r="AU140" i="20"/>
  <c r="AY140" i="20"/>
  <c r="D142" i="23"/>
  <c r="H142" i="23"/>
  <c r="J139" i="23"/>
  <c r="AV140" i="20"/>
  <c r="E142" i="23"/>
  <c r="I142" i="23"/>
  <c r="O139" i="23"/>
  <c r="AS140" i="20"/>
  <c r="F142" i="23"/>
  <c r="L139" i="23"/>
  <c r="C77" i="21"/>
  <c r="D77" i="21" s="1"/>
  <c r="AE146" i="20"/>
  <c r="AD146" i="20"/>
  <c r="AC146" i="20"/>
  <c r="AB146" i="20"/>
  <c r="AA146" i="20"/>
  <c r="Z146" i="20"/>
  <c r="Y146" i="20"/>
  <c r="AE145" i="20"/>
  <c r="AD145" i="20"/>
  <c r="AC145" i="20"/>
  <c r="AB145" i="20"/>
  <c r="AA145" i="20"/>
  <c r="Z145" i="20"/>
  <c r="Y145" i="20"/>
  <c r="AE144" i="20"/>
  <c r="AD144" i="20"/>
  <c r="AC144" i="20"/>
  <c r="AB144" i="20"/>
  <c r="AA144" i="20"/>
  <c r="Z144" i="20"/>
  <c r="Y144" i="20"/>
  <c r="AJ143" i="2"/>
  <c r="CW146" i="20"/>
  <c r="CC146" i="20"/>
  <c r="BI146" i="20"/>
  <c r="AO146" i="20"/>
  <c r="U146" i="20"/>
  <c r="K146" i="20"/>
  <c r="J146" i="20"/>
  <c r="I146" i="20"/>
  <c r="H146" i="20"/>
  <c r="G146" i="20"/>
  <c r="F146" i="20"/>
  <c r="E146" i="20"/>
  <c r="D146" i="20"/>
  <c r="C146" i="20"/>
  <c r="A146" i="20"/>
  <c r="CW145" i="20"/>
  <c r="CC145" i="20"/>
  <c r="BI145" i="20"/>
  <c r="AO145" i="20"/>
  <c r="U145" i="20"/>
  <c r="K145" i="20"/>
  <c r="J145" i="20"/>
  <c r="I145" i="20"/>
  <c r="H145" i="20"/>
  <c r="G145" i="20"/>
  <c r="F145" i="20"/>
  <c r="E145" i="20"/>
  <c r="D145" i="20"/>
  <c r="C145" i="20"/>
  <c r="A145" i="20"/>
  <c r="CW144" i="20"/>
  <c r="CC144" i="20"/>
  <c r="BI144" i="20"/>
  <c r="U144" i="20"/>
  <c r="K144" i="20"/>
  <c r="J144" i="20"/>
  <c r="I144" i="20"/>
  <c r="H144" i="20"/>
  <c r="G144" i="20"/>
  <c r="F144" i="20"/>
  <c r="E144" i="20"/>
  <c r="D144" i="20"/>
  <c r="C144" i="20"/>
  <c r="A144" i="20"/>
  <c r="CW143" i="20"/>
  <c r="CC143" i="20"/>
  <c r="AO143" i="20"/>
  <c r="U143" i="20"/>
  <c r="C143" i="20"/>
  <c r="A143" i="20"/>
  <c r="CW142" i="20"/>
  <c r="CC142" i="20"/>
  <c r="BI142" i="20"/>
  <c r="AU142" i="20"/>
  <c r="AT142" i="20"/>
  <c r="U142" i="20"/>
  <c r="C142" i="20"/>
  <c r="A142" i="20"/>
  <c r="V141" i="20"/>
  <c r="C23" i="22" s="1"/>
  <c r="A141" i="20"/>
  <c r="A139" i="11"/>
  <c r="W144" i="11"/>
  <c r="V144" i="11"/>
  <c r="J144" i="11"/>
  <c r="I144" i="11"/>
  <c r="H144" i="11"/>
  <c r="G144" i="11"/>
  <c r="F144" i="11"/>
  <c r="E144" i="11"/>
  <c r="D144" i="11"/>
  <c r="C144" i="11"/>
  <c r="A144" i="11"/>
  <c r="W143" i="11"/>
  <c r="V143" i="11"/>
  <c r="J143" i="11"/>
  <c r="I143" i="11"/>
  <c r="H143" i="11"/>
  <c r="G143" i="11"/>
  <c r="F143" i="11"/>
  <c r="E143" i="11"/>
  <c r="D143" i="11"/>
  <c r="C143" i="11"/>
  <c r="A143" i="11"/>
  <c r="W142" i="11"/>
  <c r="V142" i="11"/>
  <c r="J142" i="11"/>
  <c r="I142" i="11"/>
  <c r="H142" i="11"/>
  <c r="G142" i="11"/>
  <c r="F142" i="11"/>
  <c r="E142" i="11"/>
  <c r="D142" i="11"/>
  <c r="C142" i="11"/>
  <c r="A142" i="11"/>
  <c r="A141" i="11"/>
  <c r="A140" i="11"/>
  <c r="C139" i="11"/>
  <c r="AJ142" i="2"/>
  <c r="AH142" i="2"/>
  <c r="AO142" i="2" s="1"/>
  <c r="AG142" i="2"/>
  <c r="P141" i="24" s="1"/>
  <c r="S141" i="24" s="1"/>
  <c r="AF142" i="2"/>
  <c r="P140" i="23" s="1"/>
  <c r="S140" i="23" s="1"/>
  <c r="N141" i="38"/>
  <c r="M141" i="38"/>
  <c r="L141" i="38"/>
  <c r="K141" i="38"/>
  <c r="K142" i="2"/>
  <c r="J140" i="11" s="1"/>
  <c r="J142" i="2"/>
  <c r="I142" i="2"/>
  <c r="H142" i="2"/>
  <c r="G142" i="2"/>
  <c r="F142" i="2"/>
  <c r="E142" i="2"/>
  <c r="D142" i="2"/>
  <c r="B141" i="10" s="1"/>
  <c r="A56" i="6"/>
  <c r="A55" i="6"/>
  <c r="C55" i="6"/>
  <c r="W55" i="6"/>
  <c r="P55" i="6"/>
  <c r="X55" i="6" s="1"/>
  <c r="O55" i="6"/>
  <c r="N55" i="6"/>
  <c r="M55" i="6"/>
  <c r="L55" i="6"/>
  <c r="K55" i="6"/>
  <c r="Z141" i="2"/>
  <c r="Y141" i="2"/>
  <c r="W141" i="2"/>
  <c r="V141" i="2"/>
  <c r="T141" i="2"/>
  <c r="S141" i="2"/>
  <c r="Q141" i="2"/>
  <c r="P141" i="2"/>
  <c r="AH143" i="2"/>
  <c r="U142" i="25" s="1"/>
  <c r="X142" i="25" s="1"/>
  <c r="AG143" i="2"/>
  <c r="P142" i="24" s="1"/>
  <c r="S142" i="24" s="1"/>
  <c r="AF143" i="2"/>
  <c r="P141" i="23" s="1"/>
  <c r="S141" i="23" s="1"/>
  <c r="N142" i="38"/>
  <c r="AO142" i="10"/>
  <c r="AF142" i="10" s="1"/>
  <c r="L142" i="38"/>
  <c r="K143" i="2"/>
  <c r="K143" i="20" s="1"/>
  <c r="J143" i="2"/>
  <c r="I143" i="2"/>
  <c r="H143" i="2"/>
  <c r="G143" i="2"/>
  <c r="F143" i="2"/>
  <c r="E143" i="2"/>
  <c r="D143" i="2"/>
  <c r="AS145" i="10"/>
  <c r="AH145" i="10" s="1"/>
  <c r="AQ145" i="10"/>
  <c r="AG145" i="10" s="1"/>
  <c r="AO145" i="10"/>
  <c r="AF145" i="10" s="1"/>
  <c r="AM145" i="10"/>
  <c r="AE145" i="10" s="1"/>
  <c r="AK145" i="10"/>
  <c r="AD145" i="10" s="1"/>
  <c r="AI145" i="10"/>
  <c r="AC145" i="10" s="1"/>
  <c r="B145" i="10"/>
  <c r="A145" i="10"/>
  <c r="AS144" i="10"/>
  <c r="AB144" i="10" s="1"/>
  <c r="AQ144" i="10"/>
  <c r="AG144" i="10" s="1"/>
  <c r="AO144" i="10"/>
  <c r="AF144" i="10" s="1"/>
  <c r="AM144" i="10"/>
  <c r="Y144" i="10" s="1"/>
  <c r="AK144" i="10"/>
  <c r="R144" i="10" s="1"/>
  <c r="AI144" i="10"/>
  <c r="AC144" i="10" s="1"/>
  <c r="B144" i="10"/>
  <c r="A144" i="10"/>
  <c r="AS143" i="10"/>
  <c r="AB143" i="10" s="1"/>
  <c r="AQ143" i="10"/>
  <c r="AG143" i="10" s="1"/>
  <c r="AO143" i="10"/>
  <c r="AF143" i="10" s="1"/>
  <c r="AM143" i="10"/>
  <c r="Y143" i="10" s="1"/>
  <c r="AK143" i="10"/>
  <c r="R143" i="10" s="1"/>
  <c r="AI143" i="10"/>
  <c r="AC143" i="10" s="1"/>
  <c r="Z143" i="10"/>
  <c r="B143" i="10"/>
  <c r="A143" i="10"/>
  <c r="AQ142" i="10"/>
  <c r="AI142" i="10"/>
  <c r="AC142" i="10" s="1"/>
  <c r="A142" i="10"/>
  <c r="AS141" i="10"/>
  <c r="V141" i="10" s="1"/>
  <c r="AO141" i="10"/>
  <c r="AK141" i="10"/>
  <c r="R141" i="10" s="1"/>
  <c r="AI141" i="10"/>
  <c r="A141" i="10"/>
  <c r="B140" i="10"/>
  <c r="A140" i="10"/>
  <c r="X58" i="3"/>
  <c r="Y58" i="3"/>
  <c r="AO146" i="2"/>
  <c r="AM145" i="2"/>
  <c r="AL145" i="2"/>
  <c r="AM144" i="2"/>
  <c r="AL144" i="2"/>
  <c r="B57" i="19"/>
  <c r="A24" i="22"/>
  <c r="B24" i="22"/>
  <c r="AO138" i="20"/>
  <c r="B48" i="22"/>
  <c r="A48" i="22"/>
  <c r="C133" i="11"/>
  <c r="A53" i="8"/>
  <c r="AH140" i="2"/>
  <c r="AI140" i="2" s="1"/>
  <c r="AG140" i="2"/>
  <c r="AF140" i="2"/>
  <c r="AA140" i="2"/>
  <c r="X140" i="2"/>
  <c r="U140" i="2"/>
  <c r="R140" i="2"/>
  <c r="O140" i="2"/>
  <c r="L140" i="2"/>
  <c r="K140" i="2"/>
  <c r="J140" i="2"/>
  <c r="I140" i="2"/>
  <c r="H140" i="2"/>
  <c r="G140" i="2"/>
  <c r="F140" i="2"/>
  <c r="E140" i="2"/>
  <c r="D140" i="2"/>
  <c r="AC140" i="2"/>
  <c r="AD140" i="2" s="1"/>
  <c r="Y140" i="2"/>
  <c r="Z140" i="2" s="1"/>
  <c r="V140" i="2"/>
  <c r="W140" i="2" s="1"/>
  <c r="S140" i="2"/>
  <c r="T140" i="2" s="1"/>
  <c r="P140" i="2"/>
  <c r="Q140" i="2" s="1"/>
  <c r="M140" i="2"/>
  <c r="N140" i="2" s="1"/>
  <c r="AJ139" i="2"/>
  <c r="AH139" i="2"/>
  <c r="AG139" i="2"/>
  <c r="AF139" i="2"/>
  <c r="AA139" i="2"/>
  <c r="X139" i="2"/>
  <c r="U139" i="2"/>
  <c r="R139" i="2"/>
  <c r="O139" i="2"/>
  <c r="L139" i="2"/>
  <c r="K139" i="2"/>
  <c r="J139" i="2"/>
  <c r="I139" i="2"/>
  <c r="H139" i="2"/>
  <c r="G139" i="2"/>
  <c r="F139" i="2"/>
  <c r="E139" i="2"/>
  <c r="D139" i="2"/>
  <c r="A59" i="7"/>
  <c r="D58" i="9"/>
  <c r="AJ138" i="2"/>
  <c r="AH138" i="2"/>
  <c r="AG138" i="2"/>
  <c r="AF138" i="2"/>
  <c r="AA138" i="2"/>
  <c r="X138" i="2"/>
  <c r="U138" i="2"/>
  <c r="R138" i="2"/>
  <c r="O138" i="2"/>
  <c r="O137" i="2"/>
  <c r="L138" i="2"/>
  <c r="AI137" i="10" s="1"/>
  <c r="K138" i="2"/>
  <c r="J138" i="2"/>
  <c r="I138" i="2"/>
  <c r="H138" i="2"/>
  <c r="G138" i="2"/>
  <c r="F138" i="2"/>
  <c r="E138" i="2"/>
  <c r="D138" i="2"/>
  <c r="D61" i="9" s="1"/>
  <c r="A59" i="9"/>
  <c r="AJ136" i="2"/>
  <c r="AH136" i="2"/>
  <c r="AG136" i="2"/>
  <c r="AF136" i="2"/>
  <c r="AA136" i="2"/>
  <c r="X136" i="2"/>
  <c r="U136" i="2"/>
  <c r="R136" i="2"/>
  <c r="O136" i="2"/>
  <c r="K136" i="2"/>
  <c r="J136" i="2"/>
  <c r="I136" i="2"/>
  <c r="H136" i="2"/>
  <c r="A24" i="19" s="1"/>
  <c r="A57" i="19" s="1"/>
  <c r="G136" i="2"/>
  <c r="F136" i="2"/>
  <c r="E136" i="2"/>
  <c r="D136" i="2"/>
  <c r="K54" i="6"/>
  <c r="L136" i="2" s="1"/>
  <c r="C53" i="6"/>
  <c r="A54" i="6"/>
  <c r="AJ137" i="2"/>
  <c r="AH137" i="2"/>
  <c r="AG137" i="2"/>
  <c r="AF137" i="2"/>
  <c r="AA137" i="2"/>
  <c r="X137" i="2"/>
  <c r="U137" i="2"/>
  <c r="R137" i="2"/>
  <c r="P137" i="2"/>
  <c r="Q137" i="2" s="1"/>
  <c r="S137" i="2"/>
  <c r="T137" i="2" s="1"/>
  <c r="V137" i="2"/>
  <c r="W137" i="2" s="1"/>
  <c r="Y137" i="2"/>
  <c r="Z137" i="2" s="1"/>
  <c r="L137" i="2"/>
  <c r="AI136" i="10" s="1"/>
  <c r="H137" i="2"/>
  <c r="G137" i="2"/>
  <c r="F137" i="2"/>
  <c r="E137" i="2"/>
  <c r="D137" i="2"/>
  <c r="DD142" i="20" l="1"/>
  <c r="DG142" i="20"/>
  <c r="DC142" i="20"/>
  <c r="DB142" i="20"/>
  <c r="DA142" i="20"/>
  <c r="DF142" i="20"/>
  <c r="DE142" i="20"/>
  <c r="DF143" i="20"/>
  <c r="DB143" i="20"/>
  <c r="DG143" i="20"/>
  <c r="DE143" i="20"/>
  <c r="DA143" i="20"/>
  <c r="DD143" i="20"/>
  <c r="DC143" i="20"/>
  <c r="DG137" i="20"/>
  <c r="DE137" i="20"/>
  <c r="DA137" i="20"/>
  <c r="DD137" i="20"/>
  <c r="DF137" i="20"/>
  <c r="DC137" i="20"/>
  <c r="DB137" i="20"/>
  <c r="DG136" i="20"/>
  <c r="DC136" i="20"/>
  <c r="DF136" i="20"/>
  <c r="DB136" i="20"/>
  <c r="DD136" i="20"/>
  <c r="DA136" i="20"/>
  <c r="DE136" i="20"/>
  <c r="DF138" i="20"/>
  <c r="DB138" i="20"/>
  <c r="DE138" i="20"/>
  <c r="DD138" i="20"/>
  <c r="DC138" i="20"/>
  <c r="DG138" i="20"/>
  <c r="DA138" i="20"/>
  <c r="DD139" i="20"/>
  <c r="DC139" i="20"/>
  <c r="DF139" i="20"/>
  <c r="DG139" i="20"/>
  <c r="DE139" i="20"/>
  <c r="DB139" i="20"/>
  <c r="DA139" i="20"/>
  <c r="AL143" i="2"/>
  <c r="Z144" i="10"/>
  <c r="CK136" i="20"/>
  <c r="CG136" i="20"/>
  <c r="CL136" i="20"/>
  <c r="CJ136" i="20"/>
  <c r="CH136" i="20"/>
  <c r="CM136" i="20"/>
  <c r="CI136" i="20"/>
  <c r="CJ142" i="20"/>
  <c r="CG142" i="20"/>
  <c r="CM142" i="20"/>
  <c r="CI142" i="20"/>
  <c r="CL142" i="20"/>
  <c r="CH142" i="20"/>
  <c r="CK142" i="20"/>
  <c r="CM138" i="20"/>
  <c r="CI138" i="20"/>
  <c r="CL138" i="20"/>
  <c r="CH138" i="20"/>
  <c r="CK138" i="20"/>
  <c r="CG138" i="20"/>
  <c r="CJ138" i="20"/>
  <c r="CJ143" i="20"/>
  <c r="CM143" i="20"/>
  <c r="CI143" i="20"/>
  <c r="CL143" i="20"/>
  <c r="CH143" i="20"/>
  <c r="CG143" i="20"/>
  <c r="CK143" i="20"/>
  <c r="CJ137" i="20"/>
  <c r="CM137" i="20"/>
  <c r="CI137" i="20"/>
  <c r="CL137" i="20"/>
  <c r="CH137" i="20"/>
  <c r="CG137" i="20"/>
  <c r="CK137" i="20"/>
  <c r="CL139" i="20"/>
  <c r="CH139" i="20"/>
  <c r="CK139" i="20"/>
  <c r="CG139" i="20"/>
  <c r="CJ139" i="20"/>
  <c r="CM139" i="20"/>
  <c r="CI139" i="20"/>
  <c r="W145" i="10"/>
  <c r="AA145" i="10"/>
  <c r="Q145" i="10"/>
  <c r="U145" i="10"/>
  <c r="F140" i="28"/>
  <c r="F142" i="26"/>
  <c r="F142" i="27"/>
  <c r="F142" i="25"/>
  <c r="F142" i="24"/>
  <c r="AE142" i="20"/>
  <c r="P141" i="26"/>
  <c r="R141" i="26" s="1"/>
  <c r="K142" i="20"/>
  <c r="Z145" i="10"/>
  <c r="C142" i="27"/>
  <c r="C140" i="27"/>
  <c r="C142" i="26"/>
  <c r="C140" i="28"/>
  <c r="C142" i="24"/>
  <c r="C142" i="25"/>
  <c r="G140" i="28"/>
  <c r="G142" i="27"/>
  <c r="G142" i="26"/>
  <c r="G142" i="24"/>
  <c r="G142" i="25"/>
  <c r="C139" i="28"/>
  <c r="C141" i="26"/>
  <c r="C141" i="27"/>
  <c r="C141" i="24"/>
  <c r="C141" i="25"/>
  <c r="G139" i="28"/>
  <c r="G141" i="26"/>
  <c r="G141" i="27"/>
  <c r="G141" i="24"/>
  <c r="G141" i="25"/>
  <c r="F141" i="27"/>
  <c r="F141" i="26"/>
  <c r="F139" i="28"/>
  <c r="F141" i="24"/>
  <c r="F141" i="25"/>
  <c r="T145" i="10"/>
  <c r="D142" i="27"/>
  <c r="D142" i="26"/>
  <c r="D140" i="28"/>
  <c r="D142" i="24"/>
  <c r="D142" i="25"/>
  <c r="H142" i="27"/>
  <c r="H142" i="26"/>
  <c r="H140" i="28"/>
  <c r="H142" i="24"/>
  <c r="H142" i="25"/>
  <c r="D139" i="28"/>
  <c r="D141" i="26"/>
  <c r="D141" i="27"/>
  <c r="D141" i="24"/>
  <c r="D141" i="25"/>
  <c r="H139" i="28"/>
  <c r="H141" i="26"/>
  <c r="H141" i="27"/>
  <c r="H141" i="24"/>
  <c r="H141" i="25"/>
  <c r="AE143" i="20"/>
  <c r="P142" i="26"/>
  <c r="R142" i="26" s="1"/>
  <c r="V144" i="10"/>
  <c r="E142" i="26"/>
  <c r="E140" i="28"/>
  <c r="E142" i="27"/>
  <c r="E142" i="25"/>
  <c r="E142" i="24"/>
  <c r="I142" i="26"/>
  <c r="I142" i="27"/>
  <c r="I140" i="28"/>
  <c r="I142" i="25"/>
  <c r="I142" i="24"/>
  <c r="E141" i="26"/>
  <c r="E139" i="28"/>
  <c r="E141" i="27"/>
  <c r="E141" i="25"/>
  <c r="E141" i="24"/>
  <c r="I141" i="26"/>
  <c r="I141" i="27"/>
  <c r="I139" i="28"/>
  <c r="I141" i="25"/>
  <c r="I141" i="24"/>
  <c r="J23" i="30"/>
  <c r="M23" i="30" s="1"/>
  <c r="P23" i="30" s="1"/>
  <c r="S23" i="30" s="1"/>
  <c r="V23" i="30" s="1"/>
  <c r="W141" i="10"/>
  <c r="Q141" i="10"/>
  <c r="W143" i="10"/>
  <c r="AF141" i="10"/>
  <c r="AF140" i="10" s="1"/>
  <c r="AF119" i="10" s="1"/>
  <c r="T141" i="10"/>
  <c r="AG142" i="10"/>
  <c r="U142" i="10"/>
  <c r="AD144" i="10"/>
  <c r="AE143" i="10"/>
  <c r="L24" i="21"/>
  <c r="L77" i="21" s="1"/>
  <c r="V145" i="10"/>
  <c r="AE144" i="10"/>
  <c r="AN142" i="2"/>
  <c r="U141" i="25"/>
  <c r="X141" i="25" s="1"/>
  <c r="AM142" i="2"/>
  <c r="AD143" i="10"/>
  <c r="X144" i="10"/>
  <c r="J141" i="11"/>
  <c r="AK142" i="2"/>
  <c r="AH144" i="10"/>
  <c r="AQ141" i="10"/>
  <c r="AG141" i="10" s="1"/>
  <c r="F142" i="20"/>
  <c r="E141" i="38"/>
  <c r="E140" i="23"/>
  <c r="AY138" i="20"/>
  <c r="AU138" i="20"/>
  <c r="AV138" i="20"/>
  <c r="AX138" i="20"/>
  <c r="AT138" i="20"/>
  <c r="AW138" i="20"/>
  <c r="AS138" i="20"/>
  <c r="AV139" i="20"/>
  <c r="AW139" i="20"/>
  <c r="AS139" i="20"/>
  <c r="AY139" i="20"/>
  <c r="AU139" i="20"/>
  <c r="AX139" i="20"/>
  <c r="AT139" i="20"/>
  <c r="AM142" i="10"/>
  <c r="S142" i="10" s="1"/>
  <c r="X143" i="10"/>
  <c r="W144" i="10"/>
  <c r="G143" i="20"/>
  <c r="F141" i="23"/>
  <c r="F142" i="38"/>
  <c r="U141" i="2"/>
  <c r="M142" i="38"/>
  <c r="F140" i="11"/>
  <c r="F141" i="38"/>
  <c r="F140" i="23"/>
  <c r="AX137" i="20"/>
  <c r="AT137" i="20"/>
  <c r="AY137" i="20"/>
  <c r="AU137" i="20"/>
  <c r="AW137" i="20"/>
  <c r="AS137" i="20"/>
  <c r="AV137" i="20"/>
  <c r="I141" i="11"/>
  <c r="I142" i="38"/>
  <c r="I141" i="23"/>
  <c r="J142" i="20"/>
  <c r="I141" i="38"/>
  <c r="I140" i="23"/>
  <c r="AH143" i="10"/>
  <c r="B142" i="10"/>
  <c r="C141" i="23"/>
  <c r="C142" i="38"/>
  <c r="G141" i="11"/>
  <c r="G141" i="23"/>
  <c r="G142" i="38"/>
  <c r="V141" i="11"/>
  <c r="J142" i="38"/>
  <c r="R141" i="2"/>
  <c r="C140" i="11"/>
  <c r="C141" i="38"/>
  <c r="C140" i="23"/>
  <c r="G140" i="11"/>
  <c r="G141" i="38"/>
  <c r="G140" i="23"/>
  <c r="V140" i="11"/>
  <c r="J141" i="38"/>
  <c r="D143" i="20"/>
  <c r="E141" i="11"/>
  <c r="E142" i="38"/>
  <c r="E141" i="23"/>
  <c r="AM141" i="10"/>
  <c r="Y141" i="10" s="1"/>
  <c r="V143" i="10"/>
  <c r="D141" i="11"/>
  <c r="D142" i="38"/>
  <c r="D141" i="23"/>
  <c r="H141" i="11"/>
  <c r="H142" i="38"/>
  <c r="H141" i="23"/>
  <c r="AK142" i="10"/>
  <c r="R142" i="10" s="1"/>
  <c r="K142" i="38"/>
  <c r="AS142" i="10"/>
  <c r="V142" i="10" s="1"/>
  <c r="O142" i="38"/>
  <c r="D140" i="11"/>
  <c r="D140" i="23"/>
  <c r="D141" i="38"/>
  <c r="H140" i="11"/>
  <c r="H140" i="23"/>
  <c r="H141" i="38"/>
  <c r="W140" i="11"/>
  <c r="O141" i="38"/>
  <c r="F141" i="11"/>
  <c r="G142" i="20"/>
  <c r="H143" i="20"/>
  <c r="AA141" i="2"/>
  <c r="E140" i="11"/>
  <c r="I140" i="11"/>
  <c r="AO140" i="10"/>
  <c r="L141" i="2"/>
  <c r="C141" i="11"/>
  <c r="D142" i="20"/>
  <c r="H142" i="20"/>
  <c r="E143" i="20"/>
  <c r="I143" i="20"/>
  <c r="Y143" i="20"/>
  <c r="AC143" i="20"/>
  <c r="AB143" i="20"/>
  <c r="X141" i="2"/>
  <c r="W141" i="11"/>
  <c r="E142" i="20"/>
  <c r="I142" i="20"/>
  <c r="F143" i="20"/>
  <c r="J143" i="20"/>
  <c r="AA142" i="20"/>
  <c r="Z143" i="20"/>
  <c r="AD143" i="20"/>
  <c r="AA143" i="10"/>
  <c r="O141" i="2"/>
  <c r="AB142" i="20"/>
  <c r="AA143" i="20"/>
  <c r="AD141" i="10"/>
  <c r="AH141" i="10"/>
  <c r="R145" i="10"/>
  <c r="AB145" i="10"/>
  <c r="X145" i="10"/>
  <c r="Z141" i="10"/>
  <c r="AC141" i="10"/>
  <c r="AC140" i="10" s="1"/>
  <c r="M36" i="1" s="1"/>
  <c r="AI140" i="10"/>
  <c r="O36" i="1" s="1"/>
  <c r="AA144" i="10"/>
  <c r="Y142" i="20"/>
  <c r="AC142" i="20"/>
  <c r="Z142" i="20"/>
  <c r="AD142" i="20"/>
  <c r="T142" i="10"/>
  <c r="Y145" i="10"/>
  <c r="X141" i="10"/>
  <c r="AB141" i="10"/>
  <c r="Z142" i="10"/>
  <c r="S143" i="10"/>
  <c r="W142" i="10"/>
  <c r="AA142" i="10"/>
  <c r="T143" i="10"/>
  <c r="S144" i="10"/>
  <c r="T144" i="10"/>
  <c r="Q142" i="10"/>
  <c r="Q143" i="10"/>
  <c r="U143" i="10"/>
  <c r="Q144" i="10"/>
  <c r="U144" i="10"/>
  <c r="S145" i="10"/>
  <c r="AM143" i="2"/>
  <c r="AN143" i="2"/>
  <c r="Q136" i="10"/>
  <c r="W136" i="10"/>
  <c r="AC136" i="10"/>
  <c r="AC137" i="10"/>
  <c r="Q137" i="10"/>
  <c r="W137" i="10"/>
  <c r="AL142" i="2"/>
  <c r="AK143" i="2"/>
  <c r="AO143" i="2"/>
  <c r="AN144" i="2"/>
  <c r="AN145" i="2"/>
  <c r="AM146" i="2"/>
  <c r="AL146" i="2"/>
  <c r="AK144" i="2"/>
  <c r="AO144" i="2"/>
  <c r="AK145" i="2"/>
  <c r="AO145" i="2"/>
  <c r="AN146" i="2"/>
  <c r="AK146" i="2"/>
  <c r="AQ140" i="10" l="1"/>
  <c r="AE142" i="10"/>
  <c r="Z141" i="20"/>
  <c r="F24" i="21" s="1"/>
  <c r="AH142" i="10"/>
  <c r="AH140" i="10" s="1"/>
  <c r="N36" i="1" s="1"/>
  <c r="AB142" i="10"/>
  <c r="AB140" i="10" s="1"/>
  <c r="L36" i="1" s="1"/>
  <c r="AS140" i="10"/>
  <c r="P36" i="1" s="1"/>
  <c r="CI143" i="10"/>
  <c r="CJ143" i="10" s="1"/>
  <c r="AE141" i="20"/>
  <c r="K24" i="21" s="1"/>
  <c r="AO141" i="2"/>
  <c r="H23" i="19" s="1"/>
  <c r="AL141" i="2"/>
  <c r="E23" i="19" s="1"/>
  <c r="AD141" i="20"/>
  <c r="J24" i="21" s="1"/>
  <c r="AG140" i="10"/>
  <c r="AG119" i="10" s="1"/>
  <c r="AN141" i="2"/>
  <c r="G23" i="19" s="1"/>
  <c r="CI144" i="10"/>
  <c r="O140" i="38"/>
  <c r="AD140" i="27"/>
  <c r="AK141" i="2"/>
  <c r="D23" i="19" s="1"/>
  <c r="D56" i="19" s="1"/>
  <c r="AM141" i="2"/>
  <c r="F23" i="19" s="1"/>
  <c r="CI145" i="10"/>
  <c r="AE141" i="10"/>
  <c r="AE140" i="10" s="1"/>
  <c r="AE119" i="10" s="1"/>
  <c r="S141" i="10"/>
  <c r="AA141" i="10"/>
  <c r="AA140" i="10" s="1"/>
  <c r="AA119" i="10" s="1"/>
  <c r="U141" i="10"/>
  <c r="W140" i="10"/>
  <c r="K36" i="1" s="1"/>
  <c r="L140" i="38"/>
  <c r="R140" i="27"/>
  <c r="N140" i="38"/>
  <c r="Z140" i="27"/>
  <c r="M140" i="38"/>
  <c r="V140" i="27"/>
  <c r="K140" i="38"/>
  <c r="N140" i="27"/>
  <c r="J140" i="38"/>
  <c r="J140" i="27"/>
  <c r="AC141" i="20"/>
  <c r="I24" i="21" s="1"/>
  <c r="AD142" i="10"/>
  <c r="AD140" i="10" s="1"/>
  <c r="AD119" i="10" s="1"/>
  <c r="X142" i="10"/>
  <c r="X140" i="10" s="1"/>
  <c r="X119" i="10" s="1"/>
  <c r="AK140" i="10"/>
  <c r="AB141" i="20"/>
  <c r="H24" i="21" s="1"/>
  <c r="AM140" i="10"/>
  <c r="Y142" i="10"/>
  <c r="Y140" i="10" s="1"/>
  <c r="Y119" i="10" s="1"/>
  <c r="Y141" i="20"/>
  <c r="E24" i="21" s="1"/>
  <c r="E77" i="21" s="1"/>
  <c r="F77" i="21" s="1"/>
  <c r="AA141" i="20"/>
  <c r="G24" i="21" s="1"/>
  <c r="Z140" i="10"/>
  <c r="Z119" i="10" s="1"/>
  <c r="CI142" i="10" l="1"/>
  <c r="CJ142" i="10" s="1"/>
  <c r="E56" i="19"/>
  <c r="F56" i="19" s="1"/>
  <c r="G56" i="19" s="1"/>
  <c r="H56" i="19" s="1"/>
  <c r="G77" i="21"/>
  <c r="H77" i="21" s="1"/>
  <c r="I77" i="21" s="1"/>
  <c r="J77" i="21" s="1"/>
  <c r="K77" i="21" s="1"/>
  <c r="K87" i="10"/>
  <c r="E51" i="10" l="1"/>
  <c r="D37" i="2"/>
  <c r="AA153" i="10" l="1"/>
  <c r="Z153" i="10"/>
  <c r="Y153" i="10"/>
  <c r="U153" i="10"/>
  <c r="T153" i="10"/>
  <c r="S153" i="10"/>
  <c r="J156" i="10" l="1"/>
  <c r="F154" i="10"/>
  <c r="L154" i="10" s="1"/>
  <c r="V58" i="8"/>
  <c r="U64" i="7"/>
  <c r="AJ151" i="2"/>
  <c r="U59" i="6"/>
  <c r="V65" i="9"/>
  <c r="CM118" i="10"/>
  <c r="CR118" i="10" s="1"/>
  <c r="CH118" i="10" s="1"/>
  <c r="V48" i="8" s="1"/>
  <c r="CM114" i="10"/>
  <c r="CR114" i="10" s="1"/>
  <c r="CH114" i="10" s="1"/>
  <c r="V53" i="9" s="1"/>
  <c r="CM117" i="10"/>
  <c r="CR117" i="10" s="1"/>
  <c r="CM115" i="10"/>
  <c r="CR115" i="10" s="1"/>
  <c r="CH115" i="10" s="1"/>
  <c r="U48" i="6" s="1"/>
  <c r="CM116" i="10"/>
  <c r="CR116" i="10" s="1"/>
  <c r="CH116" i="10" s="1"/>
  <c r="V44" i="3" s="1"/>
  <c r="CM112" i="10"/>
  <c r="CR112" i="10" s="1"/>
  <c r="CH112" i="10" s="1"/>
  <c r="V46" i="8" s="1"/>
  <c r="CM111" i="10"/>
  <c r="CR111" i="10" s="1"/>
  <c r="CH111" i="10" s="1"/>
  <c r="U49" i="7" s="1"/>
  <c r="CM110" i="10"/>
  <c r="CR110" i="10" s="1"/>
  <c r="CH110" i="10" s="1"/>
  <c r="V42" i="3" s="1"/>
  <c r="CM109" i="10"/>
  <c r="CR109" i="10" s="1"/>
  <c r="CH109" i="10" s="1"/>
  <c r="U46" i="6" s="1"/>
  <c r="CM108" i="10"/>
  <c r="CR108" i="10" s="1"/>
  <c r="CH108" i="10" s="1"/>
  <c r="V51" i="9" s="1"/>
  <c r="CM104" i="10"/>
  <c r="CR104" i="10" s="1"/>
  <c r="CH104" i="10" s="1"/>
  <c r="V40" i="3" s="1"/>
  <c r="CM105" i="10"/>
  <c r="CR105" i="10" s="1"/>
  <c r="CH105" i="10" s="1"/>
  <c r="U47" i="7" s="1"/>
  <c r="CM102" i="10"/>
  <c r="CR102" i="10" s="1"/>
  <c r="CH102" i="10" s="1"/>
  <c r="V49" i="9" s="1"/>
  <c r="AJ103" i="2" s="1"/>
  <c r="CM103" i="10"/>
  <c r="CR103" i="10" s="1"/>
  <c r="CH103" i="10" s="1"/>
  <c r="CM106" i="10"/>
  <c r="CR106" i="10" s="1"/>
  <c r="CH106" i="10" s="1"/>
  <c r="P156" i="10" l="1"/>
  <c r="DE103" i="20"/>
  <c r="DA103" i="20"/>
  <c r="DG103" i="20"/>
  <c r="DB103" i="20"/>
  <c r="DD103" i="20"/>
  <c r="DC103" i="20"/>
  <c r="DF103" i="20"/>
  <c r="DC151" i="20"/>
  <c r="DE151" i="20"/>
  <c r="DF151" i="20"/>
  <c r="DB151" i="20"/>
  <c r="DA151" i="20"/>
  <c r="DG151" i="20"/>
  <c r="DD151" i="20"/>
  <c r="CJ103" i="20"/>
  <c r="CM103" i="20"/>
  <c r="CI103" i="20"/>
  <c r="CL103" i="20"/>
  <c r="CH103" i="20"/>
  <c r="CK103" i="20"/>
  <c r="CG103" i="20"/>
  <c r="BP103" i="20"/>
  <c r="AX103" i="20"/>
  <c r="AT103" i="20"/>
  <c r="AB103" i="20"/>
  <c r="AV103" i="20"/>
  <c r="AY103" i="20"/>
  <c r="Y103" i="20"/>
  <c r="BS103" i="20"/>
  <c r="BO103" i="20"/>
  <c r="AW103" i="20"/>
  <c r="AS103" i="20"/>
  <c r="AE103" i="20"/>
  <c r="AA103" i="20"/>
  <c r="AD103" i="20"/>
  <c r="BM103" i="20"/>
  <c r="AC103" i="20"/>
  <c r="BR103" i="20"/>
  <c r="BN103" i="20"/>
  <c r="Z103" i="20"/>
  <c r="BQ103" i="20"/>
  <c r="AU103" i="20"/>
  <c r="CM151" i="20"/>
  <c r="CI151" i="20"/>
  <c r="CL151" i="20"/>
  <c r="CH151" i="20"/>
  <c r="CK151" i="20"/>
  <c r="CG151" i="20"/>
  <c r="CJ151" i="20"/>
  <c r="AV151" i="20"/>
  <c r="AD151" i="20"/>
  <c r="Z151" i="20"/>
  <c r="AY151" i="20"/>
  <c r="AU151" i="20"/>
  <c r="AC151" i="20"/>
  <c r="Y151" i="20"/>
  <c r="AX151" i="20"/>
  <c r="AT151" i="20"/>
  <c r="AB151" i="20"/>
  <c r="AW151" i="20"/>
  <c r="AA151" i="20"/>
  <c r="AS151" i="20"/>
  <c r="AE151" i="20"/>
  <c r="CR42" i="10"/>
  <c r="CS42" i="10" s="1"/>
  <c r="CR40" i="10"/>
  <c r="CS40" i="10" s="1"/>
  <c r="CR39" i="10" l="1"/>
  <c r="CS39" i="10" s="1"/>
  <c r="CT37" i="10"/>
  <c r="CT36" i="10"/>
  <c r="CU36" i="10" s="1"/>
  <c r="CT35" i="10"/>
  <c r="CU35" i="10" s="1"/>
  <c r="CT34" i="10"/>
  <c r="CU34" i="10" s="1"/>
  <c r="A119" i="38" l="1"/>
  <c r="B119" i="38"/>
  <c r="C119" i="38"/>
  <c r="D119" i="38"/>
  <c r="E119" i="38"/>
  <c r="F119" i="38"/>
  <c r="G119" i="38"/>
  <c r="H119" i="38"/>
  <c r="I119" i="38"/>
  <c r="R119" i="38"/>
  <c r="S119" i="38"/>
  <c r="A33" i="38"/>
  <c r="A34" i="38"/>
  <c r="A35" i="38"/>
  <c r="A36" i="38"/>
  <c r="A37" i="38"/>
  <c r="A38" i="38"/>
  <c r="A39" i="38"/>
  <c r="A40" i="38"/>
  <c r="A41" i="38"/>
  <c r="A42" i="38"/>
  <c r="A43" i="38"/>
  <c r="A44" i="38"/>
  <c r="A45" i="38"/>
  <c r="A46" i="38"/>
  <c r="A47" i="38"/>
  <c r="A48" i="38"/>
  <c r="A49" i="38"/>
  <c r="A50" i="38"/>
  <c r="A51" i="38"/>
  <c r="C33" i="38"/>
  <c r="D33" i="38"/>
  <c r="E33" i="38"/>
  <c r="F33" i="38"/>
  <c r="G33" i="38"/>
  <c r="H33" i="38"/>
  <c r="I33" i="38"/>
  <c r="AJ10" i="2" l="1"/>
  <c r="A53" i="9"/>
  <c r="A65" i="9"/>
  <c r="A67" i="9"/>
  <c r="A70" i="9"/>
  <c r="M50" i="9"/>
  <c r="N50" i="9"/>
  <c r="O50" i="9"/>
  <c r="P50" i="9"/>
  <c r="Q50" i="9"/>
  <c r="A58" i="8"/>
  <c r="A60" i="8"/>
  <c r="A63" i="8"/>
  <c r="A70" i="8"/>
  <c r="A71" i="8"/>
  <c r="M45" i="8"/>
  <c r="N45" i="8"/>
  <c r="O45" i="8"/>
  <c r="P45" i="8"/>
  <c r="Q45" i="8"/>
  <c r="A40" i="8"/>
  <c r="A44" i="8"/>
  <c r="A46" i="8"/>
  <c r="A48" i="8"/>
  <c r="A66" i="7"/>
  <c r="A69" i="7"/>
  <c r="A76" i="7"/>
  <c r="A64" i="7"/>
  <c r="A13" i="7"/>
  <c r="A14" i="7"/>
  <c r="A18" i="7"/>
  <c r="A20" i="7"/>
  <c r="A24" i="7"/>
  <c r="A25" i="7"/>
  <c r="A26" i="7"/>
  <c r="A28" i="7"/>
  <c r="A30" i="7"/>
  <c r="A35" i="3"/>
  <c r="A36" i="3"/>
  <c r="A40" i="3"/>
  <c r="A42" i="3"/>
  <c r="A44" i="3"/>
  <c r="A14" i="3"/>
  <c r="A16" i="3"/>
  <c r="A18" i="3"/>
  <c r="A20" i="3"/>
  <c r="A23" i="3"/>
  <c r="A25" i="3"/>
  <c r="A28" i="3"/>
  <c r="A30" i="3"/>
  <c r="L14" i="3"/>
  <c r="CH9" i="10" l="1"/>
  <c r="DG10" i="20"/>
  <c r="DF10" i="20"/>
  <c r="DC10" i="20"/>
  <c r="DD10" i="20"/>
  <c r="DE10" i="20"/>
  <c r="DA10" i="20"/>
  <c r="DB10" i="20"/>
  <c r="CM10" i="20"/>
  <c r="CI10" i="20"/>
  <c r="CL10" i="20"/>
  <c r="CH10" i="20"/>
  <c r="CK10" i="20"/>
  <c r="CG10" i="20"/>
  <c r="CJ10" i="20"/>
  <c r="BS10" i="20"/>
  <c r="BO10" i="20"/>
  <c r="AD10" i="20"/>
  <c r="Z10" i="20"/>
  <c r="BR10" i="20"/>
  <c r="BN10" i="20"/>
  <c r="AC10" i="20"/>
  <c r="Y10" i="20"/>
  <c r="BQ10" i="20"/>
  <c r="BM10" i="20"/>
  <c r="AB10" i="20"/>
  <c r="AA10" i="20"/>
  <c r="AE10" i="20"/>
  <c r="BP10" i="20"/>
  <c r="AV10" i="20"/>
  <c r="AX10" i="20"/>
  <c r="AT10" i="20"/>
  <c r="AY10" i="20"/>
  <c r="AU10" i="20"/>
  <c r="AW10" i="20"/>
  <c r="AS10" i="20"/>
  <c r="A100" i="28"/>
  <c r="B100" i="28"/>
  <c r="C100" i="28"/>
  <c r="K100" i="28"/>
  <c r="N100" i="28"/>
  <c r="Q100" i="28"/>
  <c r="T100" i="28"/>
  <c r="W100" i="28"/>
  <c r="Z100" i="28"/>
  <c r="A5" i="28"/>
  <c r="C5" i="28"/>
  <c r="A6" i="28"/>
  <c r="C6" i="28"/>
  <c r="A7" i="28"/>
  <c r="C7" i="28"/>
  <c r="A102" i="27"/>
  <c r="A103" i="27"/>
  <c r="A104" i="27"/>
  <c r="A105" i="27"/>
  <c r="A106" i="27"/>
  <c r="A107" i="27"/>
  <c r="A108" i="27"/>
  <c r="A109" i="27"/>
  <c r="A110" i="27"/>
  <c r="A111" i="27"/>
  <c r="A112" i="27"/>
  <c r="A113" i="27"/>
  <c r="A114" i="27"/>
  <c r="A115" i="27"/>
  <c r="A116" i="27"/>
  <c r="A117" i="27"/>
  <c r="A118" i="27"/>
  <c r="A119" i="27"/>
  <c r="A120" i="27"/>
  <c r="A121" i="27"/>
  <c r="A122" i="27"/>
  <c r="A123" i="27"/>
  <c r="A124" i="27"/>
  <c r="A125" i="27"/>
  <c r="A126" i="27"/>
  <c r="A127" i="27"/>
  <c r="A128" i="27"/>
  <c r="A129" i="27"/>
  <c r="A134" i="27"/>
  <c r="A135" i="27"/>
  <c r="A136" i="27"/>
  <c r="A86" i="27"/>
  <c r="B86" i="27"/>
  <c r="C86" i="27"/>
  <c r="K86" i="27"/>
  <c r="S86" i="27"/>
  <c r="W86" i="27"/>
  <c r="AA86" i="27"/>
  <c r="AE86" i="27"/>
  <c r="A45" i="27"/>
  <c r="A46" i="27"/>
  <c r="A47" i="27"/>
  <c r="A48" i="27"/>
  <c r="A49" i="27"/>
  <c r="A50" i="27"/>
  <c r="A51" i="27"/>
  <c r="A52" i="27"/>
  <c r="A53" i="27"/>
  <c r="A54" i="27"/>
  <c r="A55" i="27"/>
  <c r="A56" i="27"/>
  <c r="A57" i="27"/>
  <c r="A58" i="27"/>
  <c r="A59" i="27"/>
  <c r="A60" i="27"/>
  <c r="A61" i="27"/>
  <c r="A62" i="27"/>
  <c r="A63" i="27"/>
  <c r="A64" i="27"/>
  <c r="A65" i="27"/>
  <c r="A66" i="27"/>
  <c r="A67" i="27"/>
  <c r="A68" i="27"/>
  <c r="A69" i="27"/>
  <c r="A70" i="27"/>
  <c r="A71" i="27"/>
  <c r="A72" i="27"/>
  <c r="A73" i="27"/>
  <c r="A74" i="27"/>
  <c r="A75" i="27"/>
  <c r="A38" i="27"/>
  <c r="A39" i="27"/>
  <c r="A40" i="27"/>
  <c r="A41" i="27"/>
  <c r="A42" i="27"/>
  <c r="A43" i="27"/>
  <c r="A44" i="27"/>
  <c r="O179" i="23"/>
  <c r="N179" i="23"/>
  <c r="M179" i="23"/>
  <c r="L179" i="23"/>
  <c r="K179" i="23"/>
  <c r="J179" i="23"/>
  <c r="O178" i="23"/>
  <c r="N178" i="23"/>
  <c r="M178" i="23"/>
  <c r="L178" i="23"/>
  <c r="K178" i="23"/>
  <c r="J178" i="23"/>
  <c r="O173" i="23"/>
  <c r="N173" i="23"/>
  <c r="M173" i="23"/>
  <c r="L173" i="23"/>
  <c r="K173" i="23"/>
  <c r="J173" i="23"/>
  <c r="O165" i="23"/>
  <c r="N165" i="23"/>
  <c r="M165" i="23"/>
  <c r="L165" i="23"/>
  <c r="K165" i="23"/>
  <c r="J165" i="23"/>
  <c r="O138" i="23"/>
  <c r="N138" i="23"/>
  <c r="M138" i="23"/>
  <c r="L138" i="23"/>
  <c r="K138" i="23"/>
  <c r="J138" i="23"/>
  <c r="O137" i="23"/>
  <c r="N137" i="23"/>
  <c r="M137" i="23"/>
  <c r="L137" i="23"/>
  <c r="K137" i="23"/>
  <c r="J137" i="23"/>
  <c r="O136" i="23"/>
  <c r="N136" i="23"/>
  <c r="M136" i="23"/>
  <c r="L136" i="23"/>
  <c r="K136" i="23"/>
  <c r="J136" i="23"/>
  <c r="O135" i="23"/>
  <c r="N135" i="23"/>
  <c r="M135" i="23"/>
  <c r="L135" i="23"/>
  <c r="K135" i="23"/>
  <c r="J135" i="23"/>
  <c r="O134" i="23"/>
  <c r="N134" i="23"/>
  <c r="M134" i="23"/>
  <c r="L134" i="23"/>
  <c r="K134" i="23"/>
  <c r="J134" i="23"/>
  <c r="O128" i="23"/>
  <c r="N128" i="23"/>
  <c r="M128" i="23"/>
  <c r="L128" i="23"/>
  <c r="K128" i="23"/>
  <c r="J128" i="23"/>
  <c r="O127" i="23"/>
  <c r="N127" i="23"/>
  <c r="M127" i="23"/>
  <c r="L127" i="23"/>
  <c r="K127" i="23"/>
  <c r="J127" i="23"/>
  <c r="O126" i="23"/>
  <c r="N126" i="23"/>
  <c r="M126" i="23"/>
  <c r="L126" i="23"/>
  <c r="K126" i="23"/>
  <c r="J126" i="23"/>
  <c r="O125" i="23"/>
  <c r="N125" i="23"/>
  <c r="M125" i="23"/>
  <c r="L125" i="23"/>
  <c r="K125" i="23"/>
  <c r="J125" i="23"/>
  <c r="O124" i="23"/>
  <c r="N124" i="23"/>
  <c r="M124" i="23"/>
  <c r="L124" i="23"/>
  <c r="K124" i="23"/>
  <c r="J124" i="23"/>
  <c r="O123" i="23"/>
  <c r="N123" i="23"/>
  <c r="M123" i="23"/>
  <c r="L123" i="23"/>
  <c r="K123" i="23"/>
  <c r="J123" i="23"/>
  <c r="O122" i="23"/>
  <c r="N122" i="23"/>
  <c r="M122" i="23"/>
  <c r="L122" i="23"/>
  <c r="K122" i="23"/>
  <c r="J122" i="23"/>
  <c r="O121" i="23"/>
  <c r="N121" i="23"/>
  <c r="M121" i="23"/>
  <c r="L121" i="23"/>
  <c r="K121" i="23"/>
  <c r="J121" i="23"/>
  <c r="O81" i="23"/>
  <c r="N81" i="23"/>
  <c r="M81" i="23"/>
  <c r="L81" i="23"/>
  <c r="K81" i="23"/>
  <c r="J81" i="23"/>
  <c r="O79" i="23"/>
  <c r="N79" i="23"/>
  <c r="M79" i="23"/>
  <c r="L79" i="23"/>
  <c r="K79" i="23"/>
  <c r="J79" i="23"/>
  <c r="O60" i="23"/>
  <c r="N60" i="23"/>
  <c r="M60" i="23"/>
  <c r="L60" i="23"/>
  <c r="K60" i="23"/>
  <c r="J60" i="23"/>
  <c r="O44" i="23"/>
  <c r="N44" i="23"/>
  <c r="M44" i="23"/>
  <c r="L44" i="23"/>
  <c r="K44" i="23"/>
  <c r="J44" i="23"/>
  <c r="O43" i="23"/>
  <c r="N43" i="23"/>
  <c r="M43" i="23"/>
  <c r="L43" i="23"/>
  <c r="K43" i="23"/>
  <c r="J43" i="23"/>
  <c r="O41" i="23"/>
  <c r="N41" i="23"/>
  <c r="M41" i="23"/>
  <c r="L41" i="23"/>
  <c r="K41" i="23"/>
  <c r="J41" i="23"/>
  <c r="O37" i="23"/>
  <c r="N37" i="23"/>
  <c r="M37" i="23"/>
  <c r="L37" i="23"/>
  <c r="K37" i="23"/>
  <c r="J37" i="23"/>
  <c r="O36" i="23"/>
  <c r="N36" i="23"/>
  <c r="M36" i="23"/>
  <c r="L36" i="23"/>
  <c r="K36" i="23"/>
  <c r="J36" i="23"/>
  <c r="O35" i="23"/>
  <c r="N35" i="23"/>
  <c r="M35" i="23"/>
  <c r="L35" i="23"/>
  <c r="K35" i="23"/>
  <c r="J35" i="23"/>
  <c r="O33" i="23"/>
  <c r="N33" i="23"/>
  <c r="M33" i="23"/>
  <c r="L33" i="23"/>
  <c r="K33" i="23"/>
  <c r="J33" i="23"/>
  <c r="A107" i="23"/>
  <c r="A108" i="23"/>
  <c r="A109" i="23"/>
  <c r="A110" i="23"/>
  <c r="A111" i="23"/>
  <c r="A112" i="23"/>
  <c r="A113" i="23"/>
  <c r="A114" i="23"/>
  <c r="A115" i="23"/>
  <c r="A116" i="23"/>
  <c r="A117" i="23"/>
  <c r="A118" i="23"/>
  <c r="A119" i="23"/>
  <c r="A120" i="23"/>
  <c r="A121" i="23"/>
  <c r="A122" i="23"/>
  <c r="A123" i="23"/>
  <c r="A124" i="23"/>
  <c r="A125" i="23"/>
  <c r="C107" i="23"/>
  <c r="D107" i="23"/>
  <c r="E107" i="23"/>
  <c r="F107" i="23"/>
  <c r="G107" i="23"/>
  <c r="H107" i="23"/>
  <c r="I107" i="23"/>
  <c r="S84" i="28" l="1"/>
  <c r="V84" i="2"/>
  <c r="W84" i="2" s="1"/>
  <c r="P84" i="28"/>
  <c r="S84" i="2"/>
  <c r="T84" i="2" s="1"/>
  <c r="Y84" i="28"/>
  <c r="AC84" i="2"/>
  <c r="AD84" i="2" s="1"/>
  <c r="J84" i="28"/>
  <c r="W84" i="20"/>
  <c r="M84" i="2"/>
  <c r="N84" i="2" s="1"/>
  <c r="V84" i="28"/>
  <c r="Y84" i="2"/>
  <c r="Z84" i="2" s="1"/>
  <c r="L120" i="23"/>
  <c r="K120" i="23"/>
  <c r="O120" i="23"/>
  <c r="M120" i="23"/>
  <c r="J120" i="23"/>
  <c r="N120" i="23"/>
  <c r="A169" i="26"/>
  <c r="B169" i="26"/>
  <c r="C169" i="26"/>
  <c r="A45" i="26"/>
  <c r="C45" i="26"/>
  <c r="D45" i="26"/>
  <c r="E45" i="26"/>
  <c r="F45" i="26"/>
  <c r="G45" i="26"/>
  <c r="H45" i="26"/>
  <c r="I45" i="26"/>
  <c r="A6" i="26"/>
  <c r="C6" i="26"/>
  <c r="D6" i="26"/>
  <c r="E6" i="26"/>
  <c r="F6" i="26"/>
  <c r="G6" i="26"/>
  <c r="H6" i="26"/>
  <c r="I6" i="26"/>
  <c r="C7" i="26"/>
  <c r="D7" i="26"/>
  <c r="E7" i="26"/>
  <c r="F7" i="26"/>
  <c r="G7" i="26"/>
  <c r="H7" i="26"/>
  <c r="I7" i="26"/>
  <c r="C8" i="26"/>
  <c r="D8" i="26"/>
  <c r="E8" i="26"/>
  <c r="F8" i="26"/>
  <c r="G8" i="26"/>
  <c r="H8" i="26"/>
  <c r="I8" i="26"/>
  <c r="O180" i="26"/>
  <c r="N180" i="26"/>
  <c r="M180" i="26"/>
  <c r="L180" i="26"/>
  <c r="K180" i="26"/>
  <c r="J180" i="26"/>
  <c r="O179" i="26"/>
  <c r="N179" i="26"/>
  <c r="M179" i="26"/>
  <c r="L179" i="26"/>
  <c r="K179" i="26"/>
  <c r="J179" i="26"/>
  <c r="O178" i="26"/>
  <c r="N178" i="26"/>
  <c r="M178" i="26"/>
  <c r="L178" i="26"/>
  <c r="K178" i="26"/>
  <c r="J178" i="26"/>
  <c r="O177" i="26"/>
  <c r="N177" i="26"/>
  <c r="M177" i="26"/>
  <c r="L177" i="26"/>
  <c r="K177" i="26"/>
  <c r="J177" i="26"/>
  <c r="O176" i="26"/>
  <c r="N176" i="26"/>
  <c r="M176" i="26"/>
  <c r="L176" i="26"/>
  <c r="K176" i="26"/>
  <c r="J176" i="26"/>
  <c r="O175" i="26"/>
  <c r="N175" i="26"/>
  <c r="M175" i="26"/>
  <c r="L175" i="26"/>
  <c r="K175" i="26"/>
  <c r="J175" i="26"/>
  <c r="O174" i="26"/>
  <c r="N174" i="26"/>
  <c r="M174" i="26"/>
  <c r="L174" i="26"/>
  <c r="K174" i="26"/>
  <c r="J174" i="26"/>
  <c r="O173" i="26"/>
  <c r="N173" i="26"/>
  <c r="M173" i="26"/>
  <c r="L173" i="26"/>
  <c r="K173" i="26"/>
  <c r="J173" i="26"/>
  <c r="O170" i="26"/>
  <c r="O169" i="26" s="1"/>
  <c r="O168" i="26" s="1"/>
  <c r="N170" i="26"/>
  <c r="N169" i="26" s="1"/>
  <c r="N168" i="26" s="1"/>
  <c r="M170" i="26"/>
  <c r="M169" i="26" s="1"/>
  <c r="M168" i="26" s="1"/>
  <c r="L170" i="26"/>
  <c r="L169" i="26" s="1"/>
  <c r="L168" i="26" s="1"/>
  <c r="K170" i="26"/>
  <c r="K169" i="26" s="1"/>
  <c r="K168" i="26" s="1"/>
  <c r="J170" i="26"/>
  <c r="J169" i="26" s="1"/>
  <c r="J168" i="26" s="1"/>
  <c r="O166" i="26"/>
  <c r="N166" i="26"/>
  <c r="M166" i="26"/>
  <c r="L166" i="26"/>
  <c r="K166" i="26"/>
  <c r="J166" i="26"/>
  <c r="O165" i="26"/>
  <c r="N165" i="26"/>
  <c r="M165" i="26"/>
  <c r="L165" i="26"/>
  <c r="K165" i="26"/>
  <c r="J165" i="26"/>
  <c r="O164" i="26"/>
  <c r="N164" i="26"/>
  <c r="M164" i="26"/>
  <c r="L164" i="26"/>
  <c r="K164" i="26"/>
  <c r="J164" i="26"/>
  <c r="O163" i="26"/>
  <c r="N163" i="26"/>
  <c r="M163" i="26"/>
  <c r="L163" i="26"/>
  <c r="K163" i="26"/>
  <c r="J163" i="26"/>
  <c r="O162" i="26"/>
  <c r="N162" i="26"/>
  <c r="M162" i="26"/>
  <c r="L162" i="26"/>
  <c r="K162" i="26"/>
  <c r="J162" i="26"/>
  <c r="O161" i="26"/>
  <c r="N161" i="26"/>
  <c r="M161" i="26"/>
  <c r="L161" i="26"/>
  <c r="K161" i="26"/>
  <c r="J161" i="26"/>
  <c r="O158" i="26"/>
  <c r="N158" i="26"/>
  <c r="M158" i="26"/>
  <c r="L158" i="26"/>
  <c r="K158" i="26"/>
  <c r="J158" i="26"/>
  <c r="O157" i="26"/>
  <c r="N157" i="26"/>
  <c r="M157" i="26"/>
  <c r="L157" i="26"/>
  <c r="K157" i="26"/>
  <c r="J157" i="26"/>
  <c r="O156" i="26"/>
  <c r="N156" i="26"/>
  <c r="M156" i="26"/>
  <c r="L156" i="26"/>
  <c r="K156" i="26"/>
  <c r="J156" i="26"/>
  <c r="O155" i="26"/>
  <c r="N155" i="26"/>
  <c r="M155" i="26"/>
  <c r="L155" i="26"/>
  <c r="K155" i="26"/>
  <c r="J155" i="26"/>
  <c r="O154" i="26"/>
  <c r="N154" i="26"/>
  <c r="M154" i="26"/>
  <c r="L154" i="26"/>
  <c r="K154" i="26"/>
  <c r="J154" i="26"/>
  <c r="O152" i="26"/>
  <c r="N152" i="26"/>
  <c r="M152" i="26"/>
  <c r="L152" i="26"/>
  <c r="K152" i="26"/>
  <c r="J152" i="26"/>
  <c r="O151" i="26"/>
  <c r="N151" i="26"/>
  <c r="M151" i="26"/>
  <c r="L151" i="26"/>
  <c r="K151" i="26"/>
  <c r="J151" i="26"/>
  <c r="O150" i="26"/>
  <c r="N150" i="26"/>
  <c r="M150" i="26"/>
  <c r="L150" i="26"/>
  <c r="K150" i="26"/>
  <c r="J150" i="26"/>
  <c r="O149" i="26"/>
  <c r="N149" i="26"/>
  <c r="M149" i="26"/>
  <c r="L149" i="26"/>
  <c r="K149" i="26"/>
  <c r="J149" i="26"/>
  <c r="O148" i="26"/>
  <c r="N148" i="26"/>
  <c r="M148" i="26"/>
  <c r="L148" i="26"/>
  <c r="K148" i="26"/>
  <c r="J148" i="26"/>
  <c r="O139" i="26"/>
  <c r="N139" i="26"/>
  <c r="M139" i="26"/>
  <c r="L139" i="26"/>
  <c r="K139" i="26"/>
  <c r="J139" i="26"/>
  <c r="O138" i="26"/>
  <c r="N138" i="26"/>
  <c r="M138" i="26"/>
  <c r="L138" i="26"/>
  <c r="K138" i="26"/>
  <c r="J138" i="26"/>
  <c r="O137" i="26"/>
  <c r="N137" i="26"/>
  <c r="M137" i="26"/>
  <c r="L137" i="26"/>
  <c r="K137" i="26"/>
  <c r="J137" i="26"/>
  <c r="O136" i="26"/>
  <c r="N136" i="26"/>
  <c r="M136" i="26"/>
  <c r="L136" i="26"/>
  <c r="K136" i="26"/>
  <c r="J136" i="26"/>
  <c r="O135" i="26"/>
  <c r="N135" i="26"/>
  <c r="M135" i="26"/>
  <c r="L135" i="26"/>
  <c r="K135" i="26"/>
  <c r="J135" i="26"/>
  <c r="O129" i="26"/>
  <c r="N129" i="26"/>
  <c r="M129" i="26"/>
  <c r="L129" i="26"/>
  <c r="K129" i="26"/>
  <c r="J129" i="26"/>
  <c r="O128" i="26"/>
  <c r="N128" i="26"/>
  <c r="M128" i="26"/>
  <c r="L128" i="26"/>
  <c r="K128" i="26"/>
  <c r="J128" i="26"/>
  <c r="O127" i="26"/>
  <c r="N127" i="26"/>
  <c r="M127" i="26"/>
  <c r="L127" i="26"/>
  <c r="K127" i="26"/>
  <c r="J127" i="26"/>
  <c r="O126" i="26"/>
  <c r="N126" i="26"/>
  <c r="M126" i="26"/>
  <c r="L126" i="26"/>
  <c r="K126" i="26"/>
  <c r="J126" i="26"/>
  <c r="O125" i="26"/>
  <c r="N125" i="26"/>
  <c r="M125" i="26"/>
  <c r="L125" i="26"/>
  <c r="K125" i="26"/>
  <c r="J125" i="26"/>
  <c r="O124" i="26"/>
  <c r="N124" i="26"/>
  <c r="M124" i="26"/>
  <c r="L124" i="26"/>
  <c r="K124" i="26"/>
  <c r="J124" i="26"/>
  <c r="O123" i="26"/>
  <c r="N123" i="26"/>
  <c r="M123" i="26"/>
  <c r="L123" i="26"/>
  <c r="K123" i="26"/>
  <c r="J123" i="26"/>
  <c r="O122" i="26"/>
  <c r="N122" i="26"/>
  <c r="M122" i="26"/>
  <c r="L122" i="26"/>
  <c r="K122" i="26"/>
  <c r="J122" i="26"/>
  <c r="O119" i="26"/>
  <c r="N119" i="26"/>
  <c r="M119" i="26"/>
  <c r="L119" i="26"/>
  <c r="K119" i="26"/>
  <c r="J119" i="26"/>
  <c r="O118" i="26"/>
  <c r="N118" i="26"/>
  <c r="M118" i="26"/>
  <c r="L118" i="26"/>
  <c r="K118" i="26"/>
  <c r="J118" i="26"/>
  <c r="O117" i="26"/>
  <c r="N117" i="26"/>
  <c r="M117" i="26"/>
  <c r="L117" i="26"/>
  <c r="K117" i="26"/>
  <c r="J117" i="26"/>
  <c r="O116" i="26"/>
  <c r="N116" i="26"/>
  <c r="M116" i="26"/>
  <c r="L116" i="26"/>
  <c r="K116" i="26"/>
  <c r="J116" i="26"/>
  <c r="O115" i="26"/>
  <c r="N115" i="26"/>
  <c r="M115" i="26"/>
  <c r="L115" i="26"/>
  <c r="K115" i="26"/>
  <c r="J115" i="26"/>
  <c r="O113" i="26"/>
  <c r="N113" i="26"/>
  <c r="M113" i="26"/>
  <c r="L113" i="26"/>
  <c r="K113" i="26"/>
  <c r="J113" i="26"/>
  <c r="O112" i="26"/>
  <c r="N112" i="26"/>
  <c r="M112" i="26"/>
  <c r="L112" i="26"/>
  <c r="K112" i="26"/>
  <c r="J112" i="26"/>
  <c r="O111" i="26"/>
  <c r="N111" i="26"/>
  <c r="M111" i="26"/>
  <c r="L111" i="26"/>
  <c r="K111" i="26"/>
  <c r="J111" i="26"/>
  <c r="O110" i="26"/>
  <c r="N110" i="26"/>
  <c r="M110" i="26"/>
  <c r="L110" i="26"/>
  <c r="K110" i="26"/>
  <c r="J110" i="26"/>
  <c r="O109" i="26"/>
  <c r="N109" i="26"/>
  <c r="M109" i="26"/>
  <c r="L109" i="26"/>
  <c r="K109" i="26"/>
  <c r="J109" i="26"/>
  <c r="O107" i="26"/>
  <c r="N107" i="26"/>
  <c r="M107" i="26"/>
  <c r="L107" i="26"/>
  <c r="K107" i="26"/>
  <c r="J107" i="26"/>
  <c r="O106" i="26"/>
  <c r="N106" i="26"/>
  <c r="M106" i="26"/>
  <c r="L106" i="26"/>
  <c r="K106" i="26"/>
  <c r="J106" i="26"/>
  <c r="O105" i="26"/>
  <c r="N105" i="26"/>
  <c r="M105" i="26"/>
  <c r="L105" i="26"/>
  <c r="K105" i="26"/>
  <c r="J105" i="26"/>
  <c r="O104" i="26"/>
  <c r="N104" i="26"/>
  <c r="M104" i="26"/>
  <c r="L104" i="26"/>
  <c r="K104" i="26"/>
  <c r="J104" i="26"/>
  <c r="O103" i="26"/>
  <c r="N103" i="26"/>
  <c r="M103" i="26"/>
  <c r="L103" i="26"/>
  <c r="K103" i="26"/>
  <c r="J103" i="26"/>
  <c r="O98" i="26"/>
  <c r="N98" i="26"/>
  <c r="M98" i="26"/>
  <c r="L98" i="26"/>
  <c r="K98" i="26"/>
  <c r="J98" i="26"/>
  <c r="O97" i="26"/>
  <c r="N97" i="26"/>
  <c r="M97" i="26"/>
  <c r="L97" i="26"/>
  <c r="K97" i="26"/>
  <c r="J97" i="26"/>
  <c r="O96" i="26"/>
  <c r="N96" i="26"/>
  <c r="M96" i="26"/>
  <c r="L96" i="26"/>
  <c r="K96" i="26"/>
  <c r="J96" i="26"/>
  <c r="O95" i="26"/>
  <c r="N95" i="26"/>
  <c r="M95" i="26"/>
  <c r="L95" i="26"/>
  <c r="K95" i="26"/>
  <c r="J95" i="26"/>
  <c r="O94" i="26"/>
  <c r="N94" i="26"/>
  <c r="M94" i="26"/>
  <c r="L94" i="26"/>
  <c r="K94" i="26"/>
  <c r="J94" i="26"/>
  <c r="O93" i="26"/>
  <c r="N93" i="26"/>
  <c r="M93" i="26"/>
  <c r="L93" i="26"/>
  <c r="K93" i="26"/>
  <c r="J93" i="26"/>
  <c r="O91" i="26"/>
  <c r="N91" i="26"/>
  <c r="M91" i="26"/>
  <c r="L91" i="26"/>
  <c r="K91" i="26"/>
  <c r="J91" i="26"/>
  <c r="O90" i="26"/>
  <c r="N90" i="26"/>
  <c r="M90" i="26"/>
  <c r="L90" i="26"/>
  <c r="K90" i="26"/>
  <c r="J90" i="26"/>
  <c r="O89" i="26"/>
  <c r="N89" i="26"/>
  <c r="M89" i="26"/>
  <c r="L89" i="26"/>
  <c r="K89" i="26"/>
  <c r="J89" i="26"/>
  <c r="O88" i="26"/>
  <c r="N88" i="26"/>
  <c r="M88" i="26"/>
  <c r="L88" i="26"/>
  <c r="K88" i="26"/>
  <c r="J88" i="26"/>
  <c r="O87" i="26"/>
  <c r="N87" i="26"/>
  <c r="M87" i="26"/>
  <c r="L87" i="26"/>
  <c r="K87" i="26"/>
  <c r="J87" i="26"/>
  <c r="O82" i="26"/>
  <c r="N82" i="26"/>
  <c r="M82" i="26"/>
  <c r="L82" i="26"/>
  <c r="K82" i="26"/>
  <c r="J82" i="26"/>
  <c r="O81" i="26"/>
  <c r="N81" i="26"/>
  <c r="M81" i="26"/>
  <c r="L81" i="26"/>
  <c r="K81" i="26"/>
  <c r="J81" i="26"/>
  <c r="O80" i="26"/>
  <c r="N80" i="26"/>
  <c r="M80" i="26"/>
  <c r="L80" i="26"/>
  <c r="K80" i="26"/>
  <c r="J80" i="26"/>
  <c r="O78" i="26"/>
  <c r="N78" i="26"/>
  <c r="M78" i="26"/>
  <c r="L78" i="26"/>
  <c r="K78" i="26"/>
  <c r="J78" i="26"/>
  <c r="O77" i="26"/>
  <c r="N77" i="26"/>
  <c r="M77" i="26"/>
  <c r="L77" i="26"/>
  <c r="K77" i="26"/>
  <c r="J77" i="26"/>
  <c r="O76" i="26"/>
  <c r="N76" i="26"/>
  <c r="M76" i="26"/>
  <c r="L76" i="26"/>
  <c r="K76" i="26"/>
  <c r="J76" i="26"/>
  <c r="O75" i="26"/>
  <c r="N75" i="26"/>
  <c r="M75" i="26"/>
  <c r="L75" i="26"/>
  <c r="K75" i="26"/>
  <c r="J75" i="26"/>
  <c r="O71" i="26"/>
  <c r="N71" i="26"/>
  <c r="M71" i="26"/>
  <c r="L71" i="26"/>
  <c r="K71" i="26"/>
  <c r="J71" i="26"/>
  <c r="O70" i="26"/>
  <c r="N70" i="26"/>
  <c r="M70" i="26"/>
  <c r="L70" i="26"/>
  <c r="K70" i="26"/>
  <c r="J70" i="26"/>
  <c r="O69" i="26"/>
  <c r="N69" i="26"/>
  <c r="M69" i="26"/>
  <c r="L69" i="26"/>
  <c r="K69" i="26"/>
  <c r="J69" i="26"/>
  <c r="O68" i="26"/>
  <c r="N68" i="26"/>
  <c r="M68" i="26"/>
  <c r="L68" i="26"/>
  <c r="K68" i="26"/>
  <c r="J68" i="26"/>
  <c r="O67" i="26"/>
  <c r="N67" i="26"/>
  <c r="M67" i="26"/>
  <c r="L67" i="26"/>
  <c r="K67" i="26"/>
  <c r="J67" i="26"/>
  <c r="O65" i="26"/>
  <c r="N65" i="26"/>
  <c r="M65" i="26"/>
  <c r="L65" i="26"/>
  <c r="K65" i="26"/>
  <c r="J65" i="26"/>
  <c r="O64" i="26"/>
  <c r="N64" i="26"/>
  <c r="M64" i="26"/>
  <c r="L64" i="26"/>
  <c r="K64" i="26"/>
  <c r="J64" i="26"/>
  <c r="O63" i="26"/>
  <c r="N63" i="26"/>
  <c r="M63" i="26"/>
  <c r="L63" i="26"/>
  <c r="K63" i="26"/>
  <c r="J63" i="26"/>
  <c r="O62" i="26"/>
  <c r="N62" i="26"/>
  <c r="M62" i="26"/>
  <c r="L62" i="26"/>
  <c r="K62" i="26"/>
  <c r="J62" i="26"/>
  <c r="O60" i="26"/>
  <c r="N60" i="26"/>
  <c r="M60" i="26"/>
  <c r="L60" i="26"/>
  <c r="K60" i="26"/>
  <c r="J60" i="26"/>
  <c r="O59" i="26"/>
  <c r="N59" i="26"/>
  <c r="M59" i="26"/>
  <c r="L59" i="26"/>
  <c r="K59" i="26"/>
  <c r="J59" i="26"/>
  <c r="O58" i="26"/>
  <c r="N58" i="26"/>
  <c r="M58" i="26"/>
  <c r="L58" i="26"/>
  <c r="K58" i="26"/>
  <c r="J58" i="26"/>
  <c r="O56" i="26"/>
  <c r="O55" i="26" s="1"/>
  <c r="N56" i="26"/>
  <c r="N55" i="26" s="1"/>
  <c r="M56" i="26"/>
  <c r="M55" i="26" s="1"/>
  <c r="L56" i="26"/>
  <c r="L55" i="26" s="1"/>
  <c r="K56" i="26"/>
  <c r="K55" i="26" s="1"/>
  <c r="J56" i="26"/>
  <c r="J55" i="26" s="1"/>
  <c r="O54" i="26"/>
  <c r="N54" i="26"/>
  <c r="M54" i="26"/>
  <c r="L54" i="26"/>
  <c r="K54" i="26"/>
  <c r="J54" i="26"/>
  <c r="O53" i="26"/>
  <c r="N53" i="26"/>
  <c r="M53" i="26"/>
  <c r="L53" i="26"/>
  <c r="K53" i="26"/>
  <c r="J53" i="26"/>
  <c r="O52" i="26"/>
  <c r="N52" i="26"/>
  <c r="M52" i="26"/>
  <c r="L52" i="26"/>
  <c r="K52" i="26"/>
  <c r="J52" i="26"/>
  <c r="O51" i="26"/>
  <c r="N51" i="26"/>
  <c r="M51" i="26"/>
  <c r="L51" i="26"/>
  <c r="K51" i="26"/>
  <c r="J51" i="26"/>
  <c r="O50" i="26"/>
  <c r="N50" i="26"/>
  <c r="M50" i="26"/>
  <c r="L50" i="26"/>
  <c r="K50" i="26"/>
  <c r="J50" i="26"/>
  <c r="O48" i="26"/>
  <c r="N48" i="26"/>
  <c r="M48" i="26"/>
  <c r="L48" i="26"/>
  <c r="K48" i="26"/>
  <c r="J48" i="26"/>
  <c r="O47" i="26"/>
  <c r="N47" i="26"/>
  <c r="M47" i="26"/>
  <c r="L47" i="26"/>
  <c r="K47" i="26"/>
  <c r="J47" i="26"/>
  <c r="O46" i="26"/>
  <c r="N46" i="26"/>
  <c r="M46" i="26"/>
  <c r="L46" i="26"/>
  <c r="K46" i="26"/>
  <c r="J46" i="26"/>
  <c r="O44" i="26"/>
  <c r="N44" i="26"/>
  <c r="M44" i="26"/>
  <c r="L44" i="26"/>
  <c r="K44" i="26"/>
  <c r="J44" i="26"/>
  <c r="O43" i="26"/>
  <c r="N43" i="26"/>
  <c r="M43" i="26"/>
  <c r="L43" i="26"/>
  <c r="K43" i="26"/>
  <c r="J43" i="26"/>
  <c r="O42" i="26"/>
  <c r="N42" i="26"/>
  <c r="M42" i="26"/>
  <c r="L42" i="26"/>
  <c r="K42" i="26"/>
  <c r="J42" i="26"/>
  <c r="O41" i="26"/>
  <c r="N41" i="26"/>
  <c r="M41" i="26"/>
  <c r="L41" i="26"/>
  <c r="K41" i="26"/>
  <c r="J41" i="26"/>
  <c r="O40" i="26"/>
  <c r="N40" i="26"/>
  <c r="M40" i="26"/>
  <c r="L40" i="26"/>
  <c r="K40" i="26"/>
  <c r="J40" i="26"/>
  <c r="O39" i="26"/>
  <c r="N39" i="26"/>
  <c r="M39" i="26"/>
  <c r="L39" i="26"/>
  <c r="K39" i="26"/>
  <c r="J39" i="26"/>
  <c r="O37" i="26"/>
  <c r="N37" i="26"/>
  <c r="M37" i="26"/>
  <c r="L37" i="26"/>
  <c r="K37" i="26"/>
  <c r="J37" i="26"/>
  <c r="O36" i="26"/>
  <c r="N36" i="26"/>
  <c r="M36" i="26"/>
  <c r="L36" i="26"/>
  <c r="K36" i="26"/>
  <c r="J36" i="26"/>
  <c r="O35" i="26"/>
  <c r="N35" i="26"/>
  <c r="M35" i="26"/>
  <c r="L35" i="26"/>
  <c r="K35" i="26"/>
  <c r="J35" i="26"/>
  <c r="O34" i="26"/>
  <c r="N34" i="26"/>
  <c r="M34" i="26"/>
  <c r="L34" i="26"/>
  <c r="K34" i="26"/>
  <c r="J34" i="26"/>
  <c r="O33" i="26"/>
  <c r="N33" i="26"/>
  <c r="M33" i="26"/>
  <c r="L33" i="26"/>
  <c r="K33" i="26"/>
  <c r="J33" i="26"/>
  <c r="O31" i="26"/>
  <c r="N31" i="26"/>
  <c r="M31" i="26"/>
  <c r="L31" i="26"/>
  <c r="K31" i="26"/>
  <c r="J31" i="26"/>
  <c r="O30" i="26"/>
  <c r="N30" i="26"/>
  <c r="M30" i="26"/>
  <c r="L30" i="26"/>
  <c r="K30" i="26"/>
  <c r="J30" i="26"/>
  <c r="O29" i="26"/>
  <c r="N29" i="26"/>
  <c r="M29" i="26"/>
  <c r="L29" i="26"/>
  <c r="K29" i="26"/>
  <c r="J29" i="26"/>
  <c r="O28" i="26"/>
  <c r="N28" i="26"/>
  <c r="M28" i="26"/>
  <c r="L28" i="26"/>
  <c r="K28" i="26"/>
  <c r="J28" i="26"/>
  <c r="O27" i="26"/>
  <c r="N27" i="26"/>
  <c r="M27" i="26"/>
  <c r="L27" i="26"/>
  <c r="K27" i="26"/>
  <c r="J27" i="26"/>
  <c r="O26" i="26"/>
  <c r="N26" i="26"/>
  <c r="M26" i="26"/>
  <c r="L26" i="26"/>
  <c r="K26" i="26"/>
  <c r="J26" i="26"/>
  <c r="O25" i="26"/>
  <c r="N25" i="26"/>
  <c r="M25" i="26"/>
  <c r="L25" i="26"/>
  <c r="K25" i="26"/>
  <c r="J25" i="26"/>
  <c r="O24" i="26"/>
  <c r="N24" i="26"/>
  <c r="M24" i="26"/>
  <c r="L24" i="26"/>
  <c r="K24" i="26"/>
  <c r="J24" i="26"/>
  <c r="O23" i="26"/>
  <c r="N23" i="26"/>
  <c r="M23" i="26"/>
  <c r="L23" i="26"/>
  <c r="K23" i="26"/>
  <c r="J23" i="26"/>
  <c r="O22" i="26"/>
  <c r="N22" i="26"/>
  <c r="M22" i="26"/>
  <c r="L22" i="26"/>
  <c r="K22" i="26"/>
  <c r="J22" i="26"/>
  <c r="O21" i="26"/>
  <c r="N21" i="26"/>
  <c r="M21" i="26"/>
  <c r="L21" i="26"/>
  <c r="K21" i="26"/>
  <c r="J21" i="26"/>
  <c r="O20" i="26"/>
  <c r="N20" i="26"/>
  <c r="M20" i="26"/>
  <c r="L20" i="26"/>
  <c r="K20" i="26"/>
  <c r="J20" i="26"/>
  <c r="O19" i="26"/>
  <c r="N19" i="26"/>
  <c r="M19" i="26"/>
  <c r="L19" i="26"/>
  <c r="K19" i="26"/>
  <c r="J19" i="26"/>
  <c r="O18" i="26"/>
  <c r="N18" i="26"/>
  <c r="M18" i="26"/>
  <c r="L18" i="26"/>
  <c r="K18" i="26"/>
  <c r="J18" i="26"/>
  <c r="O17" i="26"/>
  <c r="N17" i="26"/>
  <c r="M17" i="26"/>
  <c r="L17" i="26"/>
  <c r="K17" i="26"/>
  <c r="J17" i="26"/>
  <c r="O16" i="26"/>
  <c r="N16" i="26"/>
  <c r="M16" i="26"/>
  <c r="L16" i="26"/>
  <c r="K16" i="26"/>
  <c r="J16" i="26"/>
  <c r="O15" i="26"/>
  <c r="N15" i="26"/>
  <c r="M15" i="26"/>
  <c r="L15" i="26"/>
  <c r="K15" i="26"/>
  <c r="J15" i="26"/>
  <c r="O14" i="26"/>
  <c r="N14" i="26"/>
  <c r="M14" i="26"/>
  <c r="L14" i="26"/>
  <c r="K14" i="26"/>
  <c r="J14" i="26"/>
  <c r="O13" i="26"/>
  <c r="N13" i="26"/>
  <c r="M13" i="26"/>
  <c r="L13" i="26"/>
  <c r="K13" i="26"/>
  <c r="J13" i="26"/>
  <c r="O12" i="26"/>
  <c r="N12" i="26"/>
  <c r="M12" i="26"/>
  <c r="L12" i="26"/>
  <c r="K12" i="26"/>
  <c r="J12" i="26"/>
  <c r="O11" i="26"/>
  <c r="N11" i="26"/>
  <c r="M11" i="26"/>
  <c r="L11" i="26"/>
  <c r="K11" i="26"/>
  <c r="J11" i="26"/>
  <c r="O10" i="26"/>
  <c r="N10" i="26"/>
  <c r="M10" i="26"/>
  <c r="L10" i="26"/>
  <c r="K10" i="26"/>
  <c r="J10" i="26"/>
  <c r="S9" i="26"/>
  <c r="O9" i="26"/>
  <c r="N9" i="26"/>
  <c r="M9" i="26"/>
  <c r="L9" i="26"/>
  <c r="K9" i="26"/>
  <c r="J9" i="26"/>
  <c r="O180" i="25"/>
  <c r="N180" i="25"/>
  <c r="M180" i="25"/>
  <c r="L180" i="25"/>
  <c r="K180" i="25"/>
  <c r="J180" i="25"/>
  <c r="O179" i="25"/>
  <c r="N179" i="25"/>
  <c r="M179" i="25"/>
  <c r="L179" i="25"/>
  <c r="K179" i="25"/>
  <c r="J179" i="25"/>
  <c r="O174" i="25"/>
  <c r="N174" i="25"/>
  <c r="M174" i="25"/>
  <c r="L174" i="25"/>
  <c r="K174" i="25"/>
  <c r="J174" i="25"/>
  <c r="O166" i="25"/>
  <c r="N166" i="25"/>
  <c r="M166" i="25"/>
  <c r="L166" i="25"/>
  <c r="K166" i="25"/>
  <c r="J166" i="25"/>
  <c r="O165" i="25"/>
  <c r="N165" i="25"/>
  <c r="M165" i="25"/>
  <c r="L165" i="25"/>
  <c r="K165" i="25"/>
  <c r="J165" i="25"/>
  <c r="O164" i="25"/>
  <c r="N164" i="25"/>
  <c r="M164" i="25"/>
  <c r="L164" i="25"/>
  <c r="K164" i="25"/>
  <c r="J164" i="25"/>
  <c r="O163" i="25"/>
  <c r="N163" i="25"/>
  <c r="M163" i="25"/>
  <c r="L163" i="25"/>
  <c r="K163" i="25"/>
  <c r="J163" i="25"/>
  <c r="O162" i="25"/>
  <c r="N162" i="25"/>
  <c r="M162" i="25"/>
  <c r="L162" i="25"/>
  <c r="K162" i="25"/>
  <c r="J162" i="25"/>
  <c r="O139" i="25"/>
  <c r="N139" i="25"/>
  <c r="M139" i="25"/>
  <c r="L139" i="25"/>
  <c r="K139" i="25"/>
  <c r="J139" i="25"/>
  <c r="O138" i="25"/>
  <c r="N138" i="25"/>
  <c r="M138" i="25"/>
  <c r="L138" i="25"/>
  <c r="K138" i="25"/>
  <c r="J138" i="25"/>
  <c r="O137" i="25"/>
  <c r="N137" i="25"/>
  <c r="M137" i="25"/>
  <c r="L137" i="25"/>
  <c r="K137" i="25"/>
  <c r="J137" i="25"/>
  <c r="O136" i="25"/>
  <c r="N136" i="25"/>
  <c r="M136" i="25"/>
  <c r="L136" i="25"/>
  <c r="K136" i="25"/>
  <c r="J136" i="25"/>
  <c r="O135" i="25"/>
  <c r="N135" i="25"/>
  <c r="M135" i="25"/>
  <c r="L135" i="25"/>
  <c r="K135" i="25"/>
  <c r="J135" i="25"/>
  <c r="O129" i="25"/>
  <c r="N129" i="25"/>
  <c r="M129" i="25"/>
  <c r="L129" i="25"/>
  <c r="K129" i="25"/>
  <c r="J129" i="25"/>
  <c r="O128" i="25"/>
  <c r="N128" i="25"/>
  <c r="M128" i="25"/>
  <c r="L128" i="25"/>
  <c r="K128" i="25"/>
  <c r="J128" i="25"/>
  <c r="O127" i="25"/>
  <c r="N127" i="25"/>
  <c r="M127" i="25"/>
  <c r="L127" i="25"/>
  <c r="K127" i="25"/>
  <c r="J127" i="25"/>
  <c r="O126" i="25"/>
  <c r="N126" i="25"/>
  <c r="M126" i="25"/>
  <c r="L126" i="25"/>
  <c r="K126" i="25"/>
  <c r="J126" i="25"/>
  <c r="O125" i="25"/>
  <c r="N125" i="25"/>
  <c r="M125" i="25"/>
  <c r="L125" i="25"/>
  <c r="K125" i="25"/>
  <c r="J125" i="25"/>
  <c r="O124" i="25"/>
  <c r="N124" i="25"/>
  <c r="M124" i="25"/>
  <c r="L124" i="25"/>
  <c r="K124" i="25"/>
  <c r="J124" i="25"/>
  <c r="O123" i="25"/>
  <c r="N123" i="25"/>
  <c r="M123" i="25"/>
  <c r="L123" i="25"/>
  <c r="K123" i="25"/>
  <c r="J123" i="25"/>
  <c r="O122" i="25"/>
  <c r="N122" i="25"/>
  <c r="M122" i="25"/>
  <c r="L122" i="25"/>
  <c r="K122" i="25"/>
  <c r="J122" i="25"/>
  <c r="O119" i="25"/>
  <c r="N119" i="25"/>
  <c r="M119" i="25"/>
  <c r="L119" i="25"/>
  <c r="K119" i="25"/>
  <c r="J119" i="25"/>
  <c r="O118" i="25"/>
  <c r="N118" i="25"/>
  <c r="M118" i="25"/>
  <c r="L118" i="25"/>
  <c r="K118" i="25"/>
  <c r="J118" i="25"/>
  <c r="O117" i="25"/>
  <c r="N117" i="25"/>
  <c r="M117" i="25"/>
  <c r="L117" i="25"/>
  <c r="K117" i="25"/>
  <c r="J117" i="25"/>
  <c r="O116" i="25"/>
  <c r="N116" i="25"/>
  <c r="M116" i="25"/>
  <c r="L116" i="25"/>
  <c r="K116" i="25"/>
  <c r="J116" i="25"/>
  <c r="O115" i="25"/>
  <c r="N115" i="25"/>
  <c r="M115" i="25"/>
  <c r="L115" i="25"/>
  <c r="K115" i="25"/>
  <c r="J115" i="25"/>
  <c r="A120" i="25"/>
  <c r="B120" i="25"/>
  <c r="A153" i="25"/>
  <c r="A154" i="25"/>
  <c r="A155" i="25"/>
  <c r="A156" i="25"/>
  <c r="A157" i="25"/>
  <c r="A158" i="25"/>
  <c r="A159" i="25"/>
  <c r="A160" i="25"/>
  <c r="A161" i="25"/>
  <c r="A162" i="25"/>
  <c r="A163" i="25"/>
  <c r="A164" i="25"/>
  <c r="A165" i="25"/>
  <c r="A166" i="25"/>
  <c r="A167" i="25"/>
  <c r="A168" i="25"/>
  <c r="A169" i="25"/>
  <c r="A170" i="25"/>
  <c r="A171" i="25"/>
  <c r="A172" i="25"/>
  <c r="A173" i="25"/>
  <c r="A174" i="25"/>
  <c r="A175" i="25"/>
  <c r="A176" i="25"/>
  <c r="O107" i="25"/>
  <c r="N107" i="25"/>
  <c r="M107" i="25"/>
  <c r="L107" i="25"/>
  <c r="K107" i="25"/>
  <c r="J107" i="25"/>
  <c r="O105" i="25"/>
  <c r="N105" i="25"/>
  <c r="M105" i="25"/>
  <c r="L105" i="25"/>
  <c r="K105" i="25"/>
  <c r="J105" i="25"/>
  <c r="O98" i="25"/>
  <c r="N98" i="25"/>
  <c r="M98" i="25"/>
  <c r="L98" i="25"/>
  <c r="K98" i="25"/>
  <c r="J98" i="25"/>
  <c r="O97" i="25"/>
  <c r="N97" i="25"/>
  <c r="M97" i="25"/>
  <c r="L97" i="25"/>
  <c r="K97" i="25"/>
  <c r="J97" i="25"/>
  <c r="O96" i="25"/>
  <c r="N96" i="25"/>
  <c r="M96" i="25"/>
  <c r="L96" i="25"/>
  <c r="K96" i="25"/>
  <c r="J96" i="25"/>
  <c r="O95" i="25"/>
  <c r="N95" i="25"/>
  <c r="M95" i="25"/>
  <c r="L95" i="25"/>
  <c r="K95" i="25"/>
  <c r="J95" i="25"/>
  <c r="O91" i="25"/>
  <c r="N91" i="25"/>
  <c r="M91" i="25"/>
  <c r="L91" i="25"/>
  <c r="K91" i="25"/>
  <c r="J91" i="25"/>
  <c r="O90" i="25"/>
  <c r="N90" i="25"/>
  <c r="M90" i="25"/>
  <c r="L90" i="25"/>
  <c r="K90" i="25"/>
  <c r="J90" i="25"/>
  <c r="O87" i="25"/>
  <c r="N87" i="25"/>
  <c r="M87" i="25"/>
  <c r="L87" i="25"/>
  <c r="K87" i="25"/>
  <c r="J87" i="25"/>
  <c r="O82" i="25"/>
  <c r="N82" i="25"/>
  <c r="M82" i="25"/>
  <c r="L82" i="25"/>
  <c r="K82" i="25"/>
  <c r="J82" i="25"/>
  <c r="O80" i="25"/>
  <c r="N80" i="25"/>
  <c r="M80" i="25"/>
  <c r="L80" i="25"/>
  <c r="K80" i="25"/>
  <c r="J80" i="25"/>
  <c r="O78" i="25"/>
  <c r="N78" i="25"/>
  <c r="M78" i="25"/>
  <c r="L78" i="25"/>
  <c r="K78" i="25"/>
  <c r="J78" i="25"/>
  <c r="O77" i="25"/>
  <c r="N77" i="25"/>
  <c r="M77" i="25"/>
  <c r="L77" i="25"/>
  <c r="K77" i="25"/>
  <c r="J77" i="25"/>
  <c r="O76" i="25"/>
  <c r="N76" i="25"/>
  <c r="M76" i="25"/>
  <c r="L76" i="25"/>
  <c r="K76" i="25"/>
  <c r="J76" i="25"/>
  <c r="O75" i="25"/>
  <c r="N75" i="25"/>
  <c r="M75" i="25"/>
  <c r="L75" i="25"/>
  <c r="K75" i="25"/>
  <c r="J75" i="25"/>
  <c r="O72" i="25"/>
  <c r="N72" i="25"/>
  <c r="M72" i="25"/>
  <c r="L72" i="25"/>
  <c r="K72" i="25"/>
  <c r="J72" i="25"/>
  <c r="O71" i="25"/>
  <c r="N71" i="25"/>
  <c r="M71" i="25"/>
  <c r="L71" i="25"/>
  <c r="K71" i="25"/>
  <c r="J71" i="25"/>
  <c r="O70" i="25"/>
  <c r="N70" i="25"/>
  <c r="M70" i="25"/>
  <c r="L70" i="25"/>
  <c r="K70" i="25"/>
  <c r="J70" i="25"/>
  <c r="O69" i="25"/>
  <c r="N69" i="25"/>
  <c r="M69" i="25"/>
  <c r="L69" i="25"/>
  <c r="K69" i="25"/>
  <c r="J69" i="25"/>
  <c r="O68" i="25"/>
  <c r="N68" i="25"/>
  <c r="M68" i="25"/>
  <c r="L68" i="25"/>
  <c r="K68" i="25"/>
  <c r="J68" i="25"/>
  <c r="O66" i="25"/>
  <c r="N66" i="25"/>
  <c r="M66" i="25"/>
  <c r="L66" i="25"/>
  <c r="K66" i="25"/>
  <c r="J66" i="25"/>
  <c r="A67" i="25"/>
  <c r="C67" i="25"/>
  <c r="A68" i="25"/>
  <c r="A69" i="25"/>
  <c r="A70" i="25"/>
  <c r="A71" i="25"/>
  <c r="A72" i="25"/>
  <c r="A73" i="25"/>
  <c r="A74" i="25"/>
  <c r="A75" i="25"/>
  <c r="A76" i="25"/>
  <c r="A77" i="25"/>
  <c r="A78" i="25"/>
  <c r="A79" i="25"/>
  <c r="A80" i="25"/>
  <c r="A81" i="25"/>
  <c r="A82" i="25"/>
  <c r="A83" i="25"/>
  <c r="A86" i="25"/>
  <c r="A87" i="25"/>
  <c r="A88" i="25"/>
  <c r="A89" i="25"/>
  <c r="A90" i="25"/>
  <c r="A91" i="25"/>
  <c r="A56" i="25"/>
  <c r="O61" i="25"/>
  <c r="N61" i="25"/>
  <c r="M61" i="25"/>
  <c r="L61" i="25"/>
  <c r="K61" i="25"/>
  <c r="J61" i="25"/>
  <c r="A58" i="25"/>
  <c r="A59" i="25"/>
  <c r="A60" i="25"/>
  <c r="A61" i="25"/>
  <c r="A62" i="25"/>
  <c r="A63" i="25"/>
  <c r="A64" i="25"/>
  <c r="A65" i="25"/>
  <c r="A66" i="25"/>
  <c r="O45" i="25"/>
  <c r="N45" i="25"/>
  <c r="M45" i="25"/>
  <c r="L45" i="25"/>
  <c r="K45" i="25"/>
  <c r="J45" i="25"/>
  <c r="O44" i="25"/>
  <c r="N44" i="25"/>
  <c r="M44" i="25"/>
  <c r="L44" i="25"/>
  <c r="K44" i="25"/>
  <c r="J44" i="25"/>
  <c r="O42" i="25"/>
  <c r="N42" i="25"/>
  <c r="M42" i="25"/>
  <c r="L42" i="25"/>
  <c r="K42" i="25"/>
  <c r="J42" i="25"/>
  <c r="O38" i="25"/>
  <c r="N38" i="25"/>
  <c r="M38" i="25"/>
  <c r="L38" i="25"/>
  <c r="K38" i="25"/>
  <c r="J38" i="25"/>
  <c r="O37" i="25"/>
  <c r="N37" i="25"/>
  <c r="M37" i="25"/>
  <c r="L37" i="25"/>
  <c r="K37" i="25"/>
  <c r="J37" i="25"/>
  <c r="O36" i="25"/>
  <c r="N36" i="25"/>
  <c r="M36" i="25"/>
  <c r="L36" i="25"/>
  <c r="K36" i="25"/>
  <c r="J36" i="25"/>
  <c r="O35" i="25"/>
  <c r="N35" i="25"/>
  <c r="M35" i="25"/>
  <c r="L35" i="25"/>
  <c r="K35" i="25"/>
  <c r="J35" i="25"/>
  <c r="O34" i="25"/>
  <c r="N34" i="25"/>
  <c r="M34" i="25"/>
  <c r="L34" i="25"/>
  <c r="K34" i="25"/>
  <c r="J34" i="25"/>
  <c r="A39" i="25"/>
  <c r="A40" i="25"/>
  <c r="A41" i="25"/>
  <c r="A42" i="25"/>
  <c r="A43" i="25"/>
  <c r="A44" i="25"/>
  <c r="A45" i="25"/>
  <c r="A46" i="25"/>
  <c r="A47" i="25"/>
  <c r="A48" i="25"/>
  <c r="A49" i="25"/>
  <c r="A50" i="25"/>
  <c r="A51" i="25"/>
  <c r="A52" i="25"/>
  <c r="A53" i="25"/>
  <c r="A54" i="25"/>
  <c r="A55" i="25"/>
  <c r="A57" i="25"/>
  <c r="O32" i="25"/>
  <c r="N32" i="25"/>
  <c r="M32" i="25"/>
  <c r="L32" i="25"/>
  <c r="K32" i="25"/>
  <c r="J32" i="25"/>
  <c r="O31" i="25"/>
  <c r="N31" i="25"/>
  <c r="M31" i="25"/>
  <c r="L31" i="25"/>
  <c r="K31" i="25"/>
  <c r="J31" i="25"/>
  <c r="O29" i="25"/>
  <c r="N29" i="25"/>
  <c r="M29" i="25"/>
  <c r="L29" i="25"/>
  <c r="K29" i="25"/>
  <c r="J29" i="25"/>
  <c r="O28" i="25"/>
  <c r="N28" i="25"/>
  <c r="M28" i="25"/>
  <c r="L28" i="25"/>
  <c r="K28" i="25"/>
  <c r="J28" i="25"/>
  <c r="O27" i="25"/>
  <c r="N27" i="25"/>
  <c r="M27" i="25"/>
  <c r="L27" i="25"/>
  <c r="K27" i="25"/>
  <c r="J27" i="25"/>
  <c r="O25" i="25"/>
  <c r="N25" i="25"/>
  <c r="M25" i="25"/>
  <c r="L25" i="25"/>
  <c r="K25" i="25"/>
  <c r="J25" i="25"/>
  <c r="O24" i="25"/>
  <c r="N24" i="25"/>
  <c r="M24" i="25"/>
  <c r="L24" i="25"/>
  <c r="K24" i="25"/>
  <c r="J24" i="25"/>
  <c r="O23" i="25"/>
  <c r="N23" i="25"/>
  <c r="M23" i="25"/>
  <c r="L23" i="25"/>
  <c r="K23" i="25"/>
  <c r="J23" i="25"/>
  <c r="O22" i="25"/>
  <c r="N22" i="25"/>
  <c r="M22" i="25"/>
  <c r="L22" i="25"/>
  <c r="K22" i="25"/>
  <c r="J22" i="25"/>
  <c r="O21" i="25"/>
  <c r="N21" i="25"/>
  <c r="M21" i="25"/>
  <c r="L21" i="25"/>
  <c r="K21" i="25"/>
  <c r="J21" i="25"/>
  <c r="O20" i="25"/>
  <c r="N20" i="25"/>
  <c r="M20" i="25"/>
  <c r="L20" i="25"/>
  <c r="K20" i="25"/>
  <c r="J20" i="25"/>
  <c r="O19" i="25"/>
  <c r="N19" i="25"/>
  <c r="M19" i="25"/>
  <c r="L19" i="25"/>
  <c r="K19" i="25"/>
  <c r="J19" i="25"/>
  <c r="O18" i="25"/>
  <c r="N18" i="25"/>
  <c r="M18" i="25"/>
  <c r="L18" i="25"/>
  <c r="K18" i="25"/>
  <c r="J18" i="25"/>
  <c r="O16" i="25"/>
  <c r="N16" i="25"/>
  <c r="M16" i="25"/>
  <c r="L16" i="25"/>
  <c r="K16" i="25"/>
  <c r="J16" i="25"/>
  <c r="O15" i="25"/>
  <c r="N15" i="25"/>
  <c r="M15" i="25"/>
  <c r="L15" i="25"/>
  <c r="K15" i="25"/>
  <c r="J15" i="25"/>
  <c r="O14" i="25"/>
  <c r="N14" i="25"/>
  <c r="M14" i="25"/>
  <c r="L14" i="25"/>
  <c r="K14" i="25"/>
  <c r="J14" i="25"/>
  <c r="O13" i="25"/>
  <c r="N13" i="25"/>
  <c r="M13" i="25"/>
  <c r="L13" i="25"/>
  <c r="K13" i="25"/>
  <c r="J13" i="25"/>
  <c r="O12" i="25"/>
  <c r="N12" i="25"/>
  <c r="M12" i="25"/>
  <c r="L12" i="25"/>
  <c r="K12" i="25"/>
  <c r="J12" i="25"/>
  <c r="O11" i="25"/>
  <c r="N11" i="25"/>
  <c r="M11" i="25"/>
  <c r="L11" i="25"/>
  <c r="K11" i="25"/>
  <c r="J11" i="25"/>
  <c r="O10" i="25"/>
  <c r="N10" i="25"/>
  <c r="M10" i="25"/>
  <c r="L10" i="25"/>
  <c r="K10" i="25"/>
  <c r="J10" i="25"/>
  <c r="A32" i="24"/>
  <c r="C32" i="24"/>
  <c r="D32" i="24"/>
  <c r="E32" i="24"/>
  <c r="F32" i="24"/>
  <c r="G32" i="24"/>
  <c r="H32" i="24"/>
  <c r="I32" i="24"/>
  <c r="A169" i="24"/>
  <c r="A170" i="24"/>
  <c r="A171" i="24"/>
  <c r="A172" i="24"/>
  <c r="A173" i="24"/>
  <c r="A174" i="24"/>
  <c r="A175" i="24"/>
  <c r="A176" i="24"/>
  <c r="A177" i="24"/>
  <c r="A178" i="24"/>
  <c r="A179" i="24"/>
  <c r="A180" i="24"/>
  <c r="O179" i="24"/>
  <c r="N179" i="24"/>
  <c r="M179" i="24"/>
  <c r="L179" i="24"/>
  <c r="K179" i="24"/>
  <c r="J179" i="24"/>
  <c r="O174" i="24"/>
  <c r="N174" i="24"/>
  <c r="M174" i="24"/>
  <c r="L174" i="24"/>
  <c r="K174" i="24"/>
  <c r="J174" i="24"/>
  <c r="O166" i="24"/>
  <c r="N166" i="24"/>
  <c r="M166" i="24"/>
  <c r="L166" i="24"/>
  <c r="K166" i="24"/>
  <c r="J166" i="24"/>
  <c r="O165" i="24"/>
  <c r="N165" i="24"/>
  <c r="M165" i="24"/>
  <c r="L165" i="24"/>
  <c r="K165" i="24"/>
  <c r="J165" i="24"/>
  <c r="O164" i="24"/>
  <c r="N164" i="24"/>
  <c r="M164" i="24"/>
  <c r="L164" i="24"/>
  <c r="K164" i="24"/>
  <c r="J164" i="24"/>
  <c r="O162" i="24"/>
  <c r="N162" i="24"/>
  <c r="M162" i="24"/>
  <c r="L162" i="24"/>
  <c r="K162" i="24"/>
  <c r="J162" i="24"/>
  <c r="O139" i="24"/>
  <c r="N139" i="24"/>
  <c r="M139" i="24"/>
  <c r="L139" i="24"/>
  <c r="K139" i="24"/>
  <c r="J139" i="24"/>
  <c r="O138" i="24"/>
  <c r="N138" i="24"/>
  <c r="M138" i="24"/>
  <c r="L138" i="24"/>
  <c r="K138" i="24"/>
  <c r="J138" i="24"/>
  <c r="O137" i="24"/>
  <c r="N137" i="24"/>
  <c r="M137" i="24"/>
  <c r="L137" i="24"/>
  <c r="K137" i="24"/>
  <c r="J137" i="24"/>
  <c r="O136" i="24"/>
  <c r="N136" i="24"/>
  <c r="M136" i="24"/>
  <c r="L136" i="24"/>
  <c r="K136" i="24"/>
  <c r="J136" i="24"/>
  <c r="O135" i="24"/>
  <c r="N135" i="24"/>
  <c r="M135" i="24"/>
  <c r="L135" i="24"/>
  <c r="K135" i="24"/>
  <c r="J135" i="24"/>
  <c r="O129" i="24"/>
  <c r="N129" i="24"/>
  <c r="M129" i="24"/>
  <c r="L129" i="24"/>
  <c r="K129" i="24"/>
  <c r="J129" i="24"/>
  <c r="O128" i="24"/>
  <c r="N128" i="24"/>
  <c r="M128" i="24"/>
  <c r="L128" i="24"/>
  <c r="K128" i="24"/>
  <c r="J128" i="24"/>
  <c r="O127" i="24"/>
  <c r="N127" i="24"/>
  <c r="M127" i="24"/>
  <c r="L127" i="24"/>
  <c r="K127" i="24"/>
  <c r="J127" i="24"/>
  <c r="O126" i="24"/>
  <c r="N126" i="24"/>
  <c r="M126" i="24"/>
  <c r="L126" i="24"/>
  <c r="K126" i="24"/>
  <c r="J126" i="24"/>
  <c r="O125" i="24"/>
  <c r="N125" i="24"/>
  <c r="M125" i="24"/>
  <c r="L125" i="24"/>
  <c r="K125" i="24"/>
  <c r="J125" i="24"/>
  <c r="O124" i="24"/>
  <c r="N124" i="24"/>
  <c r="M124" i="24"/>
  <c r="L124" i="24"/>
  <c r="K124" i="24"/>
  <c r="J124" i="24"/>
  <c r="O123" i="24"/>
  <c r="N123" i="24"/>
  <c r="M123" i="24"/>
  <c r="L123" i="24"/>
  <c r="K123" i="24"/>
  <c r="J123" i="24"/>
  <c r="O122" i="24"/>
  <c r="N122" i="24"/>
  <c r="M122" i="24"/>
  <c r="L122" i="24"/>
  <c r="K122" i="24"/>
  <c r="J122" i="24"/>
  <c r="O98" i="24"/>
  <c r="N98" i="24"/>
  <c r="M98" i="24"/>
  <c r="L98" i="24"/>
  <c r="K98" i="24"/>
  <c r="J98" i="24"/>
  <c r="O97" i="24"/>
  <c r="N97" i="24"/>
  <c r="M97" i="24"/>
  <c r="L97" i="24"/>
  <c r="K97" i="24"/>
  <c r="J97" i="24"/>
  <c r="O96" i="24"/>
  <c r="N96" i="24"/>
  <c r="M96" i="24"/>
  <c r="L96" i="24"/>
  <c r="K96" i="24"/>
  <c r="J96" i="24"/>
  <c r="O95" i="24"/>
  <c r="N95" i="24"/>
  <c r="M95" i="24"/>
  <c r="L95" i="24"/>
  <c r="K95" i="24"/>
  <c r="J95" i="24"/>
  <c r="O91" i="24"/>
  <c r="N91" i="24"/>
  <c r="M91" i="24"/>
  <c r="L91" i="24"/>
  <c r="K91" i="24"/>
  <c r="J91" i="24"/>
  <c r="O90" i="24"/>
  <c r="N90" i="24"/>
  <c r="M90" i="24"/>
  <c r="L90" i="24"/>
  <c r="K90" i="24"/>
  <c r="J90" i="24"/>
  <c r="O82" i="24"/>
  <c r="N82" i="24"/>
  <c r="M82" i="24"/>
  <c r="L82" i="24"/>
  <c r="K82" i="24"/>
  <c r="J82" i="24"/>
  <c r="O80" i="24"/>
  <c r="N80" i="24"/>
  <c r="M80" i="24"/>
  <c r="L80" i="24"/>
  <c r="K80" i="24"/>
  <c r="J80" i="24"/>
  <c r="O78" i="24"/>
  <c r="N78" i="24"/>
  <c r="M78" i="24"/>
  <c r="L78" i="24"/>
  <c r="K78" i="24"/>
  <c r="J78" i="24"/>
  <c r="O77" i="24"/>
  <c r="N77" i="24"/>
  <c r="M77" i="24"/>
  <c r="L77" i="24"/>
  <c r="K77" i="24"/>
  <c r="J77" i="24"/>
  <c r="O76" i="24"/>
  <c r="N76" i="24"/>
  <c r="M76" i="24"/>
  <c r="L76" i="24"/>
  <c r="K76" i="24"/>
  <c r="J76" i="24"/>
  <c r="O75" i="24"/>
  <c r="N75" i="24"/>
  <c r="M75" i="24"/>
  <c r="L75" i="24"/>
  <c r="K75" i="24"/>
  <c r="J75" i="24"/>
  <c r="O71" i="24"/>
  <c r="N71" i="24"/>
  <c r="M71" i="24"/>
  <c r="L71" i="24"/>
  <c r="K71" i="24"/>
  <c r="J71" i="24"/>
  <c r="O70" i="24"/>
  <c r="N70" i="24"/>
  <c r="M70" i="24"/>
  <c r="L70" i="24"/>
  <c r="K70" i="24"/>
  <c r="J70" i="24"/>
  <c r="O69" i="24"/>
  <c r="N69" i="24"/>
  <c r="M69" i="24"/>
  <c r="L69" i="24"/>
  <c r="K69" i="24"/>
  <c r="J69" i="24"/>
  <c r="O68" i="24"/>
  <c r="N68" i="24"/>
  <c r="M68" i="24"/>
  <c r="L68" i="24"/>
  <c r="K68" i="24"/>
  <c r="J68" i="24"/>
  <c r="O67" i="24"/>
  <c r="N67" i="24"/>
  <c r="M67" i="24"/>
  <c r="L67" i="24"/>
  <c r="K67" i="24"/>
  <c r="J67" i="24"/>
  <c r="O60" i="24"/>
  <c r="N60" i="24"/>
  <c r="M60" i="24"/>
  <c r="L60" i="24"/>
  <c r="K60" i="24"/>
  <c r="J60" i="24"/>
  <c r="O44" i="24"/>
  <c r="N44" i="24"/>
  <c r="M44" i="24"/>
  <c r="L44" i="24"/>
  <c r="K44" i="24"/>
  <c r="J44" i="24"/>
  <c r="O43" i="24"/>
  <c r="N43" i="24"/>
  <c r="M43" i="24"/>
  <c r="L43" i="24"/>
  <c r="K43" i="24"/>
  <c r="J43" i="24"/>
  <c r="O41" i="24"/>
  <c r="N41" i="24"/>
  <c r="M41" i="24"/>
  <c r="L41" i="24"/>
  <c r="K41" i="24"/>
  <c r="J41" i="24"/>
  <c r="O37" i="24"/>
  <c r="N37" i="24"/>
  <c r="M37" i="24"/>
  <c r="L37" i="24"/>
  <c r="K37" i="24"/>
  <c r="J37" i="24"/>
  <c r="O36" i="24"/>
  <c r="N36" i="24"/>
  <c r="M36" i="24"/>
  <c r="L36" i="24"/>
  <c r="K36" i="24"/>
  <c r="J36" i="24"/>
  <c r="O35" i="24"/>
  <c r="N35" i="24"/>
  <c r="M35" i="24"/>
  <c r="L35" i="24"/>
  <c r="K35" i="24"/>
  <c r="J35" i="24"/>
  <c r="O33" i="24"/>
  <c r="N33" i="24"/>
  <c r="M33" i="24"/>
  <c r="L33" i="24"/>
  <c r="K33" i="24"/>
  <c r="J33" i="24"/>
  <c r="A55" i="24"/>
  <c r="A56" i="24"/>
  <c r="A57" i="24"/>
  <c r="A58" i="24"/>
  <c r="A59" i="24"/>
  <c r="A60" i="24"/>
  <c r="A61" i="24"/>
  <c r="A62" i="24"/>
  <c r="A63" i="24"/>
  <c r="A64" i="24"/>
  <c r="A65" i="24"/>
  <c r="A66" i="24"/>
  <c r="A67" i="24"/>
  <c r="A68" i="24"/>
  <c r="A69" i="24"/>
  <c r="A70" i="24"/>
  <c r="A71" i="24"/>
  <c r="A72" i="24"/>
  <c r="A73" i="24"/>
  <c r="A45" i="24"/>
  <c r="C45" i="24"/>
  <c r="D45" i="24"/>
  <c r="E45" i="24"/>
  <c r="F45" i="24"/>
  <c r="G45" i="24"/>
  <c r="H45" i="24"/>
  <c r="I45" i="24"/>
  <c r="K92" i="26" l="1"/>
  <c r="O92" i="26"/>
  <c r="L92" i="26"/>
  <c r="J92" i="26"/>
  <c r="M92" i="26"/>
  <c r="N92" i="26"/>
  <c r="K66" i="24"/>
  <c r="O66" i="24"/>
  <c r="M73" i="24"/>
  <c r="J114" i="25"/>
  <c r="O67" i="25"/>
  <c r="M74" i="25"/>
  <c r="K114" i="25"/>
  <c r="O114" i="25"/>
  <c r="M121" i="25"/>
  <c r="K33" i="25"/>
  <c r="O33" i="25"/>
  <c r="K121" i="25"/>
  <c r="O121" i="25"/>
  <c r="M114" i="25"/>
  <c r="M8" i="26"/>
  <c r="N114" i="25"/>
  <c r="M121" i="24"/>
  <c r="J66" i="24"/>
  <c r="N66" i="24"/>
  <c r="L73" i="24"/>
  <c r="M33" i="25"/>
  <c r="M67" i="25"/>
  <c r="K67" i="25"/>
  <c r="J74" i="25"/>
  <c r="N74" i="25"/>
  <c r="J121" i="25"/>
  <c r="N121" i="25"/>
  <c r="J33" i="25"/>
  <c r="N33" i="25"/>
  <c r="J67" i="25"/>
  <c r="N67" i="25"/>
  <c r="L67" i="25"/>
  <c r="L114" i="25"/>
  <c r="K134" i="25"/>
  <c r="M134" i="24"/>
  <c r="M134" i="25"/>
  <c r="J134" i="25"/>
  <c r="N134" i="25"/>
  <c r="O134" i="25"/>
  <c r="L134" i="24"/>
  <c r="L134" i="25"/>
  <c r="L66" i="24"/>
  <c r="J73" i="24"/>
  <c r="N73" i="24"/>
  <c r="J121" i="24"/>
  <c r="N121" i="24"/>
  <c r="L121" i="24"/>
  <c r="J134" i="24"/>
  <c r="N134" i="24"/>
  <c r="L33" i="25"/>
  <c r="K74" i="25"/>
  <c r="O74" i="25"/>
  <c r="M66" i="24"/>
  <c r="K73" i="24"/>
  <c r="O73" i="24"/>
  <c r="K121" i="24"/>
  <c r="O121" i="24"/>
  <c r="K134" i="24"/>
  <c r="O134" i="24"/>
  <c r="L74" i="25"/>
  <c r="L121" i="25"/>
  <c r="L8" i="26"/>
  <c r="J8" i="26"/>
  <c r="N8" i="26"/>
  <c r="K32" i="26"/>
  <c r="O32" i="26"/>
  <c r="M38" i="26"/>
  <c r="M45" i="26"/>
  <c r="K49" i="26"/>
  <c r="O49" i="26"/>
  <c r="K57" i="26"/>
  <c r="O57" i="26"/>
  <c r="M61" i="26"/>
  <c r="M66" i="26"/>
  <c r="K73" i="26"/>
  <c r="O73" i="26"/>
  <c r="K86" i="26"/>
  <c r="O86" i="26"/>
  <c r="M102" i="26"/>
  <c r="K108" i="26"/>
  <c r="O108" i="26"/>
  <c r="M114" i="26"/>
  <c r="K121" i="26"/>
  <c r="O121" i="26"/>
  <c r="K134" i="26"/>
  <c r="O134" i="26"/>
  <c r="M147" i="26"/>
  <c r="K153" i="26"/>
  <c r="O153" i="26"/>
  <c r="M160" i="26"/>
  <c r="M159" i="26" s="1"/>
  <c r="K172" i="26"/>
  <c r="K171" i="26" s="1"/>
  <c r="K167" i="26" s="1"/>
  <c r="O172" i="26"/>
  <c r="O171" i="26" s="1"/>
  <c r="O167" i="26" s="1"/>
  <c r="K8" i="26"/>
  <c r="O8" i="26"/>
  <c r="L32" i="26"/>
  <c r="J38" i="26"/>
  <c r="N38" i="26"/>
  <c r="J45" i="26"/>
  <c r="N45" i="26"/>
  <c r="L49" i="26"/>
  <c r="L57" i="26"/>
  <c r="J61" i="26"/>
  <c r="N61" i="26"/>
  <c r="J66" i="26"/>
  <c r="N66" i="26"/>
  <c r="L73" i="26"/>
  <c r="L86" i="26"/>
  <c r="J102" i="26"/>
  <c r="N102" i="26"/>
  <c r="L108" i="26"/>
  <c r="J114" i="26"/>
  <c r="N114" i="26"/>
  <c r="L121" i="26"/>
  <c r="L134" i="26"/>
  <c r="J147" i="26"/>
  <c r="N147" i="26"/>
  <c r="L153" i="26"/>
  <c r="J160" i="26"/>
  <c r="J159" i="26" s="1"/>
  <c r="N160" i="26"/>
  <c r="N159" i="26" s="1"/>
  <c r="L172" i="26"/>
  <c r="L171" i="26" s="1"/>
  <c r="L167" i="26" s="1"/>
  <c r="M32" i="26"/>
  <c r="K38" i="26"/>
  <c r="O38" i="26"/>
  <c r="K45" i="26"/>
  <c r="O45" i="26"/>
  <c r="M49" i="26"/>
  <c r="M57" i="26"/>
  <c r="K61" i="26"/>
  <c r="O61" i="26"/>
  <c r="K66" i="26"/>
  <c r="O66" i="26"/>
  <c r="M73" i="26"/>
  <c r="M86" i="26"/>
  <c r="K102" i="26"/>
  <c r="O102" i="26"/>
  <c r="M108" i="26"/>
  <c r="K114" i="26"/>
  <c r="O114" i="26"/>
  <c r="M121" i="26"/>
  <c r="M134" i="26"/>
  <c r="K147" i="26"/>
  <c r="O147" i="26"/>
  <c r="M153" i="26"/>
  <c r="K160" i="26"/>
  <c r="K159" i="26" s="1"/>
  <c r="O160" i="26"/>
  <c r="O159" i="26" s="1"/>
  <c r="M172" i="26"/>
  <c r="M171" i="26" s="1"/>
  <c r="M167" i="26" s="1"/>
  <c r="J32" i="26"/>
  <c r="N32" i="26"/>
  <c r="L38" i="26"/>
  <c r="L45" i="26"/>
  <c r="J49" i="26"/>
  <c r="N49" i="26"/>
  <c r="J57" i="26"/>
  <c r="N57" i="26"/>
  <c r="L61" i="26"/>
  <c r="L66" i="26"/>
  <c r="J73" i="26"/>
  <c r="N73" i="26"/>
  <c r="J86" i="26"/>
  <c r="N86" i="26"/>
  <c r="L102" i="26"/>
  <c r="J108" i="26"/>
  <c r="N108" i="26"/>
  <c r="L114" i="26"/>
  <c r="J121" i="26"/>
  <c r="N121" i="26"/>
  <c r="J134" i="26"/>
  <c r="N134" i="26"/>
  <c r="L147" i="26"/>
  <c r="J153" i="26"/>
  <c r="N153" i="26"/>
  <c r="L160" i="26"/>
  <c r="L159" i="26" s="1"/>
  <c r="J172" i="26"/>
  <c r="J171" i="26" s="1"/>
  <c r="J167" i="26" s="1"/>
  <c r="N172" i="26"/>
  <c r="N171" i="26" s="1"/>
  <c r="N167" i="26" s="1"/>
  <c r="A38" i="24"/>
  <c r="A39" i="24"/>
  <c r="A40" i="24"/>
  <c r="A41" i="24"/>
  <c r="A42" i="24"/>
  <c r="A43" i="24"/>
  <c r="A44" i="24"/>
  <c r="A46" i="24"/>
  <c r="A47" i="24"/>
  <c r="A48" i="24"/>
  <c r="A49" i="24"/>
  <c r="A50" i="24"/>
  <c r="A51" i="24"/>
  <c r="A52" i="24"/>
  <c r="A53" i="24"/>
  <c r="A54" i="24"/>
  <c r="C38" i="24"/>
  <c r="D38" i="24"/>
  <c r="E38" i="24"/>
  <c r="F38" i="24"/>
  <c r="G38" i="24"/>
  <c r="H38" i="24"/>
  <c r="I38" i="24"/>
  <c r="O120" i="25" l="1"/>
  <c r="M120" i="25"/>
  <c r="O120" i="26"/>
  <c r="N120" i="26"/>
  <c r="M120" i="26"/>
  <c r="J120" i="26"/>
  <c r="L120" i="26"/>
  <c r="K120" i="26"/>
  <c r="O146" i="26"/>
  <c r="O101" i="26"/>
  <c r="M120" i="24"/>
  <c r="N120" i="25"/>
  <c r="M146" i="26"/>
  <c r="M7" i="26"/>
  <c r="K120" i="25"/>
  <c r="J146" i="26"/>
  <c r="J101" i="26"/>
  <c r="L7" i="26"/>
  <c r="J120" i="25"/>
  <c r="L146" i="26"/>
  <c r="N146" i="26"/>
  <c r="N101" i="26"/>
  <c r="M101" i="26"/>
  <c r="L120" i="25"/>
  <c r="L120" i="24"/>
  <c r="K120" i="24"/>
  <c r="K7" i="26"/>
  <c r="L101" i="26"/>
  <c r="K101" i="26"/>
  <c r="K146" i="26"/>
  <c r="N120" i="24"/>
  <c r="O7" i="26"/>
  <c r="O120" i="24"/>
  <c r="J120" i="24"/>
  <c r="J7" i="26"/>
  <c r="N7" i="26"/>
  <c r="AE180" i="2"/>
  <c r="AE179" i="2"/>
  <c r="AE178" i="2"/>
  <c r="AE177" i="2"/>
  <c r="AE176" i="2"/>
  <c r="AE175" i="2"/>
  <c r="AE174" i="2"/>
  <c r="AI171" i="2"/>
  <c r="AH171" i="2"/>
  <c r="AG171" i="2"/>
  <c r="AF171" i="2"/>
  <c r="AE171" i="2"/>
  <c r="AE167" i="2"/>
  <c r="AE166" i="2"/>
  <c r="AE165" i="2"/>
  <c r="AE164" i="2"/>
  <c r="AE163" i="2"/>
  <c r="AE162" i="2"/>
  <c r="AE159" i="2"/>
  <c r="AE158" i="2"/>
  <c r="AE157" i="2"/>
  <c r="AE156" i="2"/>
  <c r="AE155" i="2"/>
  <c r="AE149" i="2"/>
  <c r="AE150" i="2"/>
  <c r="AE151" i="2"/>
  <c r="AE152" i="2"/>
  <c r="AE153" i="2"/>
  <c r="O100" i="26" l="1"/>
  <c r="J100" i="26"/>
  <c r="N100" i="26"/>
  <c r="M100" i="26"/>
  <c r="L100" i="26"/>
  <c r="K100" i="26"/>
  <c r="S180" i="38"/>
  <c r="R180" i="38"/>
  <c r="S179" i="38"/>
  <c r="R179" i="38"/>
  <c r="S174" i="38"/>
  <c r="R174" i="38"/>
  <c r="S166" i="38"/>
  <c r="R166" i="38"/>
  <c r="S139" i="38"/>
  <c r="R139" i="38"/>
  <c r="S138" i="38"/>
  <c r="R138" i="38"/>
  <c r="S137" i="38"/>
  <c r="R137" i="38"/>
  <c r="S136" i="38"/>
  <c r="R136" i="38"/>
  <c r="S135" i="38"/>
  <c r="R135" i="38"/>
  <c r="S134" i="38"/>
  <c r="R134" i="38"/>
  <c r="S133" i="38"/>
  <c r="R133" i="38"/>
  <c r="S132" i="38"/>
  <c r="R132" i="38"/>
  <c r="S131" i="38"/>
  <c r="R131" i="38"/>
  <c r="S130" i="38"/>
  <c r="R130" i="38"/>
  <c r="S129" i="38"/>
  <c r="R129" i="38"/>
  <c r="S127" i="38"/>
  <c r="R127" i="38"/>
  <c r="S126" i="38"/>
  <c r="R126" i="38"/>
  <c r="S125" i="38"/>
  <c r="R125" i="38"/>
  <c r="S124" i="38"/>
  <c r="R124" i="38"/>
  <c r="S123" i="38"/>
  <c r="R123" i="38"/>
  <c r="S122" i="38"/>
  <c r="R122" i="38"/>
  <c r="S121" i="38"/>
  <c r="R121" i="38"/>
  <c r="S120" i="38"/>
  <c r="R120" i="38"/>
  <c r="S83" i="38"/>
  <c r="R83" i="38"/>
  <c r="S81" i="38"/>
  <c r="R81" i="38"/>
  <c r="S61" i="38"/>
  <c r="R61" i="38"/>
  <c r="S45" i="38"/>
  <c r="R45" i="38"/>
  <c r="S44" i="38"/>
  <c r="R44" i="38"/>
  <c r="S42" i="38"/>
  <c r="R42" i="38"/>
  <c r="R85" i="38"/>
  <c r="AE119" i="2"/>
  <c r="AE118" i="2"/>
  <c r="AE117" i="2"/>
  <c r="AE116" i="2"/>
  <c r="AE115" i="2"/>
  <c r="AE113" i="2"/>
  <c r="AE112" i="2"/>
  <c r="AE111" i="2"/>
  <c r="AE110" i="2"/>
  <c r="AE109" i="2"/>
  <c r="AE107" i="2"/>
  <c r="P105" i="38" s="1"/>
  <c r="S105" i="38" s="1"/>
  <c r="AE106" i="2"/>
  <c r="AE105" i="2"/>
  <c r="AE104" i="2"/>
  <c r="AE103" i="2"/>
  <c r="AE98" i="2"/>
  <c r="AE97" i="2"/>
  <c r="AE96" i="2"/>
  <c r="AE95" i="2"/>
  <c r="AE94" i="2"/>
  <c r="AE93" i="2"/>
  <c r="R105" i="38" l="1"/>
  <c r="AE91" i="2"/>
  <c r="AE90" i="2"/>
  <c r="AE89" i="2"/>
  <c r="AE88" i="2"/>
  <c r="AE87" i="2"/>
  <c r="AE83" i="2"/>
  <c r="AE82" i="2"/>
  <c r="AE81" i="2"/>
  <c r="AE80" i="2"/>
  <c r="AE78" i="2"/>
  <c r="AE77" i="2"/>
  <c r="AE76" i="2"/>
  <c r="AE75" i="2"/>
  <c r="AJ71" i="2"/>
  <c r="AH71" i="2"/>
  <c r="CG70" i="10" s="1"/>
  <c r="CK70" i="10" s="1"/>
  <c r="AG71" i="2"/>
  <c r="AF71" i="2"/>
  <c r="AE71" i="2"/>
  <c r="AJ70" i="2"/>
  <c r="AH70" i="2"/>
  <c r="CG69" i="10" s="1"/>
  <c r="AG70" i="2"/>
  <c r="AE72" i="2"/>
  <c r="AE70" i="2"/>
  <c r="AE69" i="2"/>
  <c r="AE68" i="2"/>
  <c r="AE63" i="2"/>
  <c r="P62" i="26"/>
  <c r="R62" i="26" s="1"/>
  <c r="AI63" i="2"/>
  <c r="AH63" i="2"/>
  <c r="CG62" i="10" s="1"/>
  <c r="U62" i="10" s="1"/>
  <c r="AG63" i="2"/>
  <c r="AF63" i="2"/>
  <c r="AE66" i="2"/>
  <c r="AE65" i="2"/>
  <c r="AE64" i="2"/>
  <c r="AE60" i="2"/>
  <c r="AE59" i="2"/>
  <c r="AE52" i="2"/>
  <c r="AH52" i="2"/>
  <c r="CG51" i="10" s="1"/>
  <c r="AG52" i="2"/>
  <c r="AF52" i="2"/>
  <c r="AE55" i="2"/>
  <c r="AE54" i="2"/>
  <c r="AE53" i="2"/>
  <c r="AE51" i="2"/>
  <c r="AE49" i="2"/>
  <c r="AE48" i="2"/>
  <c r="AE47" i="2"/>
  <c r="P47" i="38" s="1"/>
  <c r="R47" i="38" s="1"/>
  <c r="CH69" i="10" l="1"/>
  <c r="DG70" i="20"/>
  <c r="DE70" i="20"/>
  <c r="DD70" i="20"/>
  <c r="DC70" i="20"/>
  <c r="DB70" i="20"/>
  <c r="DF70" i="20"/>
  <c r="DA70" i="20"/>
  <c r="CH70" i="10"/>
  <c r="DG71" i="20"/>
  <c r="DC71" i="20"/>
  <c r="DF71" i="20"/>
  <c r="DB71" i="20"/>
  <c r="DE71" i="20"/>
  <c r="DD71" i="20"/>
  <c r="DA71" i="20"/>
  <c r="CJ71" i="20"/>
  <c r="CM71" i="20"/>
  <c r="CI71" i="20"/>
  <c r="CK71" i="20"/>
  <c r="CL71" i="20"/>
  <c r="CH71" i="20"/>
  <c r="CG71" i="20"/>
  <c r="BR71" i="20"/>
  <c r="BN71" i="20"/>
  <c r="AW71" i="20"/>
  <c r="AS71" i="20"/>
  <c r="AB71" i="20"/>
  <c r="AX71" i="20"/>
  <c r="BQ71" i="20"/>
  <c r="BM71" i="20"/>
  <c r="AV71" i="20"/>
  <c r="AE71" i="20"/>
  <c r="AA71" i="20"/>
  <c r="BO71" i="20"/>
  <c r="AC71" i="20"/>
  <c r="BP71" i="20"/>
  <c r="AY71" i="20"/>
  <c r="AU71" i="20"/>
  <c r="AD71" i="20"/>
  <c r="Z71" i="20"/>
  <c r="BS71" i="20"/>
  <c r="AT71" i="20"/>
  <c r="Y71" i="20"/>
  <c r="CL70" i="20"/>
  <c r="CH70" i="20"/>
  <c r="CK70" i="20"/>
  <c r="CG70" i="20"/>
  <c r="CJ70" i="20"/>
  <c r="CI70" i="20"/>
  <c r="CM70" i="20"/>
  <c r="BQ70" i="20"/>
  <c r="BM70" i="20"/>
  <c r="AX70" i="20"/>
  <c r="AT70" i="20"/>
  <c r="AE70" i="20"/>
  <c r="AA70" i="20"/>
  <c r="BP70" i="20"/>
  <c r="AW70" i="20"/>
  <c r="AS70" i="20"/>
  <c r="AD70" i="20"/>
  <c r="Z70" i="20"/>
  <c r="BS70" i="20"/>
  <c r="BO70" i="20"/>
  <c r="AV70" i="20"/>
  <c r="AC70" i="20"/>
  <c r="Y70" i="20"/>
  <c r="BR70" i="20"/>
  <c r="AY70" i="20"/>
  <c r="AB70" i="20"/>
  <c r="BN70" i="20"/>
  <c r="AU70" i="20"/>
  <c r="BS52" i="20"/>
  <c r="BO52" i="20"/>
  <c r="AX52" i="20"/>
  <c r="AT52" i="20"/>
  <c r="AC52" i="20"/>
  <c r="Y52" i="20"/>
  <c r="BP52" i="20"/>
  <c r="AU52" i="20"/>
  <c r="Z52" i="20"/>
  <c r="BR52" i="20"/>
  <c r="BN52" i="20"/>
  <c r="AW52" i="20"/>
  <c r="AS52" i="20"/>
  <c r="AB52" i="20"/>
  <c r="AD52" i="20"/>
  <c r="BQ52" i="20"/>
  <c r="BM52" i="20"/>
  <c r="AV52" i="20"/>
  <c r="AE52" i="20"/>
  <c r="AA52" i="20"/>
  <c r="AY52" i="20"/>
  <c r="S47" i="38"/>
  <c r="P45" i="38"/>
  <c r="AE44" i="2"/>
  <c r="P44" i="38" s="1"/>
  <c r="AE43" i="2"/>
  <c r="P43" i="38" s="1"/>
  <c r="AE42" i="2"/>
  <c r="P42" i="38" s="1"/>
  <c r="AE41" i="2"/>
  <c r="P41" i="38" s="1"/>
  <c r="AE40" i="2"/>
  <c r="P40" i="38" s="1"/>
  <c r="P180" i="38"/>
  <c r="P179" i="38"/>
  <c r="P178" i="38"/>
  <c r="P177" i="38"/>
  <c r="P176" i="38"/>
  <c r="P175" i="38"/>
  <c r="P174" i="38"/>
  <c r="P173" i="38"/>
  <c r="P170" i="38"/>
  <c r="P166" i="38"/>
  <c r="P165" i="38"/>
  <c r="P164" i="38"/>
  <c r="P163" i="38"/>
  <c r="P162" i="38"/>
  <c r="P161" i="38"/>
  <c r="P158" i="38"/>
  <c r="P157" i="38"/>
  <c r="P156" i="38"/>
  <c r="P155" i="38"/>
  <c r="P154" i="38"/>
  <c r="P152" i="38"/>
  <c r="P151" i="38"/>
  <c r="P150" i="38"/>
  <c r="P149" i="38"/>
  <c r="P148" i="38"/>
  <c r="P139" i="38"/>
  <c r="P138" i="38"/>
  <c r="P137" i="38"/>
  <c r="P136" i="38"/>
  <c r="P135" i="38"/>
  <c r="P134" i="38"/>
  <c r="P133" i="38"/>
  <c r="P132" i="38"/>
  <c r="P131" i="38"/>
  <c r="P130" i="38"/>
  <c r="P129" i="38"/>
  <c r="P127" i="38"/>
  <c r="P126" i="38"/>
  <c r="P125" i="38"/>
  <c r="P124" i="38"/>
  <c r="P123" i="38"/>
  <c r="P122" i="38"/>
  <c r="P121" i="38"/>
  <c r="P120" i="38"/>
  <c r="P117" i="38"/>
  <c r="P116" i="38"/>
  <c r="P115" i="38"/>
  <c r="P114" i="38"/>
  <c r="R114" i="38" s="1"/>
  <c r="P113" i="38"/>
  <c r="R113" i="38" s="1"/>
  <c r="P111" i="38"/>
  <c r="P110" i="38"/>
  <c r="P109" i="38"/>
  <c r="P108" i="38"/>
  <c r="P107" i="38"/>
  <c r="P104" i="38"/>
  <c r="P103" i="38"/>
  <c r="P102" i="38"/>
  <c r="P101" i="38"/>
  <c r="P97" i="38"/>
  <c r="P96" i="38"/>
  <c r="P95" i="38"/>
  <c r="P94" i="38"/>
  <c r="P93" i="38"/>
  <c r="P92" i="38"/>
  <c r="P90" i="38"/>
  <c r="P89" i="38"/>
  <c r="P88" i="38"/>
  <c r="P87" i="38"/>
  <c r="R87" i="38" s="1"/>
  <c r="P86" i="38"/>
  <c r="P84" i="38"/>
  <c r="P83" i="38"/>
  <c r="P82" i="38"/>
  <c r="P81" i="38"/>
  <c r="P79" i="38"/>
  <c r="P78" i="38"/>
  <c r="P77" i="38"/>
  <c r="P76" i="38"/>
  <c r="P72" i="38"/>
  <c r="P71" i="38"/>
  <c r="R71" i="38" s="1"/>
  <c r="P70" i="38"/>
  <c r="P69" i="38"/>
  <c r="P68" i="38"/>
  <c r="P66" i="38"/>
  <c r="P65" i="38"/>
  <c r="R65" i="38" s="1"/>
  <c r="P64" i="38"/>
  <c r="R64" i="38" s="1"/>
  <c r="P63" i="38"/>
  <c r="R63" i="38" s="1"/>
  <c r="P61" i="38"/>
  <c r="P60" i="38"/>
  <c r="R60" i="38" s="1"/>
  <c r="P59" i="38"/>
  <c r="R59" i="38" s="1"/>
  <c r="P57" i="38"/>
  <c r="P55" i="38"/>
  <c r="R55" i="38" s="1"/>
  <c r="P54" i="38"/>
  <c r="R54" i="38" s="1"/>
  <c r="P53" i="38"/>
  <c r="R53" i="38" s="1"/>
  <c r="P52" i="38"/>
  <c r="P51" i="38"/>
  <c r="R51" i="38" s="1"/>
  <c r="P49" i="38"/>
  <c r="P48" i="38"/>
  <c r="AE38" i="2"/>
  <c r="P38" i="38" s="1"/>
  <c r="AE37" i="2"/>
  <c r="P37" i="38" s="1"/>
  <c r="AE34" i="2"/>
  <c r="P34" i="38" s="1"/>
  <c r="AE35" i="2"/>
  <c r="P35" i="38" s="1"/>
  <c r="P36" i="38"/>
  <c r="AF21" i="2"/>
  <c r="AE21" i="2"/>
  <c r="P21" i="38" s="1"/>
  <c r="R21" i="38" s="1"/>
  <c r="AF31" i="2"/>
  <c r="AE31" i="2"/>
  <c r="P31" i="38" s="1"/>
  <c r="R31" i="38" s="1"/>
  <c r="AG31" i="2"/>
  <c r="AF28" i="2"/>
  <c r="AE28" i="2"/>
  <c r="P28" i="38" s="1"/>
  <c r="R28" i="38" s="1"/>
  <c r="AF25" i="2"/>
  <c r="AE25" i="2"/>
  <c r="P25" i="38" s="1"/>
  <c r="R25" i="38" s="1"/>
  <c r="AF24" i="2"/>
  <c r="AE24" i="2"/>
  <c r="P24" i="38" s="1"/>
  <c r="R24" i="38" s="1"/>
  <c r="AF23" i="2"/>
  <c r="AE23" i="2"/>
  <c r="P23" i="38" s="1"/>
  <c r="R23" i="38" s="1"/>
  <c r="AF22" i="2"/>
  <c r="AE22" i="2"/>
  <c r="P22" i="38" s="1"/>
  <c r="R22" i="38" s="1"/>
  <c r="AE17" i="2"/>
  <c r="P17" i="38" s="1"/>
  <c r="R17" i="38" s="1"/>
  <c r="AF17" i="2"/>
  <c r="AE16" i="2"/>
  <c r="P16" i="38" s="1"/>
  <c r="R16" i="38" s="1"/>
  <c r="AF16" i="2"/>
  <c r="AE32" i="2"/>
  <c r="P32" i="38" s="1"/>
  <c r="R32" i="38" s="1"/>
  <c r="AE30" i="2"/>
  <c r="P30" i="38" s="1"/>
  <c r="R30" i="38" s="1"/>
  <c r="AE29" i="2"/>
  <c r="P29" i="38" s="1"/>
  <c r="R29" i="38" s="1"/>
  <c r="AE27" i="2"/>
  <c r="P27" i="38" s="1"/>
  <c r="R27" i="38" s="1"/>
  <c r="AE26" i="2"/>
  <c r="P26" i="38" s="1"/>
  <c r="R26" i="38" s="1"/>
  <c r="AE20" i="2"/>
  <c r="P20" i="38" s="1"/>
  <c r="R20" i="38" s="1"/>
  <c r="AE19" i="2"/>
  <c r="P19" i="38" s="1"/>
  <c r="R19" i="38" s="1"/>
  <c r="AE18" i="2"/>
  <c r="P18" i="38" s="1"/>
  <c r="R18" i="38" s="1"/>
  <c r="AE15" i="2"/>
  <c r="P15" i="38" s="1"/>
  <c r="R15" i="38" s="1"/>
  <c r="AE14" i="2"/>
  <c r="P14" i="38" s="1"/>
  <c r="R14" i="38" s="1"/>
  <c r="AE13" i="2"/>
  <c r="P13" i="38" s="1"/>
  <c r="R13" i="38" s="1"/>
  <c r="AE12" i="2"/>
  <c r="P12" i="38" s="1"/>
  <c r="R12" i="38" s="1"/>
  <c r="AE11" i="2"/>
  <c r="P11" i="38" s="1"/>
  <c r="R11" i="38" s="1"/>
  <c r="AE10" i="2"/>
  <c r="P10" i="38" s="1"/>
  <c r="R10" i="38" s="1"/>
  <c r="B180" i="38"/>
  <c r="A180" i="38"/>
  <c r="B179" i="38"/>
  <c r="A179" i="38"/>
  <c r="B178" i="38"/>
  <c r="A178" i="38"/>
  <c r="B177" i="38"/>
  <c r="A177" i="38"/>
  <c r="B176" i="38"/>
  <c r="A176" i="38"/>
  <c r="B175" i="38"/>
  <c r="A175" i="38"/>
  <c r="B174" i="38"/>
  <c r="A174" i="38"/>
  <c r="B173" i="38"/>
  <c r="A173" i="38"/>
  <c r="I172" i="38"/>
  <c r="H172" i="38"/>
  <c r="G172" i="38"/>
  <c r="F172" i="38"/>
  <c r="E172" i="38"/>
  <c r="D172" i="38"/>
  <c r="C172" i="38"/>
  <c r="B172" i="38"/>
  <c r="A172" i="38"/>
  <c r="I171" i="38"/>
  <c r="H171" i="38"/>
  <c r="G171" i="38"/>
  <c r="F171" i="38"/>
  <c r="E171" i="38"/>
  <c r="D171" i="38"/>
  <c r="C171" i="38"/>
  <c r="B171" i="38"/>
  <c r="A171" i="38"/>
  <c r="I170" i="38"/>
  <c r="H170" i="38"/>
  <c r="G170" i="38"/>
  <c r="F170" i="38"/>
  <c r="E170" i="38"/>
  <c r="D170" i="38"/>
  <c r="C170" i="38"/>
  <c r="B170" i="38"/>
  <c r="A170" i="38"/>
  <c r="I169" i="38"/>
  <c r="H169" i="38"/>
  <c r="G169" i="38"/>
  <c r="F169" i="38"/>
  <c r="E169" i="38"/>
  <c r="D169" i="38"/>
  <c r="C169" i="38"/>
  <c r="B169" i="38"/>
  <c r="A169" i="38"/>
  <c r="I168" i="38"/>
  <c r="H168" i="38"/>
  <c r="G168" i="38"/>
  <c r="F168" i="38"/>
  <c r="E168" i="38"/>
  <c r="D168" i="38"/>
  <c r="C168" i="38"/>
  <c r="B168" i="38"/>
  <c r="A168" i="38"/>
  <c r="I167" i="38"/>
  <c r="H167" i="38"/>
  <c r="G167" i="38"/>
  <c r="F167" i="38"/>
  <c r="E167" i="38"/>
  <c r="D167" i="38"/>
  <c r="C167" i="38"/>
  <c r="B167" i="38"/>
  <c r="A167" i="38"/>
  <c r="B166" i="38"/>
  <c r="A166" i="38"/>
  <c r="B165" i="38"/>
  <c r="A165" i="38"/>
  <c r="B164" i="38"/>
  <c r="A164" i="38"/>
  <c r="B163" i="38"/>
  <c r="A163" i="38"/>
  <c r="B162" i="38"/>
  <c r="A162" i="38"/>
  <c r="B161" i="38"/>
  <c r="A161" i="38"/>
  <c r="I160" i="38"/>
  <c r="H160" i="38"/>
  <c r="G160" i="38"/>
  <c r="F160" i="38"/>
  <c r="E160" i="38"/>
  <c r="D160" i="38"/>
  <c r="C160" i="38"/>
  <c r="B160" i="38"/>
  <c r="A160" i="38"/>
  <c r="I159" i="38"/>
  <c r="H159" i="38"/>
  <c r="G159" i="38"/>
  <c r="F159" i="38"/>
  <c r="E159" i="38"/>
  <c r="D159" i="38"/>
  <c r="C159" i="38"/>
  <c r="B159" i="38"/>
  <c r="A159" i="38"/>
  <c r="B158" i="38"/>
  <c r="A158" i="38"/>
  <c r="B157" i="38"/>
  <c r="A157" i="38"/>
  <c r="B156" i="38"/>
  <c r="A156" i="38"/>
  <c r="B155" i="38"/>
  <c r="A155" i="38"/>
  <c r="B154" i="38"/>
  <c r="A154" i="38"/>
  <c r="I153" i="38"/>
  <c r="H153" i="38"/>
  <c r="G153" i="38"/>
  <c r="F153" i="38"/>
  <c r="E153" i="38"/>
  <c r="D153" i="38"/>
  <c r="C153" i="38"/>
  <c r="B153" i="38"/>
  <c r="A153" i="38"/>
  <c r="B152" i="38"/>
  <c r="A152" i="38"/>
  <c r="B151" i="38"/>
  <c r="A151" i="38"/>
  <c r="B150" i="38"/>
  <c r="A150" i="38"/>
  <c r="B149" i="38"/>
  <c r="A149" i="38"/>
  <c r="B148" i="38"/>
  <c r="A148" i="38"/>
  <c r="I147" i="38"/>
  <c r="H147" i="38"/>
  <c r="G147" i="38"/>
  <c r="F147" i="38"/>
  <c r="E147" i="38"/>
  <c r="D147" i="38"/>
  <c r="C147" i="38"/>
  <c r="B147" i="38"/>
  <c r="A147" i="38"/>
  <c r="I146" i="38"/>
  <c r="H146" i="38"/>
  <c r="G146" i="38"/>
  <c r="F146" i="38"/>
  <c r="E146" i="38"/>
  <c r="D146" i="38"/>
  <c r="C146" i="38"/>
  <c r="B146" i="38"/>
  <c r="A146" i="38"/>
  <c r="A139" i="38"/>
  <c r="A138" i="38"/>
  <c r="A137" i="38"/>
  <c r="A136" i="38"/>
  <c r="A135" i="38"/>
  <c r="A134" i="38"/>
  <c r="B133" i="38"/>
  <c r="A133" i="38"/>
  <c r="B132" i="38"/>
  <c r="A132" i="38"/>
  <c r="B131" i="38"/>
  <c r="A131" i="38"/>
  <c r="B130" i="38"/>
  <c r="A130" i="38"/>
  <c r="B129" i="38"/>
  <c r="A129" i="38"/>
  <c r="I128" i="38"/>
  <c r="H128" i="38"/>
  <c r="G128" i="38"/>
  <c r="F128" i="38"/>
  <c r="E128" i="38"/>
  <c r="D128" i="38"/>
  <c r="C128" i="38"/>
  <c r="B128" i="38"/>
  <c r="A128" i="38"/>
  <c r="B127" i="38"/>
  <c r="A127" i="38"/>
  <c r="B126" i="38"/>
  <c r="A126" i="38"/>
  <c r="B125" i="38"/>
  <c r="A125" i="38"/>
  <c r="B124" i="38"/>
  <c r="A124" i="38"/>
  <c r="B123" i="38"/>
  <c r="A123" i="38"/>
  <c r="B122" i="38"/>
  <c r="A122" i="38"/>
  <c r="B121" i="38"/>
  <c r="A121" i="38"/>
  <c r="B120" i="38"/>
  <c r="A120" i="38"/>
  <c r="I118" i="38"/>
  <c r="H118" i="38"/>
  <c r="G118" i="38"/>
  <c r="F118" i="38"/>
  <c r="E118" i="38"/>
  <c r="D118" i="38"/>
  <c r="C118" i="38"/>
  <c r="B118" i="38"/>
  <c r="A118" i="38"/>
  <c r="B117" i="38"/>
  <c r="A117" i="38"/>
  <c r="B116" i="38"/>
  <c r="A116" i="38"/>
  <c r="B115" i="38"/>
  <c r="A115" i="38"/>
  <c r="B114" i="38"/>
  <c r="A114" i="38"/>
  <c r="B113" i="38"/>
  <c r="A113" i="38"/>
  <c r="I112" i="38"/>
  <c r="H112" i="38"/>
  <c r="G112" i="38"/>
  <c r="F112" i="38"/>
  <c r="E112" i="38"/>
  <c r="D112" i="38"/>
  <c r="C112" i="38"/>
  <c r="B112" i="38"/>
  <c r="A112" i="38"/>
  <c r="B111" i="38"/>
  <c r="A111" i="38"/>
  <c r="B110" i="38"/>
  <c r="A110" i="38"/>
  <c r="B109" i="38"/>
  <c r="A109" i="38"/>
  <c r="B108" i="38"/>
  <c r="A108" i="38"/>
  <c r="B107" i="38"/>
  <c r="A107" i="38"/>
  <c r="I106" i="38"/>
  <c r="H106" i="38"/>
  <c r="G106" i="38"/>
  <c r="F106" i="38"/>
  <c r="E106" i="38"/>
  <c r="D106" i="38"/>
  <c r="C106" i="38"/>
  <c r="B106" i="38"/>
  <c r="A106" i="38"/>
  <c r="B105" i="38"/>
  <c r="A105" i="38"/>
  <c r="B104" i="38"/>
  <c r="A104" i="38"/>
  <c r="B103" i="38"/>
  <c r="A103" i="38"/>
  <c r="B102" i="38"/>
  <c r="A102" i="38"/>
  <c r="B101" i="38"/>
  <c r="A101" i="38"/>
  <c r="I100" i="38"/>
  <c r="H100" i="38"/>
  <c r="G100" i="38"/>
  <c r="F100" i="38"/>
  <c r="E100" i="38"/>
  <c r="D100" i="38"/>
  <c r="C100" i="38"/>
  <c r="B100" i="38"/>
  <c r="A100" i="38"/>
  <c r="I99" i="38"/>
  <c r="H99" i="38"/>
  <c r="G99" i="38"/>
  <c r="F99" i="38"/>
  <c r="E99" i="38"/>
  <c r="D99" i="38"/>
  <c r="C99" i="38"/>
  <c r="B99" i="38"/>
  <c r="A99" i="38"/>
  <c r="I98" i="38"/>
  <c r="H98" i="38"/>
  <c r="G98" i="38"/>
  <c r="F98" i="38"/>
  <c r="E98" i="38"/>
  <c r="D98" i="38"/>
  <c r="C98" i="38"/>
  <c r="B98" i="38"/>
  <c r="A98" i="38"/>
  <c r="B97" i="38"/>
  <c r="A97" i="38"/>
  <c r="B96" i="38"/>
  <c r="A96" i="38"/>
  <c r="B95" i="38"/>
  <c r="A95" i="38"/>
  <c r="B94" i="38"/>
  <c r="A94" i="38"/>
  <c r="B93" i="38"/>
  <c r="A93" i="38"/>
  <c r="B92" i="38"/>
  <c r="A92" i="38"/>
  <c r="I91" i="38"/>
  <c r="H91" i="38"/>
  <c r="G91" i="38"/>
  <c r="F91" i="38"/>
  <c r="E91" i="38"/>
  <c r="D91" i="38"/>
  <c r="C91" i="38"/>
  <c r="B91" i="38"/>
  <c r="A91" i="38"/>
  <c r="B90" i="38"/>
  <c r="A90" i="38"/>
  <c r="B89" i="38"/>
  <c r="A89" i="38"/>
  <c r="B88" i="38"/>
  <c r="A88" i="38"/>
  <c r="B87" i="38"/>
  <c r="A87" i="38"/>
  <c r="B86" i="38"/>
  <c r="A86" i="38"/>
  <c r="I85" i="38"/>
  <c r="H85" i="38"/>
  <c r="G85" i="38"/>
  <c r="F85" i="38"/>
  <c r="E85" i="38"/>
  <c r="D85" i="38"/>
  <c r="C85" i="38"/>
  <c r="A85" i="38"/>
  <c r="B84" i="38"/>
  <c r="A84" i="38"/>
  <c r="B83" i="38"/>
  <c r="A83" i="38"/>
  <c r="B82" i="38"/>
  <c r="A82" i="38"/>
  <c r="B81" i="38"/>
  <c r="A81" i="38"/>
  <c r="I80" i="38"/>
  <c r="H80" i="38"/>
  <c r="G80" i="38"/>
  <c r="F80" i="38"/>
  <c r="E80" i="38"/>
  <c r="D80" i="38"/>
  <c r="C80" i="38"/>
  <c r="A80" i="38"/>
  <c r="B79" i="38"/>
  <c r="A79" i="38"/>
  <c r="B78" i="38"/>
  <c r="A78" i="38"/>
  <c r="B77" i="38"/>
  <c r="A77" i="38"/>
  <c r="B76" i="38"/>
  <c r="A76" i="38"/>
  <c r="P75" i="38"/>
  <c r="O75" i="38"/>
  <c r="N75" i="38"/>
  <c r="M75" i="38"/>
  <c r="L75" i="38"/>
  <c r="K75" i="38"/>
  <c r="J75" i="38"/>
  <c r="I75" i="38"/>
  <c r="H75" i="38"/>
  <c r="G75" i="38"/>
  <c r="F75" i="38"/>
  <c r="E75" i="38"/>
  <c r="D75" i="38"/>
  <c r="C75" i="38"/>
  <c r="B75" i="38"/>
  <c r="A75" i="38"/>
  <c r="I74" i="38"/>
  <c r="H74" i="38"/>
  <c r="G74" i="38"/>
  <c r="F74" i="38"/>
  <c r="E74" i="38"/>
  <c r="D74" i="38"/>
  <c r="C74" i="38"/>
  <c r="A74" i="38"/>
  <c r="I73" i="38"/>
  <c r="H73" i="38"/>
  <c r="G73" i="38"/>
  <c r="F73" i="38"/>
  <c r="E73" i="38"/>
  <c r="D73" i="38"/>
  <c r="C73" i="38"/>
  <c r="A73" i="38"/>
  <c r="B72" i="38"/>
  <c r="A72" i="38"/>
  <c r="B71" i="38"/>
  <c r="A71" i="38"/>
  <c r="B70" i="38"/>
  <c r="A70" i="38"/>
  <c r="B69" i="38"/>
  <c r="A69" i="38"/>
  <c r="B68" i="38"/>
  <c r="A68" i="38"/>
  <c r="I67" i="38"/>
  <c r="H67" i="38"/>
  <c r="G67" i="38"/>
  <c r="F67" i="38"/>
  <c r="E67" i="38"/>
  <c r="D67" i="38"/>
  <c r="C67" i="38"/>
  <c r="A67" i="38"/>
  <c r="B66" i="38"/>
  <c r="A66" i="38"/>
  <c r="B65" i="38"/>
  <c r="A65" i="38"/>
  <c r="B64" i="38"/>
  <c r="A64" i="38"/>
  <c r="B63" i="38"/>
  <c r="A63" i="38"/>
  <c r="I62" i="38"/>
  <c r="H62" i="38"/>
  <c r="G62" i="38"/>
  <c r="F62" i="38"/>
  <c r="E62" i="38"/>
  <c r="D62" i="38"/>
  <c r="C62" i="38"/>
  <c r="A62" i="38"/>
  <c r="B61" i="38"/>
  <c r="A61" i="38"/>
  <c r="B60" i="38"/>
  <c r="A60" i="38"/>
  <c r="B59" i="38"/>
  <c r="A59" i="38"/>
  <c r="A58" i="38"/>
  <c r="B57" i="38"/>
  <c r="A57" i="38"/>
  <c r="A56" i="38"/>
  <c r="B55" i="38"/>
  <c r="A55" i="38"/>
  <c r="B54" i="38"/>
  <c r="A54" i="38"/>
  <c r="B53" i="38"/>
  <c r="A53" i="38"/>
  <c r="B52" i="38"/>
  <c r="A52" i="38"/>
  <c r="B51" i="38"/>
  <c r="B49" i="38"/>
  <c r="B48" i="38"/>
  <c r="B47" i="38"/>
  <c r="I46" i="38"/>
  <c r="H46" i="38"/>
  <c r="G46" i="38"/>
  <c r="F46" i="38"/>
  <c r="E46" i="38"/>
  <c r="D46" i="38"/>
  <c r="C46" i="38"/>
  <c r="B45" i="38"/>
  <c r="B44" i="38"/>
  <c r="B43" i="38"/>
  <c r="B42" i="38"/>
  <c r="B41" i="38"/>
  <c r="B40" i="38"/>
  <c r="I39" i="38"/>
  <c r="H39" i="38"/>
  <c r="G39" i="38"/>
  <c r="F39" i="38"/>
  <c r="E39" i="38"/>
  <c r="D39" i="38"/>
  <c r="C39" i="38"/>
  <c r="A32" i="38"/>
  <c r="A31" i="38"/>
  <c r="A30" i="38"/>
  <c r="A29" i="38"/>
  <c r="A28" i="38"/>
  <c r="A27" i="38"/>
  <c r="A26" i="38"/>
  <c r="A25" i="38"/>
  <c r="A24" i="38"/>
  <c r="A23" i="38"/>
  <c r="A22" i="38"/>
  <c r="A21" i="38"/>
  <c r="A20" i="38"/>
  <c r="A19" i="38"/>
  <c r="A18" i="38"/>
  <c r="A17" i="38"/>
  <c r="A16" i="38"/>
  <c r="A15" i="38"/>
  <c r="A14" i="38"/>
  <c r="A13" i="38"/>
  <c r="A12" i="38"/>
  <c r="A11" i="38"/>
  <c r="A10" i="38"/>
  <c r="I9" i="38"/>
  <c r="H9" i="38"/>
  <c r="G9" i="38"/>
  <c r="F9" i="38"/>
  <c r="E9" i="38"/>
  <c r="D9" i="38"/>
  <c r="C9" i="38"/>
  <c r="I8" i="38"/>
  <c r="H8" i="38"/>
  <c r="G8" i="38"/>
  <c r="F8" i="38"/>
  <c r="E8" i="38"/>
  <c r="D8" i="38"/>
  <c r="C8" i="38"/>
  <c r="I7" i="38"/>
  <c r="H7" i="38"/>
  <c r="G7" i="38"/>
  <c r="F7" i="38"/>
  <c r="E7" i="38"/>
  <c r="D7" i="38"/>
  <c r="C7" i="38"/>
  <c r="A7" i="38"/>
  <c r="R35" i="38" l="1"/>
  <c r="S35" i="38"/>
  <c r="R104" i="38"/>
  <c r="S104" i="38"/>
  <c r="S110" i="38"/>
  <c r="R110" i="38"/>
  <c r="S150" i="38"/>
  <c r="R150" i="38"/>
  <c r="S155" i="38"/>
  <c r="R155" i="38"/>
  <c r="S178" i="38"/>
  <c r="R178" i="38"/>
  <c r="R43" i="38"/>
  <c r="S43" i="38"/>
  <c r="R72" i="38"/>
  <c r="S72" i="38"/>
  <c r="R79" i="38"/>
  <c r="S79" i="38"/>
  <c r="R84" i="38"/>
  <c r="S84" i="38"/>
  <c r="R89" i="38"/>
  <c r="S89" i="38"/>
  <c r="R101" i="38"/>
  <c r="S101" i="38"/>
  <c r="S107" i="38"/>
  <c r="R107" i="38"/>
  <c r="S111" i="38"/>
  <c r="R111" i="38"/>
  <c r="S116" i="38"/>
  <c r="R116" i="38"/>
  <c r="R151" i="38"/>
  <c r="S151" i="38"/>
  <c r="R156" i="38"/>
  <c r="S156" i="38"/>
  <c r="S162" i="38"/>
  <c r="R162" i="38"/>
  <c r="R175" i="38"/>
  <c r="S175" i="38"/>
  <c r="R66" i="38"/>
  <c r="S66" i="38"/>
  <c r="R78" i="38"/>
  <c r="S78" i="38"/>
  <c r="R88" i="38"/>
  <c r="S88" i="38"/>
  <c r="R97" i="38"/>
  <c r="S97" i="38"/>
  <c r="R37" i="38"/>
  <c r="S37" i="38"/>
  <c r="R38" i="38"/>
  <c r="S38" i="38"/>
  <c r="R48" i="38"/>
  <c r="S48" i="38"/>
  <c r="R69" i="38"/>
  <c r="S69" i="38"/>
  <c r="R86" i="38"/>
  <c r="S86" i="38"/>
  <c r="R90" i="38"/>
  <c r="S90" i="38"/>
  <c r="R95" i="38"/>
  <c r="S95" i="38"/>
  <c r="R102" i="38"/>
  <c r="S102" i="38"/>
  <c r="R108" i="38"/>
  <c r="S108" i="38"/>
  <c r="R117" i="38"/>
  <c r="S117" i="38"/>
  <c r="S148" i="38"/>
  <c r="R148" i="38"/>
  <c r="S152" i="38"/>
  <c r="R152" i="38"/>
  <c r="S157" i="38"/>
  <c r="R157" i="38"/>
  <c r="S170" i="38"/>
  <c r="R170" i="38"/>
  <c r="S176" i="38"/>
  <c r="R176" i="38"/>
  <c r="R41" i="38"/>
  <c r="S41" i="38"/>
  <c r="R34" i="38"/>
  <c r="S34" i="38"/>
  <c r="R40" i="38"/>
  <c r="S40" i="38"/>
  <c r="R49" i="38"/>
  <c r="S49" i="38"/>
  <c r="R70" i="38"/>
  <c r="S70" i="38"/>
  <c r="R77" i="38"/>
  <c r="S77" i="38"/>
  <c r="S92" i="38"/>
  <c r="R92" i="38"/>
  <c r="R96" i="38"/>
  <c r="S96" i="38"/>
  <c r="R149" i="38"/>
  <c r="S149" i="38"/>
  <c r="R154" i="38"/>
  <c r="S154" i="38"/>
  <c r="R158" i="38"/>
  <c r="S158" i="38"/>
  <c r="R173" i="38"/>
  <c r="S173" i="38"/>
  <c r="R177" i="38"/>
  <c r="S177" i="38"/>
  <c r="R161" i="38"/>
  <c r="S161" i="38"/>
  <c r="S163" i="38"/>
  <c r="R163" i="38"/>
  <c r="S165" i="38"/>
  <c r="R165" i="38"/>
  <c r="R164" i="38"/>
  <c r="S164" i="38"/>
  <c r="S115" i="38"/>
  <c r="R115" i="38"/>
  <c r="S52" i="38"/>
  <c r="R52" i="38"/>
  <c r="R68" i="38"/>
  <c r="S68" i="38"/>
  <c r="S94" i="38"/>
  <c r="R94" i="38"/>
  <c r="R76" i="38"/>
  <c r="S76" i="38"/>
  <c r="S93" i="38"/>
  <c r="R93" i="38"/>
  <c r="R82" i="38"/>
  <c r="S82" i="38"/>
  <c r="S103" i="38"/>
  <c r="R103" i="38"/>
  <c r="R109" i="38"/>
  <c r="S109" i="38"/>
  <c r="S114" i="38"/>
  <c r="S113" i="38"/>
  <c r="S71" i="38"/>
  <c r="S63" i="38"/>
  <c r="P97" i="10" l="1"/>
  <c r="O97" i="10"/>
  <c r="N97" i="10"/>
  <c r="M97" i="10"/>
  <c r="L97" i="10"/>
  <c r="P96" i="10"/>
  <c r="O96" i="10"/>
  <c r="N96" i="10"/>
  <c r="M96" i="10"/>
  <c r="L96" i="10"/>
  <c r="P95" i="10"/>
  <c r="O95" i="10"/>
  <c r="N95" i="10"/>
  <c r="M95" i="10"/>
  <c r="L95" i="10"/>
  <c r="K97" i="10"/>
  <c r="K96" i="10"/>
  <c r="K95" i="10"/>
  <c r="O91" i="10" l="1"/>
  <c r="L91" i="10"/>
  <c r="P91" i="10"/>
  <c r="K91" i="10"/>
  <c r="A58" i="10"/>
  <c r="AJ16" i="2" l="1"/>
  <c r="CH15" i="10" l="1"/>
  <c r="DG16" i="20"/>
  <c r="DF16" i="20"/>
  <c r="DB16" i="20"/>
  <c r="DD16" i="20"/>
  <c r="DE16" i="20"/>
  <c r="DA16" i="20"/>
  <c r="DC16" i="20"/>
  <c r="CL16" i="20"/>
  <c r="CH16" i="20"/>
  <c r="CK16" i="20"/>
  <c r="CG16" i="20"/>
  <c r="CJ16" i="20"/>
  <c r="CM16" i="20"/>
  <c r="CI16" i="20"/>
  <c r="BQ16" i="20"/>
  <c r="BM16" i="20"/>
  <c r="AY16" i="20"/>
  <c r="AU16" i="20"/>
  <c r="AC16" i="20"/>
  <c r="Y16" i="20"/>
  <c r="BP16" i="20"/>
  <c r="AX16" i="20"/>
  <c r="AT16" i="20"/>
  <c r="AB16" i="20"/>
  <c r="BS16" i="20"/>
  <c r="BO16" i="20"/>
  <c r="AW16" i="20"/>
  <c r="AS16" i="20"/>
  <c r="AE16" i="20"/>
  <c r="AA16" i="20"/>
  <c r="Z16" i="20"/>
  <c r="BR16" i="20"/>
  <c r="AD16" i="20"/>
  <c r="BN16" i="20"/>
  <c r="AV16" i="20"/>
  <c r="C75" i="21"/>
  <c r="D75" i="21" s="1"/>
  <c r="A63" i="20" l="1"/>
  <c r="C63" i="20"/>
  <c r="U63" i="20"/>
  <c r="AO63" i="20"/>
  <c r="BI63" i="20"/>
  <c r="CC63" i="20"/>
  <c r="CW63" i="20"/>
  <c r="A64" i="20"/>
  <c r="C64" i="20"/>
  <c r="U64" i="20"/>
  <c r="AO64" i="20"/>
  <c r="BI64" i="20"/>
  <c r="CC64" i="20"/>
  <c r="CW64" i="20"/>
  <c r="A65" i="20"/>
  <c r="C65" i="20"/>
  <c r="K65" i="20"/>
  <c r="U65" i="20"/>
  <c r="AO65" i="20"/>
  <c r="BI65" i="20"/>
  <c r="CC65" i="20"/>
  <c r="CW65" i="20"/>
  <c r="A66" i="20"/>
  <c r="C66" i="20"/>
  <c r="U66" i="20"/>
  <c r="AO66" i="20"/>
  <c r="BI66" i="20"/>
  <c r="CC66" i="20"/>
  <c r="CW66" i="20"/>
  <c r="A57" i="20"/>
  <c r="C57" i="20"/>
  <c r="U57" i="20"/>
  <c r="AO57" i="20"/>
  <c r="BI57" i="20"/>
  <c r="CC57" i="20"/>
  <c r="CW57" i="20"/>
  <c r="A51" i="20"/>
  <c r="A52" i="20"/>
  <c r="A53" i="20"/>
  <c r="A54" i="20"/>
  <c r="A55" i="20"/>
  <c r="A56" i="20"/>
  <c r="A58" i="20"/>
  <c r="A59" i="20"/>
  <c r="A60" i="20"/>
  <c r="A61" i="20"/>
  <c r="A62" i="20"/>
  <c r="A67" i="20"/>
  <c r="A68" i="20"/>
  <c r="A69" i="20"/>
  <c r="A70" i="20"/>
  <c r="A71" i="20"/>
  <c r="A72" i="20"/>
  <c r="A73" i="20"/>
  <c r="A74" i="20"/>
  <c r="A75" i="20"/>
  <c r="A76" i="20"/>
  <c r="A77" i="20"/>
  <c r="A78" i="20"/>
  <c r="A79" i="20"/>
  <c r="A80" i="20"/>
  <c r="A81" i="20"/>
  <c r="A82" i="20"/>
  <c r="A83" i="20"/>
  <c r="A86" i="20"/>
  <c r="A87" i="20"/>
  <c r="A88" i="20"/>
  <c r="A89" i="20"/>
  <c r="A90" i="20"/>
  <c r="A91" i="20"/>
  <c r="A92" i="20"/>
  <c r="A93" i="20"/>
  <c r="A94" i="20"/>
  <c r="A95" i="20"/>
  <c r="A96" i="20"/>
  <c r="A97" i="20"/>
  <c r="A98" i="20"/>
  <c r="A100" i="20"/>
  <c r="A101" i="20"/>
  <c r="A102" i="20"/>
  <c r="A103" i="20"/>
  <c r="A104" i="20"/>
  <c r="A105" i="20"/>
  <c r="A106" i="20"/>
  <c r="A107" i="20"/>
  <c r="A108" i="20"/>
  <c r="A109" i="20"/>
  <c r="A110" i="20"/>
  <c r="A111" i="20"/>
  <c r="A112" i="20"/>
  <c r="A113" i="20"/>
  <c r="A114" i="20"/>
  <c r="A115" i="20"/>
  <c r="A116" i="20"/>
  <c r="A117" i="20"/>
  <c r="A118" i="20"/>
  <c r="A119" i="20"/>
  <c r="A120" i="20"/>
  <c r="A121" i="20"/>
  <c r="A122" i="20"/>
  <c r="A123" i="20"/>
  <c r="A124" i="20"/>
  <c r="A125" i="20"/>
  <c r="A126" i="20"/>
  <c r="A127" i="20"/>
  <c r="A128" i="20"/>
  <c r="A129" i="20"/>
  <c r="A135" i="20"/>
  <c r="A136" i="20"/>
  <c r="A137" i="20"/>
  <c r="A138" i="20"/>
  <c r="A139" i="20"/>
  <c r="A140" i="20"/>
  <c r="A147" i="20"/>
  <c r="A148" i="20"/>
  <c r="A149" i="20"/>
  <c r="A150" i="20"/>
  <c r="A151" i="20"/>
  <c r="A152" i="20"/>
  <c r="A153" i="20"/>
  <c r="A154" i="20"/>
  <c r="A155" i="20"/>
  <c r="A156" i="20"/>
  <c r="A157" i="20"/>
  <c r="A158" i="20"/>
  <c r="A159" i="20"/>
  <c r="A160" i="20"/>
  <c r="A161" i="20"/>
  <c r="A162" i="20"/>
  <c r="A163" i="20"/>
  <c r="A164" i="20"/>
  <c r="A165" i="20"/>
  <c r="A166" i="20"/>
  <c r="A167" i="20"/>
  <c r="A40" i="20"/>
  <c r="C40" i="20"/>
  <c r="AO40" i="20"/>
  <c r="BI40" i="20"/>
  <c r="CC40" i="20"/>
  <c r="CW40" i="20"/>
  <c r="A41" i="20"/>
  <c r="C41" i="20"/>
  <c r="AO41" i="20"/>
  <c r="AR41" i="20"/>
  <c r="BI41" i="20"/>
  <c r="CC41" i="20"/>
  <c r="CW41" i="20"/>
  <c r="A42" i="20"/>
  <c r="C42" i="20"/>
  <c r="AO42" i="20"/>
  <c r="BI42" i="20"/>
  <c r="CC42" i="20"/>
  <c r="CW42" i="20"/>
  <c r="A43" i="20"/>
  <c r="C43" i="20"/>
  <c r="K43" i="20"/>
  <c r="AO43" i="20"/>
  <c r="BI43" i="20"/>
  <c r="CC43" i="20"/>
  <c r="CW43" i="20"/>
  <c r="A44" i="20"/>
  <c r="C44" i="20"/>
  <c r="AO44" i="20"/>
  <c r="BI44" i="20"/>
  <c r="CC44" i="20"/>
  <c r="CW44" i="20"/>
  <c r="A45" i="20"/>
  <c r="C45" i="20"/>
  <c r="AO45" i="20"/>
  <c r="BI45" i="20"/>
  <c r="CC45" i="20"/>
  <c r="CW45" i="20"/>
  <c r="A173" i="20"/>
  <c r="N173" i="20"/>
  <c r="O173" i="20"/>
  <c r="P173" i="20"/>
  <c r="Q173" i="20"/>
  <c r="R173" i="20"/>
  <c r="S173" i="20"/>
  <c r="T173" i="20"/>
  <c r="AH173" i="20"/>
  <c r="AI173" i="20"/>
  <c r="AJ173" i="20"/>
  <c r="AK173" i="20"/>
  <c r="AL173" i="20"/>
  <c r="AM173" i="20"/>
  <c r="AN173" i="20"/>
  <c r="BB173" i="20"/>
  <c r="BC173" i="20"/>
  <c r="BD173" i="20"/>
  <c r="BE173" i="20"/>
  <c r="BF173" i="20"/>
  <c r="BG173" i="20"/>
  <c r="BH173" i="20"/>
  <c r="BV173" i="20"/>
  <c r="BW173" i="20"/>
  <c r="BX173" i="20"/>
  <c r="BY173" i="20"/>
  <c r="BZ173" i="20"/>
  <c r="CA173" i="20"/>
  <c r="CB173" i="20"/>
  <c r="CP173" i="20"/>
  <c r="CQ173" i="20"/>
  <c r="CR173" i="20"/>
  <c r="CS173" i="20"/>
  <c r="CT173" i="20"/>
  <c r="CU173" i="20"/>
  <c r="CV173" i="20"/>
  <c r="U10" i="20"/>
  <c r="AO10" i="20"/>
  <c r="V9" i="20"/>
  <c r="T9" i="20"/>
  <c r="S9" i="20"/>
  <c r="R9" i="20"/>
  <c r="Q9" i="20"/>
  <c r="P9" i="20"/>
  <c r="O9" i="20"/>
  <c r="N9" i="20"/>
  <c r="BH9" i="20"/>
  <c r="BG9" i="20"/>
  <c r="BF9" i="20"/>
  <c r="BE9" i="20"/>
  <c r="BD9" i="20"/>
  <c r="BC9" i="20"/>
  <c r="BB9" i="20"/>
  <c r="BI10" i="20"/>
  <c r="CC10" i="20"/>
  <c r="CB9" i="20"/>
  <c r="CA9" i="20"/>
  <c r="BZ9" i="20"/>
  <c r="BY9" i="20"/>
  <c r="BX9" i="20"/>
  <c r="BW9" i="20"/>
  <c r="BV9" i="20"/>
  <c r="BI61" i="20"/>
  <c r="BI60" i="20"/>
  <c r="BI59" i="20"/>
  <c r="BI55" i="20"/>
  <c r="BI54" i="20"/>
  <c r="BI53" i="20"/>
  <c r="BI52" i="20"/>
  <c r="BI51" i="20"/>
  <c r="BI49" i="20"/>
  <c r="BI48" i="20"/>
  <c r="BI47" i="20"/>
  <c r="BI38" i="20"/>
  <c r="BI37" i="20"/>
  <c r="BI36" i="20"/>
  <c r="BI35" i="20"/>
  <c r="BI34" i="20"/>
  <c r="BI32" i="20"/>
  <c r="BI31" i="20"/>
  <c r="BI30" i="20"/>
  <c r="BI29" i="20"/>
  <c r="BI28" i="20"/>
  <c r="BI27" i="20"/>
  <c r="BI26" i="20"/>
  <c r="BI25" i="20"/>
  <c r="BI24" i="20"/>
  <c r="BI23" i="20"/>
  <c r="BI22" i="20"/>
  <c r="BI21" i="20"/>
  <c r="BI20" i="20"/>
  <c r="BI19" i="20"/>
  <c r="BI18" i="20"/>
  <c r="BI17" i="20"/>
  <c r="BI16" i="20"/>
  <c r="BI15" i="20"/>
  <c r="BI14" i="20"/>
  <c r="BI13" i="20"/>
  <c r="BI12" i="20"/>
  <c r="BI11" i="20"/>
  <c r="AO37" i="20"/>
  <c r="AO36" i="20"/>
  <c r="AO35" i="20"/>
  <c r="AO34" i="20"/>
  <c r="AO32" i="20"/>
  <c r="AO31" i="20"/>
  <c r="AO30" i="20"/>
  <c r="AO29" i="20"/>
  <c r="AO28" i="20"/>
  <c r="AO27" i="20"/>
  <c r="AO26" i="20"/>
  <c r="AO25" i="20"/>
  <c r="AO24" i="20"/>
  <c r="AO23" i="20"/>
  <c r="AO22" i="20"/>
  <c r="AO21" i="20"/>
  <c r="AO20" i="20"/>
  <c r="AO19" i="20"/>
  <c r="AO18" i="20"/>
  <c r="AO17" i="20"/>
  <c r="AO16" i="20"/>
  <c r="AO15" i="20"/>
  <c r="AO14" i="20"/>
  <c r="AO13" i="20"/>
  <c r="AO12" i="20"/>
  <c r="AO11" i="20"/>
  <c r="C98" i="11"/>
  <c r="C5" i="11"/>
  <c r="B8" i="10"/>
  <c r="B7" i="10"/>
  <c r="N77" i="8"/>
  <c r="M79" i="6"/>
  <c r="CW173" i="20" l="1"/>
  <c r="U173" i="20"/>
  <c r="BI173" i="20"/>
  <c r="CC173" i="20"/>
  <c r="AO173" i="20"/>
  <c r="BI9" i="20"/>
  <c r="U9" i="20"/>
  <c r="CC9" i="20"/>
  <c r="AO83" i="20"/>
  <c r="AO81" i="20"/>
  <c r="AH90" i="2"/>
  <c r="L72" i="3" l="1"/>
  <c r="L71" i="3" s="1"/>
  <c r="L70" i="3" s="1"/>
  <c r="AJ17" i="2"/>
  <c r="AJ21" i="2"/>
  <c r="AJ22" i="2"/>
  <c r="AJ24" i="2"/>
  <c r="AJ25" i="2"/>
  <c r="AJ28" i="2"/>
  <c r="AJ31" i="2"/>
  <c r="AH31" i="2"/>
  <c r="CG30" i="10" s="1"/>
  <c r="AH28" i="2"/>
  <c r="CG27" i="10" s="1"/>
  <c r="AG28" i="2"/>
  <c r="AH25" i="2"/>
  <c r="CG24" i="10" s="1"/>
  <c r="AG25" i="2"/>
  <c r="AH24" i="2"/>
  <c r="CG23" i="10" s="1"/>
  <c r="AG24" i="2"/>
  <c r="AH22" i="2"/>
  <c r="CG21" i="10" s="1"/>
  <c r="AG22" i="2"/>
  <c r="AH21" i="2"/>
  <c r="CG20" i="10" s="1"/>
  <c r="AG21" i="2"/>
  <c r="AH17" i="2"/>
  <c r="CG16" i="10" s="1"/>
  <c r="AG17" i="2"/>
  <c r="AH16" i="2"/>
  <c r="CG15" i="10" s="1"/>
  <c r="AG16" i="2"/>
  <c r="CH30" i="10" l="1"/>
  <c r="DG31" i="20"/>
  <c r="DC31" i="20"/>
  <c r="DA31" i="20"/>
  <c r="DF31" i="20"/>
  <c r="DB31" i="20"/>
  <c r="DE31" i="20"/>
  <c r="DD31" i="20"/>
  <c r="CH21" i="10"/>
  <c r="DG22" i="20"/>
  <c r="DF22" i="20"/>
  <c r="DB22" i="20"/>
  <c r="DD22" i="20"/>
  <c r="DE22" i="20"/>
  <c r="DA22" i="20"/>
  <c r="DC22" i="20"/>
  <c r="CH27" i="10"/>
  <c r="DG28" i="20"/>
  <c r="DE28" i="20"/>
  <c r="DA28" i="20"/>
  <c r="DC28" i="20"/>
  <c r="DD28" i="20"/>
  <c r="DB28" i="20"/>
  <c r="DF28" i="20"/>
  <c r="CH20" i="10"/>
  <c r="DG21" i="20"/>
  <c r="DD21" i="20"/>
  <c r="DB21" i="20"/>
  <c r="DC21" i="20"/>
  <c r="DF21" i="20"/>
  <c r="DE21" i="20"/>
  <c r="DA21" i="20"/>
  <c r="CH24" i="10"/>
  <c r="DG25" i="20"/>
  <c r="DC25" i="20"/>
  <c r="DE25" i="20"/>
  <c r="DF25" i="20"/>
  <c r="DB25" i="20"/>
  <c r="DA25" i="20"/>
  <c r="DD25" i="20"/>
  <c r="CH16" i="10"/>
  <c r="DG17" i="20"/>
  <c r="DD17" i="20"/>
  <c r="DF17" i="20"/>
  <c r="DC17" i="20"/>
  <c r="DB17" i="20"/>
  <c r="DA17" i="20"/>
  <c r="DE17" i="20"/>
  <c r="CH23" i="10"/>
  <c r="DG24" i="20"/>
  <c r="DE24" i="20"/>
  <c r="DA24" i="20"/>
  <c r="DC24" i="20"/>
  <c r="DD24" i="20"/>
  <c r="DF24" i="20"/>
  <c r="DB24" i="20"/>
  <c r="CL21" i="20"/>
  <c r="CH21" i="20"/>
  <c r="CI21" i="20"/>
  <c r="CK21" i="20"/>
  <c r="CG21" i="20"/>
  <c r="CJ21" i="20"/>
  <c r="CM21" i="20"/>
  <c r="BQ21" i="20"/>
  <c r="BM21" i="20"/>
  <c r="AY21" i="20"/>
  <c r="AU21" i="20"/>
  <c r="AC21" i="20"/>
  <c r="Y21" i="20"/>
  <c r="BP21" i="20"/>
  <c r="AX21" i="20"/>
  <c r="AT21" i="20"/>
  <c r="AB21" i="20"/>
  <c r="BR21" i="20"/>
  <c r="AV21" i="20"/>
  <c r="AD21" i="20"/>
  <c r="Z21" i="20"/>
  <c r="BS21" i="20"/>
  <c r="BO21" i="20"/>
  <c r="AW21" i="20"/>
  <c r="AS21" i="20"/>
  <c r="AE21" i="20"/>
  <c r="AA21" i="20"/>
  <c r="BN21" i="20"/>
  <c r="CM22" i="20"/>
  <c r="CI22" i="20"/>
  <c r="CL22" i="20"/>
  <c r="CH22" i="20"/>
  <c r="CJ22" i="20"/>
  <c r="CK22" i="20"/>
  <c r="CG22" i="20"/>
  <c r="BR22" i="20"/>
  <c r="BN22" i="20"/>
  <c r="AV22" i="20"/>
  <c r="AD22" i="20"/>
  <c r="Z22" i="20"/>
  <c r="AA22" i="20"/>
  <c r="BQ22" i="20"/>
  <c r="BM22" i="20"/>
  <c r="AY22" i="20"/>
  <c r="AU22" i="20"/>
  <c r="AC22" i="20"/>
  <c r="Y22" i="20"/>
  <c r="BS22" i="20"/>
  <c r="AW22" i="20"/>
  <c r="BP22" i="20"/>
  <c r="AX22" i="20"/>
  <c r="AT22" i="20"/>
  <c r="AB22" i="20"/>
  <c r="BO22" i="20"/>
  <c r="AS22" i="20"/>
  <c r="AE22" i="20"/>
  <c r="CL31" i="20"/>
  <c r="CH31" i="20"/>
  <c r="CK31" i="20"/>
  <c r="CG31" i="20"/>
  <c r="CJ31" i="20"/>
  <c r="CM31" i="20"/>
  <c r="CI31" i="20"/>
  <c r="BP31" i="20"/>
  <c r="AW31" i="20"/>
  <c r="AS31" i="20"/>
  <c r="AD31" i="20"/>
  <c r="Z31" i="20"/>
  <c r="BS31" i="20"/>
  <c r="BO31" i="20"/>
  <c r="AV31" i="20"/>
  <c r="AC31" i="20"/>
  <c r="Y31" i="20"/>
  <c r="BR31" i="20"/>
  <c r="BN31" i="20"/>
  <c r="AY31" i="20"/>
  <c r="AU31" i="20"/>
  <c r="AB31" i="20"/>
  <c r="BQ31" i="20"/>
  <c r="BM31" i="20"/>
  <c r="AX31" i="20"/>
  <c r="AT31" i="20"/>
  <c r="AE31" i="20"/>
  <c r="AA31" i="20"/>
  <c r="CJ28" i="20"/>
  <c r="CM28" i="20"/>
  <c r="CI28" i="20"/>
  <c r="CL28" i="20"/>
  <c r="CH28" i="20"/>
  <c r="CK28" i="20"/>
  <c r="CG28" i="20"/>
  <c r="BR28" i="20"/>
  <c r="BN28" i="20"/>
  <c r="AY28" i="20"/>
  <c r="AU28" i="20"/>
  <c r="AB28" i="20"/>
  <c r="BQ28" i="20"/>
  <c r="BM28" i="20"/>
  <c r="AX28" i="20"/>
  <c r="AT28" i="20"/>
  <c r="AE28" i="20"/>
  <c r="AA28" i="20"/>
  <c r="BP28" i="20"/>
  <c r="AW28" i="20"/>
  <c r="AS28" i="20"/>
  <c r="AD28" i="20"/>
  <c r="Z28" i="20"/>
  <c r="BS28" i="20"/>
  <c r="BO28" i="20"/>
  <c r="AV28" i="20"/>
  <c r="AC28" i="20"/>
  <c r="Y28" i="20"/>
  <c r="CL25" i="20"/>
  <c r="CH25" i="20"/>
  <c r="CK25" i="20"/>
  <c r="CG25" i="20"/>
  <c r="CJ25" i="20"/>
  <c r="CM25" i="20"/>
  <c r="CI25" i="20"/>
  <c r="BS25" i="20"/>
  <c r="BO25" i="20"/>
  <c r="AV25" i="20"/>
  <c r="AC25" i="20"/>
  <c r="Y25" i="20"/>
  <c r="BR25" i="20"/>
  <c r="BN25" i="20"/>
  <c r="AY25" i="20"/>
  <c r="AU25" i="20"/>
  <c r="AB25" i="20"/>
  <c r="BQ25" i="20"/>
  <c r="BM25" i="20"/>
  <c r="AX25" i="20"/>
  <c r="AT25" i="20"/>
  <c r="AE25" i="20"/>
  <c r="AA25" i="20"/>
  <c r="BP25" i="20"/>
  <c r="AW25" i="20"/>
  <c r="AS25" i="20"/>
  <c r="AD25" i="20"/>
  <c r="Z25" i="20"/>
  <c r="CK24" i="20"/>
  <c r="CG24" i="20"/>
  <c r="CJ24" i="20"/>
  <c r="CM24" i="20"/>
  <c r="CI24" i="20"/>
  <c r="CL24" i="20"/>
  <c r="CH24" i="20"/>
  <c r="BR24" i="20"/>
  <c r="BN24" i="20"/>
  <c r="AY24" i="20"/>
  <c r="AU24" i="20"/>
  <c r="AB24" i="20"/>
  <c r="BQ24" i="20"/>
  <c r="BM24" i="20"/>
  <c r="AX24" i="20"/>
  <c r="AT24" i="20"/>
  <c r="AE24" i="20"/>
  <c r="AA24" i="20"/>
  <c r="BP24" i="20"/>
  <c r="AW24" i="20"/>
  <c r="AS24" i="20"/>
  <c r="AD24" i="20"/>
  <c r="Z24" i="20"/>
  <c r="BS24" i="20"/>
  <c r="BO24" i="20"/>
  <c r="AV24" i="20"/>
  <c r="AC24" i="20"/>
  <c r="Y24" i="20"/>
  <c r="CM17" i="20"/>
  <c r="CI17" i="20"/>
  <c r="CL17" i="20"/>
  <c r="CH17" i="20"/>
  <c r="CK17" i="20"/>
  <c r="CG17" i="20"/>
  <c r="CJ17" i="20"/>
  <c r="BR17" i="20"/>
  <c r="BN17" i="20"/>
  <c r="AV17" i="20"/>
  <c r="AD17" i="20"/>
  <c r="Z17" i="20"/>
  <c r="BQ17" i="20"/>
  <c r="BM17" i="20"/>
  <c r="AY17" i="20"/>
  <c r="AU17" i="20"/>
  <c r="AC17" i="20"/>
  <c r="Y17" i="20"/>
  <c r="BP17" i="20"/>
  <c r="AX17" i="20"/>
  <c r="AT17" i="20"/>
  <c r="AB17" i="20"/>
  <c r="BO17" i="20"/>
  <c r="AW17" i="20"/>
  <c r="AE17" i="20"/>
  <c r="AS17" i="20"/>
  <c r="AA17" i="20"/>
  <c r="BS17" i="20"/>
  <c r="S22" i="38"/>
  <c r="S31" i="38"/>
  <c r="S17" i="38"/>
  <c r="S25" i="38"/>
  <c r="S16" i="38"/>
  <c r="S21" i="38"/>
  <c r="S24" i="38"/>
  <c r="S28" i="38"/>
  <c r="O171" i="2"/>
  <c r="K175" i="28"/>
  <c r="K178" i="10" s="1"/>
  <c r="K179" i="10"/>
  <c r="K149" i="28"/>
  <c r="K62" i="28"/>
  <c r="S39" i="28"/>
  <c r="Y39" i="28"/>
  <c r="K170" i="38" l="1"/>
  <c r="K169" i="23"/>
  <c r="K168" i="23" s="1"/>
  <c r="K167" i="23" s="1"/>
  <c r="K170" i="25"/>
  <c r="K169" i="25" s="1"/>
  <c r="K168" i="25" s="1"/>
  <c r="K170" i="24"/>
  <c r="K169" i="24" s="1"/>
  <c r="K168" i="24" s="1"/>
  <c r="X178" i="20"/>
  <c r="BL178" i="20"/>
  <c r="AR177" i="20"/>
  <c r="X179" i="20"/>
  <c r="CZ179" i="20"/>
  <c r="BL179" i="20"/>
  <c r="X174" i="20"/>
  <c r="CF174" i="20"/>
  <c r="BL174" i="20"/>
  <c r="X176" i="20"/>
  <c r="BL176" i="20"/>
  <c r="X171" i="20"/>
  <c r="W154" i="20"/>
  <c r="X156" i="20"/>
  <c r="X159" i="20"/>
  <c r="X158" i="20"/>
  <c r="X157" i="20"/>
  <c r="X155" i="20"/>
  <c r="BL94" i="20"/>
  <c r="X88" i="20"/>
  <c r="X60" i="20"/>
  <c r="X59" i="20"/>
  <c r="CF53" i="20"/>
  <c r="BL53" i="20"/>
  <c r="CZ54" i="20"/>
  <c r="BL54" i="20"/>
  <c r="CZ52" i="20"/>
  <c r="AR52" i="20"/>
  <c r="CZ51" i="20"/>
  <c r="CF51" i="20"/>
  <c r="BL51" i="20"/>
  <c r="AR93" i="20"/>
  <c r="A166" i="10" l="1"/>
  <c r="AC45" i="2"/>
  <c r="AD45" i="2" s="1"/>
  <c r="AC43" i="2"/>
  <c r="Y45" i="2"/>
  <c r="Z45" i="2" s="1"/>
  <c r="V45" i="2"/>
  <c r="W45" i="2" s="1"/>
  <c r="S45" i="2"/>
  <c r="T45" i="2" s="1"/>
  <c r="P45" i="2"/>
  <c r="Q45" i="2" s="1"/>
  <c r="P44" i="2"/>
  <c r="Q44" i="2" s="1"/>
  <c r="P43" i="2"/>
  <c r="M45" i="2"/>
  <c r="N45" i="2" s="1"/>
  <c r="M44" i="2"/>
  <c r="N44" i="2" s="1"/>
  <c r="M43" i="2"/>
  <c r="V167" i="2"/>
  <c r="W167" i="2" s="1"/>
  <c r="P167" i="2"/>
  <c r="Q167" i="2" s="1"/>
  <c r="M165" i="2"/>
  <c r="N165" i="2" s="1"/>
  <c r="AC167" i="2"/>
  <c r="AD167" i="2" s="1"/>
  <c r="Y167" i="2"/>
  <c r="Z167" i="2" s="1"/>
  <c r="S167" i="2"/>
  <c r="T167" i="2" s="1"/>
  <c r="M167" i="2"/>
  <c r="Y164" i="28"/>
  <c r="V164" i="28"/>
  <c r="X164" i="28" s="1"/>
  <c r="S164" i="28"/>
  <c r="U164" i="28" s="1"/>
  <c r="P164" i="28"/>
  <c r="R164" i="28" s="1"/>
  <c r="M164" i="28"/>
  <c r="O164" i="28" s="1"/>
  <c r="J164" i="28"/>
  <c r="L164" i="28" s="1"/>
  <c r="A164" i="28"/>
  <c r="C165" i="28"/>
  <c r="AC166" i="27"/>
  <c r="Y166" i="27"/>
  <c r="U166" i="27"/>
  <c r="Q166" i="27"/>
  <c r="M166" i="27"/>
  <c r="A166" i="27"/>
  <c r="B166" i="26"/>
  <c r="A166" i="26"/>
  <c r="T166" i="25"/>
  <c r="S166" i="25"/>
  <c r="R166" i="25"/>
  <c r="Q166" i="25"/>
  <c r="P166" i="25"/>
  <c r="B166" i="25"/>
  <c r="B166" i="24"/>
  <c r="A166" i="24"/>
  <c r="A165" i="23"/>
  <c r="D35" i="12"/>
  <c r="C35" i="12"/>
  <c r="BJ161" i="20"/>
  <c r="L31" i="21" s="1"/>
  <c r="AP161" i="20"/>
  <c r="V161" i="20"/>
  <c r="CW167" i="20"/>
  <c r="CC167" i="20"/>
  <c r="BI167" i="20"/>
  <c r="AO167" i="20"/>
  <c r="U167" i="20"/>
  <c r="C167" i="20"/>
  <c r="A165" i="11"/>
  <c r="AJ167" i="2"/>
  <c r="AH167" i="2"/>
  <c r="AG167" i="2"/>
  <c r="AF167" i="2"/>
  <c r="P165" i="23" s="1"/>
  <c r="S165" i="23" s="1"/>
  <c r="AA167" i="2"/>
  <c r="X167" i="2"/>
  <c r="U167" i="2"/>
  <c r="R167" i="2"/>
  <c r="O167" i="2"/>
  <c r="K167" i="2"/>
  <c r="K167" i="20" s="1"/>
  <c r="J167" i="2"/>
  <c r="I164" i="28" s="1"/>
  <c r="I167" i="2"/>
  <c r="H167" i="2"/>
  <c r="G167" i="2"/>
  <c r="F166" i="24" s="1"/>
  <c r="F167" i="2"/>
  <c r="E166" i="26" s="1"/>
  <c r="E167" i="2"/>
  <c r="L167" i="2"/>
  <c r="J166" i="38" s="1"/>
  <c r="D167" i="2"/>
  <c r="C102" i="21"/>
  <c r="D102" i="21" s="1"/>
  <c r="DD167" i="20" l="1"/>
  <c r="DG167" i="20"/>
  <c r="DC167" i="20"/>
  <c r="DA167" i="20"/>
  <c r="DF167" i="20"/>
  <c r="DE167" i="20"/>
  <c r="DB167" i="20"/>
  <c r="CK167" i="20"/>
  <c r="CG167" i="20"/>
  <c r="BP167" i="20"/>
  <c r="AY167" i="20"/>
  <c r="AU167" i="20"/>
  <c r="AD167" i="20"/>
  <c r="Z167" i="20"/>
  <c r="CJ167" i="20"/>
  <c r="BS167" i="20"/>
  <c r="BO167" i="20"/>
  <c r="AX167" i="20"/>
  <c r="AT167" i="20"/>
  <c r="AC167" i="20"/>
  <c r="Y167" i="20"/>
  <c r="CM167" i="20"/>
  <c r="CI167" i="20"/>
  <c r="BR167" i="20"/>
  <c r="BN167" i="20"/>
  <c r="AW167" i="20"/>
  <c r="AS167" i="20"/>
  <c r="AB167" i="20"/>
  <c r="CL167" i="20"/>
  <c r="BQ167" i="20"/>
  <c r="AV167" i="20"/>
  <c r="AE167" i="20"/>
  <c r="CH167" i="20"/>
  <c r="BM167" i="20"/>
  <c r="AA167" i="20"/>
  <c r="AN167" i="2"/>
  <c r="N166" i="38"/>
  <c r="AO167" i="2"/>
  <c r="G166" i="27"/>
  <c r="G166" i="38"/>
  <c r="K166" i="38"/>
  <c r="O166" i="38"/>
  <c r="C166" i="27"/>
  <c r="C166" i="38"/>
  <c r="D164" i="28"/>
  <c r="D166" i="38"/>
  <c r="H164" i="28"/>
  <c r="H166" i="38"/>
  <c r="L166" i="38"/>
  <c r="Z166" i="27"/>
  <c r="AB166" i="27" s="1"/>
  <c r="F166" i="27"/>
  <c r="F166" i="38"/>
  <c r="E166" i="24"/>
  <c r="E166" i="38"/>
  <c r="I166" i="24"/>
  <c r="I166" i="38"/>
  <c r="M166" i="38"/>
  <c r="P166" i="24"/>
  <c r="S166" i="24" s="1"/>
  <c r="I166" i="26"/>
  <c r="E164" i="28"/>
  <c r="AK167" i="2"/>
  <c r="AM166" i="10"/>
  <c r="AE166" i="10" s="1"/>
  <c r="V165" i="11"/>
  <c r="D165" i="11"/>
  <c r="I167" i="20"/>
  <c r="D166" i="25"/>
  <c r="D166" i="27"/>
  <c r="E165" i="11"/>
  <c r="I165" i="11"/>
  <c r="F167" i="20"/>
  <c r="J167" i="20"/>
  <c r="E165" i="23"/>
  <c r="I165" i="23"/>
  <c r="C166" i="24"/>
  <c r="G166" i="24"/>
  <c r="E166" i="25"/>
  <c r="I166" i="25"/>
  <c r="F166" i="26"/>
  <c r="E166" i="27"/>
  <c r="I166" i="27"/>
  <c r="F164" i="28"/>
  <c r="AL167" i="2"/>
  <c r="AI167" i="2"/>
  <c r="AO166" i="10"/>
  <c r="W165" i="11"/>
  <c r="D165" i="23"/>
  <c r="H166" i="25"/>
  <c r="P166" i="26"/>
  <c r="R166" i="26" s="1"/>
  <c r="N166" i="27"/>
  <c r="P166" i="27" s="1"/>
  <c r="B166" i="10"/>
  <c r="F165" i="11"/>
  <c r="J165" i="11"/>
  <c r="G167" i="20"/>
  <c r="F165" i="23"/>
  <c r="D166" i="24"/>
  <c r="H166" i="24"/>
  <c r="F166" i="25"/>
  <c r="C166" i="26"/>
  <c r="G166" i="26"/>
  <c r="J166" i="27"/>
  <c r="L166" i="27" s="1"/>
  <c r="V166" i="27"/>
  <c r="X166" i="27" s="1"/>
  <c r="AD166" i="27"/>
  <c r="C164" i="28"/>
  <c r="G164" i="28"/>
  <c r="AM167" i="2"/>
  <c r="M166" i="10"/>
  <c r="AI166" i="10"/>
  <c r="AQ166" i="10"/>
  <c r="H165" i="11"/>
  <c r="E167" i="20"/>
  <c r="H165" i="23"/>
  <c r="H166" i="27"/>
  <c r="C165" i="11"/>
  <c r="G165" i="11"/>
  <c r="D167" i="20"/>
  <c r="H167" i="20"/>
  <c r="C165" i="23"/>
  <c r="G165" i="23"/>
  <c r="C166" i="25"/>
  <c r="G166" i="25"/>
  <c r="U166" i="25"/>
  <c r="X166" i="25" s="1"/>
  <c r="D166" i="26"/>
  <c r="H166" i="26"/>
  <c r="R166" i="27"/>
  <c r="T166" i="27" s="1"/>
  <c r="AK166" i="10"/>
  <c r="AS166" i="10"/>
  <c r="G166" i="10"/>
  <c r="S166" i="10" l="1"/>
  <c r="Y166" i="10"/>
  <c r="AF166" i="10"/>
  <c r="N166" i="10"/>
  <c r="T166" i="10"/>
  <c r="Z166" i="10"/>
  <c r="H166" i="10"/>
  <c r="AA166" i="10"/>
  <c r="AG166" i="10"/>
  <c r="I166" i="10"/>
  <c r="O166" i="10"/>
  <c r="U166" i="10"/>
  <c r="J166" i="10"/>
  <c r="AB166" i="10"/>
  <c r="V166" i="10"/>
  <c r="D166" i="10"/>
  <c r="AH166" i="10"/>
  <c r="P166" i="10"/>
  <c r="R166" i="10"/>
  <c r="F166" i="10"/>
  <c r="AD166" i="10"/>
  <c r="L166" i="10"/>
  <c r="X166" i="10"/>
  <c r="W166" i="10"/>
  <c r="E166" i="10"/>
  <c r="K166" i="10"/>
  <c r="Q166" i="10"/>
  <c r="AC166" i="10"/>
  <c r="C166" i="10"/>
  <c r="W37" i="28"/>
  <c r="T37" i="28"/>
  <c r="Q37" i="28"/>
  <c r="N37" i="28"/>
  <c r="Z37" i="28"/>
  <c r="Y43" i="28"/>
  <c r="V43" i="28"/>
  <c r="X43" i="28" s="1"/>
  <c r="S43" i="28"/>
  <c r="U43" i="28" s="1"/>
  <c r="P43" i="28"/>
  <c r="R43" i="28" s="1"/>
  <c r="M43" i="28"/>
  <c r="O43" i="28" s="1"/>
  <c r="J43" i="28"/>
  <c r="L43" i="28" s="1"/>
  <c r="A43" i="28"/>
  <c r="AC44" i="27"/>
  <c r="Y44" i="27"/>
  <c r="U44" i="27"/>
  <c r="Q44" i="27"/>
  <c r="M44" i="27"/>
  <c r="B44" i="26"/>
  <c r="A44" i="26"/>
  <c r="T45" i="25"/>
  <c r="S45" i="25"/>
  <c r="R45" i="25"/>
  <c r="Q45" i="25"/>
  <c r="P45" i="25"/>
  <c r="B45" i="25"/>
  <c r="B44" i="24"/>
  <c r="A44" i="23"/>
  <c r="A44" i="10"/>
  <c r="AP39" i="20"/>
  <c r="V39" i="20"/>
  <c r="A43" i="11"/>
  <c r="AJ45" i="2"/>
  <c r="AH45" i="2"/>
  <c r="AG45" i="2"/>
  <c r="AF45" i="2"/>
  <c r="P44" i="23" s="1"/>
  <c r="S44" i="23" s="1"/>
  <c r="AA45" i="2"/>
  <c r="X45" i="2"/>
  <c r="U45" i="2"/>
  <c r="R45" i="2"/>
  <c r="O45" i="2"/>
  <c r="K45" i="2"/>
  <c r="J45" i="2"/>
  <c r="I43" i="11" s="1"/>
  <c r="I45" i="2"/>
  <c r="H45" i="2"/>
  <c r="G45" i="38" s="1"/>
  <c r="G45" i="2"/>
  <c r="F45" i="2"/>
  <c r="E43" i="11" s="1"/>
  <c r="E45" i="2"/>
  <c r="D43" i="11" s="1"/>
  <c r="D45" i="2"/>
  <c r="C45" i="2"/>
  <c r="C22" i="9" s="1"/>
  <c r="L22" i="9"/>
  <c r="L45" i="2" s="1"/>
  <c r="P16" i="9"/>
  <c r="O16" i="9"/>
  <c r="N16" i="9"/>
  <c r="M16" i="9"/>
  <c r="Q16" i="9"/>
  <c r="CH44" i="10" l="1"/>
  <c r="DG45" i="20"/>
  <c r="DF45" i="20"/>
  <c r="DB45" i="20"/>
  <c r="DC45" i="20"/>
  <c r="DE45" i="20"/>
  <c r="DA45" i="20"/>
  <c r="DD45" i="20"/>
  <c r="AI45" i="2"/>
  <c r="CG44" i="10"/>
  <c r="AF44" i="10" s="1"/>
  <c r="CK45" i="20"/>
  <c r="CG45" i="20"/>
  <c r="CJ45" i="20"/>
  <c r="CM45" i="20"/>
  <c r="CI45" i="20"/>
  <c r="CL45" i="20"/>
  <c r="CH45" i="20"/>
  <c r="BQ45" i="20"/>
  <c r="BM45" i="20"/>
  <c r="AV45" i="20"/>
  <c r="AE45" i="20"/>
  <c r="AA45" i="20"/>
  <c r="BR45" i="20"/>
  <c r="AW45" i="20"/>
  <c r="BP45" i="20"/>
  <c r="AY45" i="20"/>
  <c r="AU45" i="20"/>
  <c r="AD45" i="20"/>
  <c r="Z45" i="20"/>
  <c r="AB45" i="20"/>
  <c r="BS45" i="20"/>
  <c r="BO45" i="20"/>
  <c r="AX45" i="20"/>
  <c r="AT45" i="20"/>
  <c r="AC45" i="20"/>
  <c r="Y45" i="20"/>
  <c r="BN45" i="20"/>
  <c r="AS45" i="20"/>
  <c r="H44" i="27"/>
  <c r="H45" i="38"/>
  <c r="I45" i="20"/>
  <c r="K45" i="38"/>
  <c r="H45" i="25"/>
  <c r="H43" i="28"/>
  <c r="E44" i="26"/>
  <c r="E45" i="38"/>
  <c r="F45" i="20"/>
  <c r="I44" i="26"/>
  <c r="I45" i="38"/>
  <c r="J45" i="20"/>
  <c r="L45" i="38"/>
  <c r="E44" i="24"/>
  <c r="I45" i="25"/>
  <c r="E44" i="27"/>
  <c r="I43" i="28"/>
  <c r="D44" i="27"/>
  <c r="D45" i="38"/>
  <c r="E45" i="20"/>
  <c r="O45" i="38"/>
  <c r="M45" i="38"/>
  <c r="I44" i="24"/>
  <c r="D45" i="25"/>
  <c r="I44" i="27"/>
  <c r="D43" i="28"/>
  <c r="F43" i="11"/>
  <c r="F45" i="38"/>
  <c r="G45" i="20"/>
  <c r="J43" i="11"/>
  <c r="K45" i="20"/>
  <c r="C43" i="28"/>
  <c r="C45" i="38"/>
  <c r="D45" i="20"/>
  <c r="V43" i="11"/>
  <c r="J45" i="38"/>
  <c r="N45" i="38"/>
  <c r="H43" i="11"/>
  <c r="AI44" i="10"/>
  <c r="W44" i="10" s="1"/>
  <c r="P44" i="24"/>
  <c r="S44" i="24" s="1"/>
  <c r="E45" i="25"/>
  <c r="E43" i="28"/>
  <c r="G43" i="28"/>
  <c r="H45" i="20"/>
  <c r="AK44" i="10"/>
  <c r="X44" i="10" s="1"/>
  <c r="V44" i="27"/>
  <c r="X44" i="27" s="1"/>
  <c r="F44" i="23"/>
  <c r="AD44" i="27"/>
  <c r="C44" i="26"/>
  <c r="G44" i="26"/>
  <c r="J44" i="27"/>
  <c r="L44" i="27" s="1"/>
  <c r="AM45" i="2"/>
  <c r="B44" i="10"/>
  <c r="AQ44" i="10"/>
  <c r="D44" i="23"/>
  <c r="H44" i="23"/>
  <c r="C44" i="24"/>
  <c r="G44" i="24"/>
  <c r="F45" i="25"/>
  <c r="U45" i="25"/>
  <c r="X45" i="25" s="1"/>
  <c r="D44" i="26"/>
  <c r="H44" i="26"/>
  <c r="C44" i="27"/>
  <c r="G44" i="27"/>
  <c r="Z44" i="27"/>
  <c r="AB44" i="27" s="1"/>
  <c r="F43" i="28"/>
  <c r="AN45" i="2"/>
  <c r="F44" i="26"/>
  <c r="AL45" i="2"/>
  <c r="C44" i="23"/>
  <c r="G44" i="23"/>
  <c r="F44" i="24"/>
  <c r="F44" i="27"/>
  <c r="R44" i="27"/>
  <c r="T44" i="27" s="1"/>
  <c r="C43" i="11"/>
  <c r="G43" i="11"/>
  <c r="E44" i="23"/>
  <c r="I44" i="23"/>
  <c r="D44" i="24"/>
  <c r="H44" i="24"/>
  <c r="C45" i="25"/>
  <c r="G45" i="25"/>
  <c r="P44" i="26"/>
  <c r="R44" i="26" s="1"/>
  <c r="N44" i="27"/>
  <c r="P44" i="27" s="1"/>
  <c r="AK45" i="2"/>
  <c r="AO45" i="2"/>
  <c r="AS44" i="10"/>
  <c r="AB44" i="10" s="1"/>
  <c r="W43" i="11"/>
  <c r="AM44" i="10"/>
  <c r="Y44" i="10" s="1"/>
  <c r="AO44" i="10"/>
  <c r="AP79" i="20"/>
  <c r="L22" i="21" l="1"/>
  <c r="L75" i="21" s="1"/>
  <c r="C21" i="22"/>
  <c r="Z44" i="10"/>
  <c r="AA44" i="10"/>
  <c r="AE44" i="10"/>
  <c r="AC44" i="10"/>
  <c r="AD44" i="10"/>
  <c r="AG44" i="10"/>
  <c r="AH44" i="10"/>
  <c r="S44" i="10"/>
  <c r="V44" i="10"/>
  <c r="R44" i="10"/>
  <c r="Q44" i="10"/>
  <c r="U44" i="10"/>
  <c r="T44" i="10"/>
  <c r="O175" i="27"/>
  <c r="K93" i="27"/>
  <c r="W93" i="20" s="1"/>
  <c r="X93" i="20" s="1"/>
  <c r="K53" i="27"/>
  <c r="W54" i="20" s="1"/>
  <c r="X54" i="20" s="1"/>
  <c r="K52" i="27"/>
  <c r="W53" i="20" s="1"/>
  <c r="X53" i="20" s="1"/>
  <c r="K51" i="27"/>
  <c r="W52" i="20" s="1"/>
  <c r="K50" i="27"/>
  <c r="W51" i="20" s="1"/>
  <c r="X51" i="20" s="1"/>
  <c r="K48" i="27"/>
  <c r="W49" i="20" s="1"/>
  <c r="X49" i="20" s="1"/>
  <c r="K47" i="27"/>
  <c r="K46" i="27"/>
  <c r="K40" i="27"/>
  <c r="W41" i="20" s="1"/>
  <c r="X41" i="20" s="1"/>
  <c r="K39" i="27"/>
  <c r="W40" i="20" s="1"/>
  <c r="X40" i="20" s="1"/>
  <c r="K171" i="28"/>
  <c r="K174" i="10" s="1"/>
  <c r="K158" i="10"/>
  <c r="K157" i="10"/>
  <c r="K156" i="10"/>
  <c r="K154" i="10"/>
  <c r="K150" i="28"/>
  <c r="K81" i="28"/>
  <c r="K77" i="28" s="1"/>
  <c r="K61" i="28"/>
  <c r="K55" i="28"/>
  <c r="K52" i="28"/>
  <c r="K50" i="28"/>
  <c r="K49" i="28"/>
  <c r="K38" i="28"/>
  <c r="K37" i="28" s="1"/>
  <c r="CI44" i="10" l="1"/>
  <c r="CJ44" i="10" s="1"/>
  <c r="W48" i="20"/>
  <c r="X48" i="20" s="1"/>
  <c r="AQ48" i="20"/>
  <c r="AR48" i="20" s="1"/>
  <c r="X47" i="20"/>
  <c r="J16" i="19"/>
  <c r="W46" i="20" l="1"/>
  <c r="X46" i="20"/>
  <c r="AA39" i="28"/>
  <c r="M180" i="27"/>
  <c r="M179" i="27"/>
  <c r="M174" i="27"/>
  <c r="M165" i="27"/>
  <c r="M164" i="27"/>
  <c r="M163" i="27"/>
  <c r="M162" i="27"/>
  <c r="M139" i="27"/>
  <c r="M138" i="27"/>
  <c r="M137" i="27"/>
  <c r="M136" i="27"/>
  <c r="M135" i="27"/>
  <c r="M129" i="27"/>
  <c r="M128" i="27"/>
  <c r="M127" i="27"/>
  <c r="M126" i="27"/>
  <c r="M125" i="27"/>
  <c r="M124" i="27"/>
  <c r="M123" i="27"/>
  <c r="M122" i="27"/>
  <c r="M119" i="27"/>
  <c r="M118" i="27"/>
  <c r="M117" i="27"/>
  <c r="M116" i="27"/>
  <c r="M115" i="27"/>
  <c r="M107" i="27"/>
  <c r="M105" i="27"/>
  <c r="M98" i="27"/>
  <c r="M97" i="27"/>
  <c r="M96" i="27"/>
  <c r="M95" i="27"/>
  <c r="M91" i="27"/>
  <c r="M90" i="27"/>
  <c r="M89" i="27"/>
  <c r="M87" i="27"/>
  <c r="M82" i="27"/>
  <c r="M80" i="27"/>
  <c r="M78" i="27"/>
  <c r="M77" i="27"/>
  <c r="M76" i="27"/>
  <c r="M75" i="27"/>
  <c r="M71" i="27"/>
  <c r="M70" i="27"/>
  <c r="M69" i="27"/>
  <c r="M68" i="27"/>
  <c r="M67" i="27"/>
  <c r="M65" i="27"/>
  <c r="M43" i="27"/>
  <c r="M41" i="27"/>
  <c r="M37" i="27"/>
  <c r="M36" i="27"/>
  <c r="M35" i="27"/>
  <c r="M34" i="27"/>
  <c r="M33" i="27"/>
  <c r="M31" i="27"/>
  <c r="M30" i="27"/>
  <c r="M28" i="27"/>
  <c r="M27" i="27"/>
  <c r="M26" i="27"/>
  <c r="M24" i="27"/>
  <c r="M23" i="27"/>
  <c r="M22" i="27"/>
  <c r="M21" i="27"/>
  <c r="M20" i="27"/>
  <c r="M19" i="27"/>
  <c r="M18" i="27"/>
  <c r="M17" i="27"/>
  <c r="M15" i="27"/>
  <c r="M14" i="27"/>
  <c r="M13" i="27"/>
  <c r="M12" i="27"/>
  <c r="M11" i="27"/>
  <c r="M10" i="27"/>
  <c r="M9" i="27"/>
  <c r="Q180" i="27"/>
  <c r="Q179" i="27"/>
  <c r="Q174" i="27"/>
  <c r="Q165" i="27"/>
  <c r="Q164" i="27"/>
  <c r="Q163" i="27"/>
  <c r="Q162" i="27"/>
  <c r="Q152" i="27"/>
  <c r="Q139" i="27"/>
  <c r="Q138" i="27"/>
  <c r="Q137" i="27"/>
  <c r="Q136" i="27"/>
  <c r="Q135" i="27"/>
  <c r="Q129" i="27"/>
  <c r="Q128" i="27"/>
  <c r="Q127" i="27"/>
  <c r="Q126" i="27"/>
  <c r="Q125" i="27"/>
  <c r="Q124" i="27"/>
  <c r="Q123" i="27"/>
  <c r="Q122" i="27"/>
  <c r="Q119" i="27"/>
  <c r="Q118" i="27"/>
  <c r="Q117" i="27"/>
  <c r="Q116" i="27"/>
  <c r="Q115" i="27"/>
  <c r="Q107" i="27"/>
  <c r="Q105" i="27"/>
  <c r="Q98" i="27"/>
  <c r="Q97" i="27"/>
  <c r="Q96" i="27"/>
  <c r="Q95" i="27"/>
  <c r="Q91" i="27"/>
  <c r="Q90" i="27"/>
  <c r="Q89" i="27"/>
  <c r="Q87" i="27"/>
  <c r="Q82" i="27"/>
  <c r="Q80" i="27"/>
  <c r="Q78" i="27"/>
  <c r="Q77" i="27"/>
  <c r="Q76" i="27"/>
  <c r="Q75" i="27"/>
  <c r="Q71" i="27"/>
  <c r="Q70" i="27"/>
  <c r="Q69" i="27"/>
  <c r="Q68" i="27"/>
  <c r="Q67" i="27"/>
  <c r="Q65" i="27"/>
  <c r="Q56" i="27"/>
  <c r="Q55" i="27" s="1"/>
  <c r="Q54" i="27"/>
  <c r="Q53" i="27"/>
  <c r="Q52" i="27"/>
  <c r="Q51" i="27"/>
  <c r="Q50" i="27"/>
  <c r="Q43" i="27"/>
  <c r="Q41" i="27"/>
  <c r="Q37" i="27"/>
  <c r="Q36" i="27"/>
  <c r="Q35" i="27"/>
  <c r="Q34" i="27"/>
  <c r="Q33" i="27"/>
  <c r="Q31" i="27"/>
  <c r="Q30" i="27"/>
  <c r="Q28" i="27"/>
  <c r="Q27" i="27"/>
  <c r="Q26" i="27"/>
  <c r="Q24" i="27"/>
  <c r="Q23" i="27"/>
  <c r="Q22" i="27"/>
  <c r="Q21" i="27"/>
  <c r="Q20" i="27"/>
  <c r="Q19" i="27"/>
  <c r="Q18" i="27"/>
  <c r="Q17" i="27"/>
  <c r="Q15" i="27"/>
  <c r="Q14" i="27"/>
  <c r="Q13" i="27"/>
  <c r="Q12" i="27"/>
  <c r="Q11" i="27"/>
  <c r="Q10" i="27"/>
  <c r="Q9" i="27"/>
  <c r="U180" i="27"/>
  <c r="U179" i="27"/>
  <c r="U178" i="27"/>
  <c r="U177" i="27"/>
  <c r="U176" i="27"/>
  <c r="U175" i="27"/>
  <c r="U174" i="27"/>
  <c r="U173" i="27"/>
  <c r="U170" i="27"/>
  <c r="U169" i="27" s="1"/>
  <c r="U168" i="27" s="1"/>
  <c r="U165" i="27"/>
  <c r="U164" i="27"/>
  <c r="U163" i="27"/>
  <c r="U162" i="27"/>
  <c r="U161" i="27"/>
  <c r="U158" i="27"/>
  <c r="U157" i="27"/>
  <c r="U156" i="27"/>
  <c r="U155" i="27"/>
  <c r="U154" i="27"/>
  <c r="U151" i="27"/>
  <c r="U150" i="27"/>
  <c r="U149" i="27"/>
  <c r="U148" i="27"/>
  <c r="U139" i="27"/>
  <c r="U138" i="27"/>
  <c r="U137" i="27"/>
  <c r="U136" i="27"/>
  <c r="U135" i="27"/>
  <c r="U129" i="27"/>
  <c r="U128" i="27"/>
  <c r="U127" i="27"/>
  <c r="U126" i="27"/>
  <c r="U125" i="27"/>
  <c r="U124" i="27"/>
  <c r="U123" i="27"/>
  <c r="U122" i="27"/>
  <c r="U119" i="27"/>
  <c r="U118" i="27"/>
  <c r="U117" i="27"/>
  <c r="U116" i="27"/>
  <c r="U115" i="27"/>
  <c r="U113" i="27"/>
  <c r="U112" i="27"/>
  <c r="U111" i="27"/>
  <c r="U110" i="27"/>
  <c r="U109" i="27"/>
  <c r="U107" i="27"/>
  <c r="U105" i="27"/>
  <c r="U98" i="27"/>
  <c r="U97" i="27"/>
  <c r="U96" i="27"/>
  <c r="U95" i="27"/>
  <c r="U94" i="27"/>
  <c r="U93" i="27"/>
  <c r="U91" i="27"/>
  <c r="U90" i="27"/>
  <c r="U89" i="27"/>
  <c r="U88" i="27"/>
  <c r="U87" i="27"/>
  <c r="U83" i="27"/>
  <c r="U82" i="27"/>
  <c r="U81" i="27"/>
  <c r="U80" i="27"/>
  <c r="U78" i="27"/>
  <c r="U77" i="27"/>
  <c r="U76" i="27"/>
  <c r="U75" i="27"/>
  <c r="U71" i="27"/>
  <c r="U70" i="27"/>
  <c r="U69" i="27"/>
  <c r="U68" i="27"/>
  <c r="U67" i="27"/>
  <c r="U65" i="27"/>
  <c r="U64" i="27"/>
  <c r="U62" i="27"/>
  <c r="U60" i="27"/>
  <c r="U59" i="27"/>
  <c r="U58" i="27"/>
  <c r="U56" i="27"/>
  <c r="U55" i="27" s="1"/>
  <c r="U54" i="27"/>
  <c r="U53" i="27"/>
  <c r="U52" i="27"/>
  <c r="U51" i="27"/>
  <c r="U50" i="27"/>
  <c r="U43" i="27"/>
  <c r="U41" i="27"/>
  <c r="U37" i="27"/>
  <c r="U36" i="27"/>
  <c r="U35" i="27"/>
  <c r="U34" i="27"/>
  <c r="U33" i="27"/>
  <c r="U31" i="27"/>
  <c r="U30" i="27"/>
  <c r="U28" i="27"/>
  <c r="U27" i="27"/>
  <c r="U26" i="27"/>
  <c r="U24" i="27"/>
  <c r="U23" i="27"/>
  <c r="U22" i="27"/>
  <c r="U21" i="27"/>
  <c r="U20" i="27"/>
  <c r="U19" i="27"/>
  <c r="U18" i="27"/>
  <c r="U17" i="27"/>
  <c r="U15" i="27"/>
  <c r="U14" i="27"/>
  <c r="U13" i="27"/>
  <c r="U12" i="27"/>
  <c r="U11" i="27"/>
  <c r="U10" i="27"/>
  <c r="U9" i="27"/>
  <c r="V74" i="27"/>
  <c r="Y180" i="27"/>
  <c r="Y179" i="27"/>
  <c r="Y178" i="27"/>
  <c r="Y177" i="27"/>
  <c r="Y176" i="27"/>
  <c r="Y175" i="27"/>
  <c r="Y174" i="27"/>
  <c r="Y173" i="27"/>
  <c r="Y170" i="27"/>
  <c r="Y169" i="27" s="1"/>
  <c r="Y168" i="27" s="1"/>
  <c r="Y165" i="27"/>
  <c r="Y164" i="27"/>
  <c r="Y163" i="27"/>
  <c r="Y162" i="27"/>
  <c r="Y161" i="27"/>
  <c r="Y158" i="27"/>
  <c r="Y157" i="27"/>
  <c r="Y156" i="27"/>
  <c r="Y155" i="27"/>
  <c r="Y154" i="27"/>
  <c r="Y152" i="27"/>
  <c r="Y151" i="27"/>
  <c r="Y150" i="27"/>
  <c r="Y149" i="27"/>
  <c r="Y148" i="27"/>
  <c r="Y139" i="27"/>
  <c r="Y138" i="27"/>
  <c r="Y137" i="27"/>
  <c r="Y136" i="27"/>
  <c r="Y135" i="27"/>
  <c r="Y129" i="27"/>
  <c r="Y128" i="27"/>
  <c r="Y127" i="27"/>
  <c r="Y126" i="27"/>
  <c r="Y125" i="27"/>
  <c r="Y124" i="27"/>
  <c r="Y123" i="27"/>
  <c r="Y122" i="27"/>
  <c r="Y119" i="27"/>
  <c r="Y118" i="27"/>
  <c r="Y117" i="27"/>
  <c r="Y116" i="27"/>
  <c r="Y115" i="27"/>
  <c r="Y113" i="27"/>
  <c r="Y112" i="27"/>
  <c r="Y111" i="27"/>
  <c r="Y110" i="27"/>
  <c r="Y109" i="27"/>
  <c r="Y107" i="27"/>
  <c r="Y106" i="27"/>
  <c r="Y105" i="27"/>
  <c r="Y104" i="27"/>
  <c r="Y103" i="27"/>
  <c r="Y98" i="27"/>
  <c r="Y97" i="27"/>
  <c r="Y96" i="27"/>
  <c r="Y95" i="27"/>
  <c r="Y94" i="27"/>
  <c r="Y93" i="27"/>
  <c r="Y91" i="27"/>
  <c r="Y90" i="27"/>
  <c r="Y89" i="27"/>
  <c r="Y88" i="27"/>
  <c r="Y87" i="27"/>
  <c r="Y83" i="27"/>
  <c r="Y82" i="27"/>
  <c r="Y81" i="27"/>
  <c r="Y80" i="27"/>
  <c r="Y78" i="27"/>
  <c r="Y77" i="27"/>
  <c r="Y76" i="27"/>
  <c r="Y75" i="27"/>
  <c r="Y71" i="27"/>
  <c r="Y70" i="27"/>
  <c r="Y69" i="27"/>
  <c r="Y68" i="27"/>
  <c r="Y67" i="27"/>
  <c r="Y65" i="27"/>
  <c r="Y64" i="27"/>
  <c r="Y63" i="27"/>
  <c r="Y62" i="27"/>
  <c r="Y60" i="27"/>
  <c r="Y59" i="27"/>
  <c r="Y58" i="27"/>
  <c r="Y48" i="27"/>
  <c r="Y47" i="27"/>
  <c r="Y46" i="27"/>
  <c r="Y43" i="27"/>
  <c r="Y42" i="27"/>
  <c r="Y41" i="27"/>
  <c r="Y40" i="27"/>
  <c r="Y39" i="27"/>
  <c r="Y37" i="27"/>
  <c r="Y36" i="27"/>
  <c r="Y35" i="27"/>
  <c r="Y34" i="27"/>
  <c r="Y33" i="27"/>
  <c r="Y31" i="27"/>
  <c r="Y30" i="27"/>
  <c r="Y29" i="27"/>
  <c r="Y28" i="27"/>
  <c r="Y27" i="27"/>
  <c r="Y26" i="27"/>
  <c r="Y25" i="27"/>
  <c r="Y24" i="27"/>
  <c r="Y23" i="27"/>
  <c r="Y22" i="27"/>
  <c r="Y21" i="27"/>
  <c r="Y20" i="27"/>
  <c r="Y19" i="27"/>
  <c r="Y18" i="27"/>
  <c r="Y17" i="27"/>
  <c r="Y16" i="27"/>
  <c r="Y15" i="27"/>
  <c r="Y14" i="27"/>
  <c r="Y13" i="27"/>
  <c r="Y12" i="27"/>
  <c r="Y11" i="27"/>
  <c r="Y10" i="27"/>
  <c r="Y9" i="27"/>
  <c r="Z74" i="27"/>
  <c r="R74" i="27"/>
  <c r="N74" i="27"/>
  <c r="N170" i="27"/>
  <c r="AC180" i="27"/>
  <c r="AC179" i="27"/>
  <c r="AC178" i="27"/>
  <c r="AC177" i="27"/>
  <c r="AC176" i="27"/>
  <c r="AC175" i="27"/>
  <c r="AC174" i="27"/>
  <c r="AC173" i="27"/>
  <c r="AC170" i="27"/>
  <c r="AC169" i="27" s="1"/>
  <c r="AC168" i="27" s="1"/>
  <c r="AC165" i="27"/>
  <c r="AC164" i="27"/>
  <c r="AC163" i="27"/>
  <c r="AC162" i="27"/>
  <c r="AC161" i="27"/>
  <c r="AC158" i="27"/>
  <c r="AC157" i="27"/>
  <c r="AC156" i="27"/>
  <c r="AC155" i="27"/>
  <c r="AC154" i="27"/>
  <c r="AC152" i="27"/>
  <c r="AC151" i="27"/>
  <c r="AC150" i="27"/>
  <c r="AC149" i="27"/>
  <c r="AC148" i="27"/>
  <c r="AC139" i="27"/>
  <c r="AC138" i="27"/>
  <c r="AC137" i="27"/>
  <c r="AC136" i="27"/>
  <c r="AC135" i="27"/>
  <c r="AC129" i="27"/>
  <c r="AC128" i="27"/>
  <c r="AC127" i="27"/>
  <c r="AC126" i="27"/>
  <c r="AC125" i="27"/>
  <c r="AC124" i="27"/>
  <c r="AC123" i="27"/>
  <c r="AC122" i="27"/>
  <c r="AC119" i="27"/>
  <c r="AC118" i="27"/>
  <c r="AC117" i="27"/>
  <c r="AC116" i="27"/>
  <c r="AC115" i="27"/>
  <c r="AC113" i="27"/>
  <c r="AC112" i="27"/>
  <c r="AC111" i="27"/>
  <c r="AC110" i="27"/>
  <c r="AC109" i="27"/>
  <c r="AC107" i="27"/>
  <c r="AC106" i="27"/>
  <c r="AC105" i="27"/>
  <c r="AC104" i="27"/>
  <c r="AC103" i="27"/>
  <c r="AC98" i="27"/>
  <c r="AC97" i="27"/>
  <c r="AC96" i="27"/>
  <c r="AC95" i="27"/>
  <c r="AC94" i="27"/>
  <c r="AC91" i="27"/>
  <c r="AC90" i="27"/>
  <c r="AC89" i="27"/>
  <c r="AC88" i="27"/>
  <c r="AC87" i="27"/>
  <c r="AC83" i="27"/>
  <c r="AC82" i="27"/>
  <c r="AC81" i="27"/>
  <c r="AC80" i="27"/>
  <c r="AC78" i="27"/>
  <c r="AC77" i="27"/>
  <c r="AC76" i="27"/>
  <c r="AC75" i="27"/>
  <c r="AC71" i="27"/>
  <c r="AC70" i="27"/>
  <c r="AC69" i="27"/>
  <c r="AC68" i="27"/>
  <c r="AC67" i="27"/>
  <c r="AC65" i="27"/>
  <c r="AC64" i="27"/>
  <c r="AC63" i="27"/>
  <c r="AC62" i="27"/>
  <c r="AC60" i="27"/>
  <c r="AC59" i="27"/>
  <c r="AC58" i="27"/>
  <c r="AC56" i="27"/>
  <c r="AC55" i="27" s="1"/>
  <c r="AC54" i="27"/>
  <c r="AC53" i="27"/>
  <c r="AC52" i="27"/>
  <c r="AC51" i="27"/>
  <c r="AC50" i="27"/>
  <c r="AC48" i="27"/>
  <c r="AC47" i="27"/>
  <c r="AC46" i="27"/>
  <c r="AC43" i="27"/>
  <c r="AC42" i="27"/>
  <c r="AC41" i="27"/>
  <c r="AC40" i="27"/>
  <c r="AC39" i="27"/>
  <c r="AC37" i="27"/>
  <c r="AC36" i="27"/>
  <c r="AC35" i="27"/>
  <c r="AC34" i="27"/>
  <c r="AC33" i="27"/>
  <c r="AC31" i="27"/>
  <c r="AC30" i="27"/>
  <c r="AC29" i="27"/>
  <c r="AC28" i="27"/>
  <c r="AC27" i="27"/>
  <c r="AC26" i="27"/>
  <c r="AC25" i="27"/>
  <c r="AC24" i="27"/>
  <c r="AC23" i="27"/>
  <c r="AC22" i="27"/>
  <c r="AC21" i="27"/>
  <c r="AC20" i="27"/>
  <c r="AC19" i="27"/>
  <c r="AC18" i="27"/>
  <c r="AC17" i="27"/>
  <c r="AC16" i="27"/>
  <c r="AC15" i="27"/>
  <c r="AC14" i="27"/>
  <c r="AC13" i="27"/>
  <c r="AC12" i="27"/>
  <c r="AC11" i="27"/>
  <c r="AC10" i="27"/>
  <c r="AC9" i="27"/>
  <c r="AG31" i="27"/>
  <c r="AG30" i="27"/>
  <c r="AG28" i="27"/>
  <c r="AG27" i="27"/>
  <c r="AG26" i="27"/>
  <c r="AG24" i="27"/>
  <c r="AG23" i="27"/>
  <c r="AG22" i="27"/>
  <c r="AG21" i="27"/>
  <c r="AG20" i="27"/>
  <c r="AG19" i="27"/>
  <c r="AG18" i="27"/>
  <c r="AG17" i="27"/>
  <c r="AG15" i="27"/>
  <c r="AG14" i="27"/>
  <c r="AG13" i="27"/>
  <c r="AG12" i="27"/>
  <c r="AG11" i="27"/>
  <c r="AG10" i="27"/>
  <c r="AG9" i="27"/>
  <c r="AG37" i="27"/>
  <c r="AG36" i="27"/>
  <c r="AG35" i="27"/>
  <c r="AG34" i="27"/>
  <c r="AG33" i="27"/>
  <c r="AG43" i="27"/>
  <c r="AG41" i="27"/>
  <c r="AG60" i="27"/>
  <c r="AG65" i="27"/>
  <c r="AG71" i="27"/>
  <c r="AG70" i="27"/>
  <c r="AG69" i="27"/>
  <c r="AG68" i="27"/>
  <c r="AG67" i="27"/>
  <c r="AG78" i="27"/>
  <c r="AG77" i="27"/>
  <c r="AG76" i="27"/>
  <c r="AG75" i="27"/>
  <c r="AG82" i="27"/>
  <c r="AG80" i="27"/>
  <c r="AG91" i="27"/>
  <c r="AG90" i="27"/>
  <c r="AG89" i="27"/>
  <c r="AG87" i="27"/>
  <c r="AG98" i="27"/>
  <c r="AG97" i="27"/>
  <c r="AG96" i="27"/>
  <c r="AG95" i="27"/>
  <c r="AG107" i="27"/>
  <c r="AG105" i="27"/>
  <c r="AG118" i="27"/>
  <c r="AG117" i="27"/>
  <c r="AG116" i="27"/>
  <c r="AG115" i="27"/>
  <c r="AG129" i="27"/>
  <c r="AG128" i="27"/>
  <c r="AG127" i="27"/>
  <c r="AG126" i="27"/>
  <c r="AG125" i="27"/>
  <c r="AG124" i="27"/>
  <c r="AG123" i="27"/>
  <c r="AG122" i="27"/>
  <c r="AG139" i="27"/>
  <c r="AG138" i="27"/>
  <c r="AG137" i="27"/>
  <c r="AG136" i="27"/>
  <c r="AG135" i="27"/>
  <c r="AG165" i="27"/>
  <c r="AG164" i="27"/>
  <c r="AG163" i="27"/>
  <c r="AG162" i="27"/>
  <c r="AG180" i="27"/>
  <c r="AG179" i="27"/>
  <c r="AG174" i="27"/>
  <c r="O170" i="27"/>
  <c r="O81" i="27"/>
  <c r="AC79" i="27" l="1"/>
  <c r="Y79" i="27"/>
  <c r="U79" i="27"/>
  <c r="AG73" i="27"/>
  <c r="Y86" i="27"/>
  <c r="AC86" i="27"/>
  <c r="U86" i="27"/>
  <c r="Q66" i="27"/>
  <c r="M66" i="27"/>
  <c r="U121" i="27"/>
  <c r="Q32" i="27"/>
  <c r="Q49" i="27"/>
  <c r="Q170" i="27"/>
  <c r="Q169" i="27" s="1"/>
  <c r="Q168" i="27" s="1"/>
  <c r="M121" i="27"/>
  <c r="M32" i="27"/>
  <c r="M134" i="27"/>
  <c r="M114" i="27"/>
  <c r="Y121" i="27"/>
  <c r="U92" i="27"/>
  <c r="U134" i="27"/>
  <c r="Q134" i="27"/>
  <c r="U153" i="27"/>
  <c r="Q114" i="27"/>
  <c r="U66" i="27"/>
  <c r="Q121" i="27"/>
  <c r="Y66" i="27"/>
  <c r="Y114" i="27"/>
  <c r="U57" i="27"/>
  <c r="U114" i="27"/>
  <c r="U32" i="27"/>
  <c r="U49" i="27"/>
  <c r="U108" i="27"/>
  <c r="U172" i="27"/>
  <c r="U171" i="27" s="1"/>
  <c r="U167" i="27" s="1"/>
  <c r="Y32" i="27"/>
  <c r="Y61" i="27"/>
  <c r="Y153" i="27"/>
  <c r="Y172" i="27"/>
  <c r="Y171" i="27" s="1"/>
  <c r="Y167" i="27" s="1"/>
  <c r="U8" i="27"/>
  <c r="U160" i="27"/>
  <c r="U159" i="27" s="1"/>
  <c r="Y160" i="27"/>
  <c r="Y159" i="27" s="1"/>
  <c r="Y38" i="27"/>
  <c r="Y57" i="27"/>
  <c r="Y147" i="27"/>
  <c r="Y8" i="27"/>
  <c r="Y45" i="27"/>
  <c r="Y92" i="27"/>
  <c r="Y102" i="27"/>
  <c r="Y108" i="27"/>
  <c r="Y134" i="27"/>
  <c r="AC108" i="27"/>
  <c r="AC57" i="27"/>
  <c r="AC121" i="27"/>
  <c r="AC134" i="27"/>
  <c r="AC153" i="27"/>
  <c r="AC8" i="27"/>
  <c r="AC38" i="27"/>
  <c r="AC160" i="27"/>
  <c r="AC159" i="27" s="1"/>
  <c r="AC45" i="27"/>
  <c r="AC49" i="27"/>
  <c r="AC172" i="27"/>
  <c r="AC171" i="27" s="1"/>
  <c r="AC167" i="27" s="1"/>
  <c r="AC32" i="27"/>
  <c r="AC61" i="27"/>
  <c r="AC114" i="27"/>
  <c r="AC66" i="27"/>
  <c r="AC102" i="27"/>
  <c r="AC147" i="27"/>
  <c r="AG134" i="27"/>
  <c r="AG121" i="27"/>
  <c r="AG66" i="27"/>
  <c r="AG32" i="27"/>
  <c r="Y146" i="27" l="1"/>
  <c r="Y140" i="27" s="1"/>
  <c r="Y101" i="27"/>
  <c r="AC146" i="27"/>
  <c r="AC140" i="27" s="1"/>
  <c r="AC101" i="27"/>
  <c r="AC7" i="27"/>
  <c r="AG61" i="2"/>
  <c r="AH61" i="2"/>
  <c r="CG60" i="10" s="1"/>
  <c r="CM60" i="10" s="1"/>
  <c r="AJ61" i="2"/>
  <c r="F49" i="32"/>
  <c r="G49" i="32" s="1"/>
  <c r="H49" i="32" s="1"/>
  <c r="I49" i="32" s="1"/>
  <c r="J49" i="32" s="1"/>
  <c r="K49" i="32" s="1"/>
  <c r="L49" i="32" s="1"/>
  <c r="CH60" i="10" l="1"/>
  <c r="DG61" i="20"/>
  <c r="DD61" i="20"/>
  <c r="DC61" i="20"/>
  <c r="DF61" i="20"/>
  <c r="DE61" i="20"/>
  <c r="DB61" i="20"/>
  <c r="DA61" i="20"/>
  <c r="CK60" i="10"/>
  <c r="AA60" i="10"/>
  <c r="AG60" i="10"/>
  <c r="CJ61" i="20"/>
  <c r="CM61" i="20"/>
  <c r="CI61" i="20"/>
  <c r="CL61" i="20"/>
  <c r="CH61" i="20"/>
  <c r="CK61" i="20"/>
  <c r="CG61" i="20"/>
  <c r="BQ61" i="20"/>
  <c r="BM61" i="20"/>
  <c r="AY61" i="20"/>
  <c r="AU61" i="20"/>
  <c r="AC61" i="20"/>
  <c r="Y61" i="20"/>
  <c r="BP61" i="20"/>
  <c r="AX61" i="20"/>
  <c r="AT61" i="20"/>
  <c r="AB61" i="20"/>
  <c r="BS61" i="20"/>
  <c r="BO61" i="20"/>
  <c r="AW61" i="20"/>
  <c r="AS61" i="20"/>
  <c r="AE61" i="20"/>
  <c r="AA61" i="20"/>
  <c r="BN61" i="20"/>
  <c r="AV61" i="20"/>
  <c r="AD61" i="20"/>
  <c r="BR61" i="20"/>
  <c r="Z61" i="20"/>
  <c r="D116" i="2"/>
  <c r="C114" i="38" s="1"/>
  <c r="B66" i="10" l="1"/>
  <c r="D61" i="2"/>
  <c r="C61" i="38" s="1"/>
  <c r="E61" i="2"/>
  <c r="D61" i="38" s="1"/>
  <c r="F61" i="2"/>
  <c r="E61" i="38" s="1"/>
  <c r="G61" i="2"/>
  <c r="F61" i="38" s="1"/>
  <c r="D60" i="2"/>
  <c r="C60" i="38" s="1"/>
  <c r="E60" i="2"/>
  <c r="D60" i="38" s="1"/>
  <c r="F60" i="2"/>
  <c r="E60" i="38" s="1"/>
  <c r="G60" i="2"/>
  <c r="F60" i="38" s="1"/>
  <c r="D59" i="2"/>
  <c r="C59" i="38" s="1"/>
  <c r="E59" i="2"/>
  <c r="D59" i="38" s="1"/>
  <c r="F59" i="2"/>
  <c r="E59" i="38" s="1"/>
  <c r="G59" i="2"/>
  <c r="F59" i="38" s="1"/>
  <c r="K58" i="2"/>
  <c r="J58" i="2"/>
  <c r="I58" i="38" s="1"/>
  <c r="I58" i="2"/>
  <c r="H58" i="38" s="1"/>
  <c r="H58" i="2"/>
  <c r="G58" i="38" s="1"/>
  <c r="G58" i="2"/>
  <c r="F58" i="38" s="1"/>
  <c r="F58" i="2"/>
  <c r="E58" i="38" s="1"/>
  <c r="E58" i="2"/>
  <c r="D58" i="38" s="1"/>
  <c r="D58" i="2"/>
  <c r="C58" i="38" s="1"/>
  <c r="I50" i="38"/>
  <c r="H50" i="38"/>
  <c r="G50" i="38"/>
  <c r="F50" i="38"/>
  <c r="E50" i="38"/>
  <c r="D50" i="38"/>
  <c r="C50" i="38"/>
  <c r="H56" i="38" l="1"/>
  <c r="H55" i="24"/>
  <c r="E56" i="38"/>
  <c r="E55" i="24"/>
  <c r="I56" i="38"/>
  <c r="I55" i="24"/>
  <c r="D56" i="38"/>
  <c r="D55" i="24"/>
  <c r="F56" i="38"/>
  <c r="F55" i="24"/>
  <c r="C56" i="38"/>
  <c r="C56" i="25"/>
  <c r="C55" i="24"/>
  <c r="G56" i="38"/>
  <c r="G55" i="24"/>
  <c r="B45" i="10"/>
  <c r="B38" i="10"/>
  <c r="B32" i="10"/>
  <c r="C181" i="2"/>
  <c r="C180" i="2"/>
  <c r="C71" i="8" s="1"/>
  <c r="C179" i="2"/>
  <c r="C70" i="8" s="1"/>
  <c r="C178" i="2"/>
  <c r="C177" i="2"/>
  <c r="C75" i="3" s="1"/>
  <c r="C176" i="2"/>
  <c r="C175" i="2"/>
  <c r="C78" i="9" s="1"/>
  <c r="C174" i="2"/>
  <c r="C77" i="9" s="1"/>
  <c r="C171" i="2"/>
  <c r="C166" i="2"/>
  <c r="C165" i="2"/>
  <c r="C67" i="3" s="1"/>
  <c r="C164" i="2"/>
  <c r="C63" i="8" s="1"/>
  <c r="C163" i="2"/>
  <c r="C162" i="2"/>
  <c r="C70" i="9" s="1"/>
  <c r="C159" i="2"/>
  <c r="C60" i="8" s="1"/>
  <c r="C158" i="2"/>
  <c r="C157" i="2"/>
  <c r="C64" i="3" s="1"/>
  <c r="C156" i="2"/>
  <c r="C155" i="2"/>
  <c r="C67" i="9" s="1"/>
  <c r="C153" i="2"/>
  <c r="C58" i="8" s="1"/>
  <c r="C152" i="2"/>
  <c r="C151" i="2"/>
  <c r="C62" i="3" s="1"/>
  <c r="C150" i="2"/>
  <c r="C149" i="2"/>
  <c r="C65" i="9" s="1"/>
  <c r="C140" i="2"/>
  <c r="C53" i="8" s="1"/>
  <c r="C139" i="2"/>
  <c r="C138" i="2"/>
  <c r="C59" i="9" s="1"/>
  <c r="C137" i="2"/>
  <c r="C52" i="3" s="1"/>
  <c r="C136" i="2"/>
  <c r="C57" i="9"/>
  <c r="C51" i="8"/>
  <c r="C49" i="3"/>
  <c r="C48" i="3"/>
  <c r="C47" i="3"/>
  <c r="C119" i="2"/>
  <c r="C48" i="8" s="1"/>
  <c r="C118" i="2"/>
  <c r="C117" i="2"/>
  <c r="C44" i="3" s="1"/>
  <c r="C116" i="2"/>
  <c r="C115" i="2"/>
  <c r="C53" i="9" s="1"/>
  <c r="C113" i="2"/>
  <c r="C46" i="8" s="1"/>
  <c r="C112" i="2"/>
  <c r="C111" i="2"/>
  <c r="C42" i="3" s="1"/>
  <c r="C110" i="2"/>
  <c r="C109" i="2"/>
  <c r="C51" i="9" s="1"/>
  <c r="C107" i="2"/>
  <c r="C44" i="8" s="1"/>
  <c r="C106" i="2"/>
  <c r="C105" i="2"/>
  <c r="C40" i="3" s="1"/>
  <c r="C104" i="2"/>
  <c r="C103" i="2"/>
  <c r="C49" i="9" s="1"/>
  <c r="C98" i="2"/>
  <c r="C40" i="8" s="1"/>
  <c r="C97" i="2"/>
  <c r="C96" i="2"/>
  <c r="C95" i="2"/>
  <c r="C36" i="3" s="1"/>
  <c r="C94" i="2"/>
  <c r="C35" i="3" s="1"/>
  <c r="C93" i="2"/>
  <c r="C45" i="9" s="1"/>
  <c r="C91" i="2"/>
  <c r="C90" i="2"/>
  <c r="C89" i="2"/>
  <c r="C38" i="8" s="1"/>
  <c r="C88" i="2"/>
  <c r="C33" i="3" s="1"/>
  <c r="C87" i="2"/>
  <c r="C43" i="9" s="1"/>
  <c r="C83" i="2"/>
  <c r="C82" i="2"/>
  <c r="C81" i="2"/>
  <c r="C31" i="3" s="1"/>
  <c r="C80" i="2"/>
  <c r="C30" i="3" s="1"/>
  <c r="C78" i="2"/>
  <c r="C34" i="8" s="1"/>
  <c r="C77" i="2"/>
  <c r="C76" i="2"/>
  <c r="C75" i="2"/>
  <c r="C28" i="3" s="1"/>
  <c r="C72" i="2"/>
  <c r="C36" i="9" s="1"/>
  <c r="C71" i="2"/>
  <c r="C70" i="2"/>
  <c r="C31" i="8" s="1"/>
  <c r="C69" i="2"/>
  <c r="C68" i="2"/>
  <c r="C25" i="3" s="1"/>
  <c r="C66" i="2"/>
  <c r="C29" i="8" s="1"/>
  <c r="C65" i="2"/>
  <c r="C64" i="2"/>
  <c r="C23" i="3" s="1"/>
  <c r="C63" i="2"/>
  <c r="C34" i="9" s="1"/>
  <c r="C61" i="2"/>
  <c r="C60" i="2"/>
  <c r="C59" i="2"/>
  <c r="C58" i="2"/>
  <c r="C57" i="2"/>
  <c r="C18" i="3" s="1"/>
  <c r="C55" i="2"/>
  <c r="C54" i="2"/>
  <c r="C53" i="2"/>
  <c r="C21" i="8" s="1"/>
  <c r="C52" i="2"/>
  <c r="C16" i="3" s="1"/>
  <c r="C51" i="2"/>
  <c r="C26" i="9" s="1"/>
  <c r="C49" i="2"/>
  <c r="C19" i="8" s="1"/>
  <c r="C48" i="2"/>
  <c r="C47" i="2"/>
  <c r="C14" i="3" s="1"/>
  <c r="C44" i="2"/>
  <c r="C21" i="9" s="1"/>
  <c r="C43" i="2"/>
  <c r="C20" i="9" s="1"/>
  <c r="C42" i="2"/>
  <c r="C19" i="9" s="1"/>
  <c r="C41" i="2"/>
  <c r="C18" i="9" s="1"/>
  <c r="C40" i="2"/>
  <c r="C17" i="9" s="1"/>
  <c r="C38" i="2"/>
  <c r="C37" i="2"/>
  <c r="C36" i="2"/>
  <c r="C35" i="2"/>
  <c r="C15" i="9" s="1"/>
  <c r="C34" i="2"/>
  <c r="C14" i="9" s="1"/>
  <c r="C32" i="2"/>
  <c r="C12" i="9" s="1"/>
  <c r="C31" i="2"/>
  <c r="C30" i="2"/>
  <c r="C13" i="8" s="1"/>
  <c r="C29" i="2"/>
  <c r="C11" i="9" s="1"/>
  <c r="C28" i="2"/>
  <c r="C27" i="2"/>
  <c r="C10" i="9" s="1"/>
  <c r="C26" i="2"/>
  <c r="C9" i="9" s="1"/>
  <c r="C25" i="2"/>
  <c r="C24" i="2"/>
  <c r="C23" i="2"/>
  <c r="C8" i="9" s="1"/>
  <c r="C22" i="2"/>
  <c r="C21" i="2"/>
  <c r="C20" i="2"/>
  <c r="C12" i="8" s="1"/>
  <c r="C19" i="2"/>
  <c r="C11" i="8" s="1"/>
  <c r="C18" i="2"/>
  <c r="C10" i="8" s="1"/>
  <c r="C17" i="2"/>
  <c r="C16" i="2"/>
  <c r="C15" i="2"/>
  <c r="C9" i="8" s="1"/>
  <c r="C14" i="2"/>
  <c r="C13" i="2"/>
  <c r="C8" i="8" s="1"/>
  <c r="C12" i="2"/>
  <c r="C11" i="2"/>
  <c r="C10" i="2"/>
  <c r="C6" i="2"/>
  <c r="C5" i="2"/>
  <c r="C4" i="2"/>
  <c r="C3" i="9" l="1"/>
  <c r="C3" i="8"/>
  <c r="C30" i="9"/>
  <c r="C25" i="8"/>
  <c r="C20" i="3"/>
  <c r="C32" i="9"/>
  <c r="C27" i="8"/>
  <c r="C31" i="9"/>
  <c r="C26" i="8"/>
  <c r="C74" i="9"/>
  <c r="C72" i="3"/>
  <c r="C67" i="8"/>
  <c r="CD114" i="20"/>
  <c r="L49" i="21" s="1"/>
  <c r="L102" i="21" s="1"/>
  <c r="C82" i="21"/>
  <c r="D82" i="21" s="1"/>
  <c r="C49" i="22" l="1"/>
  <c r="AK170" i="10"/>
  <c r="AL170" i="10" s="1"/>
  <c r="O171" i="10"/>
  <c r="N171" i="10"/>
  <c r="M171" i="10"/>
  <c r="L171" i="10"/>
  <c r="F171" i="10"/>
  <c r="AH171" i="10"/>
  <c r="R170" i="10" l="1"/>
  <c r="X170" i="10"/>
  <c r="L169" i="10"/>
  <c r="L168" i="10" s="1"/>
  <c r="AD170" i="10"/>
  <c r="F169" i="10"/>
  <c r="F168" i="10" s="1"/>
  <c r="A181" i="10" l="1"/>
  <c r="A180" i="10"/>
  <c r="A179" i="10"/>
  <c r="A178" i="10"/>
  <c r="A177" i="10"/>
  <c r="A176" i="10"/>
  <c r="A175" i="10"/>
  <c r="A174" i="10"/>
  <c r="B173" i="10"/>
  <c r="A173" i="10"/>
  <c r="B172" i="10"/>
  <c r="A172" i="10"/>
  <c r="B170" i="10"/>
  <c r="A170" i="10"/>
  <c r="B169" i="10"/>
  <c r="A169" i="10"/>
  <c r="B168" i="10"/>
  <c r="A168" i="10"/>
  <c r="B167" i="10"/>
  <c r="A167" i="10"/>
  <c r="A165" i="10"/>
  <c r="A164" i="10"/>
  <c r="A163" i="10"/>
  <c r="A162" i="10"/>
  <c r="A161" i="10"/>
  <c r="B160" i="10"/>
  <c r="A160" i="10"/>
  <c r="B159" i="10"/>
  <c r="A159" i="10"/>
  <c r="A158" i="10"/>
  <c r="A157" i="10"/>
  <c r="A156" i="10"/>
  <c r="A155" i="10"/>
  <c r="A154" i="10"/>
  <c r="B153" i="10"/>
  <c r="A153" i="10"/>
  <c r="A152" i="10"/>
  <c r="A151" i="10"/>
  <c r="A150" i="10"/>
  <c r="A149" i="10"/>
  <c r="A148" i="10"/>
  <c r="B147" i="10"/>
  <c r="A147" i="10"/>
  <c r="B146" i="10"/>
  <c r="A146" i="10"/>
  <c r="A139" i="10"/>
  <c r="A138" i="10"/>
  <c r="A137" i="10"/>
  <c r="A136" i="10"/>
  <c r="A135" i="10"/>
  <c r="B134" i="10"/>
  <c r="A134" i="10"/>
  <c r="A128" i="10"/>
  <c r="A127" i="10"/>
  <c r="A126" i="10"/>
  <c r="A125" i="10"/>
  <c r="A124" i="10"/>
  <c r="A123" i="10"/>
  <c r="A122" i="10"/>
  <c r="A121" i="10"/>
  <c r="B120" i="10"/>
  <c r="A120" i="10"/>
  <c r="B119" i="10"/>
  <c r="A119" i="10"/>
  <c r="A118" i="10"/>
  <c r="A117" i="10"/>
  <c r="A116" i="10"/>
  <c r="A115" i="10"/>
  <c r="A114" i="10"/>
  <c r="B113" i="10"/>
  <c r="A113" i="10"/>
  <c r="A112" i="10"/>
  <c r="A111" i="10"/>
  <c r="A110" i="10"/>
  <c r="A109" i="10"/>
  <c r="A108" i="10"/>
  <c r="B107" i="10"/>
  <c r="A107" i="10"/>
  <c r="A106" i="10"/>
  <c r="A105" i="10"/>
  <c r="A104" i="10"/>
  <c r="A103" i="10"/>
  <c r="A102" i="10"/>
  <c r="B101" i="10"/>
  <c r="A101" i="10"/>
  <c r="B100" i="10"/>
  <c r="A100" i="10"/>
  <c r="B99" i="10"/>
  <c r="A99" i="10"/>
  <c r="A97" i="10"/>
  <c r="A96" i="10"/>
  <c r="A95" i="10"/>
  <c r="A94" i="10"/>
  <c r="A93" i="10"/>
  <c r="A92" i="10"/>
  <c r="B91" i="10"/>
  <c r="A91" i="10"/>
  <c r="A90" i="10"/>
  <c r="A89" i="10"/>
  <c r="A88" i="10"/>
  <c r="A87" i="10"/>
  <c r="A86" i="10"/>
  <c r="B85" i="10"/>
  <c r="A85" i="10"/>
  <c r="A82" i="10"/>
  <c r="A81" i="10"/>
  <c r="A80" i="10"/>
  <c r="A79" i="10"/>
  <c r="B78" i="10"/>
  <c r="A78" i="10"/>
  <c r="A77" i="10"/>
  <c r="A76" i="10"/>
  <c r="A75" i="10"/>
  <c r="A74" i="10"/>
  <c r="B73" i="10"/>
  <c r="A73" i="10"/>
  <c r="B72" i="10"/>
  <c r="A72" i="10"/>
  <c r="A71" i="10"/>
  <c r="A70" i="10"/>
  <c r="A69" i="10"/>
  <c r="A68" i="10"/>
  <c r="A67" i="10"/>
  <c r="A66" i="10"/>
  <c r="A65" i="10"/>
  <c r="A64" i="10"/>
  <c r="A63" i="10"/>
  <c r="A62" i="10"/>
  <c r="B61" i="10"/>
  <c r="A61" i="10"/>
  <c r="B60" i="10"/>
  <c r="A60" i="10"/>
  <c r="B59" i="10"/>
  <c r="A59" i="10"/>
  <c r="B58" i="10"/>
  <c r="B57" i="10"/>
  <c r="A57" i="10"/>
  <c r="A56" i="10"/>
  <c r="A54" i="10"/>
  <c r="A53" i="10"/>
  <c r="A52" i="10"/>
  <c r="A51" i="10"/>
  <c r="A50" i="10"/>
  <c r="B55" i="10"/>
  <c r="A55" i="10"/>
  <c r="B49" i="10"/>
  <c r="A49" i="10"/>
  <c r="A48" i="10"/>
  <c r="A47" i="10"/>
  <c r="A46" i="10"/>
  <c r="A45" i="10"/>
  <c r="A38" i="10"/>
  <c r="A32" i="10"/>
  <c r="A43" i="10"/>
  <c r="A42" i="10"/>
  <c r="A41" i="10"/>
  <c r="A40" i="10"/>
  <c r="A39" i="10"/>
  <c r="A7" i="10"/>
  <c r="A6" i="10"/>
  <c r="A8" i="10"/>
  <c r="A30" i="10"/>
  <c r="A29" i="10"/>
  <c r="A28" i="10"/>
  <c r="A27" i="10"/>
  <c r="A26" i="10"/>
  <c r="A25" i="10"/>
  <c r="A24" i="10"/>
  <c r="A23" i="10"/>
  <c r="A22" i="10"/>
  <c r="A21" i="10"/>
  <c r="A20" i="10"/>
  <c r="A19" i="10"/>
  <c r="A18" i="10"/>
  <c r="A17" i="10"/>
  <c r="A16" i="10"/>
  <c r="A15" i="10"/>
  <c r="A14" i="10"/>
  <c r="A13" i="10"/>
  <c r="A12" i="10"/>
  <c r="A11" i="10"/>
  <c r="A10" i="10"/>
  <c r="A9" i="10"/>
  <c r="A37" i="10"/>
  <c r="A36" i="10"/>
  <c r="A35" i="10"/>
  <c r="A34" i="10"/>
  <c r="A33" i="10"/>
  <c r="C181" i="20" l="1"/>
  <c r="C180" i="20"/>
  <c r="C179" i="20"/>
  <c r="C178" i="20"/>
  <c r="C177" i="20"/>
  <c r="C176" i="20"/>
  <c r="C175" i="20"/>
  <c r="C174" i="20"/>
  <c r="C171" i="20"/>
  <c r="C170" i="20"/>
  <c r="C166" i="20"/>
  <c r="C165" i="20"/>
  <c r="C164" i="20"/>
  <c r="C163" i="20"/>
  <c r="C162" i="20"/>
  <c r="C159" i="20"/>
  <c r="C158" i="20"/>
  <c r="C157" i="20"/>
  <c r="C156" i="20"/>
  <c r="C155" i="20"/>
  <c r="C153" i="20"/>
  <c r="C152" i="20"/>
  <c r="C151" i="20"/>
  <c r="C150" i="20"/>
  <c r="C149" i="20"/>
  <c r="C140" i="20"/>
  <c r="C139" i="20"/>
  <c r="C138" i="20"/>
  <c r="C137" i="20"/>
  <c r="C136" i="20"/>
  <c r="C129" i="20"/>
  <c r="C128" i="20"/>
  <c r="C127" i="20"/>
  <c r="C126" i="20"/>
  <c r="C125" i="20"/>
  <c r="C124" i="20"/>
  <c r="C123" i="20"/>
  <c r="C122" i="20"/>
  <c r="C119" i="20"/>
  <c r="C118" i="20"/>
  <c r="C117" i="20"/>
  <c r="C116" i="20"/>
  <c r="C115" i="20"/>
  <c r="C113" i="20"/>
  <c r="C112" i="20"/>
  <c r="C111" i="20"/>
  <c r="C110" i="20"/>
  <c r="C109" i="20"/>
  <c r="C107" i="20"/>
  <c r="C106" i="20"/>
  <c r="C105" i="20"/>
  <c r="C104" i="20"/>
  <c r="C103" i="20"/>
  <c r="C98" i="20"/>
  <c r="C97" i="20"/>
  <c r="C96" i="20"/>
  <c r="C95" i="20"/>
  <c r="C94" i="20"/>
  <c r="C93" i="20"/>
  <c r="C91" i="20"/>
  <c r="C90" i="20"/>
  <c r="C89" i="20"/>
  <c r="C88" i="20"/>
  <c r="C87" i="20"/>
  <c r="C83" i="20"/>
  <c r="C82" i="20"/>
  <c r="C81" i="20"/>
  <c r="C80" i="20"/>
  <c r="C78" i="20"/>
  <c r="C77" i="20"/>
  <c r="C76" i="20"/>
  <c r="C75" i="20"/>
  <c r="C72" i="20"/>
  <c r="C71" i="20"/>
  <c r="C70" i="20"/>
  <c r="C69" i="20"/>
  <c r="C68" i="20"/>
  <c r="C61" i="20"/>
  <c r="C60" i="20"/>
  <c r="C59" i="20"/>
  <c r="C55" i="20"/>
  <c r="C54" i="20"/>
  <c r="C53" i="20"/>
  <c r="C52" i="20"/>
  <c r="C51" i="20"/>
  <c r="C49" i="20"/>
  <c r="C48" i="20"/>
  <c r="C47" i="20"/>
  <c r="C38" i="20"/>
  <c r="C37" i="20"/>
  <c r="C36" i="20"/>
  <c r="C35" i="20"/>
  <c r="C34" i="20"/>
  <c r="C32" i="20"/>
  <c r="C31" i="20"/>
  <c r="C30" i="20"/>
  <c r="C29" i="20"/>
  <c r="C28" i="20"/>
  <c r="C27" i="20"/>
  <c r="C26" i="20"/>
  <c r="C25" i="20"/>
  <c r="C24" i="20"/>
  <c r="C23" i="20"/>
  <c r="C22" i="20"/>
  <c r="C21" i="20"/>
  <c r="C20" i="20"/>
  <c r="C19" i="20"/>
  <c r="C18" i="20"/>
  <c r="C17" i="20"/>
  <c r="C16" i="20"/>
  <c r="C15" i="20"/>
  <c r="C14" i="20"/>
  <c r="C13" i="20"/>
  <c r="C12" i="20"/>
  <c r="C11" i="20"/>
  <c r="C10" i="20"/>
  <c r="C5" i="20"/>
  <c r="C4" i="20"/>
  <c r="CW181" i="20"/>
  <c r="CW180" i="20"/>
  <c r="CW179" i="20"/>
  <c r="CW178" i="20"/>
  <c r="CW177" i="20"/>
  <c r="CW176" i="20"/>
  <c r="CW175" i="20"/>
  <c r="CW174" i="20"/>
  <c r="CW171" i="20"/>
  <c r="CV170" i="20"/>
  <c r="CU170" i="20"/>
  <c r="CT170" i="20"/>
  <c r="CS170" i="20"/>
  <c r="CR170" i="20"/>
  <c r="CQ170" i="20"/>
  <c r="CP170" i="20"/>
  <c r="CW166" i="20"/>
  <c r="CW165" i="20"/>
  <c r="CW164" i="20"/>
  <c r="CW163" i="20"/>
  <c r="CW162" i="20"/>
  <c r="CV161" i="20"/>
  <c r="CU161" i="20"/>
  <c r="CT161" i="20"/>
  <c r="CS161" i="20"/>
  <c r="CR161" i="20"/>
  <c r="CQ161" i="20"/>
  <c r="CP161" i="20"/>
  <c r="CW159" i="20"/>
  <c r="CW158" i="20"/>
  <c r="CW157" i="20"/>
  <c r="CW156" i="20"/>
  <c r="CW155" i="20"/>
  <c r="CV154" i="20"/>
  <c r="CU154" i="20"/>
  <c r="CT154" i="20"/>
  <c r="CS154" i="20"/>
  <c r="CR154" i="20"/>
  <c r="CQ154" i="20"/>
  <c r="CP154" i="20"/>
  <c r="CW153" i="20"/>
  <c r="CW152" i="20"/>
  <c r="CW151" i="20"/>
  <c r="CW150" i="20"/>
  <c r="CW149" i="20"/>
  <c r="CV148" i="20"/>
  <c r="CV141" i="20" s="1"/>
  <c r="CU148" i="20"/>
  <c r="CU141" i="20" s="1"/>
  <c r="CT148" i="20"/>
  <c r="CT141" i="20" s="1"/>
  <c r="CS148" i="20"/>
  <c r="CS141" i="20" s="1"/>
  <c r="CR148" i="20"/>
  <c r="CR141" i="20" s="1"/>
  <c r="CQ148" i="20"/>
  <c r="CQ141" i="20" s="1"/>
  <c r="CP148" i="20"/>
  <c r="CP141" i="20" s="1"/>
  <c r="CW140" i="20"/>
  <c r="CW139" i="20"/>
  <c r="CW138" i="20"/>
  <c r="CW137" i="20"/>
  <c r="CW136" i="20"/>
  <c r="CV135" i="20"/>
  <c r="CU135" i="20"/>
  <c r="CT135" i="20"/>
  <c r="CS135" i="20"/>
  <c r="CR135" i="20"/>
  <c r="CQ135" i="20"/>
  <c r="CP135" i="20"/>
  <c r="CW129" i="20"/>
  <c r="CW128" i="20"/>
  <c r="CW127" i="20"/>
  <c r="CW126" i="20"/>
  <c r="CW125" i="20"/>
  <c r="CW124" i="20"/>
  <c r="CW123" i="20"/>
  <c r="CW122" i="20"/>
  <c r="CV121" i="20"/>
  <c r="CU121" i="20"/>
  <c r="CT121" i="20"/>
  <c r="CS121" i="20"/>
  <c r="CR121" i="20"/>
  <c r="CQ121" i="20"/>
  <c r="CP121" i="20"/>
  <c r="CW119" i="20"/>
  <c r="CW118" i="20"/>
  <c r="CW117" i="20"/>
  <c r="CW116" i="20"/>
  <c r="CW115" i="20"/>
  <c r="CV114" i="20"/>
  <c r="CU114" i="20"/>
  <c r="CT114" i="20"/>
  <c r="CS114" i="20"/>
  <c r="CR114" i="20"/>
  <c r="CQ114" i="20"/>
  <c r="CP114" i="20"/>
  <c r="CW113" i="20"/>
  <c r="CW112" i="20"/>
  <c r="CW111" i="20"/>
  <c r="CW110" i="20"/>
  <c r="CW109" i="20"/>
  <c r="CV108" i="20"/>
  <c r="CU108" i="20"/>
  <c r="CT108" i="20"/>
  <c r="CS108" i="20"/>
  <c r="CR108" i="20"/>
  <c r="CQ108" i="20"/>
  <c r="CP108" i="20"/>
  <c r="CW107" i="20"/>
  <c r="CW106" i="20"/>
  <c r="CW105" i="20"/>
  <c r="CW104" i="20"/>
  <c r="CW103" i="20"/>
  <c r="CV102" i="20"/>
  <c r="CU102" i="20"/>
  <c r="CT102" i="20"/>
  <c r="CS102" i="20"/>
  <c r="CR102" i="20"/>
  <c r="CQ102" i="20"/>
  <c r="CP102" i="20"/>
  <c r="CW98" i="20"/>
  <c r="CW97" i="20"/>
  <c r="CW96" i="20"/>
  <c r="CW95" i="20"/>
  <c r="CW94" i="20"/>
  <c r="CW93" i="20"/>
  <c r="CV92" i="20"/>
  <c r="CU92" i="20"/>
  <c r="CT92" i="20"/>
  <c r="CS92" i="20"/>
  <c r="CR92" i="20"/>
  <c r="CQ92" i="20"/>
  <c r="CP92" i="20"/>
  <c r="CW91" i="20"/>
  <c r="CW90" i="20"/>
  <c r="CW89" i="20"/>
  <c r="CW88" i="20"/>
  <c r="CW87" i="20"/>
  <c r="CV86" i="20"/>
  <c r="CU86" i="20"/>
  <c r="CT86" i="20"/>
  <c r="CS86" i="20"/>
  <c r="CR86" i="20"/>
  <c r="CQ86" i="20"/>
  <c r="CP86" i="20"/>
  <c r="CW83" i="20"/>
  <c r="CW82" i="20"/>
  <c r="CW81" i="20"/>
  <c r="CW80" i="20"/>
  <c r="CV79" i="20"/>
  <c r="CU79" i="20"/>
  <c r="CT79" i="20"/>
  <c r="CS79" i="20"/>
  <c r="CR79" i="20"/>
  <c r="CQ79" i="20"/>
  <c r="CP79" i="20"/>
  <c r="CW78" i="20"/>
  <c r="CW77" i="20"/>
  <c r="CW76" i="20"/>
  <c r="CW75" i="20"/>
  <c r="CV74" i="20"/>
  <c r="CU74" i="20"/>
  <c r="CT74" i="20"/>
  <c r="CS74" i="20"/>
  <c r="CR74" i="20"/>
  <c r="CQ74" i="20"/>
  <c r="CP74" i="20"/>
  <c r="CW72" i="20"/>
  <c r="CW71" i="20"/>
  <c r="CW70" i="20"/>
  <c r="CW69" i="20"/>
  <c r="CW68" i="20"/>
  <c r="CV67" i="20"/>
  <c r="CU67" i="20"/>
  <c r="CT67" i="20"/>
  <c r="CS67" i="20"/>
  <c r="CR67" i="20"/>
  <c r="CQ67" i="20"/>
  <c r="CP67" i="20"/>
  <c r="CV62" i="20"/>
  <c r="CU62" i="20"/>
  <c r="CT62" i="20"/>
  <c r="CS62" i="20"/>
  <c r="CR62" i="20"/>
  <c r="CQ62" i="20"/>
  <c r="CP62" i="20"/>
  <c r="CW61" i="20"/>
  <c r="CW60" i="20"/>
  <c r="CW59" i="20"/>
  <c r="CV58" i="20"/>
  <c r="CU58" i="20"/>
  <c r="CT58" i="20"/>
  <c r="CS58" i="20"/>
  <c r="CR58" i="20"/>
  <c r="CQ58" i="20"/>
  <c r="CP58" i="20"/>
  <c r="CV56" i="20"/>
  <c r="CU56" i="20"/>
  <c r="CT56" i="20"/>
  <c r="CS56" i="20"/>
  <c r="CR56" i="20"/>
  <c r="CQ56" i="20"/>
  <c r="CP56" i="20"/>
  <c r="CW55" i="20"/>
  <c r="CW54" i="20"/>
  <c r="CW53" i="20"/>
  <c r="CW52" i="20"/>
  <c r="CW51" i="20"/>
  <c r="CV50" i="20"/>
  <c r="CU50" i="20"/>
  <c r="CT50" i="20"/>
  <c r="CS50" i="20"/>
  <c r="CR50" i="20"/>
  <c r="CQ50" i="20"/>
  <c r="CP50" i="20"/>
  <c r="CW49" i="20"/>
  <c r="CW48" i="20"/>
  <c r="CW47" i="20"/>
  <c r="CV46" i="20"/>
  <c r="CU46" i="20"/>
  <c r="CT46" i="20"/>
  <c r="CS46" i="20"/>
  <c r="CR46" i="20"/>
  <c r="CQ46" i="20"/>
  <c r="CP46" i="20"/>
  <c r="CV39" i="20"/>
  <c r="CU39" i="20"/>
  <c r="CT39" i="20"/>
  <c r="CS39" i="20"/>
  <c r="CR39" i="20"/>
  <c r="CQ39" i="20"/>
  <c r="CP39" i="20"/>
  <c r="CW38" i="20"/>
  <c r="CW37" i="20"/>
  <c r="CW36" i="20"/>
  <c r="CW35" i="20"/>
  <c r="CW34" i="20"/>
  <c r="CV33" i="20"/>
  <c r="CU33" i="20"/>
  <c r="CT33" i="20"/>
  <c r="CS33" i="20"/>
  <c r="CR33" i="20"/>
  <c r="CQ33" i="20"/>
  <c r="CP33" i="20"/>
  <c r="CW32" i="20"/>
  <c r="CW31" i="20"/>
  <c r="CW30" i="20"/>
  <c r="CW29" i="20"/>
  <c r="CW28" i="20"/>
  <c r="CW27" i="20"/>
  <c r="CW26" i="20"/>
  <c r="CW25" i="20"/>
  <c r="CW24" i="20"/>
  <c r="CW23" i="20"/>
  <c r="CW22" i="20"/>
  <c r="CW21" i="20"/>
  <c r="CW20" i="20"/>
  <c r="CW19" i="20"/>
  <c r="CW18" i="20"/>
  <c r="CW17" i="20"/>
  <c r="CW16" i="20"/>
  <c r="CW15" i="20"/>
  <c r="CW14" i="20"/>
  <c r="CW13" i="20"/>
  <c r="CW12" i="20"/>
  <c r="CW11" i="20"/>
  <c r="CW10" i="20"/>
  <c r="CV9" i="20"/>
  <c r="CU9" i="20"/>
  <c r="CT9" i="20"/>
  <c r="CS9" i="20"/>
  <c r="CR9" i="20"/>
  <c r="CQ9" i="20"/>
  <c r="CP9" i="20"/>
  <c r="CC181" i="20"/>
  <c r="CC180" i="20"/>
  <c r="CC179" i="20"/>
  <c r="CC178" i="20"/>
  <c r="CC177" i="20"/>
  <c r="CC176" i="20"/>
  <c r="CC175" i="20"/>
  <c r="CC174" i="20"/>
  <c r="CC171" i="20"/>
  <c r="CB170" i="20"/>
  <c r="CA170" i="20"/>
  <c r="BZ170" i="20"/>
  <c r="BY170" i="20"/>
  <c r="BX170" i="20"/>
  <c r="BW170" i="20"/>
  <c r="BV170" i="20"/>
  <c r="CC166" i="20"/>
  <c r="CC165" i="20"/>
  <c r="CC164" i="20"/>
  <c r="CC163" i="20"/>
  <c r="CC162" i="20"/>
  <c r="CB161" i="20"/>
  <c r="CA161" i="20"/>
  <c r="BZ161" i="20"/>
  <c r="BY161" i="20"/>
  <c r="BX161" i="20"/>
  <c r="BW161" i="20"/>
  <c r="BV161" i="20"/>
  <c r="CC159" i="20"/>
  <c r="CC158" i="20"/>
  <c r="CC157" i="20"/>
  <c r="CC156" i="20"/>
  <c r="CC155" i="20"/>
  <c r="CB154" i="20"/>
  <c r="CA154" i="20"/>
  <c r="BZ154" i="20"/>
  <c r="BY154" i="20"/>
  <c r="BX154" i="20"/>
  <c r="BW154" i="20"/>
  <c r="BV154" i="20"/>
  <c r="CC153" i="20"/>
  <c r="CC152" i="20"/>
  <c r="CC151" i="20"/>
  <c r="CC150" i="20"/>
  <c r="CC149" i="20"/>
  <c r="CB148" i="20"/>
  <c r="CA148" i="20"/>
  <c r="BZ148" i="20"/>
  <c r="BY148" i="20"/>
  <c r="BX148" i="20"/>
  <c r="BW148" i="20"/>
  <c r="BV148" i="20"/>
  <c r="CC140" i="20"/>
  <c r="CC139" i="20"/>
  <c r="CC138" i="20"/>
  <c r="CC137" i="20"/>
  <c r="CC136" i="20"/>
  <c r="CC129" i="20"/>
  <c r="CC128" i="20"/>
  <c r="CC127" i="20"/>
  <c r="CC126" i="20"/>
  <c r="CC125" i="20"/>
  <c r="CC124" i="20"/>
  <c r="CC123" i="20"/>
  <c r="CC122" i="20"/>
  <c r="CB121" i="20"/>
  <c r="CA121" i="20"/>
  <c r="BZ121" i="20"/>
  <c r="BY121" i="20"/>
  <c r="BX121" i="20"/>
  <c r="BW121" i="20"/>
  <c r="BV121" i="20"/>
  <c r="CC113" i="20"/>
  <c r="CC112" i="20"/>
  <c r="CC111" i="20"/>
  <c r="CC110" i="20"/>
  <c r="CC109" i="20"/>
  <c r="CB108" i="20"/>
  <c r="CA108" i="20"/>
  <c r="BZ108" i="20"/>
  <c r="BY108" i="20"/>
  <c r="BX108" i="20"/>
  <c r="BW108" i="20"/>
  <c r="BV108" i="20"/>
  <c r="CC107" i="20"/>
  <c r="CC106" i="20"/>
  <c r="CC105" i="20"/>
  <c r="CC104" i="20"/>
  <c r="CC103" i="20"/>
  <c r="CB102" i="20"/>
  <c r="CA102" i="20"/>
  <c r="BZ102" i="20"/>
  <c r="BY102" i="20"/>
  <c r="BX102" i="20"/>
  <c r="BW102" i="20"/>
  <c r="BV102" i="20"/>
  <c r="CC98" i="20"/>
  <c r="CC97" i="20"/>
  <c r="CC96" i="20"/>
  <c r="CC95" i="20"/>
  <c r="CC94" i="20"/>
  <c r="CC93" i="20"/>
  <c r="CB92" i="20"/>
  <c r="CA92" i="20"/>
  <c r="BZ92" i="20"/>
  <c r="BY92" i="20"/>
  <c r="BX92" i="20"/>
  <c r="BW92" i="20"/>
  <c r="BV92" i="20"/>
  <c r="CC91" i="20"/>
  <c r="CC90" i="20"/>
  <c r="CC89" i="20"/>
  <c r="CC88" i="20"/>
  <c r="CC87" i="20"/>
  <c r="CB86" i="20"/>
  <c r="CA86" i="20"/>
  <c r="BZ86" i="20"/>
  <c r="BY86" i="20"/>
  <c r="BX86" i="20"/>
  <c r="BW86" i="20"/>
  <c r="BV86" i="20"/>
  <c r="CC83" i="20"/>
  <c r="CC82" i="20"/>
  <c r="CC81" i="20"/>
  <c r="CC80" i="20"/>
  <c r="CB79" i="20"/>
  <c r="CA79" i="20"/>
  <c r="BZ79" i="20"/>
  <c r="BY79" i="20"/>
  <c r="BX79" i="20"/>
  <c r="BW79" i="20"/>
  <c r="BV79" i="20"/>
  <c r="CC78" i="20"/>
  <c r="CC77" i="20"/>
  <c r="CC76" i="20"/>
  <c r="CC75" i="20"/>
  <c r="CB74" i="20"/>
  <c r="CA74" i="20"/>
  <c r="BZ74" i="20"/>
  <c r="BY74" i="20"/>
  <c r="BX74" i="20"/>
  <c r="BW74" i="20"/>
  <c r="BV74" i="20"/>
  <c r="CC72" i="20"/>
  <c r="CC71" i="20"/>
  <c r="CC70" i="20"/>
  <c r="CC69" i="20"/>
  <c r="CC68" i="20"/>
  <c r="CB67" i="20"/>
  <c r="CA67" i="20"/>
  <c r="BZ67" i="20"/>
  <c r="BY67" i="20"/>
  <c r="BX67" i="20"/>
  <c r="BW67" i="20"/>
  <c r="BV67" i="20"/>
  <c r="CB62" i="20"/>
  <c r="CA62" i="20"/>
  <c r="BZ62" i="20"/>
  <c r="BY62" i="20"/>
  <c r="BX62" i="20"/>
  <c r="BW62" i="20"/>
  <c r="BV62" i="20"/>
  <c r="CC61" i="20"/>
  <c r="CC60" i="20"/>
  <c r="CC59" i="20"/>
  <c r="CB58" i="20"/>
  <c r="CA58" i="20"/>
  <c r="BZ58" i="20"/>
  <c r="BY58" i="20"/>
  <c r="BX58" i="20"/>
  <c r="BW58" i="20"/>
  <c r="BV58" i="20"/>
  <c r="CB56" i="20"/>
  <c r="CA56" i="20"/>
  <c r="BZ56" i="20"/>
  <c r="BY56" i="20"/>
  <c r="BX56" i="20"/>
  <c r="BW56" i="20"/>
  <c r="BV56" i="20"/>
  <c r="CC55" i="20"/>
  <c r="CC54" i="20"/>
  <c r="CC53" i="20"/>
  <c r="CC52" i="20"/>
  <c r="CC51" i="20"/>
  <c r="CB50" i="20"/>
  <c r="CA50" i="20"/>
  <c r="BZ50" i="20"/>
  <c r="BY50" i="20"/>
  <c r="BX50" i="20"/>
  <c r="BW50" i="20"/>
  <c r="BV50" i="20"/>
  <c r="CC49" i="20"/>
  <c r="CC48" i="20"/>
  <c r="CC47" i="20"/>
  <c r="CB46" i="20"/>
  <c r="CA46" i="20"/>
  <c r="BZ46" i="20"/>
  <c r="BY46" i="20"/>
  <c r="BX46" i="20"/>
  <c r="BW46" i="20"/>
  <c r="BV46" i="20"/>
  <c r="CB39" i="20"/>
  <c r="CA39" i="20"/>
  <c r="BZ39" i="20"/>
  <c r="BY39" i="20"/>
  <c r="BX39" i="20"/>
  <c r="BW39" i="20"/>
  <c r="BV39" i="20"/>
  <c r="CC38" i="20"/>
  <c r="CC37" i="20"/>
  <c r="CC36" i="20"/>
  <c r="CC35" i="20"/>
  <c r="CC34" i="20"/>
  <c r="CB33" i="20"/>
  <c r="CA33" i="20"/>
  <c r="BZ33" i="20"/>
  <c r="BY33" i="20"/>
  <c r="BX33" i="20"/>
  <c r="BW33" i="20"/>
  <c r="BV33" i="20"/>
  <c r="CC32" i="20"/>
  <c r="CC31" i="20"/>
  <c r="CC30" i="20"/>
  <c r="CC29" i="20"/>
  <c r="CC28" i="20"/>
  <c r="CC27" i="20"/>
  <c r="CC26" i="20"/>
  <c r="CC25" i="20"/>
  <c r="CC24" i="20"/>
  <c r="CC23" i="20"/>
  <c r="CC22" i="20"/>
  <c r="CC21" i="20"/>
  <c r="CC20" i="20"/>
  <c r="CC19" i="20"/>
  <c r="CC18" i="20"/>
  <c r="CC17" i="20"/>
  <c r="CC16" i="20"/>
  <c r="CC15" i="20"/>
  <c r="CC14" i="20"/>
  <c r="CC13" i="20"/>
  <c r="CC12" i="20"/>
  <c r="CC11" i="20"/>
  <c r="BI181" i="20"/>
  <c r="BI179" i="20"/>
  <c r="BI178" i="20"/>
  <c r="BI177" i="20"/>
  <c r="BI176" i="20"/>
  <c r="BI175" i="20"/>
  <c r="BI174" i="20"/>
  <c r="BI171" i="20"/>
  <c r="BH170" i="20"/>
  <c r="BG170" i="20"/>
  <c r="BF170" i="20"/>
  <c r="BE170" i="20"/>
  <c r="BD170" i="20"/>
  <c r="BC170" i="20"/>
  <c r="BB170" i="20"/>
  <c r="BI166" i="20"/>
  <c r="BI165" i="20"/>
  <c r="BI164" i="20"/>
  <c r="BI162" i="20"/>
  <c r="BH161" i="20"/>
  <c r="BG161" i="20"/>
  <c r="BF161" i="20"/>
  <c r="BE161" i="20"/>
  <c r="BD161" i="20"/>
  <c r="BC161" i="20"/>
  <c r="BB161" i="20"/>
  <c r="BI159" i="20"/>
  <c r="BI158" i="20"/>
  <c r="BI157" i="20"/>
  <c r="BI156" i="20"/>
  <c r="BI155" i="20"/>
  <c r="BH154" i="20"/>
  <c r="BG154" i="20"/>
  <c r="BF154" i="20"/>
  <c r="BE154" i="20"/>
  <c r="BD154" i="20"/>
  <c r="BC154" i="20"/>
  <c r="BB154" i="20"/>
  <c r="BI153" i="20"/>
  <c r="BI152" i="20"/>
  <c r="BI151" i="20"/>
  <c r="BI150" i="20"/>
  <c r="BI149" i="20"/>
  <c r="BH148" i="20"/>
  <c r="BG148" i="20"/>
  <c r="BF148" i="20"/>
  <c r="BE148" i="20"/>
  <c r="BD148" i="20"/>
  <c r="BC148" i="20"/>
  <c r="BB148" i="20"/>
  <c r="BI140" i="20"/>
  <c r="BI139" i="20"/>
  <c r="BI138" i="20"/>
  <c r="BI136" i="20"/>
  <c r="BI127" i="20"/>
  <c r="BI126" i="20"/>
  <c r="BI125" i="20"/>
  <c r="BI124" i="20"/>
  <c r="BI119" i="20"/>
  <c r="BI118" i="20"/>
  <c r="BI117" i="20"/>
  <c r="BI116" i="20"/>
  <c r="BI115" i="20"/>
  <c r="BH114" i="20"/>
  <c r="BG114" i="20"/>
  <c r="BF114" i="20"/>
  <c r="BE114" i="20"/>
  <c r="BD114" i="20"/>
  <c r="BC114" i="20"/>
  <c r="BB114" i="20"/>
  <c r="BI113" i="20"/>
  <c r="BI112" i="20"/>
  <c r="BI111" i="20"/>
  <c r="BI110" i="20"/>
  <c r="BI109" i="20"/>
  <c r="BH108" i="20"/>
  <c r="BG108" i="20"/>
  <c r="BF108" i="20"/>
  <c r="BE108" i="20"/>
  <c r="BD108" i="20"/>
  <c r="BC108" i="20"/>
  <c r="BB108" i="20"/>
  <c r="BI107" i="20"/>
  <c r="BI106" i="20"/>
  <c r="BI105" i="20"/>
  <c r="BI104" i="20"/>
  <c r="BI103" i="20"/>
  <c r="BH102" i="20"/>
  <c r="BG102" i="20"/>
  <c r="BF102" i="20"/>
  <c r="BE102" i="20"/>
  <c r="BD102" i="20"/>
  <c r="BC102" i="20"/>
  <c r="BB102" i="20"/>
  <c r="BI98" i="20"/>
  <c r="BI97" i="20"/>
  <c r="BI96" i="20"/>
  <c r="BI95" i="20"/>
  <c r="BI94" i="20"/>
  <c r="BI93" i="20"/>
  <c r="BH92" i="20"/>
  <c r="BG92" i="20"/>
  <c r="BF92" i="20"/>
  <c r="BE92" i="20"/>
  <c r="BD92" i="20"/>
  <c r="BC92" i="20"/>
  <c r="BB92" i="20"/>
  <c r="BI91" i="20"/>
  <c r="BI90" i="20"/>
  <c r="BI89" i="20"/>
  <c r="BI88" i="20"/>
  <c r="BI87" i="20"/>
  <c r="BH86" i="20"/>
  <c r="BG86" i="20"/>
  <c r="BF86" i="20"/>
  <c r="BE86" i="20"/>
  <c r="BD86" i="20"/>
  <c r="BC86" i="20"/>
  <c r="BB86" i="20"/>
  <c r="BI83" i="20"/>
  <c r="BI82" i="20"/>
  <c r="BI81" i="20"/>
  <c r="BI80" i="20"/>
  <c r="BH79" i="20"/>
  <c r="BG79" i="20"/>
  <c r="BF79" i="20"/>
  <c r="BE79" i="20"/>
  <c r="BD79" i="20"/>
  <c r="BC79" i="20"/>
  <c r="BB79" i="20"/>
  <c r="F35" i="32" s="1"/>
  <c r="G35" i="32" s="1"/>
  <c r="H35" i="32" s="1"/>
  <c r="BI78" i="20"/>
  <c r="BI77" i="20"/>
  <c r="BI76" i="20"/>
  <c r="BI75" i="20"/>
  <c r="BH74" i="20"/>
  <c r="BG74" i="20"/>
  <c r="BF74" i="20"/>
  <c r="BE74" i="20"/>
  <c r="BD74" i="20"/>
  <c r="BC74" i="20"/>
  <c r="BB74" i="20"/>
  <c r="BI72" i="20"/>
  <c r="BI71" i="20"/>
  <c r="BI70" i="20"/>
  <c r="BI69" i="20"/>
  <c r="BI68" i="20"/>
  <c r="BH67" i="20"/>
  <c r="BG67" i="20"/>
  <c r="BF67" i="20"/>
  <c r="BE67" i="20"/>
  <c r="BD67" i="20"/>
  <c r="BC67" i="20"/>
  <c r="BB67" i="20"/>
  <c r="BH62" i="20"/>
  <c r="BG62" i="20"/>
  <c r="BF62" i="20"/>
  <c r="BE62" i="20"/>
  <c r="BD62" i="20"/>
  <c r="BC62" i="20"/>
  <c r="BB62" i="20"/>
  <c r="BH58" i="20"/>
  <c r="BG58" i="20"/>
  <c r="BF58" i="20"/>
  <c r="BE58" i="20"/>
  <c r="BD58" i="20"/>
  <c r="BC58" i="20"/>
  <c r="BB58" i="20"/>
  <c r="BH56" i="20"/>
  <c r="BG56" i="20"/>
  <c r="BF56" i="20"/>
  <c r="BE56" i="20"/>
  <c r="BD56" i="20"/>
  <c r="BC56" i="20"/>
  <c r="BB56" i="20"/>
  <c r="BH50" i="20"/>
  <c r="BG50" i="20"/>
  <c r="BF50" i="20"/>
  <c r="BE50" i="20"/>
  <c r="BD50" i="20"/>
  <c r="BC50" i="20"/>
  <c r="BB50" i="20"/>
  <c r="BH46" i="20"/>
  <c r="BG46" i="20"/>
  <c r="BF46" i="20"/>
  <c r="BE46" i="20"/>
  <c r="BD46" i="20"/>
  <c r="BC46" i="20"/>
  <c r="BB46" i="20"/>
  <c r="BH39" i="20"/>
  <c r="BG39" i="20"/>
  <c r="BF39" i="20"/>
  <c r="BE39" i="20"/>
  <c r="BD39" i="20"/>
  <c r="BC39" i="20"/>
  <c r="BB39" i="20"/>
  <c r="BH33" i="20"/>
  <c r="BG33" i="20"/>
  <c r="BF33" i="20"/>
  <c r="BE33" i="20"/>
  <c r="BD33" i="20"/>
  <c r="BC33" i="20"/>
  <c r="BB33" i="20"/>
  <c r="L6" i="32"/>
  <c r="K6" i="32"/>
  <c r="J6" i="32"/>
  <c r="I6" i="32"/>
  <c r="H6" i="32"/>
  <c r="G6" i="32"/>
  <c r="AO181" i="20"/>
  <c r="AO180" i="20"/>
  <c r="AO179" i="20"/>
  <c r="AO178" i="20"/>
  <c r="AO177" i="20"/>
  <c r="AO176" i="20"/>
  <c r="AO175" i="20"/>
  <c r="AO174" i="20"/>
  <c r="AO171" i="20"/>
  <c r="AN170" i="20"/>
  <c r="AM170" i="20"/>
  <c r="AL170" i="20"/>
  <c r="AK170" i="20"/>
  <c r="AJ170" i="20"/>
  <c r="AI170" i="20"/>
  <c r="AH170" i="20"/>
  <c r="AO166" i="20"/>
  <c r="AO165" i="20"/>
  <c r="AO164" i="20"/>
  <c r="AO163" i="20"/>
  <c r="AO162" i="20"/>
  <c r="AN161" i="20"/>
  <c r="AM161" i="20"/>
  <c r="AL161" i="20"/>
  <c r="AK161" i="20"/>
  <c r="AJ161" i="20"/>
  <c r="AI161" i="20"/>
  <c r="AH161" i="20"/>
  <c r="AO159" i="20"/>
  <c r="AO158" i="20"/>
  <c r="AO156" i="20"/>
  <c r="AO155" i="20"/>
  <c r="AN154" i="20"/>
  <c r="AM154" i="20"/>
  <c r="AL154" i="20"/>
  <c r="AK154" i="20"/>
  <c r="AJ154" i="20"/>
  <c r="AI154" i="20"/>
  <c r="AH154" i="20"/>
  <c r="AO153" i="20"/>
  <c r="AO152" i="20"/>
  <c r="AO151" i="20"/>
  <c r="AO150" i="20"/>
  <c r="AO149" i="20"/>
  <c r="AN148" i="20"/>
  <c r="AM148" i="20"/>
  <c r="AL148" i="20"/>
  <c r="AK148" i="20"/>
  <c r="AJ148" i="20"/>
  <c r="AI148" i="20"/>
  <c r="AH148" i="20"/>
  <c r="AO140" i="20"/>
  <c r="AO139" i="20"/>
  <c r="AO137" i="20"/>
  <c r="AO136" i="20"/>
  <c r="AN135" i="20"/>
  <c r="AM135" i="20"/>
  <c r="AL135" i="20"/>
  <c r="AK135" i="20"/>
  <c r="AJ135" i="20"/>
  <c r="AI135" i="20"/>
  <c r="AH135" i="20"/>
  <c r="AO129" i="20"/>
  <c r="AO128" i="20"/>
  <c r="AO127" i="20"/>
  <c r="AO126" i="20"/>
  <c r="AO125" i="20"/>
  <c r="AO124" i="20"/>
  <c r="AO123" i="20"/>
  <c r="AO122" i="20"/>
  <c r="F9" i="32"/>
  <c r="AO119" i="20"/>
  <c r="AO118" i="20"/>
  <c r="AO117" i="20"/>
  <c r="AO116" i="20"/>
  <c r="AO115" i="20"/>
  <c r="AN114" i="20"/>
  <c r="AM114" i="20"/>
  <c r="AL114" i="20"/>
  <c r="AK114" i="20"/>
  <c r="AJ114" i="20"/>
  <c r="AI114" i="20"/>
  <c r="AH114" i="20"/>
  <c r="AO113" i="20"/>
  <c r="AO112" i="20"/>
  <c r="AO111" i="20"/>
  <c r="AO110" i="20"/>
  <c r="AO109" i="20"/>
  <c r="AN108" i="20"/>
  <c r="AM108" i="20"/>
  <c r="AL108" i="20"/>
  <c r="AK108" i="20"/>
  <c r="AJ108" i="20"/>
  <c r="AI108" i="20"/>
  <c r="AH108" i="20"/>
  <c r="AO107" i="20"/>
  <c r="AO106" i="20"/>
  <c r="AO105" i="20"/>
  <c r="AO104" i="20"/>
  <c r="AO103" i="20"/>
  <c r="AN102" i="20"/>
  <c r="AM102" i="20"/>
  <c r="AL102" i="20"/>
  <c r="AK102" i="20"/>
  <c r="AJ102" i="20"/>
  <c r="AI102" i="20"/>
  <c r="AH102" i="20"/>
  <c r="AO98" i="20"/>
  <c r="AO97" i="20"/>
  <c r="AO96" i="20"/>
  <c r="AO95" i="20"/>
  <c r="AO94" i="20"/>
  <c r="AO93" i="20"/>
  <c r="AN92" i="20"/>
  <c r="AM92" i="20"/>
  <c r="AL92" i="20"/>
  <c r="AK92" i="20"/>
  <c r="AJ92" i="20"/>
  <c r="AI92" i="20"/>
  <c r="AH92" i="20"/>
  <c r="AO91" i="20"/>
  <c r="AO90" i="20"/>
  <c r="AO89" i="20"/>
  <c r="AO88" i="20"/>
  <c r="AO87" i="20"/>
  <c r="AN86" i="20"/>
  <c r="AM86" i="20"/>
  <c r="AL86" i="20"/>
  <c r="AK86" i="20"/>
  <c r="AJ86" i="20"/>
  <c r="AI86" i="20"/>
  <c r="AH86" i="20"/>
  <c r="F33" i="32" s="1"/>
  <c r="AO82" i="20"/>
  <c r="AO80" i="20"/>
  <c r="AN79" i="20"/>
  <c r="AM79" i="20"/>
  <c r="AL79" i="20"/>
  <c r="AK79" i="20"/>
  <c r="AJ79" i="20"/>
  <c r="AI79" i="20"/>
  <c r="AH79" i="20"/>
  <c r="F21" i="32" s="1"/>
  <c r="AO78" i="20"/>
  <c r="AO77" i="20"/>
  <c r="AO76" i="20"/>
  <c r="AO75" i="20"/>
  <c r="AN74" i="20"/>
  <c r="AM74" i="20"/>
  <c r="AL74" i="20"/>
  <c r="AK74" i="20"/>
  <c r="AJ74" i="20"/>
  <c r="AI74" i="20"/>
  <c r="AH74" i="20"/>
  <c r="AO72" i="20"/>
  <c r="AO71" i="20"/>
  <c r="AO70" i="20"/>
  <c r="AN67" i="20"/>
  <c r="AM67" i="20"/>
  <c r="AL67" i="20"/>
  <c r="AK67" i="20"/>
  <c r="AJ67" i="20"/>
  <c r="AI67" i="20"/>
  <c r="AH67" i="20"/>
  <c r="AN62" i="20"/>
  <c r="AM62" i="20"/>
  <c r="AL62" i="20"/>
  <c r="AK62" i="20"/>
  <c r="AJ62" i="20"/>
  <c r="AI62" i="20"/>
  <c r="AH62" i="20"/>
  <c r="AO61" i="20"/>
  <c r="AO60" i="20"/>
  <c r="AO59" i="20"/>
  <c r="AN58" i="20"/>
  <c r="AM58" i="20"/>
  <c r="AL58" i="20"/>
  <c r="AK58" i="20"/>
  <c r="AJ58" i="20"/>
  <c r="AI58" i="20"/>
  <c r="AH58" i="20"/>
  <c r="AN56" i="20"/>
  <c r="AM56" i="20"/>
  <c r="AL56" i="20"/>
  <c r="AK56" i="20"/>
  <c r="AJ56" i="20"/>
  <c r="AI56" i="20"/>
  <c r="AH56" i="20"/>
  <c r="F12" i="32" s="1"/>
  <c r="AO55" i="20"/>
  <c r="AO54" i="20"/>
  <c r="AO53" i="20"/>
  <c r="AO52" i="20"/>
  <c r="AO51" i="20"/>
  <c r="AN50" i="20"/>
  <c r="AM50" i="20"/>
  <c r="AL50" i="20"/>
  <c r="AK50" i="20"/>
  <c r="AJ50" i="20"/>
  <c r="AI50" i="20"/>
  <c r="AH50" i="20"/>
  <c r="AO49" i="20"/>
  <c r="AO48" i="20"/>
  <c r="AO47" i="20"/>
  <c r="AN46" i="20"/>
  <c r="AM46" i="20"/>
  <c r="AL46" i="20"/>
  <c r="AK46" i="20"/>
  <c r="AJ46" i="20"/>
  <c r="AI46" i="20"/>
  <c r="AH46" i="20"/>
  <c r="F11" i="32" s="1"/>
  <c r="AN33" i="20"/>
  <c r="AM33" i="20"/>
  <c r="AL33" i="20"/>
  <c r="AK33" i="20"/>
  <c r="AJ33" i="20"/>
  <c r="AI33" i="20"/>
  <c r="AH33" i="20"/>
  <c r="AN9" i="20"/>
  <c r="AM9" i="20"/>
  <c r="AL9" i="20"/>
  <c r="AK9" i="20"/>
  <c r="AJ9" i="20"/>
  <c r="AI9" i="20"/>
  <c r="AH9" i="20"/>
  <c r="U181" i="20"/>
  <c r="U180" i="20"/>
  <c r="U179" i="20"/>
  <c r="U178" i="20"/>
  <c r="U177" i="20"/>
  <c r="U176" i="20"/>
  <c r="U175" i="20"/>
  <c r="U174" i="20"/>
  <c r="T170" i="20"/>
  <c r="S170" i="20"/>
  <c r="R170" i="20"/>
  <c r="Q170" i="20"/>
  <c r="P170" i="20"/>
  <c r="O170" i="20"/>
  <c r="N170" i="20"/>
  <c r="U171" i="20"/>
  <c r="T161" i="20"/>
  <c r="S161" i="20"/>
  <c r="R161" i="20"/>
  <c r="Q161" i="20"/>
  <c r="P161" i="20"/>
  <c r="O161" i="20"/>
  <c r="N161" i="20"/>
  <c r="U166" i="20"/>
  <c r="U165" i="20"/>
  <c r="U164" i="20"/>
  <c r="U163" i="20"/>
  <c r="U162" i="20"/>
  <c r="T154" i="20"/>
  <c r="S154" i="20"/>
  <c r="R154" i="20"/>
  <c r="Q154" i="20"/>
  <c r="P154" i="20"/>
  <c r="O154" i="20"/>
  <c r="N154" i="20"/>
  <c r="F44" i="32" s="1"/>
  <c r="U159" i="20"/>
  <c r="U158" i="20"/>
  <c r="U157" i="20"/>
  <c r="AO157" i="20" s="1"/>
  <c r="U156" i="20"/>
  <c r="U155" i="20"/>
  <c r="T148" i="20"/>
  <c r="T141" i="20" s="1"/>
  <c r="S148" i="20"/>
  <c r="S141" i="20" s="1"/>
  <c r="R148" i="20"/>
  <c r="R141" i="20" s="1"/>
  <c r="Q148" i="20"/>
  <c r="Q141" i="20" s="1"/>
  <c r="P148" i="20"/>
  <c r="P141" i="20" s="1"/>
  <c r="O148" i="20"/>
  <c r="O141" i="20" s="1"/>
  <c r="N148" i="20"/>
  <c r="U153" i="20"/>
  <c r="U152" i="20"/>
  <c r="U151" i="20"/>
  <c r="U150" i="20"/>
  <c r="U149" i="20"/>
  <c r="T135" i="20"/>
  <c r="S135" i="20"/>
  <c r="R135" i="20"/>
  <c r="Q135" i="20"/>
  <c r="P135" i="20"/>
  <c r="O135" i="20"/>
  <c r="N135" i="20"/>
  <c r="F48" i="32" s="1"/>
  <c r="U140" i="20"/>
  <c r="U139" i="20"/>
  <c r="U138" i="20"/>
  <c r="U137" i="20"/>
  <c r="U136" i="20"/>
  <c r="U129" i="20"/>
  <c r="U128" i="20"/>
  <c r="U127" i="20"/>
  <c r="U126" i="20"/>
  <c r="U125" i="20"/>
  <c r="U124" i="20"/>
  <c r="U123" i="20"/>
  <c r="U122" i="20"/>
  <c r="T114" i="20"/>
  <c r="S114" i="20"/>
  <c r="R114" i="20"/>
  <c r="Q114" i="20"/>
  <c r="P114" i="20"/>
  <c r="O114" i="20"/>
  <c r="N114" i="20"/>
  <c r="U119" i="20"/>
  <c r="U118" i="20"/>
  <c r="U117" i="20"/>
  <c r="U116" i="20"/>
  <c r="U115" i="20"/>
  <c r="T108" i="20"/>
  <c r="S108" i="20"/>
  <c r="R108" i="20"/>
  <c r="Q108" i="20"/>
  <c r="P108" i="20"/>
  <c r="O108" i="20"/>
  <c r="N108" i="20"/>
  <c r="U113" i="20"/>
  <c r="U112" i="20"/>
  <c r="U111" i="20"/>
  <c r="U110" i="20"/>
  <c r="U109" i="20"/>
  <c r="T102" i="20"/>
  <c r="S102" i="20"/>
  <c r="R102" i="20"/>
  <c r="Q102" i="20"/>
  <c r="P102" i="20"/>
  <c r="O102" i="20"/>
  <c r="N102" i="20"/>
  <c r="U107" i="20"/>
  <c r="U106" i="20"/>
  <c r="U105" i="20"/>
  <c r="U104" i="20"/>
  <c r="U103" i="20"/>
  <c r="T92" i="20"/>
  <c r="S92" i="20"/>
  <c r="R92" i="20"/>
  <c r="Q92" i="20"/>
  <c r="P92" i="20"/>
  <c r="O92" i="20"/>
  <c r="N92" i="20"/>
  <c r="U98" i="20"/>
  <c r="U97" i="20"/>
  <c r="U96" i="20"/>
  <c r="U95" i="20"/>
  <c r="U94" i="20"/>
  <c r="U93" i="20"/>
  <c r="T86" i="20"/>
  <c r="S86" i="20"/>
  <c r="R86" i="20"/>
  <c r="Q86" i="20"/>
  <c r="P86" i="20"/>
  <c r="O86" i="20"/>
  <c r="N86" i="20"/>
  <c r="U91" i="20"/>
  <c r="U90" i="20"/>
  <c r="U89" i="20"/>
  <c r="U88" i="20"/>
  <c r="U87" i="20"/>
  <c r="T79" i="20"/>
  <c r="S79" i="20"/>
  <c r="R79" i="20"/>
  <c r="Q79" i="20"/>
  <c r="P79" i="20"/>
  <c r="O79" i="20"/>
  <c r="N79" i="20"/>
  <c r="U82" i="20"/>
  <c r="U80" i="20"/>
  <c r="T74" i="20"/>
  <c r="S74" i="20"/>
  <c r="R74" i="20"/>
  <c r="Q74" i="20"/>
  <c r="P74" i="20"/>
  <c r="O74" i="20"/>
  <c r="N74" i="20"/>
  <c r="U78" i="20"/>
  <c r="U77" i="20"/>
  <c r="U76" i="20"/>
  <c r="U75" i="20"/>
  <c r="T67" i="20"/>
  <c r="S67" i="20"/>
  <c r="R67" i="20"/>
  <c r="Q67" i="20"/>
  <c r="P67" i="20"/>
  <c r="O67" i="20"/>
  <c r="N67" i="20"/>
  <c r="U72" i="20"/>
  <c r="U71" i="20"/>
  <c r="U70" i="20"/>
  <c r="U69" i="20"/>
  <c r="U68" i="20"/>
  <c r="T62" i="20"/>
  <c r="S62" i="20"/>
  <c r="R62" i="20"/>
  <c r="Q62" i="20"/>
  <c r="P62" i="20"/>
  <c r="O62" i="20"/>
  <c r="N62" i="20"/>
  <c r="T58" i="20"/>
  <c r="S58" i="20"/>
  <c r="R58" i="20"/>
  <c r="Q58" i="20"/>
  <c r="P58" i="20"/>
  <c r="O58" i="20"/>
  <c r="N58" i="20"/>
  <c r="F30" i="32" s="1"/>
  <c r="U61" i="20"/>
  <c r="U60" i="20"/>
  <c r="U59" i="20"/>
  <c r="T56" i="20"/>
  <c r="S56" i="20"/>
  <c r="R56" i="20"/>
  <c r="Q56" i="20"/>
  <c r="P56" i="20"/>
  <c r="O56" i="20"/>
  <c r="N56" i="20"/>
  <c r="T50" i="20"/>
  <c r="S50" i="20"/>
  <c r="R50" i="20"/>
  <c r="Q50" i="20"/>
  <c r="P50" i="20"/>
  <c r="O50" i="20"/>
  <c r="N50" i="20"/>
  <c r="F13" i="32" s="1"/>
  <c r="T46" i="20"/>
  <c r="S46" i="20"/>
  <c r="R46" i="20"/>
  <c r="Q46" i="20"/>
  <c r="P46" i="20"/>
  <c r="O46" i="20"/>
  <c r="N46" i="20"/>
  <c r="T39" i="20"/>
  <c r="S39" i="20"/>
  <c r="R39" i="20"/>
  <c r="Q39" i="20"/>
  <c r="P39" i="20"/>
  <c r="O39" i="20"/>
  <c r="N39" i="20"/>
  <c r="F10" i="32" s="1"/>
  <c r="T33" i="20"/>
  <c r="S33" i="20"/>
  <c r="R33" i="20"/>
  <c r="Q33" i="20"/>
  <c r="P33" i="20"/>
  <c r="O33" i="20"/>
  <c r="N33" i="20"/>
  <c r="F4" i="32"/>
  <c r="G4" i="32" s="1"/>
  <c r="I35" i="32" l="1"/>
  <c r="J35" i="32" s="1"/>
  <c r="K35" i="32" s="1"/>
  <c r="L35" i="32" s="1"/>
  <c r="G44" i="32"/>
  <c r="H44" i="32" s="1"/>
  <c r="I44" i="32" s="1"/>
  <c r="J44" i="32" s="1"/>
  <c r="K44" i="32" s="1"/>
  <c r="L44" i="32" s="1"/>
  <c r="AO121" i="20"/>
  <c r="G48" i="32"/>
  <c r="H48" i="32" s="1"/>
  <c r="I48" i="32" s="1"/>
  <c r="J48" i="32" s="1"/>
  <c r="K48" i="32" s="1"/>
  <c r="L48" i="32" s="1"/>
  <c r="G9" i="32"/>
  <c r="H9" i="32" s="1"/>
  <c r="I9" i="32" s="1"/>
  <c r="J9" i="32" s="1"/>
  <c r="K9" i="32" s="1"/>
  <c r="L9" i="32" s="1"/>
  <c r="F23" i="32"/>
  <c r="G23" i="32" s="1"/>
  <c r="H23" i="32" s="1"/>
  <c r="I23" i="32" s="1"/>
  <c r="J23" i="32" s="1"/>
  <c r="K23" i="32" s="1"/>
  <c r="L23" i="32" s="1"/>
  <c r="F25" i="32"/>
  <c r="G25" i="32" s="1"/>
  <c r="H25" i="32" s="1"/>
  <c r="I25" i="32" s="1"/>
  <c r="J25" i="32" s="1"/>
  <c r="K25" i="32" s="1"/>
  <c r="L25" i="32" s="1"/>
  <c r="F43" i="32"/>
  <c r="G43" i="32" s="1"/>
  <c r="H43" i="32" s="1"/>
  <c r="I43" i="32" s="1"/>
  <c r="J43" i="32" s="1"/>
  <c r="K43" i="32" s="1"/>
  <c r="L43" i="32" s="1"/>
  <c r="N141" i="20"/>
  <c r="F24" i="32" s="1"/>
  <c r="G24" i="32" s="1"/>
  <c r="H24" i="32" s="1"/>
  <c r="I24" i="32" s="1"/>
  <c r="J24" i="32" s="1"/>
  <c r="K24" i="32" s="1"/>
  <c r="L24" i="32" s="1"/>
  <c r="CW141" i="20"/>
  <c r="G21" i="32"/>
  <c r="H21" i="32" s="1"/>
  <c r="I21" i="32" s="1"/>
  <c r="J21" i="32" s="1"/>
  <c r="K21" i="32" s="1"/>
  <c r="L21" i="32" s="1"/>
  <c r="U50" i="20"/>
  <c r="G12" i="32"/>
  <c r="H12" i="32" s="1"/>
  <c r="I12" i="32" s="1"/>
  <c r="J12" i="32" s="1"/>
  <c r="K12" i="32" s="1"/>
  <c r="L12" i="32" s="1"/>
  <c r="AO46" i="20"/>
  <c r="U92" i="20"/>
  <c r="U121" i="20"/>
  <c r="BI58" i="20"/>
  <c r="CW46" i="20"/>
  <c r="H4" i="32"/>
  <c r="I4" i="32" s="1"/>
  <c r="J4" i="32" s="1"/>
  <c r="K4" i="32" s="1"/>
  <c r="L4" i="32" s="1"/>
  <c r="AO148" i="20"/>
  <c r="AO154" i="20"/>
  <c r="BI46" i="20"/>
  <c r="CW154" i="20"/>
  <c r="CW161" i="20"/>
  <c r="CW170" i="20"/>
  <c r="AO67" i="20"/>
  <c r="BI62" i="20"/>
  <c r="CW135" i="20"/>
  <c r="AO9" i="20"/>
  <c r="G33" i="32"/>
  <c r="H33" i="32" s="1"/>
  <c r="I33" i="32" s="1"/>
  <c r="J33" i="32" s="1"/>
  <c r="K33" i="32" s="1"/>
  <c r="L33" i="32" s="1"/>
  <c r="BI74" i="20"/>
  <c r="CC39" i="20"/>
  <c r="CC46" i="20"/>
  <c r="CC58" i="20"/>
  <c r="CC79" i="20"/>
  <c r="CC108" i="20"/>
  <c r="CC148" i="20"/>
  <c r="CW56" i="20"/>
  <c r="G13" i="32"/>
  <c r="H13" i="32" s="1"/>
  <c r="I13" i="32" s="1"/>
  <c r="J13" i="32" s="1"/>
  <c r="K13" i="32" s="1"/>
  <c r="L13" i="32" s="1"/>
  <c r="BI50" i="20"/>
  <c r="F15" i="32"/>
  <c r="G15" i="32" s="1"/>
  <c r="H15" i="32" s="1"/>
  <c r="I15" i="32" s="1"/>
  <c r="J15" i="32" s="1"/>
  <c r="K15" i="32" s="1"/>
  <c r="L15" i="32" s="1"/>
  <c r="CW50" i="20"/>
  <c r="F39" i="32"/>
  <c r="G39" i="32" s="1"/>
  <c r="H39" i="32" s="1"/>
  <c r="I39" i="32" s="1"/>
  <c r="J39" i="32" s="1"/>
  <c r="K39" i="32" s="1"/>
  <c r="L39" i="32" s="1"/>
  <c r="F41" i="32"/>
  <c r="G41" i="32" s="1"/>
  <c r="H41" i="32" s="1"/>
  <c r="I41" i="32" s="1"/>
  <c r="J41" i="32" s="1"/>
  <c r="K41" i="32" s="1"/>
  <c r="L41" i="32" s="1"/>
  <c r="U56" i="20"/>
  <c r="F37" i="32"/>
  <c r="G37" i="32" s="1"/>
  <c r="H37" i="32" s="1"/>
  <c r="I37" i="32" s="1"/>
  <c r="J37" i="32" s="1"/>
  <c r="K37" i="32" s="1"/>
  <c r="L37" i="32" s="1"/>
  <c r="U62" i="20"/>
  <c r="U148" i="20"/>
  <c r="F52" i="32"/>
  <c r="G52" i="32" s="1"/>
  <c r="H52" i="32" s="1"/>
  <c r="I52" i="32" s="1"/>
  <c r="J52" i="32" s="1"/>
  <c r="K52" i="32" s="1"/>
  <c r="L52" i="32" s="1"/>
  <c r="AO56" i="20"/>
  <c r="AO135" i="20"/>
  <c r="AO161" i="20"/>
  <c r="F51" i="32"/>
  <c r="G51" i="32" s="1"/>
  <c r="H51" i="32" s="1"/>
  <c r="I51" i="32" s="1"/>
  <c r="J51" i="32" s="1"/>
  <c r="K51" i="32" s="1"/>
  <c r="L51" i="32" s="1"/>
  <c r="AO170" i="20"/>
  <c r="F17" i="32"/>
  <c r="G17" i="32" s="1"/>
  <c r="H17" i="32" s="1"/>
  <c r="I17" i="32" s="1"/>
  <c r="J17" i="32" s="1"/>
  <c r="K17" i="32" s="1"/>
  <c r="L17" i="32" s="1"/>
  <c r="BI67" i="20"/>
  <c r="BI86" i="20"/>
  <c r="BI92" i="20"/>
  <c r="F22" i="32"/>
  <c r="G22" i="32" s="1"/>
  <c r="H22" i="32" s="1"/>
  <c r="I22" i="32" s="1"/>
  <c r="J22" i="32" s="1"/>
  <c r="K22" i="32" s="1"/>
  <c r="L22" i="32" s="1"/>
  <c r="CC33" i="20"/>
  <c r="CC56" i="20"/>
  <c r="CC102" i="20"/>
  <c r="CC170" i="20"/>
  <c r="CW33" i="20"/>
  <c r="CW39" i="20"/>
  <c r="CW58" i="20"/>
  <c r="CW67" i="20"/>
  <c r="CW86" i="20"/>
  <c r="CW92" i="20"/>
  <c r="CW121" i="20"/>
  <c r="U102" i="20"/>
  <c r="F27" i="32"/>
  <c r="G27" i="32" s="1"/>
  <c r="H27" i="32" s="1"/>
  <c r="I27" i="32" s="1"/>
  <c r="J27" i="32" s="1"/>
  <c r="K27" i="32" s="1"/>
  <c r="L27" i="32" s="1"/>
  <c r="F19" i="32"/>
  <c r="G19" i="32" s="1"/>
  <c r="H19" i="32" s="1"/>
  <c r="I19" i="32" s="1"/>
  <c r="J19" i="32" s="1"/>
  <c r="K19" i="32" s="1"/>
  <c r="L19" i="32" s="1"/>
  <c r="U39" i="20"/>
  <c r="U46" i="20"/>
  <c r="U58" i="20"/>
  <c r="U67" i="20"/>
  <c r="F40" i="32"/>
  <c r="G40" i="32" s="1"/>
  <c r="H40" i="32" s="1"/>
  <c r="I40" i="32" s="1"/>
  <c r="J40" i="32" s="1"/>
  <c r="K40" i="32" s="1"/>
  <c r="L40" i="32" s="1"/>
  <c r="U135" i="20"/>
  <c r="U154" i="20"/>
  <c r="U161" i="20"/>
  <c r="F50" i="32"/>
  <c r="G50" i="32" s="1"/>
  <c r="H50" i="32" s="1"/>
  <c r="I50" i="32" s="1"/>
  <c r="J50" i="32" s="1"/>
  <c r="K50" i="32" s="1"/>
  <c r="L50" i="32" s="1"/>
  <c r="U170" i="20"/>
  <c r="F38" i="32"/>
  <c r="G38" i="32" s="1"/>
  <c r="H38" i="32" s="1"/>
  <c r="I38" i="32" s="1"/>
  <c r="J38" i="32" s="1"/>
  <c r="K38" i="32" s="1"/>
  <c r="L38" i="32" s="1"/>
  <c r="AO33" i="20"/>
  <c r="F47" i="32"/>
  <c r="G47" i="32" s="1"/>
  <c r="H47" i="32" s="1"/>
  <c r="I47" i="32" s="1"/>
  <c r="J47" i="32" s="1"/>
  <c r="K47" i="32" s="1"/>
  <c r="L47" i="32" s="1"/>
  <c r="AO50" i="20"/>
  <c r="F14" i="32"/>
  <c r="G14" i="32" s="1"/>
  <c r="H14" i="32" s="1"/>
  <c r="I14" i="32" s="1"/>
  <c r="J14" i="32" s="1"/>
  <c r="K14" i="32" s="1"/>
  <c r="L14" i="32" s="1"/>
  <c r="AO58" i="20"/>
  <c r="AO92" i="20"/>
  <c r="F42" i="32"/>
  <c r="G42" i="32" s="1"/>
  <c r="H42" i="32" s="1"/>
  <c r="I42" i="32" s="1"/>
  <c r="J42" i="32" s="1"/>
  <c r="K42" i="32" s="1"/>
  <c r="L42" i="32" s="1"/>
  <c r="BI33" i="20"/>
  <c r="BI39" i="20"/>
  <c r="BI79" i="20"/>
  <c r="BI102" i="20"/>
  <c r="BI108" i="20"/>
  <c r="BI114" i="20"/>
  <c r="BI154" i="20"/>
  <c r="CC50" i="20"/>
  <c r="F16" i="32"/>
  <c r="G16" i="32" s="1"/>
  <c r="H16" i="32" s="1"/>
  <c r="I16" i="32" s="1"/>
  <c r="J16" i="32" s="1"/>
  <c r="K16" i="32" s="1"/>
  <c r="L16" i="32" s="1"/>
  <c r="CC67" i="20"/>
  <c r="CC92" i="20"/>
  <c r="CC121" i="20"/>
  <c r="CC161" i="20"/>
  <c r="CW62" i="20"/>
  <c r="CW79" i="20"/>
  <c r="CW102" i="20"/>
  <c r="CW108" i="20"/>
  <c r="CW114" i="20"/>
  <c r="F5" i="32"/>
  <c r="G5" i="32" s="1"/>
  <c r="H5" i="32" s="1"/>
  <c r="I5" i="32" s="1"/>
  <c r="J5" i="32" s="1"/>
  <c r="K5" i="32" s="1"/>
  <c r="L5" i="32" s="1"/>
  <c r="F7" i="32"/>
  <c r="G7" i="32" s="1"/>
  <c r="H7" i="32" s="1"/>
  <c r="I7" i="32" s="1"/>
  <c r="J7" i="32" s="1"/>
  <c r="K7" i="32" s="1"/>
  <c r="L7" i="32" s="1"/>
  <c r="U108" i="20"/>
  <c r="F28" i="32"/>
  <c r="G28" i="32" s="1"/>
  <c r="H28" i="32" s="1"/>
  <c r="I28" i="32" s="1"/>
  <c r="J28" i="32" s="1"/>
  <c r="K28" i="32" s="1"/>
  <c r="L28" i="32" s="1"/>
  <c r="F29" i="32"/>
  <c r="G29" i="32" s="1"/>
  <c r="H29" i="32" s="1"/>
  <c r="I29" i="32" s="1"/>
  <c r="J29" i="32" s="1"/>
  <c r="K29" i="32" s="1"/>
  <c r="L29" i="32" s="1"/>
  <c r="F26" i="32"/>
  <c r="G26" i="32" s="1"/>
  <c r="H26" i="32" s="1"/>
  <c r="I26" i="32" s="1"/>
  <c r="J26" i="32" s="1"/>
  <c r="K26" i="32" s="1"/>
  <c r="L26" i="32" s="1"/>
  <c r="U33" i="20"/>
  <c r="F46" i="32"/>
  <c r="G46" i="32" s="1"/>
  <c r="H46" i="32" s="1"/>
  <c r="I46" i="32" s="1"/>
  <c r="J46" i="32" s="1"/>
  <c r="K46" i="32" s="1"/>
  <c r="L46" i="32" s="1"/>
  <c r="G10" i="32"/>
  <c r="H10" i="32" s="1"/>
  <c r="I10" i="32" s="1"/>
  <c r="J10" i="32" s="1"/>
  <c r="K10" i="32" s="1"/>
  <c r="L10" i="32" s="1"/>
  <c r="G30" i="32"/>
  <c r="H30" i="32" s="1"/>
  <c r="I30" i="32" s="1"/>
  <c r="J30" i="32" s="1"/>
  <c r="K30" i="32" s="1"/>
  <c r="L30" i="32" s="1"/>
  <c r="U86" i="20"/>
  <c r="F32" i="32"/>
  <c r="G32" i="32" s="1"/>
  <c r="H32" i="32" s="1"/>
  <c r="I32" i="32" s="1"/>
  <c r="J32" i="32" s="1"/>
  <c r="K32" i="32" s="1"/>
  <c r="L32" i="32" s="1"/>
  <c r="U114" i="20"/>
  <c r="G11" i="32"/>
  <c r="H11" i="32" s="1"/>
  <c r="I11" i="32" s="1"/>
  <c r="J11" i="32" s="1"/>
  <c r="K11" i="32" s="1"/>
  <c r="L11" i="32" s="1"/>
  <c r="AO62" i="20"/>
  <c r="AO86" i="20"/>
  <c r="AO102" i="20"/>
  <c r="F8" i="32"/>
  <c r="G8" i="32" s="1"/>
  <c r="H8" i="32" s="1"/>
  <c r="I8" i="32" s="1"/>
  <c r="J8" i="32" s="1"/>
  <c r="K8" i="32" s="1"/>
  <c r="L8" i="32" s="1"/>
  <c r="AO108" i="20"/>
  <c r="AO114" i="20"/>
  <c r="BI56" i="20"/>
  <c r="BI148" i="20"/>
  <c r="BI161" i="20"/>
  <c r="F31" i="32"/>
  <c r="G31" i="32" s="1"/>
  <c r="H31" i="32" s="1"/>
  <c r="I31" i="32" s="1"/>
  <c r="J31" i="32" s="1"/>
  <c r="K31" i="32" s="1"/>
  <c r="L31" i="32" s="1"/>
  <c r="BI170" i="20"/>
  <c r="F18" i="32"/>
  <c r="G18" i="32" s="1"/>
  <c r="H18" i="32" s="1"/>
  <c r="I18" i="32" s="1"/>
  <c r="J18" i="32" s="1"/>
  <c r="K18" i="32" s="1"/>
  <c r="L18" i="32" s="1"/>
  <c r="CC62" i="20"/>
  <c r="CC86" i="20"/>
  <c r="CC154" i="20"/>
  <c r="CW9" i="20"/>
  <c r="CW148" i="20"/>
  <c r="F6" i="32"/>
  <c r="U79" i="20"/>
  <c r="F34" i="32"/>
  <c r="G34" i="32" s="1"/>
  <c r="H34" i="32" s="1"/>
  <c r="I34" i="32" s="1"/>
  <c r="J34" i="32" s="1"/>
  <c r="K34" i="32" s="1"/>
  <c r="L34" i="32" s="1"/>
  <c r="AO79" i="20"/>
  <c r="AO74" i="20"/>
  <c r="CC74" i="20"/>
  <c r="CW74" i="20"/>
  <c r="U74" i="20"/>
  <c r="F36" i="32"/>
  <c r="G36" i="32" s="1"/>
  <c r="H36" i="32" s="1"/>
  <c r="I36" i="32" s="1"/>
  <c r="J36" i="32" s="1"/>
  <c r="K36" i="32" s="1"/>
  <c r="L36" i="32" s="1"/>
  <c r="DF122" i="20"/>
  <c r="DE122" i="20"/>
  <c r="DD122" i="20"/>
  <c r="DC122" i="20"/>
  <c r="DB122" i="20"/>
  <c r="DA122" i="20"/>
  <c r="M181" i="2"/>
  <c r="N181" i="2" s="1"/>
  <c r="M180" i="2"/>
  <c r="N180" i="2" s="1"/>
  <c r="M179" i="2"/>
  <c r="M178" i="2"/>
  <c r="M177" i="2"/>
  <c r="M176" i="2"/>
  <c r="M175" i="2"/>
  <c r="N175" i="2" s="1"/>
  <c r="M174" i="2"/>
  <c r="M171" i="2"/>
  <c r="M170" i="2" s="1"/>
  <c r="M166" i="2"/>
  <c r="M164" i="2"/>
  <c r="N164" i="2" s="1"/>
  <c r="M163" i="2"/>
  <c r="N163" i="2" s="1"/>
  <c r="M162" i="2"/>
  <c r="M159" i="2"/>
  <c r="M158" i="2"/>
  <c r="M157" i="2"/>
  <c r="M156" i="2"/>
  <c r="M155" i="2"/>
  <c r="M153" i="2"/>
  <c r="M152" i="2"/>
  <c r="M151" i="2"/>
  <c r="M150" i="2"/>
  <c r="M149" i="2"/>
  <c r="M138" i="2"/>
  <c r="N138" i="2" s="1"/>
  <c r="M137" i="2"/>
  <c r="N137" i="2" s="1"/>
  <c r="M136" i="2"/>
  <c r="M119" i="2"/>
  <c r="N119" i="2" s="1"/>
  <c r="M118" i="2"/>
  <c r="N118" i="2" s="1"/>
  <c r="M117" i="2"/>
  <c r="N117" i="2" s="1"/>
  <c r="M116" i="2"/>
  <c r="N116" i="2" s="1"/>
  <c r="M115" i="2"/>
  <c r="M113" i="2"/>
  <c r="M112" i="2"/>
  <c r="M111" i="2"/>
  <c r="M110" i="2"/>
  <c r="M109" i="2"/>
  <c r="M107" i="2"/>
  <c r="N107" i="2" s="1"/>
  <c r="M106" i="2"/>
  <c r="M105" i="2"/>
  <c r="N105" i="2" s="1"/>
  <c r="M104" i="2"/>
  <c r="M103" i="2"/>
  <c r="M98" i="2"/>
  <c r="N98" i="2" s="1"/>
  <c r="M97" i="2"/>
  <c r="N97" i="2" s="1"/>
  <c r="M96" i="2"/>
  <c r="N96" i="2" s="1"/>
  <c r="M95" i="2"/>
  <c r="N95" i="2" s="1"/>
  <c r="M94" i="2"/>
  <c r="M93" i="2"/>
  <c r="M91" i="2"/>
  <c r="N91" i="2" s="1"/>
  <c r="M90" i="2"/>
  <c r="N90" i="2" s="1"/>
  <c r="M89" i="2"/>
  <c r="N89" i="2" s="1"/>
  <c r="M88" i="2"/>
  <c r="M87" i="2"/>
  <c r="M83" i="2"/>
  <c r="M82" i="2"/>
  <c r="N82" i="2" s="1"/>
  <c r="M81" i="2"/>
  <c r="M80" i="2"/>
  <c r="M78" i="2"/>
  <c r="N78" i="2" s="1"/>
  <c r="M77" i="2"/>
  <c r="N77" i="2" s="1"/>
  <c r="M76" i="2"/>
  <c r="N76" i="2" s="1"/>
  <c r="M75" i="2"/>
  <c r="M72" i="2"/>
  <c r="N72" i="2" s="1"/>
  <c r="M71" i="2"/>
  <c r="N71" i="2" s="1"/>
  <c r="M70" i="2"/>
  <c r="N70" i="2" s="1"/>
  <c r="M69" i="2"/>
  <c r="M68" i="2"/>
  <c r="N68" i="2" s="1"/>
  <c r="M66" i="2"/>
  <c r="N66" i="2" s="1"/>
  <c r="M65" i="2"/>
  <c r="M64" i="2"/>
  <c r="M63" i="2"/>
  <c r="M60" i="2"/>
  <c r="M59" i="2"/>
  <c r="M57" i="2"/>
  <c r="M56" i="2" s="1"/>
  <c r="M55" i="2"/>
  <c r="M54" i="2"/>
  <c r="M53" i="2"/>
  <c r="M51" i="2"/>
  <c r="M42" i="2"/>
  <c r="N42" i="2" s="1"/>
  <c r="M41" i="2"/>
  <c r="M40" i="2"/>
  <c r="M38" i="2"/>
  <c r="N38" i="2" s="1"/>
  <c r="M37" i="2"/>
  <c r="N37" i="2" s="1"/>
  <c r="M36" i="2"/>
  <c r="N36" i="2" s="1"/>
  <c r="M35" i="2"/>
  <c r="N35" i="2" s="1"/>
  <c r="M34" i="2"/>
  <c r="M32" i="2"/>
  <c r="N32" i="2" s="1"/>
  <c r="M31" i="2"/>
  <c r="N31" i="2" s="1"/>
  <c r="M30" i="2"/>
  <c r="M29" i="2"/>
  <c r="N29" i="2" s="1"/>
  <c r="M28" i="2"/>
  <c r="N28" i="2" s="1"/>
  <c r="M27" i="2"/>
  <c r="N27" i="2" s="1"/>
  <c r="M26" i="2"/>
  <c r="M25" i="2"/>
  <c r="N25" i="2" s="1"/>
  <c r="M24" i="2"/>
  <c r="N24" i="2" s="1"/>
  <c r="M23" i="2"/>
  <c r="N23" i="2" s="1"/>
  <c r="M22" i="2"/>
  <c r="N22" i="2" s="1"/>
  <c r="M21" i="2"/>
  <c r="N21" i="2" s="1"/>
  <c r="M20" i="2"/>
  <c r="N20" i="2" s="1"/>
  <c r="M19" i="2"/>
  <c r="N19" i="2" s="1"/>
  <c r="M18" i="2"/>
  <c r="N18" i="2" s="1"/>
  <c r="M17" i="2"/>
  <c r="M16" i="2"/>
  <c r="N16" i="2" s="1"/>
  <c r="M15" i="2"/>
  <c r="N15" i="2" s="1"/>
  <c r="M14" i="2"/>
  <c r="N14" i="2" s="1"/>
  <c r="M13" i="2"/>
  <c r="N13" i="2" s="1"/>
  <c r="M12" i="2"/>
  <c r="N12" i="2" s="1"/>
  <c r="M11" i="2"/>
  <c r="N11" i="2" s="1"/>
  <c r="M10" i="2"/>
  <c r="P181" i="2"/>
  <c r="Q181" i="2" s="1"/>
  <c r="P180" i="2"/>
  <c r="Q180" i="2" s="1"/>
  <c r="P176" i="2"/>
  <c r="P175" i="2"/>
  <c r="Q175" i="2" s="1"/>
  <c r="P171" i="2"/>
  <c r="P170" i="2" s="1"/>
  <c r="P166" i="2"/>
  <c r="Q166" i="2" s="1"/>
  <c r="P165" i="2"/>
  <c r="Q165" i="2" s="1"/>
  <c r="P164" i="2"/>
  <c r="Q164" i="2" s="1"/>
  <c r="P163" i="2"/>
  <c r="Q163" i="2" s="1"/>
  <c r="P162" i="2"/>
  <c r="P153" i="2"/>
  <c r="Q153" i="2" s="1"/>
  <c r="P138" i="2"/>
  <c r="Q138" i="2" s="1"/>
  <c r="P136" i="2"/>
  <c r="P119" i="2"/>
  <c r="Q119" i="2" s="1"/>
  <c r="P118" i="2"/>
  <c r="Q118" i="2" s="1"/>
  <c r="P117" i="2"/>
  <c r="Q117" i="2" s="1"/>
  <c r="P116" i="2"/>
  <c r="Q116" i="2" s="1"/>
  <c r="P115" i="2"/>
  <c r="Q115" i="2" s="1"/>
  <c r="P113" i="2"/>
  <c r="P112" i="2"/>
  <c r="P111" i="2"/>
  <c r="P110" i="2"/>
  <c r="P109" i="2"/>
  <c r="P107" i="2"/>
  <c r="Q107" i="2" s="1"/>
  <c r="P106" i="2"/>
  <c r="P105" i="2"/>
  <c r="Q105" i="2" s="1"/>
  <c r="P104" i="2"/>
  <c r="P103" i="2"/>
  <c r="P98" i="2"/>
  <c r="Q98" i="2" s="1"/>
  <c r="P97" i="2"/>
  <c r="Q97" i="2" s="1"/>
  <c r="P96" i="2"/>
  <c r="Q96" i="2" s="1"/>
  <c r="P95" i="2"/>
  <c r="Q95" i="2" s="1"/>
  <c r="P91" i="2"/>
  <c r="Q91" i="2" s="1"/>
  <c r="P90" i="2"/>
  <c r="Q90" i="2" s="1"/>
  <c r="P89" i="2"/>
  <c r="Q89" i="2" s="1"/>
  <c r="P87" i="2"/>
  <c r="P82" i="2"/>
  <c r="Q82" i="2" s="1"/>
  <c r="P81" i="2"/>
  <c r="P80" i="2"/>
  <c r="P78" i="2"/>
  <c r="Q78" i="2" s="1"/>
  <c r="P77" i="2"/>
  <c r="Q77" i="2" s="1"/>
  <c r="P76" i="2"/>
  <c r="Q76" i="2" s="1"/>
  <c r="P75" i="2"/>
  <c r="Q75" i="2" s="1"/>
  <c r="P72" i="2"/>
  <c r="Q72" i="2" s="1"/>
  <c r="P71" i="2"/>
  <c r="Q71" i="2" s="1"/>
  <c r="P70" i="2"/>
  <c r="Q70" i="2" s="1"/>
  <c r="P69" i="2"/>
  <c r="P68" i="2"/>
  <c r="Q68" i="2" s="1"/>
  <c r="P66" i="2"/>
  <c r="Q66" i="2" s="1"/>
  <c r="P57" i="2"/>
  <c r="P56" i="2" s="1"/>
  <c r="P55" i="2"/>
  <c r="Q55" i="2" s="1"/>
  <c r="P54" i="2"/>
  <c r="Q54" i="2" s="1"/>
  <c r="P53" i="2"/>
  <c r="Q53" i="2" s="1"/>
  <c r="P52" i="2"/>
  <c r="Q52" i="2" s="1"/>
  <c r="P51" i="2"/>
  <c r="P49" i="2"/>
  <c r="P48" i="2"/>
  <c r="P47" i="2"/>
  <c r="P42" i="2"/>
  <c r="Q42" i="2" s="1"/>
  <c r="P41" i="2"/>
  <c r="P40" i="2"/>
  <c r="P38" i="2"/>
  <c r="Q38" i="2" s="1"/>
  <c r="P37" i="2"/>
  <c r="Q37" i="2" s="1"/>
  <c r="P36" i="2"/>
  <c r="Q36" i="2" s="1"/>
  <c r="P35" i="2"/>
  <c r="Q35" i="2" s="1"/>
  <c r="P34" i="2"/>
  <c r="P32" i="2"/>
  <c r="Q32" i="2" s="1"/>
  <c r="P31" i="2"/>
  <c r="Q31" i="2" s="1"/>
  <c r="P30" i="2"/>
  <c r="P29" i="2"/>
  <c r="Q29" i="2" s="1"/>
  <c r="P28" i="2"/>
  <c r="Q28" i="2" s="1"/>
  <c r="P27" i="2"/>
  <c r="Q27" i="2" s="1"/>
  <c r="P26" i="2"/>
  <c r="P25" i="2"/>
  <c r="Q25" i="2" s="1"/>
  <c r="P24" i="2"/>
  <c r="Q24" i="2" s="1"/>
  <c r="P23" i="2"/>
  <c r="Q23" i="2" s="1"/>
  <c r="P22" i="2"/>
  <c r="Q22" i="2" s="1"/>
  <c r="P21" i="2"/>
  <c r="Q21" i="2" s="1"/>
  <c r="P20" i="2"/>
  <c r="Q20" i="2" s="1"/>
  <c r="P19" i="2"/>
  <c r="Q19" i="2" s="1"/>
  <c r="P18" i="2"/>
  <c r="Q18" i="2" s="1"/>
  <c r="P17" i="2"/>
  <c r="P16" i="2"/>
  <c r="Q16" i="2" s="1"/>
  <c r="P15" i="2"/>
  <c r="Q15" i="2" s="1"/>
  <c r="P14" i="2"/>
  <c r="Q14" i="2" s="1"/>
  <c r="P13" i="2"/>
  <c r="Q13" i="2" s="1"/>
  <c r="P12" i="2"/>
  <c r="Q12" i="2" s="1"/>
  <c r="P11" i="2"/>
  <c r="Q11" i="2" s="1"/>
  <c r="P10" i="2"/>
  <c r="S181" i="2"/>
  <c r="T181" i="2" s="1"/>
  <c r="S180" i="2"/>
  <c r="T180" i="2" s="1"/>
  <c r="S179" i="2"/>
  <c r="T179" i="2" s="1"/>
  <c r="S178" i="2"/>
  <c r="T178" i="2" s="1"/>
  <c r="S177" i="2"/>
  <c r="T177" i="2" s="1"/>
  <c r="S176" i="2"/>
  <c r="T176" i="2" s="1"/>
  <c r="S175" i="2"/>
  <c r="T175" i="2" s="1"/>
  <c r="S174" i="2"/>
  <c r="S171" i="2"/>
  <c r="S170" i="2" s="1"/>
  <c r="S166" i="2"/>
  <c r="T166" i="2" s="1"/>
  <c r="S165" i="2"/>
  <c r="T165" i="2" s="1"/>
  <c r="S164" i="2"/>
  <c r="T164" i="2" s="1"/>
  <c r="S163" i="2"/>
  <c r="T163" i="2" s="1"/>
  <c r="S162" i="2"/>
  <c r="S159" i="2"/>
  <c r="T159" i="2" s="1"/>
  <c r="S158" i="2"/>
  <c r="T158" i="2" s="1"/>
  <c r="S157" i="2"/>
  <c r="T157" i="2" s="1"/>
  <c r="S156" i="2"/>
  <c r="T156" i="2" s="1"/>
  <c r="S155" i="2"/>
  <c r="S153" i="2"/>
  <c r="S152" i="2"/>
  <c r="T152" i="2" s="1"/>
  <c r="S151" i="2"/>
  <c r="T151" i="2" s="1"/>
  <c r="S150" i="2"/>
  <c r="T150" i="2" s="1"/>
  <c r="S149" i="2"/>
  <c r="S138" i="2"/>
  <c r="T138" i="2" s="1"/>
  <c r="S136" i="2"/>
  <c r="S119" i="2"/>
  <c r="T119" i="2" s="1"/>
  <c r="S118" i="2"/>
  <c r="T118" i="2" s="1"/>
  <c r="S117" i="2"/>
  <c r="T117" i="2" s="1"/>
  <c r="S116" i="2"/>
  <c r="S115" i="2"/>
  <c r="T115" i="2" s="1"/>
  <c r="S113" i="2"/>
  <c r="T113" i="2" s="1"/>
  <c r="S112" i="2"/>
  <c r="T112" i="2" s="1"/>
  <c r="S111" i="2"/>
  <c r="T111" i="2" s="1"/>
  <c r="S110" i="2"/>
  <c r="T110" i="2" s="1"/>
  <c r="S109" i="2"/>
  <c r="T109" i="2" s="1"/>
  <c r="S107" i="2"/>
  <c r="T107" i="2" s="1"/>
  <c r="S106" i="2"/>
  <c r="S105" i="2"/>
  <c r="T105" i="2" s="1"/>
  <c r="S104" i="2"/>
  <c r="S103" i="2"/>
  <c r="S98" i="2"/>
  <c r="T98" i="2" s="1"/>
  <c r="S97" i="2"/>
  <c r="T97" i="2" s="1"/>
  <c r="S96" i="2"/>
  <c r="T96" i="2" s="1"/>
  <c r="S95" i="2"/>
  <c r="T95" i="2" s="1"/>
  <c r="S94" i="2"/>
  <c r="T94" i="2" s="1"/>
  <c r="S93" i="2"/>
  <c r="S91" i="2"/>
  <c r="T91" i="2" s="1"/>
  <c r="S90" i="2"/>
  <c r="T90" i="2" s="1"/>
  <c r="S89" i="2"/>
  <c r="T89" i="2" s="1"/>
  <c r="S88" i="2"/>
  <c r="T88" i="2" s="1"/>
  <c r="S87" i="2"/>
  <c r="S83" i="2"/>
  <c r="T83" i="2" s="1"/>
  <c r="S82" i="2"/>
  <c r="S81" i="2"/>
  <c r="T81" i="2" s="1"/>
  <c r="S80" i="2"/>
  <c r="S78" i="2"/>
  <c r="T78" i="2" s="1"/>
  <c r="S77" i="2"/>
  <c r="T77" i="2" s="1"/>
  <c r="S76" i="2"/>
  <c r="T76" i="2" s="1"/>
  <c r="S75" i="2"/>
  <c r="T75" i="2" s="1"/>
  <c r="S72" i="2"/>
  <c r="T72" i="2" s="1"/>
  <c r="S71" i="2"/>
  <c r="T71" i="2" s="1"/>
  <c r="S70" i="2"/>
  <c r="T70" i="2" s="1"/>
  <c r="S69" i="2"/>
  <c r="S68" i="2"/>
  <c r="T68" i="2" s="1"/>
  <c r="S66" i="2"/>
  <c r="T66" i="2" s="1"/>
  <c r="S65" i="2"/>
  <c r="T65" i="2" s="1"/>
  <c r="S64" i="2"/>
  <c r="S63" i="2"/>
  <c r="S61" i="2"/>
  <c r="T61" i="2" s="1"/>
  <c r="S60" i="2"/>
  <c r="T60" i="2" s="1"/>
  <c r="S59" i="2"/>
  <c r="S57" i="2"/>
  <c r="S56" i="2" s="1"/>
  <c r="S55" i="2"/>
  <c r="T55" i="2" s="1"/>
  <c r="S54" i="2"/>
  <c r="T54" i="2" s="1"/>
  <c r="S53" i="2"/>
  <c r="T53" i="2" s="1"/>
  <c r="S52" i="2"/>
  <c r="T52" i="2" s="1"/>
  <c r="S51" i="2"/>
  <c r="S49" i="2"/>
  <c r="S48" i="2"/>
  <c r="S47" i="2"/>
  <c r="S44" i="2"/>
  <c r="T44" i="2" s="1"/>
  <c r="S43" i="2"/>
  <c r="S42" i="2"/>
  <c r="T42" i="2" s="1"/>
  <c r="S41" i="2"/>
  <c r="S40" i="2"/>
  <c r="S38" i="2"/>
  <c r="T38" i="2" s="1"/>
  <c r="S37" i="2"/>
  <c r="T37" i="2" s="1"/>
  <c r="S36" i="2"/>
  <c r="T36" i="2" s="1"/>
  <c r="S35" i="2"/>
  <c r="T35" i="2" s="1"/>
  <c r="S34" i="2"/>
  <c r="S32" i="2"/>
  <c r="T32" i="2" s="1"/>
  <c r="S31" i="2"/>
  <c r="T31" i="2" s="1"/>
  <c r="S30" i="2"/>
  <c r="S29" i="2"/>
  <c r="T29" i="2" s="1"/>
  <c r="S28" i="2"/>
  <c r="T28" i="2" s="1"/>
  <c r="S27" i="2"/>
  <c r="T27" i="2" s="1"/>
  <c r="S26" i="2"/>
  <c r="S25" i="2"/>
  <c r="T25" i="2" s="1"/>
  <c r="S24" i="2"/>
  <c r="T24" i="2" s="1"/>
  <c r="S23" i="2"/>
  <c r="T23" i="2" s="1"/>
  <c r="S22" i="2"/>
  <c r="T22" i="2" s="1"/>
  <c r="S21" i="2"/>
  <c r="T21" i="2" s="1"/>
  <c r="S20" i="2"/>
  <c r="T20" i="2" s="1"/>
  <c r="S19" i="2"/>
  <c r="T19" i="2" s="1"/>
  <c r="S18" i="2"/>
  <c r="T18" i="2" s="1"/>
  <c r="S17" i="2"/>
  <c r="T16" i="2"/>
  <c r="S15" i="2"/>
  <c r="T15" i="2" s="1"/>
  <c r="S14" i="2"/>
  <c r="T14" i="2" s="1"/>
  <c r="S13" i="2"/>
  <c r="T13" i="2" s="1"/>
  <c r="S12" i="2"/>
  <c r="T12" i="2" s="1"/>
  <c r="S11" i="2"/>
  <c r="T11" i="2" s="1"/>
  <c r="S10" i="2"/>
  <c r="Y181" i="2"/>
  <c r="Z181" i="2" s="1"/>
  <c r="Y180" i="2"/>
  <c r="Z180" i="2" s="1"/>
  <c r="Y179" i="2"/>
  <c r="Z179" i="2" s="1"/>
  <c r="Y178" i="2"/>
  <c r="Z178" i="2" s="1"/>
  <c r="Y177" i="2"/>
  <c r="Z177" i="2" s="1"/>
  <c r="Y176" i="2"/>
  <c r="Z176" i="2" s="1"/>
  <c r="Y175" i="2"/>
  <c r="Z175" i="2" s="1"/>
  <c r="Y174" i="2"/>
  <c r="Z174" i="2" s="1"/>
  <c r="Y171" i="2"/>
  <c r="Y170" i="2" s="1"/>
  <c r="Y166" i="2"/>
  <c r="Z166" i="2" s="1"/>
  <c r="Y165" i="2"/>
  <c r="Z165" i="2" s="1"/>
  <c r="Y164" i="2"/>
  <c r="Z164" i="2" s="1"/>
  <c r="Y163" i="2"/>
  <c r="Z163" i="2" s="1"/>
  <c r="Y162" i="2"/>
  <c r="Z162" i="2" s="1"/>
  <c r="Y159" i="2"/>
  <c r="Z159" i="2" s="1"/>
  <c r="Y158" i="2"/>
  <c r="Z158" i="2" s="1"/>
  <c r="Y157" i="2"/>
  <c r="Z157" i="2" s="1"/>
  <c r="Y156" i="2"/>
  <c r="Z156" i="2" s="1"/>
  <c r="Y155" i="2"/>
  <c r="Z155" i="2" s="1"/>
  <c r="Y153" i="2"/>
  <c r="Z153" i="2" s="1"/>
  <c r="Y152" i="2"/>
  <c r="Z152" i="2" s="1"/>
  <c r="Y151" i="2"/>
  <c r="Z151" i="2" s="1"/>
  <c r="Y150" i="2"/>
  <c r="Y149" i="2"/>
  <c r="Z149" i="2" s="1"/>
  <c r="Y138" i="2"/>
  <c r="Z138" i="2" s="1"/>
  <c r="Y136" i="2"/>
  <c r="Z136" i="2" s="1"/>
  <c r="Y119" i="2"/>
  <c r="Z119" i="2" s="1"/>
  <c r="Y118" i="2"/>
  <c r="Z118" i="2" s="1"/>
  <c r="Y117" i="2"/>
  <c r="Z117" i="2" s="1"/>
  <c r="Y116" i="2"/>
  <c r="Z116" i="2" s="1"/>
  <c r="Y115" i="2"/>
  <c r="Z115" i="2" s="1"/>
  <c r="Y113" i="2"/>
  <c r="Z113" i="2" s="1"/>
  <c r="Y112" i="2"/>
  <c r="Z112" i="2" s="1"/>
  <c r="Y111" i="2"/>
  <c r="Z111" i="2" s="1"/>
  <c r="Y110" i="2"/>
  <c r="Z110" i="2" s="1"/>
  <c r="Y109" i="2"/>
  <c r="Z109" i="2" s="1"/>
  <c r="Y107" i="2"/>
  <c r="Z107" i="2" s="1"/>
  <c r="Y106" i="2"/>
  <c r="Z106" i="2" s="1"/>
  <c r="Y105" i="2"/>
  <c r="Z105" i="2" s="1"/>
  <c r="Y104" i="2"/>
  <c r="Z104" i="2" s="1"/>
  <c r="Y103" i="2"/>
  <c r="Z103" i="2" s="1"/>
  <c r="Y98" i="2"/>
  <c r="Z98" i="2" s="1"/>
  <c r="Y97" i="2"/>
  <c r="Z97" i="2" s="1"/>
  <c r="Y96" i="2"/>
  <c r="Z96" i="2" s="1"/>
  <c r="Y95" i="2"/>
  <c r="Z95" i="2" s="1"/>
  <c r="Y94" i="2"/>
  <c r="Z94" i="2" s="1"/>
  <c r="Y91" i="2"/>
  <c r="Z91" i="2" s="1"/>
  <c r="Y90" i="2"/>
  <c r="Z90" i="2" s="1"/>
  <c r="Y89" i="2"/>
  <c r="Z89" i="2" s="1"/>
  <c r="Y88" i="2"/>
  <c r="Z88" i="2" s="1"/>
  <c r="Y87" i="2"/>
  <c r="Y83" i="2"/>
  <c r="Z83" i="2" s="1"/>
  <c r="Y82" i="2"/>
  <c r="Z82" i="2" s="1"/>
  <c r="Y81" i="2"/>
  <c r="Z81" i="2" s="1"/>
  <c r="Y80" i="2"/>
  <c r="Z80" i="2" s="1"/>
  <c r="Y78" i="2"/>
  <c r="Z78" i="2" s="1"/>
  <c r="Y77" i="2"/>
  <c r="Z77" i="2" s="1"/>
  <c r="Y76" i="2"/>
  <c r="Z76" i="2" s="1"/>
  <c r="Y75" i="2"/>
  <c r="Z75" i="2" s="1"/>
  <c r="Y72" i="2"/>
  <c r="Z72" i="2" s="1"/>
  <c r="Y71" i="2"/>
  <c r="Z71" i="2" s="1"/>
  <c r="Y70" i="2"/>
  <c r="Z70" i="2" s="1"/>
  <c r="Y69" i="2"/>
  <c r="Z69" i="2" s="1"/>
  <c r="Y68" i="2"/>
  <c r="Z68" i="2" s="1"/>
  <c r="Y66" i="2"/>
  <c r="Y65" i="2"/>
  <c r="Y64" i="2"/>
  <c r="Y63" i="2"/>
  <c r="Y61" i="2"/>
  <c r="Y60" i="2"/>
  <c r="Y59" i="2"/>
  <c r="Y57" i="2"/>
  <c r="Y56" i="2" s="1"/>
  <c r="Y55" i="2"/>
  <c r="Y54" i="2"/>
  <c r="Y53" i="2"/>
  <c r="Y52" i="2"/>
  <c r="Y51" i="2"/>
  <c r="Y49" i="2"/>
  <c r="Y48" i="2"/>
  <c r="Y47" i="2"/>
  <c r="Y44" i="2"/>
  <c r="Y43" i="2"/>
  <c r="Y42" i="2"/>
  <c r="Y41" i="2"/>
  <c r="Y40" i="2"/>
  <c r="Y38" i="2"/>
  <c r="Y37" i="2"/>
  <c r="Y36" i="2"/>
  <c r="Y35" i="2"/>
  <c r="Y34" i="2"/>
  <c r="Y32" i="2"/>
  <c r="Y31" i="2"/>
  <c r="Y30" i="2"/>
  <c r="Y29" i="2"/>
  <c r="Y28" i="2"/>
  <c r="Y27" i="2"/>
  <c r="Y26" i="2"/>
  <c r="Y25" i="2"/>
  <c r="Y24" i="2"/>
  <c r="Y23" i="2"/>
  <c r="Y22" i="2"/>
  <c r="Y21" i="2"/>
  <c r="Y20" i="2"/>
  <c r="Y19" i="2"/>
  <c r="Y18" i="2"/>
  <c r="Y17" i="2"/>
  <c r="Y16" i="2"/>
  <c r="Y15" i="2"/>
  <c r="Y14" i="2"/>
  <c r="Y13" i="2"/>
  <c r="Y12" i="2"/>
  <c r="Y11" i="2"/>
  <c r="Y10" i="2"/>
  <c r="V181" i="2"/>
  <c r="W181" i="2" s="1"/>
  <c r="V180" i="2"/>
  <c r="W180" i="2" s="1"/>
  <c r="V179" i="2"/>
  <c r="W179" i="2" s="1"/>
  <c r="V178" i="2"/>
  <c r="W178" i="2" s="1"/>
  <c r="V177" i="2"/>
  <c r="W177" i="2" s="1"/>
  <c r="V176" i="2"/>
  <c r="W176" i="2" s="1"/>
  <c r="V175" i="2"/>
  <c r="W175" i="2" s="1"/>
  <c r="V174" i="2"/>
  <c r="V171" i="2"/>
  <c r="W171" i="2" s="1"/>
  <c r="W170" i="2" s="1"/>
  <c r="V166" i="2"/>
  <c r="W166" i="2" s="1"/>
  <c r="V165" i="2"/>
  <c r="W165" i="2" s="1"/>
  <c r="V164" i="2"/>
  <c r="W164" i="2" s="1"/>
  <c r="V163" i="2"/>
  <c r="W163" i="2" s="1"/>
  <c r="V162" i="2"/>
  <c r="W162" i="2" s="1"/>
  <c r="V159" i="2"/>
  <c r="W159" i="2" s="1"/>
  <c r="V158" i="2"/>
  <c r="W158" i="2" s="1"/>
  <c r="V157" i="2"/>
  <c r="W157" i="2" s="1"/>
  <c r="V156" i="2"/>
  <c r="W156" i="2" s="1"/>
  <c r="V155" i="2"/>
  <c r="W155" i="2" s="1"/>
  <c r="V153" i="2"/>
  <c r="W153" i="2" s="1"/>
  <c r="V152" i="2"/>
  <c r="W152" i="2" s="1"/>
  <c r="V151" i="2"/>
  <c r="W151" i="2" s="1"/>
  <c r="V150" i="2"/>
  <c r="W150" i="2" s="1"/>
  <c r="V149" i="2"/>
  <c r="W149" i="2" s="1"/>
  <c r="V138" i="2"/>
  <c r="W138" i="2" s="1"/>
  <c r="V136" i="2"/>
  <c r="W136" i="2" s="1"/>
  <c r="V119" i="2"/>
  <c r="W119" i="2" s="1"/>
  <c r="V118" i="2"/>
  <c r="W118" i="2" s="1"/>
  <c r="V117" i="2"/>
  <c r="W117" i="2" s="1"/>
  <c r="V116" i="2"/>
  <c r="W116" i="2" s="1"/>
  <c r="V115" i="2"/>
  <c r="W115" i="2" s="1"/>
  <c r="V113" i="2"/>
  <c r="W113" i="2" s="1"/>
  <c r="V112" i="2"/>
  <c r="W112" i="2" s="1"/>
  <c r="V111" i="2"/>
  <c r="W111" i="2" s="1"/>
  <c r="V110" i="2"/>
  <c r="W110" i="2" s="1"/>
  <c r="V109" i="2"/>
  <c r="W109" i="2" s="1"/>
  <c r="V107" i="2"/>
  <c r="W107" i="2" s="1"/>
  <c r="V106" i="2"/>
  <c r="W106" i="2" s="1"/>
  <c r="V105" i="2"/>
  <c r="W105" i="2" s="1"/>
  <c r="V104" i="2"/>
  <c r="W104" i="2" s="1"/>
  <c r="V103" i="2"/>
  <c r="W103" i="2" s="1"/>
  <c r="V98" i="2"/>
  <c r="W98" i="2" s="1"/>
  <c r="V97" i="2"/>
  <c r="W97" i="2" s="1"/>
  <c r="V96" i="2"/>
  <c r="W96" i="2" s="1"/>
  <c r="V95" i="2"/>
  <c r="W95" i="2" s="1"/>
  <c r="V94" i="2"/>
  <c r="W94" i="2" s="1"/>
  <c r="V93" i="2"/>
  <c r="V91" i="2"/>
  <c r="W91" i="2" s="1"/>
  <c r="V90" i="2"/>
  <c r="W90" i="2" s="1"/>
  <c r="V89" i="2"/>
  <c r="W89" i="2" s="1"/>
  <c r="V88" i="2"/>
  <c r="W88" i="2" s="1"/>
  <c r="V87" i="2"/>
  <c r="V83" i="2"/>
  <c r="W83" i="2" s="1"/>
  <c r="V82" i="2"/>
  <c r="W82" i="2" s="1"/>
  <c r="V81" i="2"/>
  <c r="W81" i="2" s="1"/>
  <c r="V80" i="2"/>
  <c r="V78" i="2"/>
  <c r="W78" i="2" s="1"/>
  <c r="V77" i="2"/>
  <c r="W77" i="2" s="1"/>
  <c r="V76" i="2"/>
  <c r="W76" i="2" s="1"/>
  <c r="V75" i="2"/>
  <c r="W75" i="2" s="1"/>
  <c r="V72" i="2"/>
  <c r="W72" i="2" s="1"/>
  <c r="V71" i="2"/>
  <c r="W71" i="2" s="1"/>
  <c r="V70" i="2"/>
  <c r="W70" i="2" s="1"/>
  <c r="V69" i="2"/>
  <c r="W69" i="2" s="1"/>
  <c r="V68" i="2"/>
  <c r="V66" i="2"/>
  <c r="W66" i="2" s="1"/>
  <c r="V65" i="2"/>
  <c r="W65" i="2" s="1"/>
  <c r="V64" i="2"/>
  <c r="W64" i="2" s="1"/>
  <c r="V63" i="2"/>
  <c r="W63" i="2" s="1"/>
  <c r="V61" i="2"/>
  <c r="W61" i="2" s="1"/>
  <c r="V60" i="2"/>
  <c r="W60" i="2" s="1"/>
  <c r="V59" i="2"/>
  <c r="W59" i="2" s="1"/>
  <c r="V49" i="2"/>
  <c r="W49" i="2" s="1"/>
  <c r="V48" i="2"/>
  <c r="W48" i="2" s="1"/>
  <c r="V47" i="2"/>
  <c r="W47" i="2" s="1"/>
  <c r="V44" i="2"/>
  <c r="W44" i="2" s="1"/>
  <c r="V43" i="2"/>
  <c r="W43" i="2" s="1"/>
  <c r="V42" i="2"/>
  <c r="W42" i="2" s="1"/>
  <c r="V41" i="2"/>
  <c r="W41" i="2" s="1"/>
  <c r="V40" i="2"/>
  <c r="V38" i="2"/>
  <c r="W38" i="2" s="1"/>
  <c r="V37" i="2"/>
  <c r="W37" i="2" s="1"/>
  <c r="V36" i="2"/>
  <c r="W36" i="2" s="1"/>
  <c r="V35" i="2"/>
  <c r="W35" i="2" s="1"/>
  <c r="V34" i="2"/>
  <c r="W34" i="2" s="1"/>
  <c r="V32" i="2"/>
  <c r="W32" i="2" s="1"/>
  <c r="V31" i="2"/>
  <c r="W31" i="2" s="1"/>
  <c r="V30" i="2"/>
  <c r="W30" i="2" s="1"/>
  <c r="V29" i="2"/>
  <c r="W29" i="2" s="1"/>
  <c r="V28" i="2"/>
  <c r="W28" i="2" s="1"/>
  <c r="V27" i="2"/>
  <c r="W27" i="2" s="1"/>
  <c r="V26" i="2"/>
  <c r="W26" i="2" s="1"/>
  <c r="V25" i="2"/>
  <c r="W25" i="2" s="1"/>
  <c r="V24" i="2"/>
  <c r="W24" i="2" s="1"/>
  <c r="V23" i="2"/>
  <c r="W23" i="2" s="1"/>
  <c r="V22" i="2"/>
  <c r="W22" i="2" s="1"/>
  <c r="V21" i="2"/>
  <c r="W21" i="2" s="1"/>
  <c r="V20" i="2"/>
  <c r="W20" i="2" s="1"/>
  <c r="V19" i="2"/>
  <c r="W19" i="2" s="1"/>
  <c r="V18" i="2"/>
  <c r="W18" i="2" s="1"/>
  <c r="V17" i="2"/>
  <c r="W17" i="2" s="1"/>
  <c r="V16" i="2"/>
  <c r="W16" i="2" s="1"/>
  <c r="V15" i="2"/>
  <c r="W15" i="2" s="1"/>
  <c r="V14" i="2"/>
  <c r="W14" i="2" s="1"/>
  <c r="V13" i="2"/>
  <c r="W13" i="2" s="1"/>
  <c r="V12" i="2"/>
  <c r="W12" i="2" s="1"/>
  <c r="V11" i="2"/>
  <c r="W11" i="2" s="1"/>
  <c r="V10" i="2"/>
  <c r="W10" i="2" s="1"/>
  <c r="AC181" i="2"/>
  <c r="AD181" i="2" s="1"/>
  <c r="AC180" i="2"/>
  <c r="AD180" i="2" s="1"/>
  <c r="AC179" i="2"/>
  <c r="AC178" i="2"/>
  <c r="AC177" i="2"/>
  <c r="AC176" i="2"/>
  <c r="AC175" i="2"/>
  <c r="AD175" i="2" s="1"/>
  <c r="AC174" i="2"/>
  <c r="AC171" i="2"/>
  <c r="AC170" i="2" s="1"/>
  <c r="AC166" i="2"/>
  <c r="AD166" i="2" s="1"/>
  <c r="AC165" i="2"/>
  <c r="AD165" i="2" s="1"/>
  <c r="AC164" i="2"/>
  <c r="AD164" i="2" s="1"/>
  <c r="AC163" i="2"/>
  <c r="AD163" i="2" s="1"/>
  <c r="AC162" i="2"/>
  <c r="AC159" i="2"/>
  <c r="AC158" i="2"/>
  <c r="AC157" i="2"/>
  <c r="AC156" i="2"/>
  <c r="AC155" i="2"/>
  <c r="AC153" i="2"/>
  <c r="AC152" i="2"/>
  <c r="AC151" i="2"/>
  <c r="AC150" i="2"/>
  <c r="AC149" i="2"/>
  <c r="AC138" i="2"/>
  <c r="AC137" i="2"/>
  <c r="AD137" i="2" s="1"/>
  <c r="AC136" i="2"/>
  <c r="AD136" i="2" s="1"/>
  <c r="AC119" i="2"/>
  <c r="AC118" i="2"/>
  <c r="AD118" i="2" s="1"/>
  <c r="AC117" i="2"/>
  <c r="AD117" i="2" s="1"/>
  <c r="AC116" i="2"/>
  <c r="AD116" i="2" s="1"/>
  <c r="AC115" i="2"/>
  <c r="AD115" i="2" s="1"/>
  <c r="AC113" i="2"/>
  <c r="AC112" i="2"/>
  <c r="AC111" i="2"/>
  <c r="AC110" i="2"/>
  <c r="AC109" i="2"/>
  <c r="AC107" i="2"/>
  <c r="AD107" i="2" s="1"/>
  <c r="AC106" i="2"/>
  <c r="AC105" i="2"/>
  <c r="AD105" i="2" s="1"/>
  <c r="AC104" i="2"/>
  <c r="AC103" i="2"/>
  <c r="AC98" i="2"/>
  <c r="AD98" i="2" s="1"/>
  <c r="AC97" i="2"/>
  <c r="AD97" i="2" s="1"/>
  <c r="AC96" i="2"/>
  <c r="AD96" i="2" s="1"/>
  <c r="AC95" i="2"/>
  <c r="AD95" i="2" s="1"/>
  <c r="AC94" i="2"/>
  <c r="AC93" i="2"/>
  <c r="AC91" i="2"/>
  <c r="AD91" i="2" s="1"/>
  <c r="AC90" i="2"/>
  <c r="AD90" i="2" s="1"/>
  <c r="AC89" i="2"/>
  <c r="AD89" i="2" s="1"/>
  <c r="AC88" i="2"/>
  <c r="AC87" i="2"/>
  <c r="AC83" i="2"/>
  <c r="AC82" i="2"/>
  <c r="AD82" i="2" s="1"/>
  <c r="AC81" i="2"/>
  <c r="AC80" i="2"/>
  <c r="AC78" i="2"/>
  <c r="AD78" i="2" s="1"/>
  <c r="AC77" i="2"/>
  <c r="AD77" i="2" s="1"/>
  <c r="AC76" i="2"/>
  <c r="AD76" i="2" s="1"/>
  <c r="AC75" i="2"/>
  <c r="AC72" i="2"/>
  <c r="AD72" i="2" s="1"/>
  <c r="AC71" i="2"/>
  <c r="AD71" i="2" s="1"/>
  <c r="AC70" i="2"/>
  <c r="AD70" i="2" s="1"/>
  <c r="AC69" i="2"/>
  <c r="AD69" i="2" s="1"/>
  <c r="AC68" i="2"/>
  <c r="AC61" i="2"/>
  <c r="AD61" i="2" s="1"/>
  <c r="AC60" i="2"/>
  <c r="AC59" i="2"/>
  <c r="AC57" i="2"/>
  <c r="AC56" i="2" s="1"/>
  <c r="AC55" i="2"/>
  <c r="AC54" i="2"/>
  <c r="AC53" i="2"/>
  <c r="AC52" i="2"/>
  <c r="AC51" i="2"/>
  <c r="AC49" i="2"/>
  <c r="AC48" i="2"/>
  <c r="AC47" i="2"/>
  <c r="AC44" i="2"/>
  <c r="AD44" i="2" s="1"/>
  <c r="AC42" i="2"/>
  <c r="AD42" i="2" s="1"/>
  <c r="AC41" i="2"/>
  <c r="AC40" i="2"/>
  <c r="AC38" i="2"/>
  <c r="AD38" i="2" s="1"/>
  <c r="AC37" i="2"/>
  <c r="AD37" i="2" s="1"/>
  <c r="AC36" i="2"/>
  <c r="AD36" i="2" s="1"/>
  <c r="AC35" i="2"/>
  <c r="AD35" i="2" s="1"/>
  <c r="AC34" i="2"/>
  <c r="AC32" i="2"/>
  <c r="AD32" i="2" s="1"/>
  <c r="AC31" i="2"/>
  <c r="AD31" i="2" s="1"/>
  <c r="AC30" i="2"/>
  <c r="AC29" i="2"/>
  <c r="AD29" i="2" s="1"/>
  <c r="AC28" i="2"/>
  <c r="AD28" i="2" s="1"/>
  <c r="AC27" i="2"/>
  <c r="AD27" i="2" s="1"/>
  <c r="AC26" i="2"/>
  <c r="AC25" i="2"/>
  <c r="AD25" i="2" s="1"/>
  <c r="AC24" i="2"/>
  <c r="AD24" i="2" s="1"/>
  <c r="AC23" i="2"/>
  <c r="AD23" i="2" s="1"/>
  <c r="AC22" i="2"/>
  <c r="AD22" i="2" s="1"/>
  <c r="AC21" i="2"/>
  <c r="AD21" i="2" s="1"/>
  <c r="AC20" i="2"/>
  <c r="AD20" i="2" s="1"/>
  <c r="AC19" i="2"/>
  <c r="AD19" i="2" s="1"/>
  <c r="AC18" i="2"/>
  <c r="AD18" i="2" s="1"/>
  <c r="AC17" i="2"/>
  <c r="AC16" i="2"/>
  <c r="AD16" i="2" s="1"/>
  <c r="AC15" i="2"/>
  <c r="AD15" i="2" s="1"/>
  <c r="AC14" i="2"/>
  <c r="AD14" i="2" s="1"/>
  <c r="AC13" i="2"/>
  <c r="AD13" i="2" s="1"/>
  <c r="AC12" i="2"/>
  <c r="AD12" i="2" s="1"/>
  <c r="AC11" i="2"/>
  <c r="AD11" i="2" s="1"/>
  <c r="AC10" i="2"/>
  <c r="AO171" i="2"/>
  <c r="AN171" i="2"/>
  <c r="AM171" i="2"/>
  <c r="AK171" i="2"/>
  <c r="AO140" i="2"/>
  <c r="AN140" i="2"/>
  <c r="AL140" i="2"/>
  <c r="AK140" i="2"/>
  <c r="AO139" i="2"/>
  <c r="AN139" i="2"/>
  <c r="AL139" i="2"/>
  <c r="AK139" i="2"/>
  <c r="AO138" i="2"/>
  <c r="AN138" i="2"/>
  <c r="AL138" i="2"/>
  <c r="AK138" i="2"/>
  <c r="AO137" i="2"/>
  <c r="AN137" i="2"/>
  <c r="AL137" i="2"/>
  <c r="AK137" i="2"/>
  <c r="AO136" i="2"/>
  <c r="AO135" i="2" s="1"/>
  <c r="H24" i="19" s="1"/>
  <c r="AN136" i="2"/>
  <c r="AL136" i="2"/>
  <c r="AK136" i="2"/>
  <c r="AO70" i="2"/>
  <c r="AN70" i="2"/>
  <c r="AL70" i="2"/>
  <c r="AK70" i="2"/>
  <c r="AO63" i="2"/>
  <c r="AN63" i="2"/>
  <c r="AM63" i="2"/>
  <c r="AK63" i="2"/>
  <c r="AO61" i="2"/>
  <c r="AL61" i="2"/>
  <c r="AK61" i="2"/>
  <c r="AO52" i="2"/>
  <c r="AN52" i="2"/>
  <c r="AM52" i="2"/>
  <c r="AK52" i="2"/>
  <c r="AO31" i="2"/>
  <c r="AN31" i="2"/>
  <c r="AK31" i="2"/>
  <c r="AO28" i="2"/>
  <c r="AN28" i="2"/>
  <c r="AK28" i="2"/>
  <c r="AO25" i="2"/>
  <c r="AN25" i="2"/>
  <c r="AK25" i="2"/>
  <c r="AO24" i="2"/>
  <c r="AN24" i="2"/>
  <c r="AK24" i="2"/>
  <c r="AO22" i="2"/>
  <c r="AN22" i="2"/>
  <c r="AK22" i="2"/>
  <c r="AO21" i="2"/>
  <c r="AN21" i="2"/>
  <c r="AK21" i="2"/>
  <c r="AO17" i="2"/>
  <c r="AN17" i="2"/>
  <c r="AK17" i="2"/>
  <c r="AO16" i="2"/>
  <c r="AN16" i="2"/>
  <c r="AK16" i="2"/>
  <c r="T180" i="25"/>
  <c r="S180" i="25"/>
  <c r="R180" i="25"/>
  <c r="Q180" i="25"/>
  <c r="P180" i="25"/>
  <c r="T179" i="25"/>
  <c r="S179" i="25"/>
  <c r="R179" i="25"/>
  <c r="Q179" i="25"/>
  <c r="P179" i="25"/>
  <c r="T178" i="25"/>
  <c r="S178" i="25"/>
  <c r="R178" i="25"/>
  <c r="P178" i="25"/>
  <c r="T177" i="25"/>
  <c r="S177" i="25"/>
  <c r="R177" i="25"/>
  <c r="P177" i="25"/>
  <c r="T176" i="25"/>
  <c r="S176" i="25"/>
  <c r="R176" i="25"/>
  <c r="P176" i="25"/>
  <c r="T175" i="25"/>
  <c r="S175" i="25"/>
  <c r="R175" i="25"/>
  <c r="P175" i="25"/>
  <c r="T174" i="25"/>
  <c r="S174" i="25"/>
  <c r="R174" i="25"/>
  <c r="Q174" i="25"/>
  <c r="P174" i="25"/>
  <c r="T173" i="25"/>
  <c r="S173" i="25"/>
  <c r="R173" i="25"/>
  <c r="P173" i="25"/>
  <c r="T170" i="25"/>
  <c r="T169" i="25" s="1"/>
  <c r="S170" i="25"/>
  <c r="S169" i="25" s="1"/>
  <c r="R170" i="25"/>
  <c r="R169" i="25" s="1"/>
  <c r="P170" i="25"/>
  <c r="P169" i="25" s="1"/>
  <c r="G28" i="30" s="1"/>
  <c r="T165" i="25"/>
  <c r="S165" i="25"/>
  <c r="R165" i="25"/>
  <c r="Q165" i="25"/>
  <c r="P165" i="25"/>
  <c r="T164" i="25"/>
  <c r="S164" i="25"/>
  <c r="R164" i="25"/>
  <c r="Q164" i="25"/>
  <c r="P164" i="25"/>
  <c r="T163" i="25"/>
  <c r="S163" i="25"/>
  <c r="R163" i="25"/>
  <c r="Q163" i="25"/>
  <c r="P163" i="25"/>
  <c r="T162" i="25"/>
  <c r="S162" i="25"/>
  <c r="R162" i="25"/>
  <c r="Q162" i="25"/>
  <c r="P162" i="25"/>
  <c r="T161" i="25"/>
  <c r="S161" i="25"/>
  <c r="Q161" i="25"/>
  <c r="P161" i="25"/>
  <c r="T158" i="25"/>
  <c r="S158" i="25"/>
  <c r="R158" i="25"/>
  <c r="Q158" i="25"/>
  <c r="T157" i="25"/>
  <c r="S157" i="25"/>
  <c r="R157" i="25"/>
  <c r="Q157" i="25"/>
  <c r="T156" i="25"/>
  <c r="S156" i="25"/>
  <c r="R156" i="25"/>
  <c r="Q156" i="25"/>
  <c r="T155" i="25"/>
  <c r="S155" i="25"/>
  <c r="R155" i="25"/>
  <c r="Q155" i="25"/>
  <c r="T154" i="25"/>
  <c r="S154" i="25"/>
  <c r="R154" i="25"/>
  <c r="Q154" i="25"/>
  <c r="T152" i="25"/>
  <c r="S152" i="25"/>
  <c r="R152" i="25"/>
  <c r="P152" i="25"/>
  <c r="T151" i="25"/>
  <c r="S151" i="25"/>
  <c r="R151" i="25"/>
  <c r="P151" i="25"/>
  <c r="T150" i="25"/>
  <c r="S150" i="25"/>
  <c r="R150" i="25"/>
  <c r="P150" i="25"/>
  <c r="T149" i="25"/>
  <c r="S149" i="25"/>
  <c r="R149" i="25"/>
  <c r="P149" i="25"/>
  <c r="T148" i="25"/>
  <c r="S148" i="25"/>
  <c r="R148" i="25"/>
  <c r="P148" i="25"/>
  <c r="T139" i="25"/>
  <c r="S139" i="25"/>
  <c r="R139" i="25"/>
  <c r="Q139" i="25"/>
  <c r="P139" i="25"/>
  <c r="T138" i="25"/>
  <c r="S138" i="25"/>
  <c r="R138" i="25"/>
  <c r="Q138" i="25"/>
  <c r="P138" i="25"/>
  <c r="T137" i="25"/>
  <c r="S137" i="25"/>
  <c r="R137" i="25"/>
  <c r="Q137" i="25"/>
  <c r="P137" i="25"/>
  <c r="T136" i="25"/>
  <c r="S136" i="25"/>
  <c r="R136" i="25"/>
  <c r="Q136" i="25"/>
  <c r="P136" i="25"/>
  <c r="T135" i="25"/>
  <c r="S135" i="25"/>
  <c r="R135" i="25"/>
  <c r="Q135" i="25"/>
  <c r="P135" i="25"/>
  <c r="T129" i="25"/>
  <c r="S129" i="25"/>
  <c r="R129" i="25"/>
  <c r="Q129" i="25"/>
  <c r="P129" i="25"/>
  <c r="T128" i="25"/>
  <c r="S128" i="25"/>
  <c r="R128" i="25"/>
  <c r="Q128" i="25"/>
  <c r="P128" i="25"/>
  <c r="T127" i="25"/>
  <c r="S127" i="25"/>
  <c r="R127" i="25"/>
  <c r="Q127" i="25"/>
  <c r="P127" i="25"/>
  <c r="T126" i="25"/>
  <c r="S126" i="25"/>
  <c r="R126" i="25"/>
  <c r="Q126" i="25"/>
  <c r="P126" i="25"/>
  <c r="T125" i="25"/>
  <c r="S125" i="25"/>
  <c r="R125" i="25"/>
  <c r="Q125" i="25"/>
  <c r="P125" i="25"/>
  <c r="T124" i="25"/>
  <c r="S124" i="25"/>
  <c r="R124" i="25"/>
  <c r="Q124" i="25"/>
  <c r="P124" i="25"/>
  <c r="T123" i="25"/>
  <c r="S123" i="25"/>
  <c r="R123" i="25"/>
  <c r="Q123" i="25"/>
  <c r="P123" i="25"/>
  <c r="T122" i="25"/>
  <c r="S122" i="25"/>
  <c r="R122" i="25"/>
  <c r="Q122" i="25"/>
  <c r="P122" i="25"/>
  <c r="T119" i="25"/>
  <c r="S119" i="25"/>
  <c r="R119" i="25"/>
  <c r="Q119" i="25"/>
  <c r="P119" i="25"/>
  <c r="T118" i="25"/>
  <c r="S118" i="25"/>
  <c r="R118" i="25"/>
  <c r="Q118" i="25"/>
  <c r="P118" i="25"/>
  <c r="T117" i="25"/>
  <c r="S117" i="25"/>
  <c r="R117" i="25"/>
  <c r="Q117" i="25"/>
  <c r="P117" i="25"/>
  <c r="T116" i="25"/>
  <c r="S116" i="25"/>
  <c r="R116" i="25"/>
  <c r="Q116" i="25"/>
  <c r="P116" i="25"/>
  <c r="T115" i="25"/>
  <c r="S115" i="25"/>
  <c r="R115" i="25"/>
  <c r="Q115" i="25"/>
  <c r="P115" i="25"/>
  <c r="T113" i="25"/>
  <c r="S113" i="25"/>
  <c r="R113" i="25"/>
  <c r="P113" i="25"/>
  <c r="T112" i="25"/>
  <c r="S112" i="25"/>
  <c r="R112" i="25"/>
  <c r="P112" i="25"/>
  <c r="T111" i="25"/>
  <c r="S111" i="25"/>
  <c r="Q111" i="25"/>
  <c r="P111" i="25"/>
  <c r="T110" i="25"/>
  <c r="S110" i="25"/>
  <c r="Q110" i="25"/>
  <c r="P110" i="25"/>
  <c r="T109" i="25"/>
  <c r="S109" i="25"/>
  <c r="R109" i="25"/>
  <c r="P109" i="25"/>
  <c r="T107" i="25"/>
  <c r="S107" i="25"/>
  <c r="R107" i="25"/>
  <c r="Q107" i="25"/>
  <c r="P107" i="25"/>
  <c r="T106" i="25"/>
  <c r="S106" i="25"/>
  <c r="R106" i="25"/>
  <c r="P106" i="25"/>
  <c r="T105" i="25"/>
  <c r="S105" i="25"/>
  <c r="R105" i="25"/>
  <c r="Q105" i="25"/>
  <c r="P105" i="25"/>
  <c r="T104" i="25"/>
  <c r="S104" i="25"/>
  <c r="Q104" i="25"/>
  <c r="P104" i="25"/>
  <c r="T103" i="25"/>
  <c r="S103" i="25"/>
  <c r="Q103" i="25"/>
  <c r="P103" i="25"/>
  <c r="T98" i="25"/>
  <c r="S98" i="25"/>
  <c r="R98" i="25"/>
  <c r="Q98" i="25"/>
  <c r="P98" i="25"/>
  <c r="T97" i="25"/>
  <c r="S97" i="25"/>
  <c r="R97" i="25"/>
  <c r="Q97" i="25"/>
  <c r="P97" i="25"/>
  <c r="T96" i="25"/>
  <c r="S96" i="25"/>
  <c r="R96" i="25"/>
  <c r="Q96" i="25"/>
  <c r="P96" i="25"/>
  <c r="T95" i="25"/>
  <c r="S95" i="25"/>
  <c r="R95" i="25"/>
  <c r="Q95" i="25"/>
  <c r="P95" i="25"/>
  <c r="T94" i="25"/>
  <c r="S94" i="25"/>
  <c r="R94" i="25"/>
  <c r="P94" i="25"/>
  <c r="T93" i="25"/>
  <c r="S93" i="25"/>
  <c r="R93" i="25"/>
  <c r="P93" i="25"/>
  <c r="T91" i="25"/>
  <c r="S91" i="25"/>
  <c r="R91" i="25"/>
  <c r="Q91" i="25"/>
  <c r="P91" i="25"/>
  <c r="T90" i="25"/>
  <c r="S90" i="25"/>
  <c r="R90" i="25"/>
  <c r="Q90" i="25"/>
  <c r="P90" i="25"/>
  <c r="T89" i="25"/>
  <c r="S89" i="25"/>
  <c r="Q89" i="25"/>
  <c r="P89" i="25"/>
  <c r="T88" i="25"/>
  <c r="S88" i="25"/>
  <c r="R88" i="25"/>
  <c r="P88" i="25"/>
  <c r="T87" i="25"/>
  <c r="S87" i="25"/>
  <c r="R87" i="25"/>
  <c r="Q87" i="25"/>
  <c r="P87" i="25"/>
  <c r="T83" i="25"/>
  <c r="S83" i="25"/>
  <c r="R83" i="25"/>
  <c r="P83" i="25"/>
  <c r="T82" i="25"/>
  <c r="S82" i="25"/>
  <c r="R82" i="25"/>
  <c r="Q82" i="25"/>
  <c r="P82" i="25"/>
  <c r="T81" i="25"/>
  <c r="S81" i="25"/>
  <c r="R81" i="25"/>
  <c r="P81" i="25"/>
  <c r="T80" i="25"/>
  <c r="S80" i="25"/>
  <c r="R80" i="25"/>
  <c r="Q80" i="25"/>
  <c r="P80" i="25"/>
  <c r="T78" i="25"/>
  <c r="S78" i="25"/>
  <c r="R78" i="25"/>
  <c r="Q78" i="25"/>
  <c r="P78" i="25"/>
  <c r="T77" i="25"/>
  <c r="S77" i="25"/>
  <c r="R77" i="25"/>
  <c r="Q77" i="25"/>
  <c r="P77" i="25"/>
  <c r="T76" i="25"/>
  <c r="S76" i="25"/>
  <c r="R76" i="25"/>
  <c r="Q76" i="25"/>
  <c r="P76" i="25"/>
  <c r="T75" i="25"/>
  <c r="S75" i="25"/>
  <c r="R75" i="25"/>
  <c r="Q75" i="25"/>
  <c r="P75" i="25"/>
  <c r="T72" i="25"/>
  <c r="S72" i="25"/>
  <c r="R72" i="25"/>
  <c r="Q72" i="25"/>
  <c r="P72" i="25"/>
  <c r="T71" i="25"/>
  <c r="S71" i="25"/>
  <c r="R71" i="25"/>
  <c r="Q71" i="25"/>
  <c r="P71" i="25"/>
  <c r="T70" i="25"/>
  <c r="S70" i="25"/>
  <c r="R70" i="25"/>
  <c r="Q70" i="25"/>
  <c r="P70" i="25"/>
  <c r="T69" i="25"/>
  <c r="S69" i="25"/>
  <c r="R69" i="25"/>
  <c r="Q69" i="25"/>
  <c r="P69" i="25"/>
  <c r="T68" i="25"/>
  <c r="S68" i="25"/>
  <c r="R68" i="25"/>
  <c r="Q68" i="25"/>
  <c r="P68" i="25"/>
  <c r="T66" i="25"/>
  <c r="S66" i="25"/>
  <c r="R66" i="25"/>
  <c r="Q66" i="25"/>
  <c r="P66" i="25"/>
  <c r="T65" i="25"/>
  <c r="S65" i="25"/>
  <c r="R65" i="25"/>
  <c r="P65" i="25"/>
  <c r="T64" i="25"/>
  <c r="S64" i="25"/>
  <c r="R64" i="25"/>
  <c r="P64" i="25"/>
  <c r="T63" i="25"/>
  <c r="S63" i="25"/>
  <c r="R63" i="25"/>
  <c r="P63" i="25"/>
  <c r="T61" i="25"/>
  <c r="S61" i="25"/>
  <c r="R61" i="25"/>
  <c r="Q61" i="25"/>
  <c r="P61" i="25"/>
  <c r="T60" i="25"/>
  <c r="S60" i="25"/>
  <c r="R60" i="25"/>
  <c r="P60" i="25"/>
  <c r="T59" i="25"/>
  <c r="S59" i="25"/>
  <c r="R59" i="25"/>
  <c r="P59" i="25"/>
  <c r="T57" i="25"/>
  <c r="T56" i="25" s="1"/>
  <c r="S57" i="25"/>
  <c r="S56" i="25" s="1"/>
  <c r="R57" i="25"/>
  <c r="R56" i="25" s="1"/>
  <c r="P57" i="25"/>
  <c r="T55" i="25"/>
  <c r="S55" i="25"/>
  <c r="P55" i="25"/>
  <c r="T54" i="25"/>
  <c r="S54" i="25"/>
  <c r="R54" i="25"/>
  <c r="P54" i="25"/>
  <c r="T53" i="25"/>
  <c r="S53" i="25"/>
  <c r="R53" i="25"/>
  <c r="P53" i="25"/>
  <c r="T52" i="25"/>
  <c r="S52" i="25"/>
  <c r="R52" i="25"/>
  <c r="Q52" i="25"/>
  <c r="T51" i="25"/>
  <c r="S51" i="25"/>
  <c r="R51" i="25"/>
  <c r="P51" i="25"/>
  <c r="T49" i="25"/>
  <c r="S49" i="25"/>
  <c r="R49" i="25"/>
  <c r="Q49" i="25"/>
  <c r="T48" i="25"/>
  <c r="S48" i="25"/>
  <c r="R48" i="25"/>
  <c r="Q48" i="25"/>
  <c r="T47" i="25"/>
  <c r="S47" i="25"/>
  <c r="R47" i="25"/>
  <c r="R46" i="25" s="1"/>
  <c r="P47" i="25"/>
  <c r="G8" i="30" s="1"/>
  <c r="T44" i="25"/>
  <c r="S44" i="25"/>
  <c r="R44" i="25"/>
  <c r="Q44" i="25"/>
  <c r="P44" i="25"/>
  <c r="T43" i="25"/>
  <c r="S43" i="25"/>
  <c r="Q43" i="25"/>
  <c r="P43" i="25"/>
  <c r="T42" i="25"/>
  <c r="S42" i="25"/>
  <c r="R42" i="25"/>
  <c r="Q42" i="25"/>
  <c r="P42" i="25"/>
  <c r="T41" i="25"/>
  <c r="S41" i="25"/>
  <c r="R41" i="25"/>
  <c r="P41" i="25"/>
  <c r="T40" i="25"/>
  <c r="S40" i="25"/>
  <c r="R40" i="25"/>
  <c r="Q40" i="25"/>
  <c r="T38" i="25"/>
  <c r="S38" i="25"/>
  <c r="R38" i="25"/>
  <c r="Q38" i="25"/>
  <c r="P38" i="25"/>
  <c r="T37" i="25"/>
  <c r="S37" i="25"/>
  <c r="R37" i="25"/>
  <c r="Q37" i="25"/>
  <c r="P37" i="25"/>
  <c r="T36" i="25"/>
  <c r="S36" i="25"/>
  <c r="R36" i="25"/>
  <c r="Q36" i="25"/>
  <c r="P36" i="25"/>
  <c r="T35" i="25"/>
  <c r="S35" i="25"/>
  <c r="R35" i="25"/>
  <c r="Q35" i="25"/>
  <c r="P35" i="25"/>
  <c r="T34" i="25"/>
  <c r="S34" i="25"/>
  <c r="R34" i="25"/>
  <c r="Q34" i="25"/>
  <c r="P34" i="25"/>
  <c r="T32" i="25"/>
  <c r="S32" i="25"/>
  <c r="R32" i="25"/>
  <c r="Q32" i="25"/>
  <c r="P32" i="25"/>
  <c r="T31" i="25"/>
  <c r="S31" i="25"/>
  <c r="R31" i="25"/>
  <c r="Q31" i="25"/>
  <c r="P31" i="25"/>
  <c r="T30" i="25"/>
  <c r="S30" i="25"/>
  <c r="P30" i="25"/>
  <c r="T29" i="25"/>
  <c r="S29" i="25"/>
  <c r="R29" i="25"/>
  <c r="Q29" i="25"/>
  <c r="P29" i="25"/>
  <c r="T28" i="25"/>
  <c r="S28" i="25"/>
  <c r="R28" i="25"/>
  <c r="Q28" i="25"/>
  <c r="P28" i="25"/>
  <c r="T27" i="25"/>
  <c r="S27" i="25"/>
  <c r="R27" i="25"/>
  <c r="Q27" i="25"/>
  <c r="P27" i="25"/>
  <c r="T26" i="25"/>
  <c r="S26" i="25"/>
  <c r="P26" i="25"/>
  <c r="T25" i="25"/>
  <c r="S25" i="25"/>
  <c r="R25" i="25"/>
  <c r="Q25" i="25"/>
  <c r="P25" i="25"/>
  <c r="T24" i="25"/>
  <c r="S24" i="25"/>
  <c r="R24" i="25"/>
  <c r="Q24" i="25"/>
  <c r="P24" i="25"/>
  <c r="T23" i="25"/>
  <c r="S23" i="25"/>
  <c r="R23" i="25"/>
  <c r="Q23" i="25"/>
  <c r="P23" i="25"/>
  <c r="T22" i="25"/>
  <c r="S22" i="25"/>
  <c r="R22" i="25"/>
  <c r="Q22" i="25"/>
  <c r="P22" i="25"/>
  <c r="T21" i="25"/>
  <c r="S21" i="25"/>
  <c r="R21" i="25"/>
  <c r="Q21" i="25"/>
  <c r="P21" i="25"/>
  <c r="T20" i="25"/>
  <c r="S20" i="25"/>
  <c r="R20" i="25"/>
  <c r="Q20" i="25"/>
  <c r="P20" i="25"/>
  <c r="T19" i="25"/>
  <c r="S19" i="25"/>
  <c r="R19" i="25"/>
  <c r="Q19" i="25"/>
  <c r="P19" i="25"/>
  <c r="T18" i="25"/>
  <c r="S18" i="25"/>
  <c r="R18" i="25"/>
  <c r="Q18" i="25"/>
  <c r="P18" i="25"/>
  <c r="T17" i="25"/>
  <c r="S17" i="25"/>
  <c r="P17" i="25"/>
  <c r="T16" i="25"/>
  <c r="S16" i="25"/>
  <c r="R16" i="25"/>
  <c r="Q16" i="25"/>
  <c r="P16" i="25"/>
  <c r="T15" i="25"/>
  <c r="S15" i="25"/>
  <c r="R15" i="25"/>
  <c r="Q15" i="25"/>
  <c r="P15" i="25"/>
  <c r="T14" i="25"/>
  <c r="S14" i="25"/>
  <c r="R14" i="25"/>
  <c r="Q14" i="25"/>
  <c r="P14" i="25"/>
  <c r="T13" i="25"/>
  <c r="S13" i="25"/>
  <c r="R13" i="25"/>
  <c r="Q13" i="25"/>
  <c r="P13" i="25"/>
  <c r="T12" i="25"/>
  <c r="S12" i="25"/>
  <c r="R12" i="25"/>
  <c r="Q12" i="25"/>
  <c r="P12" i="25"/>
  <c r="T11" i="25"/>
  <c r="S11" i="25"/>
  <c r="R11" i="25"/>
  <c r="Q11" i="25"/>
  <c r="P11" i="25"/>
  <c r="T10" i="25"/>
  <c r="S10" i="25"/>
  <c r="R10" i="25"/>
  <c r="Q10" i="25"/>
  <c r="P10" i="25"/>
  <c r="T147" i="25" l="1"/>
  <c r="S173" i="2"/>
  <c r="M173" i="2"/>
  <c r="W174" i="2"/>
  <c r="W173" i="2" s="1"/>
  <c r="V173" i="2"/>
  <c r="T80" i="2"/>
  <c r="S79" i="2"/>
  <c r="N80" i="2"/>
  <c r="M79" i="2"/>
  <c r="W80" i="2"/>
  <c r="W79" i="2" s="1"/>
  <c r="V79" i="2"/>
  <c r="Q80" i="2"/>
  <c r="W93" i="2"/>
  <c r="AL135" i="2"/>
  <c r="E24" i="19" s="1"/>
  <c r="U141" i="20"/>
  <c r="AN135" i="2"/>
  <c r="G24" i="19" s="1"/>
  <c r="F20" i="32"/>
  <c r="G20" i="32" s="1"/>
  <c r="H20" i="32" s="1"/>
  <c r="I20" i="32" s="1"/>
  <c r="J20" i="32" s="1"/>
  <c r="K20" i="32" s="1"/>
  <c r="L20" i="32" s="1"/>
  <c r="AK135" i="2"/>
  <c r="D24" i="19" s="1"/>
  <c r="P67" i="25"/>
  <c r="G13" i="30" s="1"/>
  <c r="T67" i="25"/>
  <c r="G10" i="30"/>
  <c r="P56" i="25"/>
  <c r="Q67" i="25"/>
  <c r="R67" i="25"/>
  <c r="S67" i="25"/>
  <c r="P39" i="2"/>
  <c r="S46" i="25"/>
  <c r="AC39" i="2"/>
  <c r="S39" i="2"/>
  <c r="V39" i="2"/>
  <c r="M39" i="2"/>
  <c r="Y39" i="2"/>
  <c r="R153" i="25"/>
  <c r="N166" i="2"/>
  <c r="N167" i="2"/>
  <c r="S62" i="25"/>
  <c r="S147" i="25"/>
  <c r="W40" i="2"/>
  <c r="W39" i="2" s="1"/>
  <c r="M33" i="2"/>
  <c r="P46" i="2"/>
  <c r="M74" i="2"/>
  <c r="T82" i="2"/>
  <c r="N115" i="2"/>
  <c r="N114" i="2" s="1"/>
  <c r="M114" i="2"/>
  <c r="S102" i="2"/>
  <c r="P108" i="2"/>
  <c r="M9" i="2"/>
  <c r="M86" i="2"/>
  <c r="M108" i="2"/>
  <c r="M148" i="2"/>
  <c r="V86" i="2"/>
  <c r="M62" i="2"/>
  <c r="M135" i="2"/>
  <c r="M154" i="2"/>
  <c r="M67" i="2"/>
  <c r="M161" i="2"/>
  <c r="M102" i="2"/>
  <c r="N10" i="2"/>
  <c r="N34" i="2"/>
  <c r="N33" i="2" s="1"/>
  <c r="N69" i="2"/>
  <c r="N67" i="2" s="1"/>
  <c r="N75" i="2"/>
  <c r="N74" i="2" s="1"/>
  <c r="N87" i="2"/>
  <c r="N136" i="2"/>
  <c r="N135" i="2" s="1"/>
  <c r="P67" i="2"/>
  <c r="P74" i="2"/>
  <c r="P135" i="2"/>
  <c r="AC50" i="2"/>
  <c r="Z171" i="2"/>
  <c r="Z170" i="2" s="1"/>
  <c r="W74" i="2"/>
  <c r="Y86" i="2"/>
  <c r="S9" i="2"/>
  <c r="S46" i="2"/>
  <c r="P33" i="2"/>
  <c r="P114" i="2"/>
  <c r="P161" i="2"/>
  <c r="W108" i="2"/>
  <c r="Y46" i="2"/>
  <c r="Y135" i="2"/>
  <c r="S50" i="2"/>
  <c r="S148" i="2"/>
  <c r="P9" i="2"/>
  <c r="P50" i="2"/>
  <c r="Q74" i="2"/>
  <c r="Q114" i="2"/>
  <c r="P102" i="2"/>
  <c r="Q10" i="2"/>
  <c r="Q34" i="2"/>
  <c r="Q33" i="2" s="1"/>
  <c r="Q51" i="2"/>
  <c r="Q50" i="2" s="1"/>
  <c r="Q57" i="2"/>
  <c r="Q56" i="2" s="1"/>
  <c r="Q69" i="2"/>
  <c r="Q67" i="2" s="1"/>
  <c r="Q87" i="2"/>
  <c r="Q136" i="2"/>
  <c r="Q135" i="2" s="1"/>
  <c r="Q171" i="2"/>
  <c r="Q170" i="2" s="1"/>
  <c r="W87" i="2"/>
  <c r="W86" i="2" s="1"/>
  <c r="W114" i="2"/>
  <c r="V114" i="2"/>
  <c r="Y33" i="2"/>
  <c r="Y58" i="2"/>
  <c r="S62" i="2"/>
  <c r="S86" i="2"/>
  <c r="S114" i="2"/>
  <c r="S135" i="2"/>
  <c r="S154" i="2"/>
  <c r="Z87" i="2"/>
  <c r="Z86" i="2" s="1"/>
  <c r="W148" i="2"/>
  <c r="V33" i="2"/>
  <c r="W62" i="2"/>
  <c r="V67" i="2"/>
  <c r="V74" i="2"/>
  <c r="V135" i="2"/>
  <c r="W154" i="2"/>
  <c r="V161" i="2"/>
  <c r="S58" i="2"/>
  <c r="S67" i="2"/>
  <c r="S74" i="2"/>
  <c r="S108" i="2"/>
  <c r="S161" i="2"/>
  <c r="W46" i="2"/>
  <c r="W58" i="2"/>
  <c r="V102" i="2"/>
  <c r="W161" i="2"/>
  <c r="S33" i="2"/>
  <c r="T74" i="2"/>
  <c r="T108" i="2"/>
  <c r="T10" i="2"/>
  <c r="T34" i="2"/>
  <c r="T33" i="2" s="1"/>
  <c r="T51" i="2"/>
  <c r="T50" i="2" s="1"/>
  <c r="T57" i="2"/>
  <c r="T56" i="2" s="1"/>
  <c r="T59" i="2"/>
  <c r="T58" i="2" s="1"/>
  <c r="T63" i="2"/>
  <c r="T69" i="2"/>
  <c r="T67" i="2" s="1"/>
  <c r="T87" i="2"/>
  <c r="T86" i="2" s="1"/>
  <c r="T93" i="2"/>
  <c r="T116" i="2"/>
  <c r="T114" i="2" s="1"/>
  <c r="T136" i="2"/>
  <c r="T135" i="2" s="1"/>
  <c r="T149" i="2"/>
  <c r="T155" i="2"/>
  <c r="T154" i="2" s="1"/>
  <c r="T162" i="2"/>
  <c r="T161" i="2" s="1"/>
  <c r="T171" i="2"/>
  <c r="T170" i="2" s="1"/>
  <c r="T174" i="2"/>
  <c r="T173" i="2" s="1"/>
  <c r="W33" i="2"/>
  <c r="W102" i="2"/>
  <c r="W135" i="2"/>
  <c r="V62" i="2"/>
  <c r="V108" i="2"/>
  <c r="Z173" i="2"/>
  <c r="Q74" i="25"/>
  <c r="Z74" i="2"/>
  <c r="Z79" i="2"/>
  <c r="V46" i="2"/>
  <c r="Y173" i="2"/>
  <c r="Y50" i="2"/>
  <c r="Y62" i="2"/>
  <c r="Y114" i="2"/>
  <c r="Y148" i="2"/>
  <c r="R74" i="25"/>
  <c r="Z108" i="2"/>
  <c r="Z135" i="2"/>
  <c r="Z154" i="2"/>
  <c r="W68" i="2"/>
  <c r="W67" i="2" s="1"/>
  <c r="V58" i="2"/>
  <c r="V154" i="2"/>
  <c r="Y67" i="2"/>
  <c r="Y102" i="2"/>
  <c r="Y154" i="2"/>
  <c r="Z67" i="2"/>
  <c r="V148" i="2"/>
  <c r="S39" i="25"/>
  <c r="T39" i="25"/>
  <c r="S58" i="25"/>
  <c r="S74" i="25"/>
  <c r="S86" i="25"/>
  <c r="P92" i="25"/>
  <c r="G18" i="30" s="1"/>
  <c r="S102" i="25"/>
  <c r="P108" i="25"/>
  <c r="G20" i="30" s="1"/>
  <c r="T108" i="25"/>
  <c r="R121" i="25"/>
  <c r="Q121" i="25"/>
  <c r="P121" i="25"/>
  <c r="G22" i="30" s="1"/>
  <c r="T121" i="25"/>
  <c r="R134" i="25"/>
  <c r="P134" i="25"/>
  <c r="G24" i="30" s="1"/>
  <c r="T134" i="25"/>
  <c r="Z114" i="2"/>
  <c r="Z161" i="2"/>
  <c r="Y108" i="2"/>
  <c r="V170" i="2"/>
  <c r="Y9" i="2"/>
  <c r="Y79" i="2"/>
  <c r="Y161" i="2"/>
  <c r="Z150" i="2"/>
  <c r="Z148" i="2" s="1"/>
  <c r="Z102" i="2"/>
  <c r="Y74" i="2"/>
  <c r="V9" i="2"/>
  <c r="W9" i="2"/>
  <c r="S134" i="25"/>
  <c r="R62" i="25"/>
  <c r="T62" i="25"/>
  <c r="AC33" i="2"/>
  <c r="AC62" i="2"/>
  <c r="AC74" i="2"/>
  <c r="AC79" i="2"/>
  <c r="AC86" i="2"/>
  <c r="AC108" i="2"/>
  <c r="AC135" i="2"/>
  <c r="AC154" i="2"/>
  <c r="AD34" i="2"/>
  <c r="AD33" i="2" s="1"/>
  <c r="Z5" i="30" s="1"/>
  <c r="AD75" i="2"/>
  <c r="AD74" i="2" s="1"/>
  <c r="Z14" i="30" s="1"/>
  <c r="AD87" i="2"/>
  <c r="AC46" i="2"/>
  <c r="AC161" i="2"/>
  <c r="AC9" i="2"/>
  <c r="AC92" i="2"/>
  <c r="AC148" i="2"/>
  <c r="AC141" i="2" s="1"/>
  <c r="AD10" i="2"/>
  <c r="AC102" i="2"/>
  <c r="AC173" i="2"/>
  <c r="S50" i="25"/>
  <c r="S172" i="25"/>
  <c r="AC67" i="2"/>
  <c r="AD80" i="2"/>
  <c r="AD138" i="2"/>
  <c r="AD135" i="2" s="1"/>
  <c r="Z24" i="30" s="1"/>
  <c r="AC114" i="2"/>
  <c r="P33" i="25"/>
  <c r="G5" i="30" s="1"/>
  <c r="T33" i="25"/>
  <c r="S33" i="25"/>
  <c r="T46" i="25"/>
  <c r="T58" i="25"/>
  <c r="P74" i="25"/>
  <c r="G14" i="30" s="1"/>
  <c r="T74" i="25"/>
  <c r="P86" i="25"/>
  <c r="G17" i="30" s="1"/>
  <c r="T86" i="25"/>
  <c r="S92" i="25"/>
  <c r="Q153" i="25"/>
  <c r="P9" i="25"/>
  <c r="G4" i="30" s="1"/>
  <c r="T9" i="25"/>
  <c r="P58" i="25"/>
  <c r="G11" i="30" s="1"/>
  <c r="G15" i="30"/>
  <c r="J15" i="30" s="1"/>
  <c r="M15" i="30" s="1"/>
  <c r="P15" i="30" s="1"/>
  <c r="S15" i="30" s="1"/>
  <c r="V15" i="30" s="1"/>
  <c r="T92" i="25"/>
  <c r="R147" i="25"/>
  <c r="Q160" i="25"/>
  <c r="P160" i="25"/>
  <c r="G27" i="30" s="1"/>
  <c r="AD68" i="2"/>
  <c r="AD67" i="2" s="1"/>
  <c r="Z13" i="30" s="1"/>
  <c r="AC58" i="2"/>
  <c r="R58" i="25"/>
  <c r="P62" i="25"/>
  <c r="G12" i="30" s="1"/>
  <c r="G16" i="30"/>
  <c r="P102" i="25"/>
  <c r="G19" i="30" s="1"/>
  <c r="T102" i="25"/>
  <c r="S108" i="25"/>
  <c r="Q134" i="25"/>
  <c r="T160" i="25"/>
  <c r="P172" i="25"/>
  <c r="G29" i="30" s="1"/>
  <c r="R172" i="25"/>
  <c r="R92" i="25"/>
  <c r="Q33" i="25"/>
  <c r="S121" i="25"/>
  <c r="P147" i="25"/>
  <c r="S153" i="25"/>
  <c r="S160" i="25"/>
  <c r="S9" i="25"/>
  <c r="R33" i="25"/>
  <c r="T50" i="25"/>
  <c r="T153" i="25"/>
  <c r="T172" i="25"/>
  <c r="R114" i="25"/>
  <c r="S114" i="25"/>
  <c r="P114" i="25"/>
  <c r="G21" i="30" s="1"/>
  <c r="T114" i="25"/>
  <c r="Q114" i="25"/>
  <c r="Y93" i="2"/>
  <c r="P93" i="2"/>
  <c r="O88" i="27"/>
  <c r="O64" i="27"/>
  <c r="P65" i="2" s="1"/>
  <c r="O63" i="27"/>
  <c r="P64" i="2" s="1"/>
  <c r="O62" i="27"/>
  <c r="P63" i="2" s="1"/>
  <c r="K47" i="28"/>
  <c r="K45" i="28"/>
  <c r="T79" i="2" l="1"/>
  <c r="G25" i="30"/>
  <c r="P88" i="2"/>
  <c r="P86" i="2" s="1"/>
  <c r="O86" i="27"/>
  <c r="P62" i="2"/>
  <c r="J24" i="30"/>
  <c r="M24" i="30" s="1"/>
  <c r="P24" i="30" s="1"/>
  <c r="S24" i="30" s="1"/>
  <c r="V24" i="30" s="1"/>
  <c r="J22" i="30"/>
  <c r="M22" i="30" s="1"/>
  <c r="P22" i="30" s="1"/>
  <c r="S22" i="30" s="1"/>
  <c r="V22" i="30" s="1"/>
  <c r="J13" i="30"/>
  <c r="M13" i="30" s="1"/>
  <c r="P13" i="30" s="1"/>
  <c r="S13" i="30" s="1"/>
  <c r="V13" i="30" s="1"/>
  <c r="J14" i="30"/>
  <c r="M14" i="30" s="1"/>
  <c r="P14" i="30" s="1"/>
  <c r="S14" i="30" s="1"/>
  <c r="V14" i="30" s="1"/>
  <c r="Y92" i="2"/>
  <c r="J27" i="30"/>
  <c r="Z15" i="30"/>
  <c r="J5" i="30"/>
  <c r="M5" i="30" s="1"/>
  <c r="P5" i="30" s="1"/>
  <c r="S5" i="30" s="1"/>
  <c r="V5" i="30" s="1"/>
  <c r="J21" i="30"/>
  <c r="M21" i="30" s="1"/>
  <c r="P21" i="30" s="1"/>
  <c r="S21" i="30" s="1"/>
  <c r="V21" i="30" s="1"/>
  <c r="Z170" i="28"/>
  <c r="Z169" i="28" s="1"/>
  <c r="W170" i="28"/>
  <c r="W169" i="28" s="1"/>
  <c r="T170" i="28"/>
  <c r="T169" i="28" s="1"/>
  <c r="Q170" i="28"/>
  <c r="Q169" i="28" s="1"/>
  <c r="Z167" i="28"/>
  <c r="Z166" i="28" s="1"/>
  <c r="W167" i="28"/>
  <c r="W166" i="28" s="1"/>
  <c r="W165" i="28" s="1"/>
  <c r="T167" i="28"/>
  <c r="T166" i="28" s="1"/>
  <c r="Q167" i="28"/>
  <c r="Q166" i="28" s="1"/>
  <c r="N167" i="28"/>
  <c r="N166" i="28" s="1"/>
  <c r="K167" i="28"/>
  <c r="K166" i="28" s="1"/>
  <c r="Z158" i="28"/>
  <c r="Z157" i="28" s="1"/>
  <c r="W158" i="28"/>
  <c r="W157" i="28" s="1"/>
  <c r="T158" i="28"/>
  <c r="T157" i="28" s="1"/>
  <c r="Q158" i="28"/>
  <c r="Q157" i="28" s="1"/>
  <c r="N158" i="28"/>
  <c r="N157" i="28" s="1"/>
  <c r="Z151" i="28"/>
  <c r="W151" i="28"/>
  <c r="T151" i="28"/>
  <c r="Q151" i="28"/>
  <c r="W145" i="28"/>
  <c r="T145" i="28"/>
  <c r="N145" i="28"/>
  <c r="Z132" i="28"/>
  <c r="W132" i="28"/>
  <c r="T132" i="28"/>
  <c r="Q132" i="28"/>
  <c r="N132" i="28"/>
  <c r="K132" i="28"/>
  <c r="Z119" i="28"/>
  <c r="W119" i="28"/>
  <c r="T119" i="28"/>
  <c r="Q119" i="28"/>
  <c r="N119" i="28"/>
  <c r="K119" i="28"/>
  <c r="A119" i="28"/>
  <c r="C119" i="28"/>
  <c r="Z112" i="28"/>
  <c r="W112" i="28"/>
  <c r="T112" i="28"/>
  <c r="Q112" i="28"/>
  <c r="N112" i="28"/>
  <c r="K112" i="28"/>
  <c r="Z106" i="28"/>
  <c r="W106" i="28"/>
  <c r="T106" i="28"/>
  <c r="Q106" i="28"/>
  <c r="N106" i="28"/>
  <c r="K106" i="28"/>
  <c r="Z90" i="28"/>
  <c r="W90" i="28"/>
  <c r="T90" i="28"/>
  <c r="Q90" i="28"/>
  <c r="N90" i="28"/>
  <c r="K90" i="28"/>
  <c r="Z72" i="28"/>
  <c r="W72" i="28"/>
  <c r="T72" i="28"/>
  <c r="Q72" i="28"/>
  <c r="N72" i="28"/>
  <c r="K72" i="28"/>
  <c r="Z65" i="28"/>
  <c r="W65" i="28"/>
  <c r="T65" i="28"/>
  <c r="Q65" i="28"/>
  <c r="N65" i="28"/>
  <c r="K65" i="28"/>
  <c r="Z60" i="28"/>
  <c r="W60" i="28"/>
  <c r="T60" i="28"/>
  <c r="Q60" i="28"/>
  <c r="Z56" i="28"/>
  <c r="W56" i="28"/>
  <c r="T56" i="28"/>
  <c r="Q56" i="28"/>
  <c r="N56" i="28"/>
  <c r="K56" i="28"/>
  <c r="Z54" i="28"/>
  <c r="Q54" i="28"/>
  <c r="N54" i="28"/>
  <c r="Z48" i="28"/>
  <c r="W48" i="28"/>
  <c r="Q48" i="28"/>
  <c r="N48" i="28"/>
  <c r="Z44" i="28"/>
  <c r="W44" i="28"/>
  <c r="T44" i="28"/>
  <c r="Q44" i="28"/>
  <c r="N44" i="28"/>
  <c r="Z31" i="28"/>
  <c r="W31" i="28"/>
  <c r="T31" i="28"/>
  <c r="Q31" i="28"/>
  <c r="N31" i="28"/>
  <c r="K31" i="28"/>
  <c r="Z7" i="28"/>
  <c r="W7" i="28"/>
  <c r="T7" i="28"/>
  <c r="Q7" i="28"/>
  <c r="N7" i="28"/>
  <c r="K7" i="28"/>
  <c r="W8" i="27"/>
  <c r="AE8" i="27"/>
  <c r="AA8" i="27"/>
  <c r="S8" i="27"/>
  <c r="O8" i="27"/>
  <c r="AE172" i="27"/>
  <c r="AE171" i="27" s="1"/>
  <c r="AA172" i="27"/>
  <c r="AA171" i="27" s="1"/>
  <c r="W172" i="27"/>
  <c r="W171" i="27" s="1"/>
  <c r="S172" i="27"/>
  <c r="S171" i="27" s="1"/>
  <c r="AE169" i="27"/>
  <c r="AE168" i="27" s="1"/>
  <c r="AA169" i="27"/>
  <c r="AA168" i="27" s="1"/>
  <c r="W169" i="27"/>
  <c r="W168" i="27" s="1"/>
  <c r="W167" i="27" s="1"/>
  <c r="S169" i="27"/>
  <c r="S168" i="27" s="1"/>
  <c r="O169" i="27"/>
  <c r="O168" i="27" s="1"/>
  <c r="K169" i="27"/>
  <c r="K168" i="27" s="1"/>
  <c r="AE160" i="27"/>
  <c r="AE159" i="27" s="1"/>
  <c r="AA160" i="27"/>
  <c r="AA159" i="27" s="1"/>
  <c r="W160" i="27"/>
  <c r="W159" i="27" s="1"/>
  <c r="S160" i="27"/>
  <c r="S159" i="27" s="1"/>
  <c r="O160" i="27"/>
  <c r="O159" i="27" s="1"/>
  <c r="K160" i="27"/>
  <c r="K159" i="27" s="1"/>
  <c r="AA153" i="27"/>
  <c r="W153" i="27"/>
  <c r="S153" i="27"/>
  <c r="AE147" i="27"/>
  <c r="AA147" i="27"/>
  <c r="AA146" i="27" s="1"/>
  <c r="W147" i="27"/>
  <c r="W146" i="27" s="1"/>
  <c r="S147" i="27"/>
  <c r="S146" i="27" s="1"/>
  <c r="AE134" i="27"/>
  <c r="AC130" i="2" s="1"/>
  <c r="AA134" i="27"/>
  <c r="Y130" i="2" s="1"/>
  <c r="W134" i="27"/>
  <c r="V130" i="2" s="1"/>
  <c r="V121" i="2" s="1"/>
  <c r="S134" i="27"/>
  <c r="S130" i="2" s="1"/>
  <c r="S121" i="2" s="1"/>
  <c r="O134" i="27"/>
  <c r="P130" i="2" s="1"/>
  <c r="P121" i="2" s="1"/>
  <c r="K134" i="27"/>
  <c r="AE121" i="27"/>
  <c r="Y119" i="28" s="1"/>
  <c r="AA121" i="27"/>
  <c r="W121" i="27"/>
  <c r="S121" i="27"/>
  <c r="P119" i="28" s="1"/>
  <c r="O121" i="27"/>
  <c r="M119" i="28" s="1"/>
  <c r="K121" i="27"/>
  <c r="C121" i="27"/>
  <c r="AE114" i="27"/>
  <c r="AA114" i="27"/>
  <c r="W114" i="27"/>
  <c r="S114" i="27"/>
  <c r="O114" i="27"/>
  <c r="K114" i="27"/>
  <c r="AE108" i="27"/>
  <c r="AA108" i="27"/>
  <c r="W108" i="27"/>
  <c r="S108" i="27"/>
  <c r="O108" i="27"/>
  <c r="K108" i="27"/>
  <c r="AE102" i="27"/>
  <c r="Y100" i="28" s="1"/>
  <c r="AA102" i="27"/>
  <c r="V100" i="28" s="1"/>
  <c r="W102" i="27"/>
  <c r="S100" i="28" s="1"/>
  <c r="S102" i="27"/>
  <c r="P100" i="28" s="1"/>
  <c r="O102" i="27"/>
  <c r="M100" i="28" s="1"/>
  <c r="K102" i="27"/>
  <c r="J100" i="28" s="1"/>
  <c r="W92" i="27"/>
  <c r="S92" i="27"/>
  <c r="AE73" i="27"/>
  <c r="AA73" i="27"/>
  <c r="W73" i="27"/>
  <c r="S73" i="27"/>
  <c r="O73" i="27"/>
  <c r="K73" i="27"/>
  <c r="K66" i="27"/>
  <c r="AE66" i="27"/>
  <c r="AA66" i="27"/>
  <c r="W66" i="27"/>
  <c r="S66" i="27"/>
  <c r="O66" i="27"/>
  <c r="AE61" i="27"/>
  <c r="AA61" i="27"/>
  <c r="W61" i="27"/>
  <c r="S61" i="27"/>
  <c r="O61" i="27"/>
  <c r="K61" i="27"/>
  <c r="AA57" i="27"/>
  <c r="W57" i="27"/>
  <c r="S57" i="27"/>
  <c r="S55" i="27"/>
  <c r="O55" i="27"/>
  <c r="AA55" i="27"/>
  <c r="AE32" i="27"/>
  <c r="AA32" i="27"/>
  <c r="W32" i="27"/>
  <c r="S32" i="27"/>
  <c r="O32" i="27"/>
  <c r="K32" i="27"/>
  <c r="K8" i="27"/>
  <c r="K158" i="28"/>
  <c r="K157" i="28" s="1"/>
  <c r="T130" i="2" l="1"/>
  <c r="S120" i="2"/>
  <c r="W130" i="2"/>
  <c r="V120" i="2"/>
  <c r="Z130" i="2"/>
  <c r="Z121" i="2" s="1"/>
  <c r="Z120" i="2" s="1"/>
  <c r="Y121" i="2"/>
  <c r="Y120" i="2" s="1"/>
  <c r="AD130" i="2"/>
  <c r="AD121" i="2" s="1"/>
  <c r="Z22" i="30" s="1"/>
  <c r="AC121" i="2"/>
  <c r="Q130" i="2"/>
  <c r="P120" i="2"/>
  <c r="M84" i="28"/>
  <c r="P84" i="2"/>
  <c r="Q84" i="2" s="1"/>
  <c r="S120" i="27"/>
  <c r="AE120" i="27"/>
  <c r="O120" i="27"/>
  <c r="W120" i="27"/>
  <c r="K120" i="27"/>
  <c r="M120" i="27" s="1"/>
  <c r="AA120" i="27"/>
  <c r="Z99" i="28"/>
  <c r="N118" i="28"/>
  <c r="Z118" i="28"/>
  <c r="Q118" i="28"/>
  <c r="T118" i="28"/>
  <c r="K118" i="28"/>
  <c r="W118" i="28"/>
  <c r="Z165" i="28"/>
  <c r="Z71" i="28"/>
  <c r="Q71" i="28"/>
  <c r="K99" i="28"/>
  <c r="W99" i="28"/>
  <c r="AE101" i="27"/>
  <c r="T165" i="28"/>
  <c r="N99" i="28"/>
  <c r="T144" i="28"/>
  <c r="T99" i="28"/>
  <c r="AE167" i="27"/>
  <c r="AG120" i="27"/>
  <c r="W6" i="28"/>
  <c r="W71" i="28"/>
  <c r="W144" i="28"/>
  <c r="S167" i="27"/>
  <c r="S72" i="27"/>
  <c r="O101" i="27"/>
  <c r="W72" i="27"/>
  <c r="S101" i="27"/>
  <c r="Y120" i="27"/>
  <c r="Y100" i="27" s="1"/>
  <c r="Q120" i="27"/>
  <c r="AC120" i="27"/>
  <c r="AC100" i="27" s="1"/>
  <c r="J119" i="28"/>
  <c r="AA101" i="27"/>
  <c r="Q6" i="28"/>
  <c r="Q99" i="28"/>
  <c r="T71" i="28"/>
  <c r="Q165" i="28"/>
  <c r="S119" i="28"/>
  <c r="W101" i="27"/>
  <c r="V119" i="28"/>
  <c r="K101" i="27"/>
  <c r="AA167" i="27"/>
  <c r="U120" i="27"/>
  <c r="Z6" i="28"/>
  <c r="K44" i="28"/>
  <c r="O45" i="27"/>
  <c r="S45" i="27"/>
  <c r="AE45" i="27"/>
  <c r="AE57" i="27"/>
  <c r="K55" i="27"/>
  <c r="AE55" i="27"/>
  <c r="O83" i="27"/>
  <c r="O79" i="27" s="1"/>
  <c r="AE92" i="27"/>
  <c r="AA92" i="27"/>
  <c r="AA72" i="27" s="1"/>
  <c r="K92" i="27"/>
  <c r="O94" i="27"/>
  <c r="O150" i="27"/>
  <c r="P151" i="2" s="1"/>
  <c r="O149" i="27"/>
  <c r="K145" i="28"/>
  <c r="K147" i="27"/>
  <c r="O148" i="27"/>
  <c r="O155" i="27"/>
  <c r="O154" i="27"/>
  <c r="O151" i="27"/>
  <c r="O158" i="27"/>
  <c r="O157" i="27"/>
  <c r="O156" i="27"/>
  <c r="K153" i="27"/>
  <c r="AE153" i="27"/>
  <c r="AE146" i="27" s="1"/>
  <c r="B170" i="28"/>
  <c r="B169" i="28"/>
  <c r="B167" i="28"/>
  <c r="B166" i="28"/>
  <c r="B165" i="28"/>
  <c r="B158" i="28"/>
  <c r="B157" i="28"/>
  <c r="B151" i="28"/>
  <c r="B145" i="28"/>
  <c r="B144" i="28"/>
  <c r="B132" i="28"/>
  <c r="B119" i="28"/>
  <c r="B118" i="28"/>
  <c r="B112" i="28"/>
  <c r="B106" i="28"/>
  <c r="B99" i="28"/>
  <c r="B98" i="28"/>
  <c r="B90" i="28"/>
  <c r="B77" i="28"/>
  <c r="B72" i="28"/>
  <c r="B71" i="28"/>
  <c r="B65" i="28"/>
  <c r="B60" i="28"/>
  <c r="B56" i="28"/>
  <c r="B54" i="28"/>
  <c r="B48" i="28"/>
  <c r="B44" i="28"/>
  <c r="B37" i="28"/>
  <c r="B31" i="28"/>
  <c r="O173" i="27"/>
  <c r="P174" i="2" s="1"/>
  <c r="K172" i="27"/>
  <c r="K171" i="27" s="1"/>
  <c r="K167" i="27" s="1"/>
  <c r="O178" i="27"/>
  <c r="O176" i="27"/>
  <c r="P177" i="2" s="1"/>
  <c r="B172" i="27"/>
  <c r="B171" i="27"/>
  <c r="B169" i="27"/>
  <c r="B168" i="27"/>
  <c r="B167" i="27"/>
  <c r="B160" i="27"/>
  <c r="B159" i="27"/>
  <c r="B153" i="27"/>
  <c r="B147" i="27"/>
  <c r="B146" i="27"/>
  <c r="B134" i="27"/>
  <c r="B121" i="27"/>
  <c r="B120" i="27"/>
  <c r="B114" i="27"/>
  <c r="B108" i="27"/>
  <c r="B102" i="27"/>
  <c r="B101" i="27"/>
  <c r="B100" i="27"/>
  <c r="B92" i="27"/>
  <c r="B79" i="27"/>
  <c r="B74" i="27"/>
  <c r="B73" i="27"/>
  <c r="B72" i="27"/>
  <c r="B66" i="27"/>
  <c r="B61" i="27"/>
  <c r="B57" i="27"/>
  <c r="B55" i="27"/>
  <c r="B49" i="27"/>
  <c r="B45" i="27"/>
  <c r="B38" i="27"/>
  <c r="B32" i="27"/>
  <c r="O177" i="27"/>
  <c r="P178" i="2" s="1"/>
  <c r="W121" i="2" l="1"/>
  <c r="W120" i="2" s="1"/>
  <c r="T121" i="2"/>
  <c r="T120" i="2" s="1"/>
  <c r="Q121" i="2"/>
  <c r="Q120" i="2" s="1"/>
  <c r="Q5" i="28"/>
  <c r="P156" i="2"/>
  <c r="M153" i="28"/>
  <c r="O153" i="28" s="1"/>
  <c r="P159" i="2"/>
  <c r="M156" i="28"/>
  <c r="O156" i="28" s="1"/>
  <c r="P158" i="2"/>
  <c r="M155" i="28"/>
  <c r="O155" i="28" s="1"/>
  <c r="P179" i="2"/>
  <c r="P173" i="2" s="1"/>
  <c r="M176" i="28"/>
  <c r="O176" i="28" s="1"/>
  <c r="P157" i="2"/>
  <c r="M154" i="28"/>
  <c r="O154" i="28" s="1"/>
  <c r="P155" i="2"/>
  <c r="M152" i="28"/>
  <c r="O152" i="28" s="1"/>
  <c r="W98" i="28"/>
  <c r="P149" i="2"/>
  <c r="P152" i="2"/>
  <c r="P150" i="2"/>
  <c r="Z5" i="28"/>
  <c r="AE100" i="27"/>
  <c r="W100" i="27"/>
  <c r="V99" i="2" s="1"/>
  <c r="T98" i="28"/>
  <c r="W5" i="28"/>
  <c r="W179" i="28" s="1"/>
  <c r="AE72" i="27"/>
  <c r="P83" i="2"/>
  <c r="P79" i="2" s="1"/>
  <c r="O92" i="27"/>
  <c r="P94" i="2"/>
  <c r="S100" i="27"/>
  <c r="S99" i="2" s="1"/>
  <c r="AA100" i="27"/>
  <c r="Y99" i="2" s="1"/>
  <c r="Z99" i="2" s="1"/>
  <c r="O172" i="27"/>
  <c r="O171" i="27" s="1"/>
  <c r="O167" i="27" s="1"/>
  <c r="O147" i="27"/>
  <c r="O153" i="27"/>
  <c r="K146" i="27"/>
  <c r="K100" i="27" s="1"/>
  <c r="M99" i="2" s="1"/>
  <c r="J99" i="28"/>
  <c r="K72" i="27"/>
  <c r="B180" i="26"/>
  <c r="B179" i="26"/>
  <c r="B178" i="26"/>
  <c r="B177" i="26"/>
  <c r="B176" i="26"/>
  <c r="B175" i="26"/>
  <c r="B174" i="26"/>
  <c r="B173" i="26"/>
  <c r="B172" i="26"/>
  <c r="B171" i="26"/>
  <c r="B170" i="26"/>
  <c r="B168" i="26"/>
  <c r="B167" i="26"/>
  <c r="B165" i="26"/>
  <c r="B164" i="26"/>
  <c r="B163" i="26"/>
  <c r="B162" i="26"/>
  <c r="B161" i="26"/>
  <c r="B160" i="26"/>
  <c r="B159" i="26"/>
  <c r="B158" i="26"/>
  <c r="B156" i="26"/>
  <c r="B155" i="26"/>
  <c r="B154" i="26"/>
  <c r="B153" i="26"/>
  <c r="B152" i="26"/>
  <c r="B151" i="26"/>
  <c r="B150" i="26"/>
  <c r="B149" i="26"/>
  <c r="B148" i="26"/>
  <c r="B147" i="26"/>
  <c r="B146" i="26"/>
  <c r="B139" i="26"/>
  <c r="B138" i="26"/>
  <c r="B137" i="26"/>
  <c r="B136" i="26"/>
  <c r="B135" i="26"/>
  <c r="B134" i="26"/>
  <c r="B129" i="26"/>
  <c r="B128" i="26"/>
  <c r="B127" i="26"/>
  <c r="B126" i="26"/>
  <c r="B125" i="26"/>
  <c r="B124" i="26"/>
  <c r="B123" i="26"/>
  <c r="B122" i="26"/>
  <c r="B121" i="26"/>
  <c r="B120" i="26"/>
  <c r="B119" i="26"/>
  <c r="B118" i="26"/>
  <c r="B117" i="26"/>
  <c r="B116" i="26"/>
  <c r="B115" i="26"/>
  <c r="B114" i="26"/>
  <c r="B113" i="26"/>
  <c r="B112" i="26"/>
  <c r="B111" i="26"/>
  <c r="B110" i="26"/>
  <c r="B109" i="26"/>
  <c r="B108" i="26"/>
  <c r="B107" i="26"/>
  <c r="B106" i="26"/>
  <c r="B105" i="26"/>
  <c r="B104" i="26"/>
  <c r="B103" i="26"/>
  <c r="B102" i="26"/>
  <c r="B101" i="26"/>
  <c r="B100" i="26"/>
  <c r="B98" i="26"/>
  <c r="B97" i="26"/>
  <c r="B96" i="26"/>
  <c r="B95" i="26"/>
  <c r="B94" i="26"/>
  <c r="B93" i="26"/>
  <c r="B92" i="26"/>
  <c r="B180" i="25"/>
  <c r="B179" i="25"/>
  <c r="B178" i="25"/>
  <c r="B178" i="27" s="1"/>
  <c r="B176" i="28" s="1"/>
  <c r="B177" i="25"/>
  <c r="B177" i="27" s="1"/>
  <c r="B175" i="28" s="1"/>
  <c r="B176" i="25"/>
  <c r="B176" i="27" s="1"/>
  <c r="B174" i="28" s="1"/>
  <c r="B175" i="25"/>
  <c r="B175" i="27" s="1"/>
  <c r="B173" i="28" s="1"/>
  <c r="B174" i="25"/>
  <c r="B173" i="25"/>
  <c r="B173" i="27" s="1"/>
  <c r="B171" i="28" s="1"/>
  <c r="B172" i="25"/>
  <c r="B171" i="25"/>
  <c r="B170" i="25"/>
  <c r="B170" i="27" s="1"/>
  <c r="B168" i="28" s="1"/>
  <c r="B169" i="25"/>
  <c r="B168" i="25"/>
  <c r="B167" i="25"/>
  <c r="B165" i="25"/>
  <c r="B164" i="25"/>
  <c r="B163" i="25"/>
  <c r="B162" i="25"/>
  <c r="B161" i="25"/>
  <c r="B161" i="27" s="1"/>
  <c r="B159" i="28" s="1"/>
  <c r="B160" i="25"/>
  <c r="B159" i="25"/>
  <c r="B158" i="25"/>
  <c r="B158" i="27" s="1"/>
  <c r="B156" i="28" s="1"/>
  <c r="B157" i="25"/>
  <c r="B157" i="27" s="1"/>
  <c r="B155" i="28" s="1"/>
  <c r="B156" i="25"/>
  <c r="B156" i="27" s="1"/>
  <c r="B154" i="28" s="1"/>
  <c r="B155" i="25"/>
  <c r="B155" i="27" s="1"/>
  <c r="B153" i="28" s="1"/>
  <c r="B154" i="25"/>
  <c r="B154" i="27" s="1"/>
  <c r="B152" i="28" s="1"/>
  <c r="B153" i="25"/>
  <c r="B152" i="25"/>
  <c r="B152" i="27" s="1"/>
  <c r="B150" i="28" s="1"/>
  <c r="B151" i="25"/>
  <c r="B151" i="27" s="1"/>
  <c r="B149" i="28" s="1"/>
  <c r="B150" i="25"/>
  <c r="B150" i="27" s="1"/>
  <c r="B148" i="28" s="1"/>
  <c r="B149" i="25"/>
  <c r="B149" i="27" s="1"/>
  <c r="B147" i="28" s="1"/>
  <c r="B148" i="25"/>
  <c r="B148" i="27" s="1"/>
  <c r="B146" i="28" s="1"/>
  <c r="B147" i="25"/>
  <c r="B146" i="25"/>
  <c r="B139" i="25"/>
  <c r="B138" i="25"/>
  <c r="B137" i="25"/>
  <c r="B136" i="25"/>
  <c r="B135" i="25"/>
  <c r="B134" i="25"/>
  <c r="B129" i="25"/>
  <c r="B128" i="25"/>
  <c r="B127" i="25"/>
  <c r="B126" i="25"/>
  <c r="B125" i="25"/>
  <c r="B124" i="25"/>
  <c r="B123" i="25"/>
  <c r="B122" i="25"/>
  <c r="B121" i="25"/>
  <c r="B119" i="25"/>
  <c r="B118" i="25"/>
  <c r="B117" i="25"/>
  <c r="B116" i="25"/>
  <c r="B115" i="25"/>
  <c r="B114" i="25"/>
  <c r="B113" i="25"/>
  <c r="B113" i="27" s="1"/>
  <c r="B111" i="28" s="1"/>
  <c r="B112" i="25"/>
  <c r="B112" i="27" s="1"/>
  <c r="B110" i="28" s="1"/>
  <c r="B111" i="25"/>
  <c r="B111" i="27" s="1"/>
  <c r="B109" i="28" s="1"/>
  <c r="B110" i="25"/>
  <c r="B110" i="27" s="1"/>
  <c r="B108" i="28" s="1"/>
  <c r="B109" i="25"/>
  <c r="B109" i="27" s="1"/>
  <c r="B107" i="28" s="1"/>
  <c r="B108" i="25"/>
  <c r="B107" i="25"/>
  <c r="B106" i="25"/>
  <c r="B106" i="27" s="1"/>
  <c r="B104" i="28" s="1"/>
  <c r="B105" i="25"/>
  <c r="B104" i="25"/>
  <c r="B104" i="27" s="1"/>
  <c r="B102" i="28" s="1"/>
  <c r="B103" i="25"/>
  <c r="B103" i="27" s="1"/>
  <c r="B101" i="28" s="1"/>
  <c r="B102" i="25"/>
  <c r="B101" i="25"/>
  <c r="B100" i="25"/>
  <c r="B98" i="25"/>
  <c r="B97" i="25"/>
  <c r="B96" i="25"/>
  <c r="B95" i="25"/>
  <c r="B94" i="25"/>
  <c r="B94" i="27" s="1"/>
  <c r="B92" i="28" s="1"/>
  <c r="B93" i="25"/>
  <c r="B93" i="27" s="1"/>
  <c r="B91" i="28" s="1"/>
  <c r="B92" i="25"/>
  <c r="B180" i="24"/>
  <c r="B179" i="24"/>
  <c r="B178" i="24"/>
  <c r="B177" i="24"/>
  <c r="B176" i="24"/>
  <c r="B175" i="24"/>
  <c r="B174" i="24"/>
  <c r="B173" i="24"/>
  <c r="B172" i="24"/>
  <c r="B171" i="24"/>
  <c r="B170" i="24"/>
  <c r="B169" i="24"/>
  <c r="B168" i="24"/>
  <c r="B167" i="24"/>
  <c r="B165" i="24"/>
  <c r="B164" i="24"/>
  <c r="B163" i="24"/>
  <c r="B162" i="24"/>
  <c r="B161" i="24"/>
  <c r="B160" i="24"/>
  <c r="B159" i="24"/>
  <c r="B158" i="24"/>
  <c r="B157" i="24"/>
  <c r="B156" i="24"/>
  <c r="B155" i="24"/>
  <c r="B154" i="24"/>
  <c r="B153" i="24"/>
  <c r="B152" i="24"/>
  <c r="B151" i="24"/>
  <c r="B150" i="24"/>
  <c r="B149" i="24"/>
  <c r="B148" i="24"/>
  <c r="B147" i="24"/>
  <c r="B146" i="24"/>
  <c r="B139" i="24"/>
  <c r="B138" i="24"/>
  <c r="B137" i="24"/>
  <c r="B136" i="24"/>
  <c r="B135" i="24"/>
  <c r="B134" i="24"/>
  <c r="B129" i="24"/>
  <c r="B128" i="24"/>
  <c r="B127" i="24"/>
  <c r="B126" i="24"/>
  <c r="B125" i="24"/>
  <c r="B124" i="24"/>
  <c r="B123" i="24"/>
  <c r="B122" i="24"/>
  <c r="B121" i="24"/>
  <c r="B120" i="24"/>
  <c r="B119" i="24"/>
  <c r="B118" i="24"/>
  <c r="B117" i="24"/>
  <c r="B116" i="24"/>
  <c r="B115" i="24"/>
  <c r="B114" i="24"/>
  <c r="B113" i="24"/>
  <c r="B112" i="24"/>
  <c r="B111" i="24"/>
  <c r="B110" i="24"/>
  <c r="B109" i="24"/>
  <c r="B108" i="24"/>
  <c r="B107" i="24"/>
  <c r="B106" i="24"/>
  <c r="B105" i="24"/>
  <c r="B104" i="24"/>
  <c r="B103" i="24"/>
  <c r="B102" i="24"/>
  <c r="B101" i="24"/>
  <c r="B100" i="24"/>
  <c r="B98" i="24"/>
  <c r="B97" i="24"/>
  <c r="B96" i="24"/>
  <c r="B95" i="24"/>
  <c r="B94" i="24"/>
  <c r="B93" i="24"/>
  <c r="B92" i="24"/>
  <c r="B91" i="24"/>
  <c r="B90" i="24"/>
  <c r="B89" i="24"/>
  <c r="B88" i="24"/>
  <c r="B87" i="24"/>
  <c r="B91" i="25"/>
  <c r="B90" i="25"/>
  <c r="B89" i="25"/>
  <c r="B89" i="27" s="1"/>
  <c r="B87" i="28" s="1"/>
  <c r="B88" i="25"/>
  <c r="B88" i="27" s="1"/>
  <c r="B86" i="28" s="1"/>
  <c r="B87" i="25"/>
  <c r="B91" i="26"/>
  <c r="B90" i="26"/>
  <c r="B89" i="26"/>
  <c r="B88" i="26"/>
  <c r="B87" i="26"/>
  <c r="B83" i="26"/>
  <c r="B82" i="26"/>
  <c r="B81" i="26"/>
  <c r="B80" i="26"/>
  <c r="B78" i="26"/>
  <c r="B77" i="26"/>
  <c r="B76" i="26"/>
  <c r="B75" i="26"/>
  <c r="B74" i="26"/>
  <c r="B71" i="26"/>
  <c r="B70" i="26"/>
  <c r="B69" i="26"/>
  <c r="B68" i="26"/>
  <c r="B67" i="26"/>
  <c r="B65" i="26"/>
  <c r="B64" i="26"/>
  <c r="B63" i="26"/>
  <c r="B62" i="26"/>
  <c r="B60" i="26"/>
  <c r="B59" i="26"/>
  <c r="B58" i="26"/>
  <c r="B83" i="25"/>
  <c r="B83" i="27" s="1"/>
  <c r="B81" i="28" s="1"/>
  <c r="B82" i="25"/>
  <c r="B81" i="25"/>
  <c r="B81" i="27" s="1"/>
  <c r="B79" i="28" s="1"/>
  <c r="B80" i="25"/>
  <c r="B78" i="25"/>
  <c r="B77" i="25"/>
  <c r="B76" i="25"/>
  <c r="B75" i="25"/>
  <c r="B83" i="24"/>
  <c r="B82" i="24"/>
  <c r="B81" i="24"/>
  <c r="B80" i="24"/>
  <c r="B78" i="24"/>
  <c r="B77" i="24"/>
  <c r="B76" i="24"/>
  <c r="B75" i="24"/>
  <c r="B74" i="24"/>
  <c r="B72" i="25"/>
  <c r="B71" i="25"/>
  <c r="B70" i="25"/>
  <c r="B69" i="25"/>
  <c r="B68" i="25"/>
  <c r="B71" i="24"/>
  <c r="B70" i="24"/>
  <c r="B69" i="24"/>
  <c r="B68" i="24"/>
  <c r="B67" i="24"/>
  <c r="B66" i="25"/>
  <c r="B65" i="25"/>
  <c r="B64" i="27" s="1"/>
  <c r="B63" i="28" s="1"/>
  <c r="B64" i="25"/>
  <c r="B63" i="27" s="1"/>
  <c r="B62" i="28" s="1"/>
  <c r="B63" i="25"/>
  <c r="B62" i="27" s="1"/>
  <c r="B61" i="28" s="1"/>
  <c r="B65" i="24"/>
  <c r="B64" i="24"/>
  <c r="B63" i="24"/>
  <c r="B62" i="24"/>
  <c r="B61" i="25"/>
  <c r="B60" i="25"/>
  <c r="B59" i="27" s="1"/>
  <c r="B58" i="28" s="1"/>
  <c r="B59" i="25"/>
  <c r="B58" i="27" s="1"/>
  <c r="B57" i="28" s="1"/>
  <c r="B60" i="24"/>
  <c r="B59" i="24"/>
  <c r="B58" i="24"/>
  <c r="B57" i="25"/>
  <c r="B56" i="27" s="1"/>
  <c r="B55" i="28" s="1"/>
  <c r="B56" i="24"/>
  <c r="B54" i="24"/>
  <c r="B53" i="24"/>
  <c r="B52" i="24"/>
  <c r="B51" i="24"/>
  <c r="B50" i="24"/>
  <c r="B56" i="26"/>
  <c r="B54" i="26"/>
  <c r="B53" i="26"/>
  <c r="B52" i="26"/>
  <c r="B51" i="26"/>
  <c r="B50" i="26"/>
  <c r="B48" i="26"/>
  <c r="B47" i="26"/>
  <c r="B46" i="26"/>
  <c r="B43" i="26"/>
  <c r="B42" i="26"/>
  <c r="B41" i="26"/>
  <c r="B40" i="26"/>
  <c r="B39" i="26"/>
  <c r="B55" i="25"/>
  <c r="B54" i="27" s="1"/>
  <c r="B53" i="28" s="1"/>
  <c r="B54" i="25"/>
  <c r="B53" i="27" s="1"/>
  <c r="B52" i="28" s="1"/>
  <c r="B53" i="25"/>
  <c r="B52" i="27" s="1"/>
  <c r="B51" i="28" s="1"/>
  <c r="B52" i="25"/>
  <c r="B51" i="27" s="1"/>
  <c r="B50" i="28" s="1"/>
  <c r="B51" i="25"/>
  <c r="B50" i="27" s="1"/>
  <c r="B49" i="28" s="1"/>
  <c r="B49" i="25"/>
  <c r="B48" i="27" s="1"/>
  <c r="B47" i="28" s="1"/>
  <c r="B48" i="25"/>
  <c r="B47" i="27" s="1"/>
  <c r="B46" i="28" s="1"/>
  <c r="B47" i="25"/>
  <c r="B46" i="27" s="1"/>
  <c r="B45" i="28" s="1"/>
  <c r="B44" i="25"/>
  <c r="B43" i="25"/>
  <c r="B42" i="27" s="1"/>
  <c r="B41" i="28" s="1"/>
  <c r="B42" i="25"/>
  <c r="B41" i="25"/>
  <c r="B40" i="27" s="1"/>
  <c r="B39" i="28" s="1"/>
  <c r="B40" i="25"/>
  <c r="B39" i="27" s="1"/>
  <c r="B38" i="28" s="1"/>
  <c r="B48" i="24"/>
  <c r="B47" i="24"/>
  <c r="B46" i="24"/>
  <c r="B43" i="24"/>
  <c r="B42" i="24"/>
  <c r="B41" i="24"/>
  <c r="B40" i="24"/>
  <c r="B39" i="24"/>
  <c r="A120" i="26"/>
  <c r="C120" i="26"/>
  <c r="C172" i="26"/>
  <c r="C160" i="26"/>
  <c r="C153" i="26"/>
  <c r="C147" i="26"/>
  <c r="C134" i="26"/>
  <c r="C121" i="26"/>
  <c r="C114" i="26"/>
  <c r="C108" i="26"/>
  <c r="C102" i="26"/>
  <c r="C92" i="26"/>
  <c r="C86" i="26"/>
  <c r="C79" i="26"/>
  <c r="C73" i="26"/>
  <c r="C72" i="26"/>
  <c r="I66" i="26"/>
  <c r="H66" i="26"/>
  <c r="G66" i="26"/>
  <c r="F66" i="26"/>
  <c r="E66" i="26"/>
  <c r="D66" i="26"/>
  <c r="C66" i="26"/>
  <c r="I61" i="26"/>
  <c r="H61" i="26"/>
  <c r="G61" i="26"/>
  <c r="F61" i="26"/>
  <c r="E61" i="26"/>
  <c r="D61" i="26"/>
  <c r="C61" i="26"/>
  <c r="I57" i="26"/>
  <c r="H57" i="26"/>
  <c r="G57" i="26"/>
  <c r="F57" i="26"/>
  <c r="E57" i="26"/>
  <c r="D57" i="26"/>
  <c r="C57" i="26"/>
  <c r="I55" i="26"/>
  <c r="H55" i="26"/>
  <c r="G55" i="26"/>
  <c r="F55" i="26"/>
  <c r="E55" i="26"/>
  <c r="D55" i="26"/>
  <c r="C55" i="26"/>
  <c r="I49" i="26"/>
  <c r="H49" i="26"/>
  <c r="G49" i="26"/>
  <c r="F49" i="26"/>
  <c r="E49" i="26"/>
  <c r="D49" i="26"/>
  <c r="C49" i="26"/>
  <c r="I38" i="26"/>
  <c r="H38" i="26"/>
  <c r="G38" i="26"/>
  <c r="F38" i="26"/>
  <c r="E38" i="26"/>
  <c r="D38" i="26"/>
  <c r="C38" i="26"/>
  <c r="I32" i="26"/>
  <c r="H32" i="26"/>
  <c r="G32" i="26"/>
  <c r="F32" i="26"/>
  <c r="E32" i="26"/>
  <c r="D32" i="26"/>
  <c r="C32" i="26"/>
  <c r="I172" i="24"/>
  <c r="H172" i="24"/>
  <c r="G172" i="24"/>
  <c r="F172" i="24"/>
  <c r="E172" i="24"/>
  <c r="D172" i="24"/>
  <c r="C172" i="24"/>
  <c r="I169" i="24"/>
  <c r="H169" i="24"/>
  <c r="G169" i="24"/>
  <c r="F169" i="24"/>
  <c r="E169" i="24"/>
  <c r="D169" i="24"/>
  <c r="C169" i="24"/>
  <c r="I160" i="24"/>
  <c r="H160" i="24"/>
  <c r="G160" i="24"/>
  <c r="F160" i="24"/>
  <c r="E160" i="24"/>
  <c r="D160" i="24"/>
  <c r="C160" i="24"/>
  <c r="I153" i="24"/>
  <c r="H153" i="24"/>
  <c r="G153" i="24"/>
  <c r="F153" i="24"/>
  <c r="E153" i="24"/>
  <c r="D153" i="24"/>
  <c r="C153" i="24"/>
  <c r="I147" i="24"/>
  <c r="H147" i="24"/>
  <c r="G147" i="24"/>
  <c r="F147" i="24"/>
  <c r="E147" i="24"/>
  <c r="D147" i="24"/>
  <c r="C147" i="24"/>
  <c r="I134" i="24"/>
  <c r="H134" i="24"/>
  <c r="G134" i="24"/>
  <c r="F134" i="24"/>
  <c r="E134" i="24"/>
  <c r="D134" i="24"/>
  <c r="C134" i="24"/>
  <c r="I121" i="24"/>
  <c r="H121" i="24"/>
  <c r="G121" i="24"/>
  <c r="F121" i="24"/>
  <c r="E121" i="24"/>
  <c r="D121" i="24"/>
  <c r="C121" i="24"/>
  <c r="I120" i="24"/>
  <c r="H120" i="24"/>
  <c r="G120" i="24"/>
  <c r="F120" i="24"/>
  <c r="E120" i="24"/>
  <c r="D120" i="24"/>
  <c r="C120" i="24"/>
  <c r="I114" i="24"/>
  <c r="H114" i="24"/>
  <c r="G114" i="24"/>
  <c r="F114" i="24"/>
  <c r="E114" i="24"/>
  <c r="D114" i="24"/>
  <c r="C114" i="24"/>
  <c r="I108" i="24"/>
  <c r="H108" i="24"/>
  <c r="G108" i="24"/>
  <c r="F108" i="24"/>
  <c r="E108" i="24"/>
  <c r="D108" i="24"/>
  <c r="C108" i="24"/>
  <c r="I92" i="24"/>
  <c r="H92" i="24"/>
  <c r="G92" i="24"/>
  <c r="F92" i="24"/>
  <c r="E92" i="24"/>
  <c r="D92" i="24"/>
  <c r="C92" i="24"/>
  <c r="I86" i="24"/>
  <c r="H86" i="24"/>
  <c r="G86" i="24"/>
  <c r="F86" i="24"/>
  <c r="E86" i="24"/>
  <c r="D86" i="24"/>
  <c r="C86" i="24"/>
  <c r="I79" i="24"/>
  <c r="H79" i="24"/>
  <c r="G79" i="24"/>
  <c r="F79" i="24"/>
  <c r="E79" i="24"/>
  <c r="D79" i="24"/>
  <c r="C79" i="24"/>
  <c r="I72" i="24"/>
  <c r="H72" i="24"/>
  <c r="G72" i="24"/>
  <c r="F72" i="24"/>
  <c r="E72" i="24"/>
  <c r="D72" i="24"/>
  <c r="C72" i="24"/>
  <c r="I73" i="24"/>
  <c r="H73" i="24"/>
  <c r="G73" i="24"/>
  <c r="F73" i="24"/>
  <c r="E73" i="24"/>
  <c r="D73" i="24"/>
  <c r="C73" i="24"/>
  <c r="I66" i="24"/>
  <c r="H66" i="24"/>
  <c r="G66" i="24"/>
  <c r="F66" i="24"/>
  <c r="E66" i="24"/>
  <c r="D66" i="24"/>
  <c r="C66" i="24"/>
  <c r="I61" i="24"/>
  <c r="H61" i="24"/>
  <c r="G61" i="24"/>
  <c r="F61" i="24"/>
  <c r="E61" i="24"/>
  <c r="D61" i="24"/>
  <c r="C61" i="24"/>
  <c r="I57" i="24"/>
  <c r="H57" i="24"/>
  <c r="G57" i="24"/>
  <c r="F57" i="24"/>
  <c r="E57" i="24"/>
  <c r="D57" i="24"/>
  <c r="C57" i="24"/>
  <c r="I49" i="24"/>
  <c r="H49" i="24"/>
  <c r="G49" i="24"/>
  <c r="F49" i="24"/>
  <c r="E49" i="24"/>
  <c r="D49" i="24"/>
  <c r="C49" i="24"/>
  <c r="I7" i="24"/>
  <c r="H7" i="24"/>
  <c r="G7" i="24"/>
  <c r="F7" i="24"/>
  <c r="E7" i="24"/>
  <c r="D7" i="24"/>
  <c r="C7" i="24"/>
  <c r="I8" i="24"/>
  <c r="H8" i="24"/>
  <c r="G8" i="24"/>
  <c r="F8" i="24"/>
  <c r="E8" i="24"/>
  <c r="D8" i="24"/>
  <c r="C8" i="24"/>
  <c r="I102" i="24"/>
  <c r="H102" i="24"/>
  <c r="G102" i="24"/>
  <c r="F102" i="24"/>
  <c r="E102" i="24"/>
  <c r="D102" i="24"/>
  <c r="C102" i="24"/>
  <c r="I171" i="23"/>
  <c r="H171" i="23"/>
  <c r="G171" i="23"/>
  <c r="F171" i="23"/>
  <c r="E171" i="23"/>
  <c r="D171" i="23"/>
  <c r="C171" i="23"/>
  <c r="I168" i="23"/>
  <c r="H168" i="23"/>
  <c r="G168" i="23"/>
  <c r="F168" i="23"/>
  <c r="E168" i="23"/>
  <c r="D168" i="23"/>
  <c r="C168" i="23"/>
  <c r="I159" i="23"/>
  <c r="H159" i="23"/>
  <c r="G159" i="23"/>
  <c r="F159" i="23"/>
  <c r="E159" i="23"/>
  <c r="D159" i="23"/>
  <c r="C159" i="23"/>
  <c r="C145" i="23"/>
  <c r="D145" i="23"/>
  <c r="E145" i="23"/>
  <c r="F145" i="23"/>
  <c r="G145" i="23"/>
  <c r="H145" i="23"/>
  <c r="I145" i="23"/>
  <c r="I146" i="23"/>
  <c r="H146" i="23"/>
  <c r="G146" i="23"/>
  <c r="F146" i="23"/>
  <c r="E146" i="23"/>
  <c r="D146" i="23"/>
  <c r="C146" i="23"/>
  <c r="I133" i="23"/>
  <c r="H133" i="23"/>
  <c r="G133" i="23"/>
  <c r="F133" i="23"/>
  <c r="E133" i="23"/>
  <c r="D133" i="23"/>
  <c r="C133" i="23"/>
  <c r="I120" i="23"/>
  <c r="H120" i="23"/>
  <c r="G120" i="23"/>
  <c r="F120" i="23"/>
  <c r="E120" i="23"/>
  <c r="D120" i="23"/>
  <c r="C120" i="23"/>
  <c r="I119" i="23"/>
  <c r="H119" i="23"/>
  <c r="G119" i="23"/>
  <c r="F119" i="23"/>
  <c r="E119" i="23"/>
  <c r="D119" i="23"/>
  <c r="C119" i="23"/>
  <c r="I113" i="23"/>
  <c r="H113" i="23"/>
  <c r="G113" i="23"/>
  <c r="F113" i="23"/>
  <c r="E113" i="23"/>
  <c r="D113" i="23"/>
  <c r="C113" i="23"/>
  <c r="I101" i="23"/>
  <c r="H101" i="23"/>
  <c r="G101" i="23"/>
  <c r="F101" i="23"/>
  <c r="E101" i="23"/>
  <c r="D101" i="23"/>
  <c r="C101" i="23"/>
  <c r="I91" i="23"/>
  <c r="H91" i="23"/>
  <c r="G91" i="23"/>
  <c r="F91" i="23"/>
  <c r="E91" i="23"/>
  <c r="D91" i="23"/>
  <c r="C91" i="23"/>
  <c r="I85" i="23"/>
  <c r="H85" i="23"/>
  <c r="G85" i="23"/>
  <c r="F85" i="23"/>
  <c r="E85" i="23"/>
  <c r="D85" i="23"/>
  <c r="C85" i="23"/>
  <c r="I78" i="23"/>
  <c r="H78" i="23"/>
  <c r="G78" i="23"/>
  <c r="F78" i="23"/>
  <c r="E78" i="23"/>
  <c r="D78" i="23"/>
  <c r="C78" i="23"/>
  <c r="I72" i="23"/>
  <c r="H72" i="23"/>
  <c r="G72" i="23"/>
  <c r="F72" i="23"/>
  <c r="E72" i="23"/>
  <c r="D72" i="23"/>
  <c r="C72" i="23"/>
  <c r="I73" i="23"/>
  <c r="H73" i="23"/>
  <c r="G73" i="23"/>
  <c r="F73" i="23"/>
  <c r="E73" i="23"/>
  <c r="D73" i="23"/>
  <c r="C73" i="23"/>
  <c r="I66" i="23"/>
  <c r="H66" i="23"/>
  <c r="G66" i="23"/>
  <c r="F66" i="23"/>
  <c r="E66" i="23"/>
  <c r="D66" i="23"/>
  <c r="C66" i="23"/>
  <c r="I61" i="23"/>
  <c r="H61" i="23"/>
  <c r="G61" i="23"/>
  <c r="F61" i="23"/>
  <c r="E61" i="23"/>
  <c r="D61" i="23"/>
  <c r="C61" i="23"/>
  <c r="I57" i="23"/>
  <c r="H57" i="23"/>
  <c r="G57" i="23"/>
  <c r="F57" i="23"/>
  <c r="E57" i="23"/>
  <c r="D57" i="23"/>
  <c r="C57" i="23"/>
  <c r="I55" i="23"/>
  <c r="H55" i="23"/>
  <c r="G55" i="23"/>
  <c r="F55" i="23"/>
  <c r="E55" i="23"/>
  <c r="D55" i="23"/>
  <c r="C55" i="23"/>
  <c r="I49" i="23"/>
  <c r="H49" i="23"/>
  <c r="G49" i="23"/>
  <c r="F49" i="23"/>
  <c r="E49" i="23"/>
  <c r="D49" i="23"/>
  <c r="C49" i="23"/>
  <c r="I45" i="23"/>
  <c r="H45" i="23"/>
  <c r="G45" i="23"/>
  <c r="F45" i="23"/>
  <c r="E45" i="23"/>
  <c r="D45" i="23"/>
  <c r="C45" i="23"/>
  <c r="I38" i="23"/>
  <c r="H38" i="23"/>
  <c r="G38" i="23"/>
  <c r="F38" i="23"/>
  <c r="E38" i="23"/>
  <c r="D38" i="23"/>
  <c r="C38" i="23"/>
  <c r="I32" i="23"/>
  <c r="H32" i="23"/>
  <c r="G32" i="23"/>
  <c r="F32" i="23"/>
  <c r="E32" i="23"/>
  <c r="D32" i="23"/>
  <c r="C32" i="23"/>
  <c r="I8" i="23"/>
  <c r="H8" i="23"/>
  <c r="G8" i="23"/>
  <c r="F8" i="23"/>
  <c r="E8" i="23"/>
  <c r="D8" i="23"/>
  <c r="C8" i="23"/>
  <c r="I7" i="23"/>
  <c r="H7" i="23"/>
  <c r="G7" i="23"/>
  <c r="F7" i="23"/>
  <c r="E7" i="23"/>
  <c r="D7" i="23"/>
  <c r="C7" i="23"/>
  <c r="C172" i="25"/>
  <c r="C169" i="25"/>
  <c r="C160" i="25"/>
  <c r="C153" i="25"/>
  <c r="C147" i="25"/>
  <c r="C134" i="25"/>
  <c r="C73" i="25"/>
  <c r="C9" i="25"/>
  <c r="C33" i="25"/>
  <c r="C39" i="25"/>
  <c r="C46" i="25"/>
  <c r="C50" i="25"/>
  <c r="C58" i="25"/>
  <c r="C62" i="25"/>
  <c r="C74" i="25"/>
  <c r="C79" i="25"/>
  <c r="C86" i="25"/>
  <c r="C92" i="25"/>
  <c r="U129" i="25"/>
  <c r="X129" i="25" s="1"/>
  <c r="U128" i="25"/>
  <c r="X128" i="25" s="1"/>
  <c r="U127" i="25"/>
  <c r="X127" i="25" s="1"/>
  <c r="U126" i="25"/>
  <c r="X126" i="25" s="1"/>
  <c r="U125" i="25"/>
  <c r="X125" i="25" s="1"/>
  <c r="U124" i="25"/>
  <c r="X124" i="25" s="1"/>
  <c r="U123" i="25"/>
  <c r="X123" i="25" s="1"/>
  <c r="U122" i="25"/>
  <c r="X122" i="25" s="1"/>
  <c r="C114" i="25"/>
  <c r="C108" i="25"/>
  <c r="C102" i="25"/>
  <c r="W99" i="2" l="1"/>
  <c r="W92" i="2" s="1"/>
  <c r="V92" i="2"/>
  <c r="T99" i="2"/>
  <c r="T92" i="2" s="1"/>
  <c r="S92" i="2"/>
  <c r="N99" i="2"/>
  <c r="M92" i="2"/>
  <c r="P154" i="2"/>
  <c r="P148" i="2"/>
  <c r="O72" i="27"/>
  <c r="O146" i="27"/>
  <c r="O100" i="27" s="1"/>
  <c r="P99" i="2" s="1"/>
  <c r="Q99" i="2" s="1"/>
  <c r="V55" i="2"/>
  <c r="V53" i="2"/>
  <c r="V54" i="2"/>
  <c r="V51" i="2"/>
  <c r="O59" i="27"/>
  <c r="P60" i="2" s="1"/>
  <c r="O58" i="27"/>
  <c r="P59" i="2" s="1"/>
  <c r="W56" i="27"/>
  <c r="P92" i="2" l="1"/>
  <c r="W55" i="27"/>
  <c r="V57" i="2"/>
  <c r="AE49" i="27"/>
  <c r="Y48" i="28" s="1"/>
  <c r="AA49" i="27"/>
  <c r="V48" i="28" s="1"/>
  <c r="S49" i="27"/>
  <c r="P48" i="28" s="1"/>
  <c r="O49" i="27"/>
  <c r="M48" i="28" s="1"/>
  <c r="M48" i="2"/>
  <c r="AE38" i="27"/>
  <c r="AA38" i="27"/>
  <c r="W38" i="27"/>
  <c r="S38" i="27"/>
  <c r="O38" i="27"/>
  <c r="M47" i="2"/>
  <c r="K38" i="27"/>
  <c r="Y178" i="28"/>
  <c r="AA178" i="28" s="1"/>
  <c r="Y177" i="28"/>
  <c r="AA177" i="28" s="1"/>
  <c r="AA176" i="28"/>
  <c r="Y175" i="28"/>
  <c r="AA175" i="28" s="1"/>
  <c r="Y174" i="28"/>
  <c r="AA174" i="28" s="1"/>
  <c r="Y173" i="28"/>
  <c r="AA173" i="28" s="1"/>
  <c r="Y172" i="28"/>
  <c r="AA172" i="28" s="1"/>
  <c r="Y171" i="28"/>
  <c r="AA171" i="28" s="1"/>
  <c r="Y170" i="28"/>
  <c r="Y169" i="28"/>
  <c r="AA169" i="28" s="1"/>
  <c r="Y168" i="28"/>
  <c r="AA168" i="28" s="1"/>
  <c r="AA167" i="28" s="1"/>
  <c r="Y167" i="28"/>
  <c r="Y166" i="28"/>
  <c r="AA166" i="28" s="1"/>
  <c r="Y165" i="28"/>
  <c r="AA165" i="28" s="1"/>
  <c r="Y163" i="28"/>
  <c r="AA163" i="28" s="1"/>
  <c r="Y162" i="28"/>
  <c r="AA162" i="28" s="1"/>
  <c r="Y161" i="28"/>
  <c r="AA161" i="28" s="1"/>
  <c r="Y160" i="28"/>
  <c r="AA160" i="28" s="1"/>
  <c r="Y159" i="28"/>
  <c r="AA159" i="28" s="1"/>
  <c r="Y158" i="28"/>
  <c r="Y157" i="28"/>
  <c r="AA157" i="28" s="1"/>
  <c r="AA156" i="28"/>
  <c r="AA155" i="28"/>
  <c r="AA154" i="28"/>
  <c r="AA153" i="28"/>
  <c r="AA152" i="28"/>
  <c r="Y151" i="28"/>
  <c r="Y150" i="28"/>
  <c r="Y149" i="28"/>
  <c r="AA149" i="28" s="1"/>
  <c r="Y148" i="28"/>
  <c r="AA148" i="28" s="1"/>
  <c r="Y147" i="28"/>
  <c r="AA147" i="28" s="1"/>
  <c r="Y146" i="28"/>
  <c r="AA146" i="28" s="1"/>
  <c r="Y145" i="28"/>
  <c r="Y144" i="28"/>
  <c r="Y137" i="28"/>
  <c r="AA137" i="28" s="1"/>
  <c r="Y136" i="28"/>
  <c r="AA136" i="28" s="1"/>
  <c r="Y135" i="28"/>
  <c r="AA135" i="28" s="1"/>
  <c r="Y134" i="28"/>
  <c r="AA134" i="28" s="1"/>
  <c r="Y133" i="28"/>
  <c r="AA133" i="28" s="1"/>
  <c r="Y132" i="28"/>
  <c r="Y127" i="28"/>
  <c r="AA127" i="28" s="1"/>
  <c r="Y126" i="28"/>
  <c r="AA126" i="28" s="1"/>
  <c r="Y125" i="28"/>
  <c r="AA125" i="28" s="1"/>
  <c r="Y124" i="28"/>
  <c r="AA124" i="28" s="1"/>
  <c r="Y123" i="28"/>
  <c r="AA123" i="28" s="1"/>
  <c r="Y122" i="28"/>
  <c r="AA122" i="28" s="1"/>
  <c r="Y121" i="28"/>
  <c r="AA121" i="28" s="1"/>
  <c r="Y120" i="28"/>
  <c r="AA120" i="28" s="1"/>
  <c r="Y118" i="28"/>
  <c r="AA118" i="28" s="1"/>
  <c r="Y117" i="28"/>
  <c r="AA117" i="28" s="1"/>
  <c r="Y116" i="28"/>
  <c r="AA116" i="28" s="1"/>
  <c r="Y115" i="28"/>
  <c r="AA115" i="28" s="1"/>
  <c r="Y114" i="28"/>
  <c r="AA114" i="28" s="1"/>
  <c r="Y113" i="28"/>
  <c r="AA113" i="28" s="1"/>
  <c r="Y112" i="28"/>
  <c r="Y111" i="28"/>
  <c r="AA111" i="28" s="1"/>
  <c r="Y110" i="28"/>
  <c r="AA110" i="28" s="1"/>
  <c r="Y109" i="28"/>
  <c r="AA109" i="28" s="1"/>
  <c r="Y108" i="28"/>
  <c r="AA108" i="28" s="1"/>
  <c r="Y107" i="28"/>
  <c r="AA107" i="28" s="1"/>
  <c r="Y106" i="28"/>
  <c r="Y105" i="28"/>
  <c r="AA105" i="28" s="1"/>
  <c r="Y104" i="28"/>
  <c r="AA104" i="28" s="1"/>
  <c r="Y103" i="28"/>
  <c r="AA103" i="28" s="1"/>
  <c r="Y102" i="28"/>
  <c r="AA102" i="28" s="1"/>
  <c r="Y101" i="28"/>
  <c r="AA101" i="28" s="1"/>
  <c r="Y99" i="28"/>
  <c r="AA99" i="28" s="1"/>
  <c r="Y98" i="28"/>
  <c r="Y96" i="28"/>
  <c r="AA96" i="28" s="1"/>
  <c r="Y95" i="28"/>
  <c r="AA95" i="28" s="1"/>
  <c r="Y94" i="28"/>
  <c r="AA94" i="28" s="1"/>
  <c r="Y93" i="28"/>
  <c r="AA93" i="28" s="1"/>
  <c r="Y92" i="28"/>
  <c r="AA92" i="28" s="1"/>
  <c r="Y91" i="28"/>
  <c r="AA91" i="28" s="1"/>
  <c r="Y90" i="28"/>
  <c r="Y89" i="28"/>
  <c r="AA89" i="28" s="1"/>
  <c r="Y88" i="28"/>
  <c r="AA88" i="28" s="1"/>
  <c r="Y87" i="28"/>
  <c r="AA87" i="28" s="1"/>
  <c r="Y86" i="28"/>
  <c r="AA86" i="28" s="1"/>
  <c r="Y85" i="28"/>
  <c r="AA85" i="28" s="1"/>
  <c r="Y81" i="28"/>
  <c r="AA81" i="28" s="1"/>
  <c r="Y80" i="28"/>
  <c r="AA80" i="28" s="1"/>
  <c r="Y79" i="28"/>
  <c r="AA79" i="28" s="1"/>
  <c r="Y78" i="28"/>
  <c r="Y76" i="28"/>
  <c r="AA76" i="28" s="1"/>
  <c r="Y75" i="28"/>
  <c r="AA75" i="28" s="1"/>
  <c r="Y74" i="28"/>
  <c r="AA74" i="28" s="1"/>
  <c r="Y73" i="28"/>
  <c r="AA73" i="28" s="1"/>
  <c r="Y72" i="28"/>
  <c r="Y71" i="28"/>
  <c r="AA71" i="28" s="1"/>
  <c r="Y70" i="28"/>
  <c r="AA70" i="28" s="1"/>
  <c r="Y69" i="28"/>
  <c r="AA69" i="28" s="1"/>
  <c r="Y68" i="28"/>
  <c r="AA68" i="28" s="1"/>
  <c r="Y67" i="28"/>
  <c r="AA67" i="28" s="1"/>
  <c r="Y66" i="28"/>
  <c r="AA66" i="28" s="1"/>
  <c r="Y65" i="28"/>
  <c r="Y64" i="28"/>
  <c r="AA64" i="28" s="1"/>
  <c r="Y63" i="28"/>
  <c r="AA63" i="28" s="1"/>
  <c r="Y62" i="28"/>
  <c r="AA62" i="28" s="1"/>
  <c r="Y61" i="28"/>
  <c r="AA61" i="28" s="1"/>
  <c r="Y60" i="28"/>
  <c r="Y59" i="28"/>
  <c r="AA59" i="28" s="1"/>
  <c r="Y58" i="28"/>
  <c r="AA58" i="28" s="1"/>
  <c r="Y57" i="28"/>
  <c r="AA57" i="28" s="1"/>
  <c r="Y56" i="28"/>
  <c r="Y55" i="28"/>
  <c r="AA55" i="28" s="1"/>
  <c r="AA54" i="28" s="1"/>
  <c r="Y54" i="28"/>
  <c r="Y53" i="28"/>
  <c r="AA53" i="28" s="1"/>
  <c r="Y52" i="28"/>
  <c r="AA52" i="28" s="1"/>
  <c r="Y51" i="28"/>
  <c r="AA51" i="28" s="1"/>
  <c r="Y50" i="28"/>
  <c r="AA50" i="28" s="1"/>
  <c r="Y49" i="28"/>
  <c r="AA49" i="28" s="1"/>
  <c r="Y47" i="28"/>
  <c r="AA47" i="28" s="1"/>
  <c r="Y46" i="28"/>
  <c r="AA46" i="28" s="1"/>
  <c r="Y45" i="28"/>
  <c r="AA45" i="28" s="1"/>
  <c r="Y44" i="28"/>
  <c r="Y42" i="28"/>
  <c r="AA42" i="28" s="1"/>
  <c r="Y41" i="28"/>
  <c r="AA41" i="28" s="1"/>
  <c r="Y40" i="28"/>
  <c r="AA40" i="28" s="1"/>
  <c r="Y38" i="28"/>
  <c r="Y36" i="28"/>
  <c r="AA36" i="28" s="1"/>
  <c r="Y35" i="28"/>
  <c r="AA35" i="28" s="1"/>
  <c r="Y34" i="28"/>
  <c r="AA34" i="28" s="1"/>
  <c r="Y33" i="28"/>
  <c r="AA33" i="28" s="1"/>
  <c r="Y32" i="28"/>
  <c r="AA32" i="28" s="1"/>
  <c r="Y31" i="28"/>
  <c r="Y30" i="28"/>
  <c r="AA30" i="28" s="1"/>
  <c r="Y29" i="28"/>
  <c r="AA29" i="28" s="1"/>
  <c r="Y28" i="28"/>
  <c r="AA28" i="28" s="1"/>
  <c r="Y27" i="28"/>
  <c r="AA27" i="28" s="1"/>
  <c r="Y26" i="28"/>
  <c r="AA26" i="28" s="1"/>
  <c r="Y25" i="28"/>
  <c r="AA25" i="28" s="1"/>
  <c r="Y24" i="28"/>
  <c r="AA24" i="28" s="1"/>
  <c r="Y23" i="28"/>
  <c r="AA23" i="28" s="1"/>
  <c r="Y22" i="28"/>
  <c r="AA22" i="28" s="1"/>
  <c r="Y21" i="28"/>
  <c r="AA21" i="28" s="1"/>
  <c r="Y20" i="28"/>
  <c r="AA20" i="28" s="1"/>
  <c r="Y19" i="28"/>
  <c r="AA19" i="28" s="1"/>
  <c r="Y18" i="28"/>
  <c r="AA18" i="28" s="1"/>
  <c r="Y17" i="28"/>
  <c r="AA17" i="28" s="1"/>
  <c r="Y16" i="28"/>
  <c r="AA16" i="28" s="1"/>
  <c r="Y15" i="28"/>
  <c r="AA15" i="28" s="1"/>
  <c r="Y14" i="28"/>
  <c r="AA14" i="28" s="1"/>
  <c r="Y13" i="28"/>
  <c r="AA13" i="28" s="1"/>
  <c r="Y12" i="28"/>
  <c r="AA12" i="28" s="1"/>
  <c r="Y11" i="28"/>
  <c r="AA11" i="28" s="1"/>
  <c r="Y10" i="28"/>
  <c r="AA10" i="28" s="1"/>
  <c r="Y9" i="28"/>
  <c r="AA9" i="28" s="1"/>
  <c r="Y8" i="28"/>
  <c r="AA8" i="28" s="1"/>
  <c r="Y7" i="28"/>
  <c r="V178" i="28"/>
  <c r="X178" i="28" s="1"/>
  <c r="V177" i="28"/>
  <c r="X177" i="28" s="1"/>
  <c r="V175" i="28"/>
  <c r="X175" i="28" s="1"/>
  <c r="V174" i="28"/>
  <c r="X174" i="28" s="1"/>
  <c r="V173" i="28"/>
  <c r="X173" i="28" s="1"/>
  <c r="V172" i="28"/>
  <c r="X172" i="28" s="1"/>
  <c r="V171" i="28"/>
  <c r="X171" i="28" s="1"/>
  <c r="V170" i="28"/>
  <c r="V169" i="28"/>
  <c r="X169" i="28" s="1"/>
  <c r="V168" i="28"/>
  <c r="X168" i="28" s="1"/>
  <c r="X167" i="28" s="1"/>
  <c r="V167" i="28"/>
  <c r="V166" i="28"/>
  <c r="X166" i="28" s="1"/>
  <c r="V165" i="28"/>
  <c r="X165" i="28" s="1"/>
  <c r="V163" i="28"/>
  <c r="X163" i="28" s="1"/>
  <c r="V162" i="28"/>
  <c r="X162" i="28" s="1"/>
  <c r="V161" i="28"/>
  <c r="X161" i="28" s="1"/>
  <c r="V160" i="28"/>
  <c r="X160" i="28" s="1"/>
  <c r="V159" i="28"/>
  <c r="X159" i="28" s="1"/>
  <c r="V158" i="28"/>
  <c r="V157" i="28"/>
  <c r="X157" i="28" s="1"/>
  <c r="V151" i="28"/>
  <c r="V150" i="28"/>
  <c r="X150" i="28" s="1"/>
  <c r="V149" i="28"/>
  <c r="X149" i="28" s="1"/>
  <c r="V148" i="28"/>
  <c r="X148" i="28" s="1"/>
  <c r="V147" i="28"/>
  <c r="X147" i="28" s="1"/>
  <c r="V146" i="28"/>
  <c r="X146" i="28" s="1"/>
  <c r="V145" i="28"/>
  <c r="V144" i="28"/>
  <c r="X144" i="28" s="1"/>
  <c r="V137" i="28"/>
  <c r="X137" i="28" s="1"/>
  <c r="V136" i="28"/>
  <c r="X136" i="28" s="1"/>
  <c r="V135" i="28"/>
  <c r="X135" i="28" s="1"/>
  <c r="V134" i="28"/>
  <c r="X134" i="28" s="1"/>
  <c r="V133" i="28"/>
  <c r="X133" i="28" s="1"/>
  <c r="V132" i="28"/>
  <c r="V127" i="28"/>
  <c r="X127" i="28" s="1"/>
  <c r="V126" i="28"/>
  <c r="X126" i="28" s="1"/>
  <c r="V125" i="28"/>
  <c r="X125" i="28" s="1"/>
  <c r="V124" i="28"/>
  <c r="X124" i="28" s="1"/>
  <c r="V123" i="28"/>
  <c r="X123" i="28" s="1"/>
  <c r="V122" i="28"/>
  <c r="X122" i="28" s="1"/>
  <c r="V121" i="28"/>
  <c r="X121" i="28" s="1"/>
  <c r="V120" i="28"/>
  <c r="X120" i="28" s="1"/>
  <c r="V118" i="28"/>
  <c r="X118" i="28" s="1"/>
  <c r="V117" i="28"/>
  <c r="X117" i="28" s="1"/>
  <c r="V116" i="28"/>
  <c r="X116" i="28" s="1"/>
  <c r="V115" i="28"/>
  <c r="X115" i="28" s="1"/>
  <c r="V114" i="28"/>
  <c r="X114" i="28" s="1"/>
  <c r="V113" i="28"/>
  <c r="X113" i="28" s="1"/>
  <c r="V112" i="28"/>
  <c r="V111" i="28"/>
  <c r="X111" i="28" s="1"/>
  <c r="V110" i="28"/>
  <c r="X110" i="28" s="1"/>
  <c r="V109" i="28"/>
  <c r="X109" i="28" s="1"/>
  <c r="V108" i="28"/>
  <c r="X108" i="28" s="1"/>
  <c r="V107" i="28"/>
  <c r="X107" i="28" s="1"/>
  <c r="V106" i="28"/>
  <c r="V105" i="28"/>
  <c r="X105" i="28" s="1"/>
  <c r="V104" i="28"/>
  <c r="X104" i="28" s="1"/>
  <c r="V103" i="28"/>
  <c r="X103" i="28" s="1"/>
  <c r="V102" i="28"/>
  <c r="X102" i="28" s="1"/>
  <c r="V101" i="28"/>
  <c r="X101" i="28" s="1"/>
  <c r="V99" i="28"/>
  <c r="X99" i="28" s="1"/>
  <c r="V98" i="28"/>
  <c r="X98" i="28" s="1"/>
  <c r="V96" i="28"/>
  <c r="X96" i="28" s="1"/>
  <c r="V95" i="28"/>
  <c r="X95" i="28" s="1"/>
  <c r="V94" i="28"/>
  <c r="X94" i="28" s="1"/>
  <c r="V93" i="28"/>
  <c r="X93" i="28" s="1"/>
  <c r="V92" i="28"/>
  <c r="X92" i="28" s="1"/>
  <c r="V91" i="28"/>
  <c r="X91" i="28" s="1"/>
  <c r="V90" i="28"/>
  <c r="V89" i="28"/>
  <c r="X89" i="28" s="1"/>
  <c r="V88" i="28"/>
  <c r="X88" i="28" s="1"/>
  <c r="V87" i="28"/>
  <c r="X87" i="28" s="1"/>
  <c r="V86" i="28"/>
  <c r="X86" i="28" s="1"/>
  <c r="V85" i="28"/>
  <c r="X85" i="28" s="1"/>
  <c r="V81" i="28"/>
  <c r="X81" i="28" s="1"/>
  <c r="V80" i="28"/>
  <c r="X80" i="28" s="1"/>
  <c r="V79" i="28"/>
  <c r="X79" i="28" s="1"/>
  <c r="V78" i="28"/>
  <c r="V76" i="28"/>
  <c r="X76" i="28" s="1"/>
  <c r="V75" i="28"/>
  <c r="X75" i="28" s="1"/>
  <c r="V74" i="28"/>
  <c r="X74" i="28" s="1"/>
  <c r="V73" i="28"/>
  <c r="X73" i="28" s="1"/>
  <c r="V72" i="28"/>
  <c r="V71" i="28"/>
  <c r="X71" i="28" s="1"/>
  <c r="V70" i="28"/>
  <c r="X70" i="28" s="1"/>
  <c r="V69" i="28"/>
  <c r="X69" i="28" s="1"/>
  <c r="V68" i="28"/>
  <c r="X68" i="28" s="1"/>
  <c r="V67" i="28"/>
  <c r="X67" i="28" s="1"/>
  <c r="V66" i="28"/>
  <c r="X66" i="28" s="1"/>
  <c r="V65" i="28"/>
  <c r="V64" i="28"/>
  <c r="X64" i="28" s="1"/>
  <c r="V63" i="28"/>
  <c r="X63" i="28" s="1"/>
  <c r="V62" i="28"/>
  <c r="X62" i="28" s="1"/>
  <c r="V61" i="28"/>
  <c r="X61" i="28" s="1"/>
  <c r="V60" i="28"/>
  <c r="V59" i="28"/>
  <c r="X59" i="28" s="1"/>
  <c r="V58" i="28"/>
  <c r="X58" i="28" s="1"/>
  <c r="V57" i="28"/>
  <c r="X57" i="28" s="1"/>
  <c r="V56" i="28"/>
  <c r="V55" i="28"/>
  <c r="X55" i="28" s="1"/>
  <c r="V54" i="28"/>
  <c r="X54" i="28" s="1"/>
  <c r="V53" i="28"/>
  <c r="X53" i="28" s="1"/>
  <c r="V52" i="28"/>
  <c r="X52" i="28" s="1"/>
  <c r="V51" i="28"/>
  <c r="X51" i="28" s="1"/>
  <c r="V50" i="28"/>
  <c r="X50" i="28" s="1"/>
  <c r="V49" i="28"/>
  <c r="X49" i="28" s="1"/>
  <c r="V47" i="28"/>
  <c r="X47" i="28" s="1"/>
  <c r="V46" i="28"/>
  <c r="X46" i="28" s="1"/>
  <c r="V45" i="28"/>
  <c r="X45" i="28" s="1"/>
  <c r="V44" i="28"/>
  <c r="V42" i="28"/>
  <c r="X42" i="28" s="1"/>
  <c r="V41" i="28"/>
  <c r="X41" i="28" s="1"/>
  <c r="V40" i="28"/>
  <c r="X40" i="28" s="1"/>
  <c r="V39" i="28"/>
  <c r="X39" i="28" s="1"/>
  <c r="V38" i="28"/>
  <c r="V36" i="28"/>
  <c r="X36" i="28" s="1"/>
  <c r="V35" i="28"/>
  <c r="X35" i="28" s="1"/>
  <c r="V34" i="28"/>
  <c r="X34" i="28" s="1"/>
  <c r="V33" i="28"/>
  <c r="X33" i="28" s="1"/>
  <c r="V32" i="28"/>
  <c r="X32" i="28" s="1"/>
  <c r="V31" i="28"/>
  <c r="V30" i="28"/>
  <c r="X30" i="28" s="1"/>
  <c r="V29" i="28"/>
  <c r="X29" i="28" s="1"/>
  <c r="V28" i="28"/>
  <c r="X28" i="28" s="1"/>
  <c r="V27" i="28"/>
  <c r="X27" i="28" s="1"/>
  <c r="V26" i="28"/>
  <c r="X26" i="28" s="1"/>
  <c r="V25" i="28"/>
  <c r="X25" i="28" s="1"/>
  <c r="V24" i="28"/>
  <c r="X24" i="28" s="1"/>
  <c r="V23" i="28"/>
  <c r="X23" i="28" s="1"/>
  <c r="V22" i="28"/>
  <c r="X22" i="28" s="1"/>
  <c r="V21" i="28"/>
  <c r="X21" i="28" s="1"/>
  <c r="V20" i="28"/>
  <c r="X20" i="28" s="1"/>
  <c r="V19" i="28"/>
  <c r="X19" i="28" s="1"/>
  <c r="V18" i="28"/>
  <c r="X18" i="28" s="1"/>
  <c r="V17" i="28"/>
  <c r="X17" i="28" s="1"/>
  <c r="V16" i="28"/>
  <c r="X16" i="28" s="1"/>
  <c r="V15" i="28"/>
  <c r="X15" i="28" s="1"/>
  <c r="V14" i="28"/>
  <c r="X14" i="28" s="1"/>
  <c r="V13" i="28"/>
  <c r="X13" i="28" s="1"/>
  <c r="V12" i="28"/>
  <c r="X12" i="28" s="1"/>
  <c r="V11" i="28"/>
  <c r="X11" i="28" s="1"/>
  <c r="V10" i="28"/>
  <c r="X10" i="28" s="1"/>
  <c r="V9" i="28"/>
  <c r="X9" i="28" s="1"/>
  <c r="V8" i="28"/>
  <c r="X8" i="28" s="1"/>
  <c r="V7" i="28"/>
  <c r="S178" i="28"/>
  <c r="U178" i="28" s="1"/>
  <c r="S177" i="28"/>
  <c r="U177" i="28" s="1"/>
  <c r="S175" i="28"/>
  <c r="U175" i="28" s="1"/>
  <c r="S174" i="28"/>
  <c r="U174" i="28" s="1"/>
  <c r="S173" i="28"/>
  <c r="U173" i="28" s="1"/>
  <c r="S172" i="28"/>
  <c r="U172" i="28" s="1"/>
  <c r="S171" i="28"/>
  <c r="U171" i="28" s="1"/>
  <c r="S170" i="28"/>
  <c r="S169" i="28"/>
  <c r="U169" i="28" s="1"/>
  <c r="S168" i="28"/>
  <c r="U168" i="28" s="1"/>
  <c r="U167" i="28" s="1"/>
  <c r="S167" i="28"/>
  <c r="S166" i="28"/>
  <c r="U166" i="28" s="1"/>
  <c r="S165" i="28"/>
  <c r="U165" i="28" s="1"/>
  <c r="S163" i="28"/>
  <c r="U163" i="28" s="1"/>
  <c r="S162" i="28"/>
  <c r="U162" i="28" s="1"/>
  <c r="S161" i="28"/>
  <c r="U161" i="28" s="1"/>
  <c r="S160" i="28"/>
  <c r="U160" i="28" s="1"/>
  <c r="S159" i="28"/>
  <c r="U159" i="28" s="1"/>
  <c r="S158" i="28"/>
  <c r="S157" i="28"/>
  <c r="U157" i="28" s="1"/>
  <c r="S151" i="28"/>
  <c r="S150" i="28"/>
  <c r="U150" i="28" s="1"/>
  <c r="S149" i="28"/>
  <c r="U149" i="28" s="1"/>
  <c r="S148" i="28"/>
  <c r="U148" i="28" s="1"/>
  <c r="S147" i="28"/>
  <c r="U147" i="28" s="1"/>
  <c r="S146" i="28"/>
  <c r="U146" i="28" s="1"/>
  <c r="S145" i="28"/>
  <c r="S144" i="28"/>
  <c r="U144" i="28" s="1"/>
  <c r="S137" i="28"/>
  <c r="U137" i="28" s="1"/>
  <c r="S136" i="28"/>
  <c r="U136" i="28" s="1"/>
  <c r="S135" i="28"/>
  <c r="U135" i="28" s="1"/>
  <c r="S134" i="28"/>
  <c r="U134" i="28" s="1"/>
  <c r="S133" i="28"/>
  <c r="U133" i="28" s="1"/>
  <c r="S132" i="28"/>
  <c r="S127" i="28"/>
  <c r="U127" i="28" s="1"/>
  <c r="S126" i="28"/>
  <c r="U126" i="28" s="1"/>
  <c r="S125" i="28"/>
  <c r="U125" i="28" s="1"/>
  <c r="S124" i="28"/>
  <c r="U124" i="28" s="1"/>
  <c r="S123" i="28"/>
  <c r="U123" i="28" s="1"/>
  <c r="S122" i="28"/>
  <c r="U122" i="28" s="1"/>
  <c r="S121" i="28"/>
  <c r="U121" i="28" s="1"/>
  <c r="S120" i="28"/>
  <c r="U120" i="28" s="1"/>
  <c r="S118" i="28"/>
  <c r="U118" i="28" s="1"/>
  <c r="S117" i="28"/>
  <c r="U117" i="28" s="1"/>
  <c r="S116" i="28"/>
  <c r="U116" i="28" s="1"/>
  <c r="S115" i="28"/>
  <c r="U115" i="28" s="1"/>
  <c r="S114" i="28"/>
  <c r="U114" i="28" s="1"/>
  <c r="S113" i="28"/>
  <c r="U113" i="28" s="1"/>
  <c r="S112" i="28"/>
  <c r="S111" i="28"/>
  <c r="U111" i="28" s="1"/>
  <c r="S110" i="28"/>
  <c r="U110" i="28" s="1"/>
  <c r="S109" i="28"/>
  <c r="U109" i="28" s="1"/>
  <c r="S108" i="28"/>
  <c r="U108" i="28" s="1"/>
  <c r="S107" i="28"/>
  <c r="U107" i="28" s="1"/>
  <c r="S106" i="28"/>
  <c r="S105" i="28"/>
  <c r="U105" i="28" s="1"/>
  <c r="S104" i="28"/>
  <c r="U104" i="28" s="1"/>
  <c r="S103" i="28"/>
  <c r="U103" i="28" s="1"/>
  <c r="S102" i="28"/>
  <c r="U102" i="28" s="1"/>
  <c r="S101" i="28"/>
  <c r="U101" i="28" s="1"/>
  <c r="S99" i="28"/>
  <c r="U99" i="28" s="1"/>
  <c r="S98" i="28"/>
  <c r="U98" i="28" s="1"/>
  <c r="S96" i="28"/>
  <c r="U96" i="28" s="1"/>
  <c r="S95" i="28"/>
  <c r="U95" i="28" s="1"/>
  <c r="S94" i="28"/>
  <c r="U94" i="28" s="1"/>
  <c r="S93" i="28"/>
  <c r="U93" i="28" s="1"/>
  <c r="S92" i="28"/>
  <c r="U92" i="28" s="1"/>
  <c r="S91" i="28"/>
  <c r="U91" i="28" s="1"/>
  <c r="S90" i="28"/>
  <c r="S89" i="28"/>
  <c r="U89" i="28" s="1"/>
  <c r="S88" i="28"/>
  <c r="U88" i="28" s="1"/>
  <c r="S87" i="28"/>
  <c r="U87" i="28" s="1"/>
  <c r="S86" i="28"/>
  <c r="U86" i="28" s="1"/>
  <c r="S85" i="28"/>
  <c r="U85" i="28" s="1"/>
  <c r="S81" i="28"/>
  <c r="U81" i="28" s="1"/>
  <c r="S80" i="28"/>
  <c r="U80" i="28" s="1"/>
  <c r="S79" i="28"/>
  <c r="U79" i="28" s="1"/>
  <c r="S78" i="28"/>
  <c r="S76" i="28"/>
  <c r="U76" i="28" s="1"/>
  <c r="S75" i="28"/>
  <c r="U75" i="28" s="1"/>
  <c r="S74" i="28"/>
  <c r="U74" i="28" s="1"/>
  <c r="S73" i="28"/>
  <c r="U73" i="28" s="1"/>
  <c r="S72" i="28"/>
  <c r="S71" i="28"/>
  <c r="U71" i="28" s="1"/>
  <c r="S70" i="28"/>
  <c r="U70" i="28" s="1"/>
  <c r="S69" i="28"/>
  <c r="U69" i="28" s="1"/>
  <c r="S68" i="28"/>
  <c r="U68" i="28" s="1"/>
  <c r="S67" i="28"/>
  <c r="U67" i="28" s="1"/>
  <c r="S66" i="28"/>
  <c r="U66" i="28" s="1"/>
  <c r="S65" i="28"/>
  <c r="S64" i="28"/>
  <c r="U64" i="28" s="1"/>
  <c r="S63" i="28"/>
  <c r="U63" i="28" s="1"/>
  <c r="S62" i="28"/>
  <c r="U62" i="28" s="1"/>
  <c r="S61" i="28"/>
  <c r="U61" i="28" s="1"/>
  <c r="S60" i="28"/>
  <c r="S59" i="28"/>
  <c r="U59" i="28" s="1"/>
  <c r="S58" i="28"/>
  <c r="U58" i="28" s="1"/>
  <c r="S57" i="28"/>
  <c r="U57" i="28" s="1"/>
  <c r="S56" i="28"/>
  <c r="S55" i="28"/>
  <c r="S54" i="28"/>
  <c r="S53" i="28"/>
  <c r="U53" i="28" s="1"/>
  <c r="S52" i="28"/>
  <c r="S51" i="28"/>
  <c r="U51" i="28" s="1"/>
  <c r="S47" i="28"/>
  <c r="U47" i="28" s="1"/>
  <c r="S46" i="28"/>
  <c r="U46" i="28" s="1"/>
  <c r="S45" i="28"/>
  <c r="U45" i="28" s="1"/>
  <c r="S44" i="28"/>
  <c r="S42" i="28"/>
  <c r="U42" i="28" s="1"/>
  <c r="S41" i="28"/>
  <c r="U41" i="28" s="1"/>
  <c r="S40" i="28"/>
  <c r="U40" i="28" s="1"/>
  <c r="U39" i="28"/>
  <c r="S38" i="28"/>
  <c r="S36" i="28"/>
  <c r="U36" i="28" s="1"/>
  <c r="S35" i="28"/>
  <c r="U35" i="28" s="1"/>
  <c r="S34" i="28"/>
  <c r="U34" i="28" s="1"/>
  <c r="S33" i="28"/>
  <c r="U33" i="28" s="1"/>
  <c r="S32" i="28"/>
  <c r="U32" i="28" s="1"/>
  <c r="S31" i="28"/>
  <c r="S30" i="28"/>
  <c r="U30" i="28" s="1"/>
  <c r="S29" i="28"/>
  <c r="U29" i="28" s="1"/>
  <c r="S28" i="28"/>
  <c r="U28" i="28" s="1"/>
  <c r="S27" i="28"/>
  <c r="U27" i="28" s="1"/>
  <c r="S26" i="28"/>
  <c r="U26" i="28" s="1"/>
  <c r="S25" i="28"/>
  <c r="U25" i="28" s="1"/>
  <c r="S24" i="28"/>
  <c r="U24" i="28" s="1"/>
  <c r="S23" i="28"/>
  <c r="U23" i="28" s="1"/>
  <c r="S22" i="28"/>
  <c r="U22" i="28" s="1"/>
  <c r="S21" i="28"/>
  <c r="U21" i="28" s="1"/>
  <c r="S20" i="28"/>
  <c r="U20" i="28" s="1"/>
  <c r="S19" i="28"/>
  <c r="U19" i="28" s="1"/>
  <c r="S18" i="28"/>
  <c r="U18" i="28" s="1"/>
  <c r="S17" i="28"/>
  <c r="U17" i="28" s="1"/>
  <c r="S16" i="28"/>
  <c r="U16" i="28" s="1"/>
  <c r="S15" i="28"/>
  <c r="U15" i="28" s="1"/>
  <c r="S14" i="28"/>
  <c r="U14" i="28" s="1"/>
  <c r="S13" i="28"/>
  <c r="U13" i="28" s="1"/>
  <c r="S12" i="28"/>
  <c r="U12" i="28" s="1"/>
  <c r="S11" i="28"/>
  <c r="U11" i="28" s="1"/>
  <c r="S10" i="28"/>
  <c r="U10" i="28" s="1"/>
  <c r="S9" i="28"/>
  <c r="U9" i="28" s="1"/>
  <c r="S8" i="28"/>
  <c r="U8" i="28" s="1"/>
  <c r="S7" i="28"/>
  <c r="P178" i="28"/>
  <c r="R178" i="28" s="1"/>
  <c r="P177" i="28"/>
  <c r="R177" i="28" s="1"/>
  <c r="P175" i="28"/>
  <c r="R175" i="28" s="1"/>
  <c r="P174" i="28"/>
  <c r="R174" i="28" s="1"/>
  <c r="P173" i="28"/>
  <c r="R173" i="28" s="1"/>
  <c r="P172" i="28"/>
  <c r="R172" i="28" s="1"/>
  <c r="P171" i="28"/>
  <c r="R171" i="28" s="1"/>
  <c r="P170" i="28"/>
  <c r="P169" i="28"/>
  <c r="R169" i="28" s="1"/>
  <c r="P168" i="28"/>
  <c r="R168" i="28" s="1"/>
  <c r="R167" i="28" s="1"/>
  <c r="P167" i="28"/>
  <c r="P166" i="28"/>
  <c r="R166" i="28" s="1"/>
  <c r="P165" i="28"/>
  <c r="R165" i="28" s="1"/>
  <c r="P163" i="28"/>
  <c r="R163" i="28" s="1"/>
  <c r="P162" i="28"/>
  <c r="R162" i="28" s="1"/>
  <c r="P161" i="28"/>
  <c r="R161" i="28" s="1"/>
  <c r="P160" i="28"/>
  <c r="R160" i="28" s="1"/>
  <c r="P159" i="28"/>
  <c r="R159" i="28" s="1"/>
  <c r="P158" i="28"/>
  <c r="P157" i="28"/>
  <c r="R157" i="28" s="1"/>
  <c r="P151" i="28"/>
  <c r="P150" i="28"/>
  <c r="P149" i="28"/>
  <c r="R149" i="28" s="1"/>
  <c r="P148" i="28"/>
  <c r="R148" i="28" s="1"/>
  <c r="P147" i="28"/>
  <c r="R147" i="28" s="1"/>
  <c r="P146" i="28"/>
  <c r="R146" i="28" s="1"/>
  <c r="P145" i="28"/>
  <c r="P144" i="28"/>
  <c r="P137" i="28"/>
  <c r="R137" i="28" s="1"/>
  <c r="P136" i="28"/>
  <c r="R136" i="28" s="1"/>
  <c r="P135" i="28"/>
  <c r="R135" i="28" s="1"/>
  <c r="P134" i="28"/>
  <c r="R134" i="28" s="1"/>
  <c r="P133" i="28"/>
  <c r="R133" i="28" s="1"/>
  <c r="P132" i="28"/>
  <c r="P127" i="28"/>
  <c r="R127" i="28" s="1"/>
  <c r="P126" i="28"/>
  <c r="R126" i="28" s="1"/>
  <c r="P125" i="28"/>
  <c r="R125" i="28" s="1"/>
  <c r="P124" i="28"/>
  <c r="R124" i="28" s="1"/>
  <c r="P123" i="28"/>
  <c r="R123" i="28" s="1"/>
  <c r="P122" i="28"/>
  <c r="R122" i="28" s="1"/>
  <c r="P121" i="28"/>
  <c r="R121" i="28" s="1"/>
  <c r="P120" i="28"/>
  <c r="R120" i="28" s="1"/>
  <c r="P118" i="28"/>
  <c r="R118" i="28" s="1"/>
  <c r="P117" i="28"/>
  <c r="R117" i="28" s="1"/>
  <c r="P116" i="28"/>
  <c r="R116" i="28" s="1"/>
  <c r="P115" i="28"/>
  <c r="R115" i="28" s="1"/>
  <c r="P114" i="28"/>
  <c r="R114" i="28" s="1"/>
  <c r="P113" i="28"/>
  <c r="R113" i="28" s="1"/>
  <c r="P112" i="28"/>
  <c r="P111" i="28"/>
  <c r="R111" i="28" s="1"/>
  <c r="P110" i="28"/>
  <c r="R110" i="28" s="1"/>
  <c r="P109" i="28"/>
  <c r="R109" i="28" s="1"/>
  <c r="P108" i="28"/>
  <c r="R108" i="28" s="1"/>
  <c r="P107" i="28"/>
  <c r="R107" i="28" s="1"/>
  <c r="P106" i="28"/>
  <c r="P105" i="28"/>
  <c r="R105" i="28" s="1"/>
  <c r="P104" i="28"/>
  <c r="R104" i="28" s="1"/>
  <c r="P103" i="28"/>
  <c r="R103" i="28" s="1"/>
  <c r="P102" i="28"/>
  <c r="R102" i="28" s="1"/>
  <c r="P101" i="28"/>
  <c r="R101" i="28" s="1"/>
  <c r="P99" i="28"/>
  <c r="R99" i="28" s="1"/>
  <c r="P98" i="28"/>
  <c r="P96" i="28"/>
  <c r="R96" i="28" s="1"/>
  <c r="P95" i="28"/>
  <c r="R95" i="28" s="1"/>
  <c r="P94" i="28"/>
  <c r="R94" i="28" s="1"/>
  <c r="P93" i="28"/>
  <c r="R93" i="28" s="1"/>
  <c r="P92" i="28"/>
  <c r="R92" i="28" s="1"/>
  <c r="P91" i="28"/>
  <c r="R91" i="28" s="1"/>
  <c r="P90" i="28"/>
  <c r="P89" i="28"/>
  <c r="R89" i="28" s="1"/>
  <c r="P88" i="28"/>
  <c r="R88" i="28" s="1"/>
  <c r="P87" i="28"/>
  <c r="R87" i="28" s="1"/>
  <c r="P86" i="28"/>
  <c r="R86" i="28" s="1"/>
  <c r="P85" i="28"/>
  <c r="R85" i="28" s="1"/>
  <c r="P81" i="28"/>
  <c r="R81" i="28" s="1"/>
  <c r="P80" i="28"/>
  <c r="R80" i="28" s="1"/>
  <c r="P79" i="28"/>
  <c r="R79" i="28" s="1"/>
  <c r="P78" i="28"/>
  <c r="P76" i="28"/>
  <c r="R76" i="28" s="1"/>
  <c r="P75" i="28"/>
  <c r="R75" i="28" s="1"/>
  <c r="P74" i="28"/>
  <c r="R74" i="28" s="1"/>
  <c r="P73" i="28"/>
  <c r="R73" i="28" s="1"/>
  <c r="P72" i="28"/>
  <c r="P71" i="28"/>
  <c r="R71" i="28" s="1"/>
  <c r="P70" i="28"/>
  <c r="R70" i="28" s="1"/>
  <c r="P69" i="28"/>
  <c r="R69" i="28" s="1"/>
  <c r="P68" i="28"/>
  <c r="R68" i="28" s="1"/>
  <c r="P67" i="28"/>
  <c r="R67" i="28" s="1"/>
  <c r="P66" i="28"/>
  <c r="R66" i="28" s="1"/>
  <c r="P65" i="28"/>
  <c r="P64" i="28"/>
  <c r="R64" i="28" s="1"/>
  <c r="P63" i="28"/>
  <c r="R63" i="28" s="1"/>
  <c r="P62" i="28"/>
  <c r="R62" i="28" s="1"/>
  <c r="P61" i="28"/>
  <c r="R61" i="28" s="1"/>
  <c r="P60" i="28"/>
  <c r="P59" i="28"/>
  <c r="R59" i="28" s="1"/>
  <c r="P58" i="28"/>
  <c r="R58" i="28" s="1"/>
  <c r="P57" i="28"/>
  <c r="R57" i="28" s="1"/>
  <c r="P56" i="28"/>
  <c r="P55" i="28"/>
  <c r="R55" i="28" s="1"/>
  <c r="R54" i="28" s="1"/>
  <c r="P54" i="28"/>
  <c r="P53" i="28"/>
  <c r="R53" i="28" s="1"/>
  <c r="P52" i="28"/>
  <c r="R52" i="28" s="1"/>
  <c r="P51" i="28"/>
  <c r="R51" i="28" s="1"/>
  <c r="P50" i="28"/>
  <c r="R50" i="28" s="1"/>
  <c r="P49" i="28"/>
  <c r="R49" i="28" s="1"/>
  <c r="P47" i="28"/>
  <c r="R47" i="28" s="1"/>
  <c r="P46" i="28"/>
  <c r="R46" i="28" s="1"/>
  <c r="P45" i="28"/>
  <c r="R45" i="28" s="1"/>
  <c r="P44" i="28"/>
  <c r="P42" i="28"/>
  <c r="R42" i="28" s="1"/>
  <c r="P41" i="28"/>
  <c r="R41" i="28" s="1"/>
  <c r="P40" i="28"/>
  <c r="R40" i="28" s="1"/>
  <c r="P39" i="28"/>
  <c r="R39" i="28" s="1"/>
  <c r="P38" i="28"/>
  <c r="P36" i="28"/>
  <c r="R36" i="28" s="1"/>
  <c r="P35" i="28"/>
  <c r="R35" i="28" s="1"/>
  <c r="P34" i="28"/>
  <c r="R34" i="28" s="1"/>
  <c r="P33" i="28"/>
  <c r="R33" i="28" s="1"/>
  <c r="P32" i="28"/>
  <c r="R32" i="28" s="1"/>
  <c r="P31" i="28"/>
  <c r="P30" i="28"/>
  <c r="R30" i="28" s="1"/>
  <c r="P29" i="28"/>
  <c r="R29" i="28" s="1"/>
  <c r="P28" i="28"/>
  <c r="R28" i="28" s="1"/>
  <c r="P27" i="28"/>
  <c r="R27" i="28" s="1"/>
  <c r="P26" i="28"/>
  <c r="R26" i="28" s="1"/>
  <c r="P25" i="28"/>
  <c r="R25" i="28" s="1"/>
  <c r="P24" i="28"/>
  <c r="R24" i="28" s="1"/>
  <c r="P23" i="28"/>
  <c r="R23" i="28" s="1"/>
  <c r="P22" i="28"/>
  <c r="R22" i="28" s="1"/>
  <c r="P21" i="28"/>
  <c r="R21" i="28" s="1"/>
  <c r="P20" i="28"/>
  <c r="R20" i="28" s="1"/>
  <c r="P19" i="28"/>
  <c r="R19" i="28" s="1"/>
  <c r="P18" i="28"/>
  <c r="R18" i="28" s="1"/>
  <c r="P17" i="28"/>
  <c r="R17" i="28" s="1"/>
  <c r="P16" i="28"/>
  <c r="R16" i="28" s="1"/>
  <c r="P15" i="28"/>
  <c r="R15" i="28" s="1"/>
  <c r="R14" i="28"/>
  <c r="P13" i="28"/>
  <c r="R13" i="28" s="1"/>
  <c r="P12" i="28"/>
  <c r="R12" i="28" s="1"/>
  <c r="P11" i="28"/>
  <c r="R11" i="28" s="1"/>
  <c r="P10" i="28"/>
  <c r="R10" i="28" s="1"/>
  <c r="P9" i="28"/>
  <c r="R9" i="28" s="1"/>
  <c r="P8" i="28"/>
  <c r="R8" i="28" s="1"/>
  <c r="P7" i="28"/>
  <c r="M178" i="28"/>
  <c r="O178" i="28" s="1"/>
  <c r="M177" i="28"/>
  <c r="O177" i="28" s="1"/>
  <c r="M175" i="28"/>
  <c r="O175" i="28" s="1"/>
  <c r="M174" i="28"/>
  <c r="O174" i="28" s="1"/>
  <c r="M173" i="28"/>
  <c r="O173" i="28" s="1"/>
  <c r="M172" i="28"/>
  <c r="O172" i="28" s="1"/>
  <c r="M171" i="28"/>
  <c r="M170" i="28"/>
  <c r="M169" i="28"/>
  <c r="M168" i="28"/>
  <c r="O168" i="28" s="1"/>
  <c r="O167" i="28" s="1"/>
  <c r="M167" i="28"/>
  <c r="M166" i="28"/>
  <c r="O166" i="28" s="1"/>
  <c r="M165" i="28"/>
  <c r="M163" i="28"/>
  <c r="O163" i="28" s="1"/>
  <c r="M162" i="28"/>
  <c r="O162" i="28" s="1"/>
  <c r="M161" i="28"/>
  <c r="O161" i="28" s="1"/>
  <c r="M160" i="28"/>
  <c r="O160" i="28" s="1"/>
  <c r="M159" i="28"/>
  <c r="O159" i="28" s="1"/>
  <c r="M158" i="28"/>
  <c r="M157" i="28"/>
  <c r="O157" i="28" s="1"/>
  <c r="M151" i="28"/>
  <c r="M150" i="28"/>
  <c r="O150" i="28" s="1"/>
  <c r="M149" i="28"/>
  <c r="O149" i="28" s="1"/>
  <c r="M148" i="28"/>
  <c r="O148" i="28" s="1"/>
  <c r="M147" i="28"/>
  <c r="O147" i="28" s="1"/>
  <c r="M146" i="28"/>
  <c r="O146" i="28" s="1"/>
  <c r="M145" i="28"/>
  <c r="M144" i="28"/>
  <c r="M137" i="28"/>
  <c r="O137" i="28" s="1"/>
  <c r="M136" i="28"/>
  <c r="O136" i="28" s="1"/>
  <c r="M135" i="28"/>
  <c r="O135" i="28" s="1"/>
  <c r="M134" i="28"/>
  <c r="O134" i="28" s="1"/>
  <c r="M133" i="28"/>
  <c r="O133" i="28" s="1"/>
  <c r="M132" i="28"/>
  <c r="M127" i="28"/>
  <c r="O127" i="28" s="1"/>
  <c r="M126" i="28"/>
  <c r="O126" i="28" s="1"/>
  <c r="M125" i="28"/>
  <c r="O125" i="28" s="1"/>
  <c r="M124" i="28"/>
  <c r="O124" i="28" s="1"/>
  <c r="M123" i="28"/>
  <c r="O123" i="28" s="1"/>
  <c r="M122" i="28"/>
  <c r="O122" i="28" s="1"/>
  <c r="M121" i="28"/>
  <c r="O121" i="28" s="1"/>
  <c r="M120" i="28"/>
  <c r="O120" i="28" s="1"/>
  <c r="M118" i="28"/>
  <c r="O118" i="28" s="1"/>
  <c r="M117" i="28"/>
  <c r="O117" i="28" s="1"/>
  <c r="M116" i="28"/>
  <c r="O116" i="28" s="1"/>
  <c r="M115" i="28"/>
  <c r="O115" i="28" s="1"/>
  <c r="M114" i="28"/>
  <c r="O114" i="28" s="1"/>
  <c r="M113" i="28"/>
  <c r="O113" i="28" s="1"/>
  <c r="M112" i="28"/>
  <c r="M111" i="28"/>
  <c r="O111" i="28" s="1"/>
  <c r="M110" i="28"/>
  <c r="O110" i="28" s="1"/>
  <c r="M109" i="28"/>
  <c r="O109" i="28" s="1"/>
  <c r="M108" i="28"/>
  <c r="O108" i="28" s="1"/>
  <c r="M107" i="28"/>
  <c r="O107" i="28" s="1"/>
  <c r="M106" i="28"/>
  <c r="M105" i="28"/>
  <c r="O105" i="28" s="1"/>
  <c r="M104" i="28"/>
  <c r="O104" i="28" s="1"/>
  <c r="M103" i="28"/>
  <c r="O103" i="28" s="1"/>
  <c r="M102" i="28"/>
  <c r="O102" i="28" s="1"/>
  <c r="M101" i="28"/>
  <c r="O101" i="28" s="1"/>
  <c r="M99" i="28"/>
  <c r="O99" i="28" s="1"/>
  <c r="M98" i="28"/>
  <c r="M96" i="28"/>
  <c r="O96" i="28" s="1"/>
  <c r="M95" i="28"/>
  <c r="O95" i="28" s="1"/>
  <c r="M94" i="28"/>
  <c r="O94" i="28" s="1"/>
  <c r="M93" i="28"/>
  <c r="O93" i="28" s="1"/>
  <c r="M92" i="28"/>
  <c r="O92" i="28" s="1"/>
  <c r="M91" i="28"/>
  <c r="O91" i="28" s="1"/>
  <c r="M90" i="28"/>
  <c r="M89" i="28"/>
  <c r="O89" i="28" s="1"/>
  <c r="M88" i="28"/>
  <c r="O88" i="28" s="1"/>
  <c r="M87" i="28"/>
  <c r="O87" i="28" s="1"/>
  <c r="M86" i="28"/>
  <c r="O86" i="28" s="1"/>
  <c r="M85" i="28"/>
  <c r="O85" i="28" s="1"/>
  <c r="M81" i="28"/>
  <c r="M80" i="28"/>
  <c r="O80" i="28" s="1"/>
  <c r="M79" i="28"/>
  <c r="M78" i="28"/>
  <c r="O78" i="28" s="1"/>
  <c r="M76" i="28"/>
  <c r="O76" i="28" s="1"/>
  <c r="M75" i="28"/>
  <c r="O75" i="28" s="1"/>
  <c r="M74" i="28"/>
  <c r="O74" i="28" s="1"/>
  <c r="M73" i="28"/>
  <c r="O73" i="28" s="1"/>
  <c r="M72" i="28"/>
  <c r="M71" i="28"/>
  <c r="M70" i="28"/>
  <c r="O70" i="28" s="1"/>
  <c r="M69" i="28"/>
  <c r="O69" i="28" s="1"/>
  <c r="M68" i="28"/>
  <c r="O68" i="28" s="1"/>
  <c r="M67" i="28"/>
  <c r="O67" i="28" s="1"/>
  <c r="M66" i="28"/>
  <c r="O66" i="28" s="1"/>
  <c r="M65" i="28"/>
  <c r="M64" i="28"/>
  <c r="O64" i="28" s="1"/>
  <c r="M63" i="28"/>
  <c r="O63" i="28" s="1"/>
  <c r="M62" i="28"/>
  <c r="O62" i="28" s="1"/>
  <c r="M61" i="28"/>
  <c r="M60" i="28"/>
  <c r="M58" i="28"/>
  <c r="O58" i="28" s="1"/>
  <c r="M57" i="28"/>
  <c r="O57" i="28" s="1"/>
  <c r="M55" i="28"/>
  <c r="O55" i="28" s="1"/>
  <c r="O54" i="28" s="1"/>
  <c r="M54" i="28"/>
  <c r="M53" i="28"/>
  <c r="O53" i="28" s="1"/>
  <c r="M52" i="28"/>
  <c r="O52" i="28" s="1"/>
  <c r="M51" i="28"/>
  <c r="O51" i="28" s="1"/>
  <c r="M50" i="28"/>
  <c r="O50" i="28" s="1"/>
  <c r="M49" i="28"/>
  <c r="O49" i="28" s="1"/>
  <c r="M47" i="28"/>
  <c r="O47" i="28" s="1"/>
  <c r="M46" i="28"/>
  <c r="O46" i="28" s="1"/>
  <c r="M45" i="28"/>
  <c r="O45" i="28" s="1"/>
  <c r="M44" i="28"/>
  <c r="M42" i="28"/>
  <c r="O42" i="28" s="1"/>
  <c r="M41" i="28"/>
  <c r="O41" i="28" s="1"/>
  <c r="M40" i="28"/>
  <c r="O40" i="28" s="1"/>
  <c r="M39" i="28"/>
  <c r="O39" i="28" s="1"/>
  <c r="M38" i="28"/>
  <c r="M36" i="28"/>
  <c r="O36" i="28" s="1"/>
  <c r="M35" i="28"/>
  <c r="O35" i="28" s="1"/>
  <c r="M34" i="28"/>
  <c r="O34" i="28" s="1"/>
  <c r="M33" i="28"/>
  <c r="O33" i="28" s="1"/>
  <c r="M32" i="28"/>
  <c r="O32" i="28" s="1"/>
  <c r="M31" i="28"/>
  <c r="M30" i="28"/>
  <c r="O30" i="28" s="1"/>
  <c r="M29" i="28"/>
  <c r="O29" i="28" s="1"/>
  <c r="M28" i="28"/>
  <c r="O28" i="28" s="1"/>
  <c r="M27" i="28"/>
  <c r="O27" i="28" s="1"/>
  <c r="M26" i="28"/>
  <c r="O26" i="28" s="1"/>
  <c r="M25" i="28"/>
  <c r="O25" i="28" s="1"/>
  <c r="M24" i="28"/>
  <c r="O24" i="28" s="1"/>
  <c r="M23" i="28"/>
  <c r="O23" i="28" s="1"/>
  <c r="M22" i="28"/>
  <c r="O22" i="28" s="1"/>
  <c r="M21" i="28"/>
  <c r="O21" i="28" s="1"/>
  <c r="M20" i="28"/>
  <c r="O20" i="28" s="1"/>
  <c r="M19" i="28"/>
  <c r="O19" i="28" s="1"/>
  <c r="M18" i="28"/>
  <c r="O18" i="28" s="1"/>
  <c r="M17" i="28"/>
  <c r="O17" i="28" s="1"/>
  <c r="M16" i="28"/>
  <c r="O16" i="28" s="1"/>
  <c r="M15" i="28"/>
  <c r="O15" i="28" s="1"/>
  <c r="M14" i="28"/>
  <c r="O14" i="28" s="1"/>
  <c r="M13" i="28"/>
  <c r="O13" i="28" s="1"/>
  <c r="M12" i="28"/>
  <c r="O12" i="28" s="1"/>
  <c r="M11" i="28"/>
  <c r="O11" i="28" s="1"/>
  <c r="M10" i="28"/>
  <c r="O10" i="28" s="1"/>
  <c r="M9" i="28"/>
  <c r="O9" i="28" s="1"/>
  <c r="M8" i="28"/>
  <c r="O8" i="28" s="1"/>
  <c r="M7" i="28"/>
  <c r="J178" i="28"/>
  <c r="L178" i="28" s="1"/>
  <c r="J177" i="28"/>
  <c r="L177" i="28" s="1"/>
  <c r="J176" i="28"/>
  <c r="L176" i="28" s="1"/>
  <c r="J175" i="28"/>
  <c r="L175" i="28" s="1"/>
  <c r="J174" i="28"/>
  <c r="L174" i="28" s="1"/>
  <c r="J173" i="28"/>
  <c r="L173" i="28" s="1"/>
  <c r="J172" i="28"/>
  <c r="L172" i="28" s="1"/>
  <c r="J171" i="28"/>
  <c r="J170" i="28"/>
  <c r="J169" i="28"/>
  <c r="J168" i="28"/>
  <c r="L168" i="28" s="1"/>
  <c r="L167" i="28" s="1"/>
  <c r="J167" i="28"/>
  <c r="J166" i="28"/>
  <c r="L166" i="28" s="1"/>
  <c r="J165" i="28"/>
  <c r="J163" i="28"/>
  <c r="L163" i="28" s="1"/>
  <c r="J162" i="28"/>
  <c r="L162" i="28" s="1"/>
  <c r="J161" i="28"/>
  <c r="L161" i="28" s="1"/>
  <c r="J160" i="28"/>
  <c r="L160" i="28" s="1"/>
  <c r="J159" i="28"/>
  <c r="L159" i="28" s="1"/>
  <c r="J158" i="28"/>
  <c r="J157" i="28"/>
  <c r="L157" i="28" s="1"/>
  <c r="J156" i="28"/>
  <c r="L156" i="28" s="1"/>
  <c r="J155" i="28"/>
  <c r="L155" i="28" s="1"/>
  <c r="J154" i="28"/>
  <c r="L154" i="28" s="1"/>
  <c r="J153" i="28"/>
  <c r="L153" i="28" s="1"/>
  <c r="J152" i="28"/>
  <c r="L152" i="28" s="1"/>
  <c r="J151" i="28"/>
  <c r="J150" i="28"/>
  <c r="L150" i="28" s="1"/>
  <c r="J149" i="28"/>
  <c r="L149" i="28" s="1"/>
  <c r="J148" i="28"/>
  <c r="L148" i="28" s="1"/>
  <c r="J147" i="28"/>
  <c r="L147" i="28" s="1"/>
  <c r="J146" i="28"/>
  <c r="L146" i="28" s="1"/>
  <c r="J145" i="28"/>
  <c r="J144" i="28"/>
  <c r="J137" i="28"/>
  <c r="L137" i="28" s="1"/>
  <c r="J136" i="28"/>
  <c r="L136" i="28" s="1"/>
  <c r="J135" i="28"/>
  <c r="L135" i="28" s="1"/>
  <c r="J134" i="28"/>
  <c r="L134" i="28" s="1"/>
  <c r="J133" i="28"/>
  <c r="L133" i="28" s="1"/>
  <c r="J132" i="28"/>
  <c r="J127" i="28"/>
  <c r="L127" i="28" s="1"/>
  <c r="J126" i="28"/>
  <c r="L126" i="28" s="1"/>
  <c r="J125" i="28"/>
  <c r="L125" i="28" s="1"/>
  <c r="J124" i="28"/>
  <c r="L124" i="28" s="1"/>
  <c r="J123" i="28"/>
  <c r="L123" i="28" s="1"/>
  <c r="J122" i="28"/>
  <c r="L122" i="28" s="1"/>
  <c r="J121" i="28"/>
  <c r="L121" i="28" s="1"/>
  <c r="J120" i="28"/>
  <c r="L120" i="28" s="1"/>
  <c r="J118" i="28"/>
  <c r="L118" i="28" s="1"/>
  <c r="J117" i="28"/>
  <c r="L117" i="28" s="1"/>
  <c r="J116" i="28"/>
  <c r="L116" i="28" s="1"/>
  <c r="J115" i="28"/>
  <c r="L115" i="28" s="1"/>
  <c r="J114" i="28"/>
  <c r="L114" i="28" s="1"/>
  <c r="J113" i="28"/>
  <c r="L113" i="28" s="1"/>
  <c r="J112" i="28"/>
  <c r="J111" i="28"/>
  <c r="L111" i="28" s="1"/>
  <c r="J110" i="28"/>
  <c r="L110" i="28" s="1"/>
  <c r="J109" i="28"/>
  <c r="L109" i="28" s="1"/>
  <c r="J108" i="28"/>
  <c r="L108" i="28" s="1"/>
  <c r="J107" i="28"/>
  <c r="L107" i="28" s="1"/>
  <c r="J106" i="28"/>
  <c r="J105" i="28"/>
  <c r="L105" i="28" s="1"/>
  <c r="J104" i="28"/>
  <c r="L104" i="28" s="1"/>
  <c r="J103" i="28"/>
  <c r="L103" i="28" s="1"/>
  <c r="J102" i="28"/>
  <c r="L102" i="28" s="1"/>
  <c r="J101" i="28"/>
  <c r="L101" i="28" s="1"/>
  <c r="L99" i="28"/>
  <c r="J98" i="28"/>
  <c r="J96" i="28"/>
  <c r="L96" i="28" s="1"/>
  <c r="J95" i="28"/>
  <c r="L95" i="28" s="1"/>
  <c r="J94" i="28"/>
  <c r="L94" i="28" s="1"/>
  <c r="J93" i="28"/>
  <c r="L93" i="28" s="1"/>
  <c r="J92" i="28"/>
  <c r="L92" i="28" s="1"/>
  <c r="J91" i="28"/>
  <c r="L91" i="28" s="1"/>
  <c r="J90" i="28"/>
  <c r="J89" i="28"/>
  <c r="L89" i="28" s="1"/>
  <c r="J88" i="28"/>
  <c r="L88" i="28" s="1"/>
  <c r="J87" i="28"/>
  <c r="L87" i="28" s="1"/>
  <c r="J86" i="28"/>
  <c r="L86" i="28" s="1"/>
  <c r="J85" i="28"/>
  <c r="L85" i="28" s="1"/>
  <c r="J81" i="28"/>
  <c r="J80" i="28"/>
  <c r="L80" i="28" s="1"/>
  <c r="J79" i="28"/>
  <c r="L79" i="28" s="1"/>
  <c r="J78" i="28"/>
  <c r="J76" i="28"/>
  <c r="L76" i="28" s="1"/>
  <c r="J75" i="28"/>
  <c r="L75" i="28" s="1"/>
  <c r="J74" i="28"/>
  <c r="L74" i="28" s="1"/>
  <c r="J73" i="28"/>
  <c r="L73" i="28" s="1"/>
  <c r="J72" i="28"/>
  <c r="J71" i="28"/>
  <c r="J70" i="28"/>
  <c r="L70" i="28" s="1"/>
  <c r="J69" i="28"/>
  <c r="L69" i="28" s="1"/>
  <c r="J68" i="28"/>
  <c r="L68" i="28" s="1"/>
  <c r="J67" i="28"/>
  <c r="L67" i="28" s="1"/>
  <c r="J66" i="28"/>
  <c r="L66" i="28" s="1"/>
  <c r="J65" i="28"/>
  <c r="J64" i="28"/>
  <c r="L64" i="28" s="1"/>
  <c r="J63" i="28"/>
  <c r="L63" i="28" s="1"/>
  <c r="J62" i="28"/>
  <c r="L62" i="28" s="1"/>
  <c r="J61" i="28"/>
  <c r="J60" i="28"/>
  <c r="J58" i="28"/>
  <c r="L58" i="28" s="1"/>
  <c r="J57" i="28"/>
  <c r="L57" i="28" s="1"/>
  <c r="J55" i="28"/>
  <c r="J54" i="28"/>
  <c r="J53" i="28"/>
  <c r="L53" i="28" s="1"/>
  <c r="J52" i="28"/>
  <c r="J51" i="28"/>
  <c r="L51" i="28" s="1"/>
  <c r="J46" i="28"/>
  <c r="L46" i="28" s="1"/>
  <c r="J42" i="28"/>
  <c r="L42" i="28" s="1"/>
  <c r="J41" i="28"/>
  <c r="L41" i="28" s="1"/>
  <c r="J40" i="28"/>
  <c r="L40" i="28" s="1"/>
  <c r="J39" i="28"/>
  <c r="L39" i="28" s="1"/>
  <c r="J38" i="28"/>
  <c r="J36" i="28"/>
  <c r="L36" i="28" s="1"/>
  <c r="J35" i="28"/>
  <c r="L35" i="28" s="1"/>
  <c r="J34" i="28"/>
  <c r="L34" i="28" s="1"/>
  <c r="J33" i="28"/>
  <c r="L33" i="28" s="1"/>
  <c r="J32" i="28"/>
  <c r="L32" i="28" s="1"/>
  <c r="J31" i="28"/>
  <c r="J30" i="28"/>
  <c r="L30" i="28" s="1"/>
  <c r="J29" i="28"/>
  <c r="L29" i="28" s="1"/>
  <c r="J28" i="28"/>
  <c r="L28" i="28" s="1"/>
  <c r="J27" i="28"/>
  <c r="L27" i="28" s="1"/>
  <c r="J26" i="28"/>
  <c r="L26" i="28" s="1"/>
  <c r="J25" i="28"/>
  <c r="L25" i="28" s="1"/>
  <c r="J24" i="28"/>
  <c r="L24" i="28" s="1"/>
  <c r="J23" i="28"/>
  <c r="L23" i="28" s="1"/>
  <c r="J22" i="28"/>
  <c r="L22" i="28" s="1"/>
  <c r="J21" i="28"/>
  <c r="L21" i="28" s="1"/>
  <c r="J20" i="28"/>
  <c r="L20" i="28" s="1"/>
  <c r="J19" i="28"/>
  <c r="L19" i="28" s="1"/>
  <c r="J18" i="28"/>
  <c r="L18" i="28" s="1"/>
  <c r="J17" i="28"/>
  <c r="L17" i="28" s="1"/>
  <c r="J16" i="28"/>
  <c r="L16" i="28" s="1"/>
  <c r="J15" i="28"/>
  <c r="L15" i="28" s="1"/>
  <c r="J14" i="28"/>
  <c r="L14" i="28" s="1"/>
  <c r="J13" i="28"/>
  <c r="L13" i="28" s="1"/>
  <c r="J12" i="28"/>
  <c r="L12" i="28" s="1"/>
  <c r="J11" i="28"/>
  <c r="L11" i="28" s="1"/>
  <c r="J10" i="28"/>
  <c r="L10" i="28" s="1"/>
  <c r="J9" i="28"/>
  <c r="L9" i="28" s="1"/>
  <c r="J8" i="28"/>
  <c r="L8" i="28" s="1"/>
  <c r="J7" i="28"/>
  <c r="A178" i="28"/>
  <c r="A177" i="28"/>
  <c r="A176" i="28"/>
  <c r="A175" i="28"/>
  <c r="A174" i="28"/>
  <c r="A173" i="28"/>
  <c r="A172" i="28"/>
  <c r="A171" i="28"/>
  <c r="C170" i="28"/>
  <c r="A170" i="28"/>
  <c r="C169" i="28"/>
  <c r="A169" i="28"/>
  <c r="I168" i="28"/>
  <c r="H168" i="28"/>
  <c r="G168" i="28"/>
  <c r="F168" i="28"/>
  <c r="E168" i="28"/>
  <c r="D168" i="28"/>
  <c r="C168" i="28"/>
  <c r="A168" i="28"/>
  <c r="C167" i="28"/>
  <c r="A167" i="28"/>
  <c r="C166" i="28"/>
  <c r="A166" i="28"/>
  <c r="A165" i="28"/>
  <c r="A163" i="28"/>
  <c r="A162" i="28"/>
  <c r="A161" i="28"/>
  <c r="A160" i="28"/>
  <c r="A159" i="28"/>
  <c r="C158" i="28"/>
  <c r="A158" i="28"/>
  <c r="C157" i="28"/>
  <c r="A157" i="28"/>
  <c r="A156" i="28"/>
  <c r="A155" i="28"/>
  <c r="A154" i="28"/>
  <c r="A153" i="28"/>
  <c r="A152" i="28"/>
  <c r="C151" i="28"/>
  <c r="A151" i="28"/>
  <c r="A150" i="28"/>
  <c r="A149" i="28"/>
  <c r="A148" i="28"/>
  <c r="A147" i="28"/>
  <c r="A146" i="28"/>
  <c r="C145" i="28"/>
  <c r="A145" i="28"/>
  <c r="C144" i="28"/>
  <c r="A144" i="28"/>
  <c r="A137" i="28"/>
  <c r="A136" i="28"/>
  <c r="A135" i="28"/>
  <c r="A134" i="28"/>
  <c r="A133" i="28"/>
  <c r="A127" i="28"/>
  <c r="A126" i="28"/>
  <c r="A125" i="28"/>
  <c r="A124" i="28"/>
  <c r="A123" i="28"/>
  <c r="A122" i="28"/>
  <c r="A121" i="28"/>
  <c r="A120" i="28"/>
  <c r="C118" i="28"/>
  <c r="A118" i="28"/>
  <c r="A117" i="28"/>
  <c r="A116" i="28"/>
  <c r="A115" i="28"/>
  <c r="A114" i="28"/>
  <c r="A113" i="28"/>
  <c r="C112" i="28"/>
  <c r="A112" i="28"/>
  <c r="A111" i="28"/>
  <c r="A110" i="28"/>
  <c r="A109" i="28"/>
  <c r="A108" i="28"/>
  <c r="A107" i="28"/>
  <c r="C106" i="28"/>
  <c r="A106" i="28"/>
  <c r="A105" i="28"/>
  <c r="A104" i="28"/>
  <c r="A103" i="28"/>
  <c r="A102" i="28"/>
  <c r="A101" i="28"/>
  <c r="C99" i="28"/>
  <c r="A99" i="28"/>
  <c r="C98" i="28"/>
  <c r="A98" i="28"/>
  <c r="A96" i="28"/>
  <c r="A95" i="28"/>
  <c r="A94" i="28"/>
  <c r="A93" i="28"/>
  <c r="A92" i="28"/>
  <c r="A91" i="28"/>
  <c r="C90" i="28"/>
  <c r="A90" i="28"/>
  <c r="A89" i="28"/>
  <c r="A88" i="28"/>
  <c r="A87" i="28"/>
  <c r="A86" i="28"/>
  <c r="A85" i="28"/>
  <c r="A81" i="28"/>
  <c r="A80" i="28"/>
  <c r="A79" i="28"/>
  <c r="A78" i="28"/>
  <c r="C77" i="28"/>
  <c r="A77" i="28"/>
  <c r="A76" i="28"/>
  <c r="A75" i="28"/>
  <c r="A74" i="28"/>
  <c r="A73" i="28"/>
  <c r="C72" i="28"/>
  <c r="A72" i="28"/>
  <c r="C71" i="28"/>
  <c r="A71" i="28"/>
  <c r="A70" i="28"/>
  <c r="A69" i="28"/>
  <c r="A68" i="28"/>
  <c r="A67" i="28"/>
  <c r="A66" i="28"/>
  <c r="C65" i="28"/>
  <c r="A65" i="28"/>
  <c r="A64" i="28"/>
  <c r="A63" i="28"/>
  <c r="A62" i="28"/>
  <c r="A61" i="28"/>
  <c r="C60" i="28"/>
  <c r="A60" i="28"/>
  <c r="F59" i="28"/>
  <c r="E59" i="28"/>
  <c r="D59" i="28"/>
  <c r="C59" i="28"/>
  <c r="A59" i="28"/>
  <c r="F58" i="28"/>
  <c r="E58" i="28"/>
  <c r="D58" i="28"/>
  <c r="C58" i="28"/>
  <c r="A58" i="28"/>
  <c r="F57" i="28"/>
  <c r="E57" i="28"/>
  <c r="D57" i="28"/>
  <c r="C57" i="28"/>
  <c r="A57" i="28"/>
  <c r="C56" i="28"/>
  <c r="A56" i="28"/>
  <c r="A55" i="28"/>
  <c r="C54" i="28"/>
  <c r="A54" i="28"/>
  <c r="A53" i="28"/>
  <c r="A52" i="28"/>
  <c r="A51" i="28"/>
  <c r="A50" i="28"/>
  <c r="A49" i="28"/>
  <c r="C48" i="28"/>
  <c r="A48" i="28"/>
  <c r="A47" i="28"/>
  <c r="A46" i="28"/>
  <c r="A45" i="28"/>
  <c r="C44" i="28"/>
  <c r="A44" i="28"/>
  <c r="A42" i="28"/>
  <c r="A41" i="28"/>
  <c r="A40" i="28"/>
  <c r="A39" i="28"/>
  <c r="A38" i="28"/>
  <c r="C37" i="28"/>
  <c r="A37" i="28"/>
  <c r="A36" i="28"/>
  <c r="A35" i="28"/>
  <c r="A34" i="28"/>
  <c r="A33" i="28"/>
  <c r="A32" i="28"/>
  <c r="C31" i="28"/>
  <c r="A31" i="28"/>
  <c r="A30" i="28"/>
  <c r="A29" i="28"/>
  <c r="A28" i="28"/>
  <c r="A27" i="28"/>
  <c r="A26" i="28"/>
  <c r="A25" i="28"/>
  <c r="A24" i="28"/>
  <c r="A23" i="28"/>
  <c r="A22" i="28"/>
  <c r="A21" i="28"/>
  <c r="A20" i="28"/>
  <c r="A19" i="28"/>
  <c r="A18" i="28"/>
  <c r="A17" i="28"/>
  <c r="A16" i="28"/>
  <c r="A15" i="28"/>
  <c r="A14" i="28"/>
  <c r="A13" i="28"/>
  <c r="A12" i="28"/>
  <c r="A11" i="28"/>
  <c r="A10" i="28"/>
  <c r="A9" i="28"/>
  <c r="A8" i="28"/>
  <c r="U84" i="28" l="1"/>
  <c r="R84" i="28"/>
  <c r="X84" i="28"/>
  <c r="AA84" i="28"/>
  <c r="O84" i="28"/>
  <c r="U78" i="28"/>
  <c r="U77" i="28" s="1"/>
  <c r="S77" i="28"/>
  <c r="R78" i="28"/>
  <c r="R77" i="28" s="1"/>
  <c r="P77" i="28"/>
  <c r="X78" i="28"/>
  <c r="X77" i="28" s="1"/>
  <c r="V77" i="28"/>
  <c r="AA78" i="28"/>
  <c r="Y77" i="28"/>
  <c r="L78" i="28"/>
  <c r="J77" i="28"/>
  <c r="O79" i="28"/>
  <c r="M77" i="28"/>
  <c r="L84" i="28"/>
  <c r="S7" i="27"/>
  <c r="S6" i="27" s="1"/>
  <c r="S181" i="27" s="1"/>
  <c r="O100" i="28"/>
  <c r="R100" i="28"/>
  <c r="L100" i="28"/>
  <c r="U100" i="28"/>
  <c r="X100" i="28"/>
  <c r="U38" i="28"/>
  <c r="U37" i="28" s="1"/>
  <c r="S37" i="28"/>
  <c r="AA38" i="28"/>
  <c r="AA37" i="28" s="1"/>
  <c r="Y37" i="28"/>
  <c r="O38" i="28"/>
  <c r="O37" i="28" s="1"/>
  <c r="M37" i="28"/>
  <c r="R38" i="28"/>
  <c r="R37" i="28" s="1"/>
  <c r="P37" i="28"/>
  <c r="X38" i="28"/>
  <c r="X37" i="28" s="1"/>
  <c r="V37" i="28"/>
  <c r="L38" i="28"/>
  <c r="L37" i="28" s="1"/>
  <c r="J37" i="28"/>
  <c r="P5" i="28"/>
  <c r="AA112" i="28"/>
  <c r="AA170" i="28"/>
  <c r="X158" i="28"/>
  <c r="AA31" i="28"/>
  <c r="R48" i="28"/>
  <c r="R60" i="28"/>
  <c r="R65" i="28"/>
  <c r="R72" i="28"/>
  <c r="R90" i="28"/>
  <c r="R106" i="28"/>
  <c r="R151" i="28"/>
  <c r="U106" i="28"/>
  <c r="U151" i="28"/>
  <c r="L112" i="28"/>
  <c r="O44" i="28"/>
  <c r="O158" i="28"/>
  <c r="L145" i="28"/>
  <c r="AA77" i="28"/>
  <c r="J47" i="28"/>
  <c r="L47" i="28" s="1"/>
  <c r="M49" i="2"/>
  <c r="V56" i="2"/>
  <c r="AA48" i="28"/>
  <c r="L7" i="28"/>
  <c r="L31" i="28"/>
  <c r="L158" i="28"/>
  <c r="O7" i="28"/>
  <c r="O72" i="28"/>
  <c r="O106" i="28"/>
  <c r="O119" i="28"/>
  <c r="R31" i="28"/>
  <c r="R170" i="28"/>
  <c r="U44" i="28"/>
  <c r="U65" i="28"/>
  <c r="U112" i="28"/>
  <c r="U170" i="28"/>
  <c r="X7" i="28"/>
  <c r="X44" i="28"/>
  <c r="X56" i="28"/>
  <c r="X60" i="28"/>
  <c r="X119" i="28"/>
  <c r="AA100" i="28"/>
  <c r="L72" i="28"/>
  <c r="L106" i="28"/>
  <c r="L119" i="28"/>
  <c r="O31" i="28"/>
  <c r="O65" i="28"/>
  <c r="O90" i="28"/>
  <c r="O132" i="28"/>
  <c r="R112" i="28"/>
  <c r="U7" i="28"/>
  <c r="U90" i="28"/>
  <c r="U145" i="28"/>
  <c r="U138" i="28" s="1"/>
  <c r="X48" i="28"/>
  <c r="X72" i="28"/>
  <c r="X90" i="28"/>
  <c r="X106" i="28"/>
  <c r="X132" i="28"/>
  <c r="X151" i="28"/>
  <c r="AA56" i="28"/>
  <c r="AA119" i="28"/>
  <c r="AA132" i="28"/>
  <c r="AA158" i="28"/>
  <c r="L171" i="28"/>
  <c r="L170" i="28" s="1"/>
  <c r="AA7" i="28"/>
  <c r="AA150" i="28"/>
  <c r="AA145" i="28" s="1"/>
  <c r="L61" i="28"/>
  <c r="L60" i="28" s="1"/>
  <c r="AA44" i="28"/>
  <c r="U52" i="28"/>
  <c r="L65" i="28"/>
  <c r="L81" i="28"/>
  <c r="L90" i="28"/>
  <c r="L132" i="28"/>
  <c r="O48" i="28"/>
  <c r="O112" i="28"/>
  <c r="R7" i="28"/>
  <c r="R56" i="28"/>
  <c r="R119" i="28"/>
  <c r="R132" i="28"/>
  <c r="R158" i="28"/>
  <c r="U31" i="28"/>
  <c r="U56" i="28"/>
  <c r="U60" i="28"/>
  <c r="U72" i="28"/>
  <c r="U119" i="28"/>
  <c r="U132" i="28"/>
  <c r="U158" i="28"/>
  <c r="X31" i="28"/>
  <c r="X65" i="28"/>
  <c r="X112" i="28"/>
  <c r="X145" i="28"/>
  <c r="X138" i="28" s="1"/>
  <c r="X170" i="28"/>
  <c r="AA65" i="28"/>
  <c r="AA72" i="28"/>
  <c r="AA90" i="28"/>
  <c r="AA106" i="28"/>
  <c r="K45" i="27"/>
  <c r="J45" i="28"/>
  <c r="L45" i="28" s="1"/>
  <c r="AA7" i="27"/>
  <c r="O145" i="28"/>
  <c r="AA151" i="28"/>
  <c r="AA60" i="28"/>
  <c r="R44" i="28"/>
  <c r="P6" i="28"/>
  <c r="R6" i="28" s="1"/>
  <c r="AE7" i="27"/>
  <c r="P170" i="27"/>
  <c r="P169" i="27" s="1"/>
  <c r="P168" i="27" s="1"/>
  <c r="A180" i="27"/>
  <c r="A179" i="27"/>
  <c r="A178" i="27"/>
  <c r="A177" i="27"/>
  <c r="A176" i="27"/>
  <c r="A175" i="27"/>
  <c r="A174" i="27"/>
  <c r="A173" i="27"/>
  <c r="I170" i="27"/>
  <c r="H170" i="27"/>
  <c r="G170" i="27"/>
  <c r="F170" i="27"/>
  <c r="E170" i="27"/>
  <c r="D170" i="27"/>
  <c r="C170" i="27"/>
  <c r="A170" i="27"/>
  <c r="A165" i="27"/>
  <c r="A164" i="27"/>
  <c r="A163" i="27"/>
  <c r="A162" i="27"/>
  <c r="A161" i="27"/>
  <c r="A158" i="27"/>
  <c r="A157" i="27"/>
  <c r="A156" i="27"/>
  <c r="A155" i="27"/>
  <c r="A154" i="27"/>
  <c r="A152" i="27"/>
  <c r="A151" i="27"/>
  <c r="A150" i="27"/>
  <c r="A149" i="27"/>
  <c r="A148" i="27"/>
  <c r="A139" i="27"/>
  <c r="A138" i="27"/>
  <c r="A137" i="27"/>
  <c r="A98" i="27"/>
  <c r="A97" i="27"/>
  <c r="A96" i="27"/>
  <c r="A95" i="27"/>
  <c r="A94" i="27"/>
  <c r="A93" i="27"/>
  <c r="A91" i="27"/>
  <c r="A90" i="27"/>
  <c r="A89" i="27"/>
  <c r="A88" i="27"/>
  <c r="A87" i="27"/>
  <c r="A83" i="27"/>
  <c r="A82" i="27"/>
  <c r="A81" i="27"/>
  <c r="A80" i="27"/>
  <c r="A78" i="27"/>
  <c r="A77" i="27"/>
  <c r="A76" i="27"/>
  <c r="F60" i="27"/>
  <c r="E60" i="27"/>
  <c r="D60" i="27"/>
  <c r="C60" i="27"/>
  <c r="F59" i="27"/>
  <c r="E59" i="27"/>
  <c r="D59" i="27"/>
  <c r="C59" i="27"/>
  <c r="F58" i="27"/>
  <c r="E58" i="27"/>
  <c r="D58" i="27"/>
  <c r="C58" i="27"/>
  <c r="A37" i="27"/>
  <c r="A36" i="27"/>
  <c r="A35" i="27"/>
  <c r="A34" i="27"/>
  <c r="A33" i="27"/>
  <c r="P170" i="26"/>
  <c r="R170" i="26" s="1"/>
  <c r="P139" i="26"/>
  <c r="R139" i="26" s="1"/>
  <c r="P138" i="26"/>
  <c r="R138" i="26" s="1"/>
  <c r="P137" i="26"/>
  <c r="R137" i="26" s="1"/>
  <c r="P136" i="26"/>
  <c r="R136" i="26" s="1"/>
  <c r="P135" i="26"/>
  <c r="R135" i="26" s="1"/>
  <c r="P129" i="26"/>
  <c r="R129" i="26" s="1"/>
  <c r="P128" i="26"/>
  <c r="R128" i="26" s="1"/>
  <c r="P127" i="26"/>
  <c r="R127" i="26" s="1"/>
  <c r="P126" i="26"/>
  <c r="R126" i="26" s="1"/>
  <c r="P125" i="26"/>
  <c r="R125" i="26" s="1"/>
  <c r="P124" i="26"/>
  <c r="R124" i="26" s="1"/>
  <c r="P123" i="26"/>
  <c r="R123" i="26" s="1"/>
  <c r="P122" i="26"/>
  <c r="R122" i="26" s="1"/>
  <c r="P121" i="26"/>
  <c r="P69" i="26"/>
  <c r="R69" i="26" s="1"/>
  <c r="P60" i="26"/>
  <c r="R60" i="26" s="1"/>
  <c r="P51" i="26"/>
  <c r="R51" i="26" s="1"/>
  <c r="P30" i="26"/>
  <c r="R30" i="26" s="1"/>
  <c r="P27" i="26"/>
  <c r="R27" i="26" s="1"/>
  <c r="P24" i="26"/>
  <c r="R24" i="26" s="1"/>
  <c r="P23" i="26"/>
  <c r="R23" i="26" s="1"/>
  <c r="P21" i="26"/>
  <c r="R21" i="26" s="1"/>
  <c r="P20" i="26"/>
  <c r="R20" i="26" s="1"/>
  <c r="P16" i="26"/>
  <c r="R16" i="26" s="1"/>
  <c r="P15" i="26"/>
  <c r="R15" i="26" s="1"/>
  <c r="P10" i="26"/>
  <c r="R10" i="26" s="1"/>
  <c r="U170" i="25"/>
  <c r="X170" i="25" s="1"/>
  <c r="U139" i="25"/>
  <c r="X139" i="25" s="1"/>
  <c r="U138" i="25"/>
  <c r="X138" i="25" s="1"/>
  <c r="U137" i="25"/>
  <c r="X137" i="25" s="1"/>
  <c r="U136" i="25"/>
  <c r="X136" i="25" s="1"/>
  <c r="U135" i="25"/>
  <c r="X135" i="25" s="1"/>
  <c r="U70" i="25"/>
  <c r="X70" i="25" s="1"/>
  <c r="U63" i="25"/>
  <c r="X63" i="25" s="1"/>
  <c r="U61" i="25"/>
  <c r="X61" i="25" s="1"/>
  <c r="U52" i="25"/>
  <c r="X52" i="25" s="1"/>
  <c r="U31" i="25"/>
  <c r="X31" i="25" s="1"/>
  <c r="U28" i="25"/>
  <c r="X28" i="25" s="1"/>
  <c r="U25" i="25"/>
  <c r="X25" i="25" s="1"/>
  <c r="U24" i="25"/>
  <c r="X24" i="25" s="1"/>
  <c r="U22" i="25"/>
  <c r="X22" i="25" s="1"/>
  <c r="U21" i="25"/>
  <c r="X21" i="25" s="1"/>
  <c r="U17" i="25"/>
  <c r="X17" i="25" s="1"/>
  <c r="U16" i="25"/>
  <c r="X16" i="25" s="1"/>
  <c r="P170" i="24"/>
  <c r="S170" i="24" s="1"/>
  <c r="P139" i="24"/>
  <c r="S139" i="24" s="1"/>
  <c r="P138" i="24"/>
  <c r="S138" i="24" s="1"/>
  <c r="P137" i="24"/>
  <c r="S137" i="24" s="1"/>
  <c r="P136" i="24"/>
  <c r="S136" i="24" s="1"/>
  <c r="P135" i="24"/>
  <c r="S135" i="24" s="1"/>
  <c r="P129" i="24"/>
  <c r="S129" i="24" s="1"/>
  <c r="P128" i="24"/>
  <c r="S128" i="24" s="1"/>
  <c r="P127" i="24"/>
  <c r="S127" i="24" s="1"/>
  <c r="P126" i="24"/>
  <c r="S126" i="24" s="1"/>
  <c r="P125" i="24"/>
  <c r="S125" i="24" s="1"/>
  <c r="P124" i="24"/>
  <c r="S124" i="24" s="1"/>
  <c r="P123" i="24"/>
  <c r="S123" i="24" s="1"/>
  <c r="P122" i="24"/>
  <c r="S122" i="24" s="1"/>
  <c r="P121" i="24"/>
  <c r="S121" i="24" s="1"/>
  <c r="P69" i="24"/>
  <c r="S69" i="24" s="1"/>
  <c r="P62" i="24"/>
  <c r="S62" i="24" s="1"/>
  <c r="P60" i="24"/>
  <c r="S60" i="24" s="1"/>
  <c r="P51" i="24"/>
  <c r="S51" i="24" s="1"/>
  <c r="P30" i="24"/>
  <c r="S30" i="24" s="1"/>
  <c r="P27" i="24"/>
  <c r="S27" i="24" s="1"/>
  <c r="P24" i="24"/>
  <c r="S24" i="24" s="1"/>
  <c r="P23" i="24"/>
  <c r="S23" i="24" s="1"/>
  <c r="P21" i="24"/>
  <c r="S21" i="24" s="1"/>
  <c r="P20" i="24"/>
  <c r="S20" i="24" s="1"/>
  <c r="P16" i="24"/>
  <c r="S16" i="24" s="1"/>
  <c r="P15" i="24"/>
  <c r="S15" i="24" s="1"/>
  <c r="C171" i="27"/>
  <c r="A171" i="27"/>
  <c r="C168" i="27"/>
  <c r="A168" i="27"/>
  <c r="C159" i="27"/>
  <c r="A159" i="27"/>
  <c r="C146" i="27"/>
  <c r="A146" i="27"/>
  <c r="C101" i="27"/>
  <c r="A101" i="27"/>
  <c r="C72" i="27"/>
  <c r="C167" i="27"/>
  <c r="A167" i="27"/>
  <c r="C100" i="27"/>
  <c r="A100" i="27"/>
  <c r="C172" i="27"/>
  <c r="A172" i="27"/>
  <c r="C169" i="27"/>
  <c r="A169" i="27"/>
  <c r="C160" i="27"/>
  <c r="A160" i="27"/>
  <c r="C153" i="27"/>
  <c r="A153" i="27"/>
  <c r="C147" i="27"/>
  <c r="A147" i="27"/>
  <c r="C120" i="27"/>
  <c r="C114" i="27"/>
  <c r="C108" i="27"/>
  <c r="C102" i="27"/>
  <c r="C92" i="27"/>
  <c r="A92" i="27"/>
  <c r="C79" i="27"/>
  <c r="A79" i="27"/>
  <c r="C73" i="27"/>
  <c r="C66" i="27"/>
  <c r="C61" i="27"/>
  <c r="C57" i="27"/>
  <c r="C55" i="27"/>
  <c r="C49" i="27"/>
  <c r="C45" i="27"/>
  <c r="C38" i="27"/>
  <c r="C32" i="27"/>
  <c r="A32" i="27"/>
  <c r="A31" i="27"/>
  <c r="A30" i="27"/>
  <c r="A29" i="27"/>
  <c r="A28" i="27"/>
  <c r="A27" i="27"/>
  <c r="A26" i="27"/>
  <c r="A25" i="27"/>
  <c r="A24" i="27"/>
  <c r="A23" i="27"/>
  <c r="A22" i="27"/>
  <c r="A21" i="27"/>
  <c r="A20" i="27"/>
  <c r="A19" i="27"/>
  <c r="A18" i="27"/>
  <c r="A17" i="27"/>
  <c r="A16" i="27"/>
  <c r="A15" i="27"/>
  <c r="A14" i="27"/>
  <c r="A13" i="27"/>
  <c r="A12" i="27"/>
  <c r="A11" i="27"/>
  <c r="A10" i="27"/>
  <c r="A9" i="27"/>
  <c r="C8" i="27"/>
  <c r="A8" i="27"/>
  <c r="C7" i="27"/>
  <c r="A7" i="27"/>
  <c r="C6" i="27"/>
  <c r="A6" i="27"/>
  <c r="A180" i="26"/>
  <c r="A179" i="26"/>
  <c r="A178" i="26"/>
  <c r="A177" i="26"/>
  <c r="A176" i="26"/>
  <c r="A175" i="26"/>
  <c r="A174" i="26"/>
  <c r="A173" i="26"/>
  <c r="A172" i="26"/>
  <c r="I171" i="26"/>
  <c r="H171" i="26"/>
  <c r="G171" i="26"/>
  <c r="F171" i="26"/>
  <c r="E171" i="26"/>
  <c r="D171" i="26"/>
  <c r="C171" i="26"/>
  <c r="A171" i="26"/>
  <c r="I170" i="26"/>
  <c r="H170" i="26"/>
  <c r="G170" i="26"/>
  <c r="F170" i="26"/>
  <c r="E170" i="26"/>
  <c r="D170" i="26"/>
  <c r="C170" i="26"/>
  <c r="A170" i="26"/>
  <c r="I168" i="26"/>
  <c r="H168" i="26"/>
  <c r="G168" i="26"/>
  <c r="F168" i="26"/>
  <c r="E168" i="26"/>
  <c r="D168" i="26"/>
  <c r="C168" i="26"/>
  <c r="A168" i="26"/>
  <c r="I167" i="26"/>
  <c r="H167" i="26"/>
  <c r="G167" i="26"/>
  <c r="F167" i="26"/>
  <c r="E167" i="26"/>
  <c r="D167" i="26"/>
  <c r="C167" i="26"/>
  <c r="A167" i="26"/>
  <c r="A165" i="26"/>
  <c r="A164" i="26"/>
  <c r="A163" i="26"/>
  <c r="A162" i="26"/>
  <c r="A161" i="26"/>
  <c r="A160" i="26"/>
  <c r="I159" i="26"/>
  <c r="H159" i="26"/>
  <c r="G159" i="26"/>
  <c r="F159" i="26"/>
  <c r="E159" i="26"/>
  <c r="D159" i="26"/>
  <c r="C159" i="26"/>
  <c r="A159" i="26"/>
  <c r="A158" i="26"/>
  <c r="A157" i="26"/>
  <c r="A156" i="26"/>
  <c r="A155" i="26"/>
  <c r="A154" i="26"/>
  <c r="A153" i="26"/>
  <c r="A152" i="26"/>
  <c r="A151" i="26"/>
  <c r="A150" i="26"/>
  <c r="A149" i="26"/>
  <c r="A148" i="26"/>
  <c r="A147" i="26"/>
  <c r="I146" i="26"/>
  <c r="H146" i="26"/>
  <c r="G146" i="26"/>
  <c r="F146" i="26"/>
  <c r="E146" i="26"/>
  <c r="D146" i="26"/>
  <c r="C146" i="26"/>
  <c r="A146" i="26"/>
  <c r="A139" i="26"/>
  <c r="A138" i="26"/>
  <c r="A137" i="26"/>
  <c r="A136" i="26"/>
  <c r="A135" i="26"/>
  <c r="A134" i="26"/>
  <c r="A129" i="26"/>
  <c r="A128" i="26"/>
  <c r="A127" i="26"/>
  <c r="A126" i="26"/>
  <c r="A125" i="26"/>
  <c r="A124" i="26"/>
  <c r="A123" i="26"/>
  <c r="A122" i="26"/>
  <c r="A121" i="26"/>
  <c r="A119" i="26"/>
  <c r="A118" i="26"/>
  <c r="A117" i="26"/>
  <c r="A116" i="26"/>
  <c r="A115" i="26"/>
  <c r="A114" i="26"/>
  <c r="A113" i="26"/>
  <c r="A112" i="26"/>
  <c r="A111" i="26"/>
  <c r="A110" i="26"/>
  <c r="A109" i="26"/>
  <c r="A108" i="26"/>
  <c r="A107" i="26"/>
  <c r="A106" i="26"/>
  <c r="A105" i="26"/>
  <c r="A104" i="26"/>
  <c r="A103" i="26"/>
  <c r="A102" i="26"/>
  <c r="I101" i="26"/>
  <c r="H101" i="26"/>
  <c r="G101" i="26"/>
  <c r="F101" i="26"/>
  <c r="E101" i="26"/>
  <c r="D101" i="26"/>
  <c r="C101" i="26"/>
  <c r="A101" i="26"/>
  <c r="I100" i="26"/>
  <c r="H100" i="26"/>
  <c r="G100" i="26"/>
  <c r="F100" i="26"/>
  <c r="E100" i="26"/>
  <c r="D100" i="26"/>
  <c r="C100" i="26"/>
  <c r="A100" i="26"/>
  <c r="A98" i="26"/>
  <c r="A97" i="26"/>
  <c r="A96" i="26"/>
  <c r="A95" i="26"/>
  <c r="A94" i="26"/>
  <c r="A93" i="26"/>
  <c r="A92" i="26"/>
  <c r="A91" i="26"/>
  <c r="A90" i="26"/>
  <c r="A89" i="26"/>
  <c r="A88" i="26"/>
  <c r="A87" i="26"/>
  <c r="A86" i="26"/>
  <c r="A83" i="26"/>
  <c r="A82" i="26"/>
  <c r="A81" i="26"/>
  <c r="A80" i="26"/>
  <c r="A79" i="26"/>
  <c r="A78" i="26"/>
  <c r="A77" i="26"/>
  <c r="A76" i="26"/>
  <c r="A75" i="26"/>
  <c r="A74" i="26"/>
  <c r="A73" i="26"/>
  <c r="A72" i="26"/>
  <c r="A71" i="26"/>
  <c r="A70" i="26"/>
  <c r="A69" i="26"/>
  <c r="A68" i="26"/>
  <c r="A67" i="26"/>
  <c r="A66" i="26"/>
  <c r="A65" i="26"/>
  <c r="A64" i="26"/>
  <c r="A63" i="26"/>
  <c r="A62" i="26"/>
  <c r="A61" i="26"/>
  <c r="F60" i="26"/>
  <c r="E60" i="26"/>
  <c r="D60" i="26"/>
  <c r="C60" i="26"/>
  <c r="A60" i="26"/>
  <c r="F59" i="26"/>
  <c r="E59" i="26"/>
  <c r="D59" i="26"/>
  <c r="C59" i="26"/>
  <c r="A59" i="26"/>
  <c r="F58" i="26"/>
  <c r="E58" i="26"/>
  <c r="D58" i="26"/>
  <c r="C58" i="26"/>
  <c r="A58" i="26"/>
  <c r="A57" i="26"/>
  <c r="A56" i="26"/>
  <c r="A55" i="26"/>
  <c r="A54" i="26"/>
  <c r="A53" i="26"/>
  <c r="A52" i="26"/>
  <c r="A51" i="26"/>
  <c r="A50" i="26"/>
  <c r="A49" i="26"/>
  <c r="A48" i="26"/>
  <c r="A47" i="26"/>
  <c r="A46" i="26"/>
  <c r="A43" i="26"/>
  <c r="A42" i="26"/>
  <c r="A41" i="26"/>
  <c r="A40" i="26"/>
  <c r="A39" i="26"/>
  <c r="A38" i="26"/>
  <c r="A37" i="26"/>
  <c r="A36" i="26"/>
  <c r="A35" i="26"/>
  <c r="A34" i="26"/>
  <c r="A33" i="26"/>
  <c r="A32" i="26"/>
  <c r="A31" i="26"/>
  <c r="A30" i="26"/>
  <c r="A29" i="26"/>
  <c r="A28" i="26"/>
  <c r="A27" i="26"/>
  <c r="A26" i="26"/>
  <c r="A25" i="26"/>
  <c r="A24" i="26"/>
  <c r="A23" i="26"/>
  <c r="A22" i="26"/>
  <c r="A21" i="26"/>
  <c r="A20" i="26"/>
  <c r="A19" i="26"/>
  <c r="A18" i="26"/>
  <c r="A17" i="26"/>
  <c r="A16" i="26"/>
  <c r="A15" i="26"/>
  <c r="A14" i="26"/>
  <c r="A13" i="26"/>
  <c r="A12" i="26"/>
  <c r="A11" i="26"/>
  <c r="A10" i="26"/>
  <c r="A9" i="26"/>
  <c r="A180" i="25"/>
  <c r="A179" i="25"/>
  <c r="A178" i="25"/>
  <c r="A177" i="25"/>
  <c r="I171" i="25"/>
  <c r="H171" i="25"/>
  <c r="G171" i="25"/>
  <c r="F171" i="25"/>
  <c r="E171" i="25"/>
  <c r="D171" i="25"/>
  <c r="C171" i="25"/>
  <c r="I170" i="25"/>
  <c r="H170" i="25"/>
  <c r="G170" i="25"/>
  <c r="F170" i="25"/>
  <c r="E170" i="25"/>
  <c r="D170" i="25"/>
  <c r="C170" i="25"/>
  <c r="I168" i="25"/>
  <c r="H168" i="25"/>
  <c r="G168" i="25"/>
  <c r="F168" i="25"/>
  <c r="E168" i="25"/>
  <c r="D168" i="25"/>
  <c r="C168" i="25"/>
  <c r="I167" i="25"/>
  <c r="H167" i="25"/>
  <c r="G167" i="25"/>
  <c r="F167" i="25"/>
  <c r="E167" i="25"/>
  <c r="D167" i="25"/>
  <c r="C167" i="25"/>
  <c r="I159" i="25"/>
  <c r="H159" i="25"/>
  <c r="G159" i="25"/>
  <c r="F159" i="25"/>
  <c r="E159" i="25"/>
  <c r="D159" i="25"/>
  <c r="C159" i="25"/>
  <c r="A152" i="25"/>
  <c r="A151" i="25"/>
  <c r="A150" i="25"/>
  <c r="A149" i="25"/>
  <c r="A148" i="25"/>
  <c r="A147" i="25"/>
  <c r="I146" i="25"/>
  <c r="H146" i="25"/>
  <c r="G146" i="25"/>
  <c r="F146" i="25"/>
  <c r="E146" i="25"/>
  <c r="D146" i="25"/>
  <c r="C146" i="25"/>
  <c r="A146" i="25"/>
  <c r="A139" i="25"/>
  <c r="A138" i="25"/>
  <c r="A137" i="25"/>
  <c r="A136" i="25"/>
  <c r="A135" i="25"/>
  <c r="A134" i="25"/>
  <c r="A129" i="25"/>
  <c r="A128" i="25"/>
  <c r="A127" i="25"/>
  <c r="A126" i="25"/>
  <c r="A125" i="25"/>
  <c r="A124" i="25"/>
  <c r="A123" i="25"/>
  <c r="A122" i="25"/>
  <c r="A121" i="25"/>
  <c r="A119" i="25"/>
  <c r="A118" i="25"/>
  <c r="A117" i="25"/>
  <c r="A116" i="25"/>
  <c r="A115" i="25"/>
  <c r="A114" i="25"/>
  <c r="A113" i="25"/>
  <c r="A112" i="25"/>
  <c r="A111" i="25"/>
  <c r="A110" i="25"/>
  <c r="A109" i="25"/>
  <c r="A108" i="25"/>
  <c r="A107" i="25"/>
  <c r="A106" i="25"/>
  <c r="A105" i="25"/>
  <c r="A104" i="25"/>
  <c r="A103" i="25"/>
  <c r="A102" i="25"/>
  <c r="I101" i="25"/>
  <c r="H101" i="25"/>
  <c r="G101" i="25"/>
  <c r="F101" i="25"/>
  <c r="E101" i="25"/>
  <c r="D101" i="25"/>
  <c r="C101" i="25"/>
  <c r="A101" i="25"/>
  <c r="I100" i="25"/>
  <c r="H100" i="25"/>
  <c r="G100" i="25"/>
  <c r="F100" i="25"/>
  <c r="E100" i="25"/>
  <c r="D100" i="25"/>
  <c r="C100" i="25"/>
  <c r="A100" i="25"/>
  <c r="A98" i="25"/>
  <c r="A97" i="25"/>
  <c r="A96" i="25"/>
  <c r="A95" i="25"/>
  <c r="A94" i="25"/>
  <c r="A93" i="25"/>
  <c r="A92" i="25"/>
  <c r="F61" i="25"/>
  <c r="E61" i="25"/>
  <c r="D61" i="25"/>
  <c r="C61" i="25"/>
  <c r="F60" i="25"/>
  <c r="E60" i="25"/>
  <c r="D60" i="25"/>
  <c r="C60" i="25"/>
  <c r="F59" i="25"/>
  <c r="E59" i="25"/>
  <c r="D59" i="25"/>
  <c r="C59" i="25"/>
  <c r="A38" i="25"/>
  <c r="A37" i="25"/>
  <c r="A36" i="25"/>
  <c r="A35" i="25"/>
  <c r="A34" i="25"/>
  <c r="A33" i="25"/>
  <c r="A32" i="25"/>
  <c r="A31" i="25"/>
  <c r="A30" i="25"/>
  <c r="A29" i="25"/>
  <c r="A28" i="25"/>
  <c r="A27" i="25"/>
  <c r="A26" i="25"/>
  <c r="A25" i="25"/>
  <c r="A24" i="25"/>
  <c r="A23" i="25"/>
  <c r="A22" i="25"/>
  <c r="A21" i="25"/>
  <c r="A20" i="25"/>
  <c r="A19" i="25"/>
  <c r="A18" i="25"/>
  <c r="A17" i="25"/>
  <c r="A16" i="25"/>
  <c r="A15" i="25"/>
  <c r="A14" i="25"/>
  <c r="A13" i="25"/>
  <c r="A12" i="25"/>
  <c r="A11" i="25"/>
  <c r="A10" i="25"/>
  <c r="I7" i="25"/>
  <c r="H7" i="25"/>
  <c r="G7" i="25"/>
  <c r="F7" i="25"/>
  <c r="E7" i="25"/>
  <c r="D7" i="25"/>
  <c r="C7" i="25"/>
  <c r="A7" i="25"/>
  <c r="I171" i="24"/>
  <c r="H171" i="24"/>
  <c r="G171" i="24"/>
  <c r="F171" i="24"/>
  <c r="E171" i="24"/>
  <c r="D171" i="24"/>
  <c r="C171" i="24"/>
  <c r="I170" i="24"/>
  <c r="H170" i="24"/>
  <c r="G170" i="24"/>
  <c r="F170" i="24"/>
  <c r="E170" i="24"/>
  <c r="D170" i="24"/>
  <c r="C170" i="24"/>
  <c r="I168" i="24"/>
  <c r="H168" i="24"/>
  <c r="G168" i="24"/>
  <c r="F168" i="24"/>
  <c r="E168" i="24"/>
  <c r="D168" i="24"/>
  <c r="C168" i="24"/>
  <c r="A168" i="24"/>
  <c r="I167" i="24"/>
  <c r="H167" i="24"/>
  <c r="G167" i="24"/>
  <c r="F167" i="24"/>
  <c r="E167" i="24"/>
  <c r="D167" i="24"/>
  <c r="C167" i="24"/>
  <c r="A167" i="24"/>
  <c r="A165" i="24"/>
  <c r="A164" i="24"/>
  <c r="A163" i="24"/>
  <c r="A162" i="24"/>
  <c r="A161" i="24"/>
  <c r="A160" i="24"/>
  <c r="I159" i="24"/>
  <c r="H159" i="24"/>
  <c r="G159" i="24"/>
  <c r="F159" i="24"/>
  <c r="E159" i="24"/>
  <c r="D159" i="24"/>
  <c r="C159" i="24"/>
  <c r="A159" i="24"/>
  <c r="A158" i="24"/>
  <c r="A157" i="24"/>
  <c r="A156" i="24"/>
  <c r="A155" i="24"/>
  <c r="A154" i="24"/>
  <c r="A153" i="24"/>
  <c r="A152" i="24"/>
  <c r="A151" i="24"/>
  <c r="A150" i="24"/>
  <c r="A149" i="24"/>
  <c r="A148" i="24"/>
  <c r="A147" i="24"/>
  <c r="I146" i="24"/>
  <c r="H146" i="24"/>
  <c r="G146" i="24"/>
  <c r="F146" i="24"/>
  <c r="E146" i="24"/>
  <c r="D146" i="24"/>
  <c r="C146" i="24"/>
  <c r="A146" i="24"/>
  <c r="A139" i="24"/>
  <c r="A138" i="24"/>
  <c r="A137" i="24"/>
  <c r="A136" i="24"/>
  <c r="A135" i="24"/>
  <c r="A134" i="24"/>
  <c r="A129" i="24"/>
  <c r="A128" i="24"/>
  <c r="A127" i="24"/>
  <c r="A126" i="24"/>
  <c r="A125" i="24"/>
  <c r="A124" i="24"/>
  <c r="A123" i="24"/>
  <c r="A122" i="24"/>
  <c r="A121" i="24"/>
  <c r="A120" i="24"/>
  <c r="A119" i="24"/>
  <c r="A118" i="24"/>
  <c r="A117" i="24"/>
  <c r="A116" i="24"/>
  <c r="A115" i="24"/>
  <c r="A114" i="24"/>
  <c r="A113" i="24"/>
  <c r="A112" i="24"/>
  <c r="A111" i="24"/>
  <c r="A110" i="24"/>
  <c r="A109" i="24"/>
  <c r="A108" i="24"/>
  <c r="A107" i="24"/>
  <c r="A106" i="24"/>
  <c r="A105" i="24"/>
  <c r="A104" i="24"/>
  <c r="A103" i="24"/>
  <c r="A102" i="24"/>
  <c r="I101" i="24"/>
  <c r="H101" i="24"/>
  <c r="G101" i="24"/>
  <c r="F101" i="24"/>
  <c r="E101" i="24"/>
  <c r="D101" i="24"/>
  <c r="C101" i="24"/>
  <c r="A101" i="24"/>
  <c r="I100" i="24"/>
  <c r="H100" i="24"/>
  <c r="G100" i="24"/>
  <c r="F100" i="24"/>
  <c r="E100" i="24"/>
  <c r="D100" i="24"/>
  <c r="C100" i="24"/>
  <c r="A100" i="24"/>
  <c r="A98" i="24"/>
  <c r="A97" i="24"/>
  <c r="A96" i="24"/>
  <c r="A95" i="24"/>
  <c r="A94" i="24"/>
  <c r="A93" i="24"/>
  <c r="A92" i="24"/>
  <c r="A91" i="24"/>
  <c r="A90" i="24"/>
  <c r="A89" i="24"/>
  <c r="A88" i="24"/>
  <c r="A87" i="24"/>
  <c r="A86" i="24"/>
  <c r="A83" i="24"/>
  <c r="A82" i="24"/>
  <c r="A81" i="24"/>
  <c r="A80" i="24"/>
  <c r="A79" i="24"/>
  <c r="A78" i="24"/>
  <c r="A77" i="24"/>
  <c r="A76" i="24"/>
  <c r="A75" i="24"/>
  <c r="A74" i="24"/>
  <c r="F60" i="24"/>
  <c r="E60" i="24"/>
  <c r="D60" i="24"/>
  <c r="C60" i="24"/>
  <c r="F59" i="24"/>
  <c r="E59" i="24"/>
  <c r="D59" i="24"/>
  <c r="C59" i="24"/>
  <c r="F58" i="24"/>
  <c r="E58" i="24"/>
  <c r="D58" i="24"/>
  <c r="C58" i="24"/>
  <c r="A37" i="24"/>
  <c r="A36" i="24"/>
  <c r="A35" i="24"/>
  <c r="A33" i="24"/>
  <c r="A31" i="24"/>
  <c r="A30" i="24"/>
  <c r="A29" i="24"/>
  <c r="A28" i="24"/>
  <c r="A27" i="24"/>
  <c r="A26" i="24"/>
  <c r="A25" i="24"/>
  <c r="A24" i="24"/>
  <c r="A23" i="24"/>
  <c r="A22" i="24"/>
  <c r="A21" i="24"/>
  <c r="A20" i="24"/>
  <c r="A19" i="24"/>
  <c r="A18" i="24"/>
  <c r="A17" i="24"/>
  <c r="A16" i="24"/>
  <c r="A15" i="24"/>
  <c r="A14" i="24"/>
  <c r="A13" i="24"/>
  <c r="A12" i="24"/>
  <c r="A11" i="24"/>
  <c r="A10" i="24"/>
  <c r="A9" i="24"/>
  <c r="I6" i="24"/>
  <c r="H6" i="24"/>
  <c r="G6" i="24"/>
  <c r="F6" i="24"/>
  <c r="E6" i="24"/>
  <c r="D6" i="24"/>
  <c r="C6" i="24"/>
  <c r="A6" i="24"/>
  <c r="L77" i="28" l="1"/>
  <c r="R5" i="28"/>
  <c r="P179" i="28"/>
  <c r="W170" i="25"/>
  <c r="R21" i="24"/>
  <c r="R30" i="24"/>
  <c r="R27" i="24"/>
  <c r="R15" i="24"/>
  <c r="R23" i="24"/>
  <c r="R20" i="24"/>
  <c r="R16" i="24"/>
  <c r="R24" i="24"/>
  <c r="J44" i="28"/>
  <c r="L52" i="28"/>
  <c r="L44" i="28"/>
  <c r="R121" i="24"/>
  <c r="M46" i="2"/>
  <c r="R170" i="24"/>
  <c r="K60" i="28"/>
  <c r="K151" i="28"/>
  <c r="K144" i="28" s="1"/>
  <c r="K54" i="28"/>
  <c r="K71" i="28"/>
  <c r="L71" i="28" s="1"/>
  <c r="Z145" i="28"/>
  <c r="Z144" i="28" s="1"/>
  <c r="K170" i="28"/>
  <c r="K169" i="28" s="1"/>
  <c r="L55" i="28"/>
  <c r="L54" i="28" s="1"/>
  <c r="AA6" i="27"/>
  <c r="V6" i="28"/>
  <c r="X6" i="28" s="1"/>
  <c r="W52" i="25"/>
  <c r="AE6" i="27"/>
  <c r="Y6" i="28"/>
  <c r="AA6" i="28" s="1"/>
  <c r="W63" i="25"/>
  <c r="R51" i="24"/>
  <c r="R62" i="24"/>
  <c r="A171" i="23"/>
  <c r="I170" i="23"/>
  <c r="H170" i="23"/>
  <c r="G170" i="23"/>
  <c r="F170" i="23"/>
  <c r="E170" i="23"/>
  <c r="D170" i="23"/>
  <c r="C170" i="23"/>
  <c r="A170" i="23"/>
  <c r="V5" i="28" l="1"/>
  <c r="AA181" i="27"/>
  <c r="Y5" i="28"/>
  <c r="AE181" i="27"/>
  <c r="L151" i="28"/>
  <c r="N170" i="28"/>
  <c r="N169" i="28" s="1"/>
  <c r="O171" i="28"/>
  <c r="O170" i="28" s="1"/>
  <c r="O81" i="28"/>
  <c r="O77" i="28" s="1"/>
  <c r="K98" i="28"/>
  <c r="L144" i="28"/>
  <c r="L138" i="28" s="1"/>
  <c r="Q145" i="28"/>
  <c r="Q144" i="28" s="1"/>
  <c r="R150" i="28"/>
  <c r="R145" i="28" s="1"/>
  <c r="T54" i="28"/>
  <c r="U55" i="28"/>
  <c r="U54" i="28" s="1"/>
  <c r="Z98" i="28"/>
  <c r="AA144" i="28"/>
  <c r="AA138" i="28" s="1"/>
  <c r="N60" i="28"/>
  <c r="N6" i="28" s="1"/>
  <c r="O61" i="28"/>
  <c r="O60" i="28" s="1"/>
  <c r="K165" i="28"/>
  <c r="L165" i="28" s="1"/>
  <c r="L169" i="28"/>
  <c r="N151" i="28"/>
  <c r="N144" i="28" s="1"/>
  <c r="O151" i="28"/>
  <c r="P169" i="23"/>
  <c r="S169" i="23" s="1"/>
  <c r="P138" i="23"/>
  <c r="S138" i="23" s="1"/>
  <c r="P137" i="23"/>
  <c r="S137" i="23" s="1"/>
  <c r="P136" i="23"/>
  <c r="S136" i="23" s="1"/>
  <c r="P135" i="23"/>
  <c r="S135" i="23" s="1"/>
  <c r="P134" i="23"/>
  <c r="S134" i="23" s="1"/>
  <c r="P128" i="23"/>
  <c r="S128" i="23" s="1"/>
  <c r="P127" i="23"/>
  <c r="S127" i="23" s="1"/>
  <c r="P126" i="23"/>
  <c r="S126" i="23" s="1"/>
  <c r="P125" i="23"/>
  <c r="S125" i="23" s="1"/>
  <c r="P124" i="23"/>
  <c r="S124" i="23" s="1"/>
  <c r="P123" i="23"/>
  <c r="S123" i="23" s="1"/>
  <c r="P122" i="23"/>
  <c r="S122" i="23" s="1"/>
  <c r="P121" i="23"/>
  <c r="S121" i="23" s="1"/>
  <c r="P62" i="23"/>
  <c r="S62" i="23" s="1"/>
  <c r="P51" i="23"/>
  <c r="S51" i="23" s="1"/>
  <c r="A179" i="23"/>
  <c r="A178" i="23"/>
  <c r="A177" i="23"/>
  <c r="A176" i="23"/>
  <c r="A175" i="23"/>
  <c r="A174" i="23"/>
  <c r="A173" i="23"/>
  <c r="A172" i="23"/>
  <c r="I169" i="23"/>
  <c r="H169" i="23"/>
  <c r="G169" i="23"/>
  <c r="F169" i="23"/>
  <c r="E169" i="23"/>
  <c r="D169" i="23"/>
  <c r="C169" i="23"/>
  <c r="A169" i="23"/>
  <c r="A168" i="23"/>
  <c r="I167" i="23"/>
  <c r="H167" i="23"/>
  <c r="G167" i="23"/>
  <c r="F167" i="23"/>
  <c r="E167" i="23"/>
  <c r="D167" i="23"/>
  <c r="C167" i="23"/>
  <c r="A167" i="23"/>
  <c r="I166" i="23"/>
  <c r="H166" i="23"/>
  <c r="G166" i="23"/>
  <c r="F166" i="23"/>
  <c r="E166" i="23"/>
  <c r="D166" i="23"/>
  <c r="C166" i="23"/>
  <c r="A166" i="23"/>
  <c r="A164" i="23"/>
  <c r="A163" i="23"/>
  <c r="A162" i="23"/>
  <c r="A161" i="23"/>
  <c r="A160" i="23"/>
  <c r="A159" i="23"/>
  <c r="I158" i="23"/>
  <c r="H158" i="23"/>
  <c r="G158" i="23"/>
  <c r="F158" i="23"/>
  <c r="E158" i="23"/>
  <c r="D158" i="23"/>
  <c r="C158" i="23"/>
  <c r="A158" i="23"/>
  <c r="A157" i="23"/>
  <c r="A156" i="23"/>
  <c r="A155" i="23"/>
  <c r="A154" i="23"/>
  <c r="A153" i="23"/>
  <c r="A152" i="23"/>
  <c r="A151" i="23"/>
  <c r="A150" i="23"/>
  <c r="A149" i="23"/>
  <c r="A148" i="23"/>
  <c r="A147" i="23"/>
  <c r="A146" i="23"/>
  <c r="A145" i="23"/>
  <c r="I100" i="23"/>
  <c r="H100" i="23"/>
  <c r="G100" i="23"/>
  <c r="F100" i="23"/>
  <c r="E100" i="23"/>
  <c r="D100" i="23"/>
  <c r="C100" i="23"/>
  <c r="A100" i="23"/>
  <c r="A138" i="23"/>
  <c r="A137" i="23"/>
  <c r="A136" i="23"/>
  <c r="A135" i="23"/>
  <c r="A134" i="23"/>
  <c r="A133" i="23"/>
  <c r="A128" i="23"/>
  <c r="A127" i="23"/>
  <c r="A126" i="23"/>
  <c r="A106" i="23"/>
  <c r="A105" i="23"/>
  <c r="A104" i="23"/>
  <c r="A103" i="23"/>
  <c r="A102" i="23"/>
  <c r="A101" i="23"/>
  <c r="I99" i="23"/>
  <c r="H99" i="23"/>
  <c r="G99" i="23"/>
  <c r="F99" i="23"/>
  <c r="E99" i="23"/>
  <c r="D99" i="23"/>
  <c r="C99" i="23"/>
  <c r="A99" i="23"/>
  <c r="I6" i="23"/>
  <c r="H6" i="23"/>
  <c r="G6" i="23"/>
  <c r="F6" i="23"/>
  <c r="E6" i="23"/>
  <c r="D6" i="23"/>
  <c r="C6" i="23"/>
  <c r="A6" i="23"/>
  <c r="A97" i="23"/>
  <c r="A96" i="23"/>
  <c r="A95" i="23"/>
  <c r="A94" i="23"/>
  <c r="A93" i="23"/>
  <c r="A92" i="23"/>
  <c r="A91" i="23"/>
  <c r="A90" i="23"/>
  <c r="A89" i="23"/>
  <c r="A88" i="23"/>
  <c r="A87" i="23"/>
  <c r="A86" i="23"/>
  <c r="A85" i="23"/>
  <c r="A82" i="23"/>
  <c r="A81" i="23"/>
  <c r="A80" i="23"/>
  <c r="A79" i="23"/>
  <c r="A78" i="23"/>
  <c r="A77" i="23"/>
  <c r="A73" i="23"/>
  <c r="A72" i="23"/>
  <c r="A76" i="23"/>
  <c r="A75" i="23"/>
  <c r="A74" i="23"/>
  <c r="A71" i="23"/>
  <c r="A70" i="23"/>
  <c r="A69" i="23"/>
  <c r="A68" i="23"/>
  <c r="A67" i="23"/>
  <c r="A66" i="23"/>
  <c r="A65" i="23"/>
  <c r="A64" i="23"/>
  <c r="A63" i="23"/>
  <c r="A62" i="23"/>
  <c r="A61" i="23"/>
  <c r="F60" i="23"/>
  <c r="E60" i="23"/>
  <c r="D60" i="23"/>
  <c r="C60" i="23"/>
  <c r="A60" i="23"/>
  <c r="F59" i="23"/>
  <c r="E59" i="23"/>
  <c r="D59" i="23"/>
  <c r="C59" i="23"/>
  <c r="A59" i="23"/>
  <c r="F58" i="23"/>
  <c r="E58" i="23"/>
  <c r="D58" i="23"/>
  <c r="C58" i="23"/>
  <c r="A58" i="23"/>
  <c r="A57" i="23"/>
  <c r="A56" i="23"/>
  <c r="A55" i="23"/>
  <c r="A54" i="23"/>
  <c r="A53" i="23"/>
  <c r="A52" i="23"/>
  <c r="A51" i="23"/>
  <c r="A50" i="23"/>
  <c r="A49" i="23"/>
  <c r="P30" i="23"/>
  <c r="S30" i="23" s="1"/>
  <c r="P27" i="23"/>
  <c r="S27" i="23" s="1"/>
  <c r="P24" i="23"/>
  <c r="S24" i="23" s="1"/>
  <c r="P23" i="23"/>
  <c r="S23" i="23" s="1"/>
  <c r="P21" i="23"/>
  <c r="S21" i="23" s="1"/>
  <c r="P20" i="23"/>
  <c r="S20" i="23" s="1"/>
  <c r="P16" i="23"/>
  <c r="S16" i="23" s="1"/>
  <c r="P15" i="23"/>
  <c r="S15" i="23" s="1"/>
  <c r="AF10" i="2"/>
  <c r="AI138" i="2"/>
  <c r="AI137" i="2"/>
  <c r="AI136" i="2"/>
  <c r="AI70" i="2"/>
  <c r="AI61" i="2"/>
  <c r="AI52" i="2"/>
  <c r="AI31" i="2"/>
  <c r="AI28" i="2"/>
  <c r="AI25" i="2"/>
  <c r="AI24" i="2"/>
  <c r="AI22" i="2"/>
  <c r="AI21" i="2"/>
  <c r="AI17" i="2"/>
  <c r="AI16" i="2"/>
  <c r="N71" i="28" l="1"/>
  <c r="O71" i="28" s="1"/>
  <c r="K79" i="10"/>
  <c r="K78" i="10" s="1"/>
  <c r="AA5" i="28"/>
  <c r="Y179" i="28"/>
  <c r="X5" i="28"/>
  <c r="X179" i="28" s="1"/>
  <c r="V179" i="28"/>
  <c r="R30" i="23"/>
  <c r="L98" i="28"/>
  <c r="AA98" i="28"/>
  <c r="Z179" i="28"/>
  <c r="Q98" i="28"/>
  <c r="R144" i="28"/>
  <c r="R138" i="28" s="1"/>
  <c r="N98" i="28"/>
  <c r="O144" i="28"/>
  <c r="O138" i="28" s="1"/>
  <c r="N5" i="28"/>
  <c r="N165" i="28"/>
  <c r="O165" i="28" s="1"/>
  <c r="O169" i="28"/>
  <c r="R169" i="23"/>
  <c r="R51" i="23"/>
  <c r="R62" i="23"/>
  <c r="R16" i="23"/>
  <c r="R20" i="23"/>
  <c r="R24" i="23"/>
  <c r="R21" i="23"/>
  <c r="R15" i="23"/>
  <c r="R23" i="23"/>
  <c r="R27" i="23"/>
  <c r="R98" i="28" l="1"/>
  <c r="R179" i="28" s="1"/>
  <c r="Q179" i="28"/>
  <c r="AA179" i="28"/>
  <c r="O98" i="28"/>
  <c r="N179" i="28"/>
  <c r="A48" i="23" l="1"/>
  <c r="A47" i="23"/>
  <c r="A46" i="23"/>
  <c r="A45" i="23"/>
  <c r="A43" i="23"/>
  <c r="A42" i="23"/>
  <c r="A41" i="23"/>
  <c r="A40" i="23"/>
  <c r="A39" i="23"/>
  <c r="A38" i="23"/>
  <c r="A37" i="23"/>
  <c r="A36" i="23"/>
  <c r="A35" i="23"/>
  <c r="A34" i="23"/>
  <c r="A33" i="23"/>
  <c r="A32" i="23" l="1"/>
  <c r="A31" i="23"/>
  <c r="A30" i="23"/>
  <c r="A29" i="23"/>
  <c r="A28" i="23"/>
  <c r="A27" i="23"/>
  <c r="A26" i="23"/>
  <c r="A25" i="23"/>
  <c r="A24" i="23"/>
  <c r="A23" i="23"/>
  <c r="A22" i="23"/>
  <c r="A21" i="23"/>
  <c r="A20" i="23"/>
  <c r="A19" i="23"/>
  <c r="A18" i="23"/>
  <c r="A17" i="23"/>
  <c r="A16" i="23"/>
  <c r="A15" i="23"/>
  <c r="A14" i="23"/>
  <c r="A13" i="23"/>
  <c r="A12" i="23"/>
  <c r="A11" i="23"/>
  <c r="A10" i="23"/>
  <c r="A9" i="23"/>
  <c r="AJ175" i="2" l="1"/>
  <c r="DF175" i="20" l="1"/>
  <c r="DB175" i="20"/>
  <c r="DE175" i="20"/>
  <c r="DA175" i="20"/>
  <c r="DG175" i="20"/>
  <c r="DD175" i="20"/>
  <c r="DC175" i="20"/>
  <c r="CJ175" i="20"/>
  <c r="BP175" i="20"/>
  <c r="AV175" i="20"/>
  <c r="AB175" i="20"/>
  <c r="CL175" i="20"/>
  <c r="CH175" i="20"/>
  <c r="BR175" i="20"/>
  <c r="BN175" i="20"/>
  <c r="AX175" i="20"/>
  <c r="AT175" i="20"/>
  <c r="AD175" i="20"/>
  <c r="Z175" i="20"/>
  <c r="CK175" i="20"/>
  <c r="CG175" i="20"/>
  <c r="BQ175" i="20"/>
  <c r="BM175" i="20"/>
  <c r="AW175" i="20"/>
  <c r="AS175" i="20"/>
  <c r="AC175" i="20"/>
  <c r="Y175" i="20"/>
  <c r="BS175" i="20"/>
  <c r="AE175" i="20"/>
  <c r="BO175" i="20"/>
  <c r="AA175" i="20"/>
  <c r="CM175" i="20"/>
  <c r="AY175" i="20"/>
  <c r="CI175" i="20"/>
  <c r="AU175" i="20"/>
  <c r="P174" i="26"/>
  <c r="R174" i="26" s="1"/>
  <c r="N4" i="13"/>
  <c r="A36" i="9" l="1"/>
  <c r="K171" i="20" l="1"/>
  <c r="J171" i="20"/>
  <c r="I171" i="20"/>
  <c r="H171" i="20"/>
  <c r="G171" i="20"/>
  <c r="F171" i="20"/>
  <c r="E171" i="20"/>
  <c r="K113" i="20"/>
  <c r="K112" i="20"/>
  <c r="K111" i="20"/>
  <c r="K110" i="20"/>
  <c r="K109" i="20"/>
  <c r="G61" i="20"/>
  <c r="F61" i="20"/>
  <c r="E61" i="20"/>
  <c r="G60" i="20"/>
  <c r="F60" i="20"/>
  <c r="E60" i="20"/>
  <c r="K29" i="20"/>
  <c r="K27" i="20"/>
  <c r="A181" i="20"/>
  <c r="A180" i="20"/>
  <c r="A179" i="20"/>
  <c r="A178" i="20"/>
  <c r="A177" i="20"/>
  <c r="A176" i="20"/>
  <c r="A175" i="20"/>
  <c r="A174" i="20"/>
  <c r="A172" i="20"/>
  <c r="A171" i="20"/>
  <c r="A170" i="20"/>
  <c r="A169" i="20"/>
  <c r="A168" i="20"/>
  <c r="A50" i="20"/>
  <c r="A49" i="20"/>
  <c r="A48" i="20"/>
  <c r="A47" i="20"/>
  <c r="A46" i="20"/>
  <c r="A39" i="20"/>
  <c r="A38" i="20"/>
  <c r="A37" i="20"/>
  <c r="A36" i="20"/>
  <c r="A35" i="20"/>
  <c r="A34" i="20"/>
  <c r="A33" i="20"/>
  <c r="A32" i="20"/>
  <c r="A31" i="20"/>
  <c r="A30" i="20"/>
  <c r="A29" i="20"/>
  <c r="A28" i="20"/>
  <c r="A27" i="20"/>
  <c r="A26" i="20"/>
  <c r="A25" i="20"/>
  <c r="A24" i="20"/>
  <c r="A23" i="20"/>
  <c r="A22" i="20"/>
  <c r="A21" i="20"/>
  <c r="A20" i="20"/>
  <c r="A19" i="20"/>
  <c r="A18" i="20"/>
  <c r="A17" i="20"/>
  <c r="A16" i="20"/>
  <c r="A15" i="20"/>
  <c r="A14" i="20"/>
  <c r="A13" i="20"/>
  <c r="A12" i="20"/>
  <c r="A11" i="20"/>
  <c r="A10" i="20"/>
  <c r="A179" i="11"/>
  <c r="A178" i="11"/>
  <c r="A177" i="11"/>
  <c r="A176" i="11"/>
  <c r="A175" i="11"/>
  <c r="A174" i="11"/>
  <c r="A173" i="11"/>
  <c r="A172" i="11"/>
  <c r="A169" i="11"/>
  <c r="A164" i="11"/>
  <c r="A163" i="11"/>
  <c r="A162" i="11"/>
  <c r="A161" i="11"/>
  <c r="A160" i="11"/>
  <c r="A157" i="11"/>
  <c r="A156" i="11"/>
  <c r="A155" i="11"/>
  <c r="A154" i="11"/>
  <c r="A153" i="11"/>
  <c r="A151" i="11"/>
  <c r="A150" i="11"/>
  <c r="A149" i="11"/>
  <c r="A148" i="11"/>
  <c r="A147" i="11"/>
  <c r="A138" i="11"/>
  <c r="A137" i="11"/>
  <c r="A136" i="11"/>
  <c r="A135" i="11"/>
  <c r="A134" i="11"/>
  <c r="A127" i="11"/>
  <c r="A126" i="11"/>
  <c r="A125" i="11"/>
  <c r="A124" i="11"/>
  <c r="A123" i="11"/>
  <c r="A122" i="11"/>
  <c r="A121" i="11"/>
  <c r="A120" i="11"/>
  <c r="A117" i="11"/>
  <c r="A116" i="11"/>
  <c r="A115" i="11"/>
  <c r="A114" i="11"/>
  <c r="A113" i="11"/>
  <c r="A111" i="11"/>
  <c r="A110" i="11"/>
  <c r="A109" i="11"/>
  <c r="A108" i="11"/>
  <c r="A107" i="11"/>
  <c r="A105" i="11"/>
  <c r="A104" i="11"/>
  <c r="A103" i="11"/>
  <c r="A102" i="11"/>
  <c r="A101" i="11"/>
  <c r="A96" i="11"/>
  <c r="A95" i="11"/>
  <c r="A94" i="11"/>
  <c r="A93" i="11"/>
  <c r="A92" i="11"/>
  <c r="A91" i="11"/>
  <c r="A89" i="11"/>
  <c r="A88" i="11"/>
  <c r="A87" i="11"/>
  <c r="A86" i="11"/>
  <c r="A85" i="11"/>
  <c r="A81" i="11"/>
  <c r="A80" i="11"/>
  <c r="A79" i="11"/>
  <c r="A78" i="11"/>
  <c r="A76" i="11"/>
  <c r="A75" i="11"/>
  <c r="A74" i="11"/>
  <c r="A73" i="11"/>
  <c r="A70" i="11"/>
  <c r="A69" i="11"/>
  <c r="A68" i="11"/>
  <c r="A67" i="11"/>
  <c r="A66" i="11"/>
  <c r="A64" i="11"/>
  <c r="A63" i="11"/>
  <c r="A62" i="11"/>
  <c r="A61" i="11"/>
  <c r="A59" i="11"/>
  <c r="A58" i="11"/>
  <c r="A57" i="11"/>
  <c r="A55" i="11"/>
  <c r="A53" i="11"/>
  <c r="A52" i="11"/>
  <c r="A51" i="11"/>
  <c r="A50" i="11"/>
  <c r="A49" i="11"/>
  <c r="A47" i="11"/>
  <c r="A46" i="11"/>
  <c r="A45" i="11"/>
  <c r="A42" i="11"/>
  <c r="A41" i="11"/>
  <c r="A40" i="11"/>
  <c r="A39" i="11"/>
  <c r="A38" i="11"/>
  <c r="A35" i="11"/>
  <c r="A34" i="11"/>
  <c r="A33" i="11"/>
  <c r="A32" i="11"/>
  <c r="A30" i="11"/>
  <c r="A29" i="11"/>
  <c r="A28" i="11"/>
  <c r="A27" i="11"/>
  <c r="A26" i="11"/>
  <c r="A25" i="11"/>
  <c r="A24" i="11"/>
  <c r="A23" i="11"/>
  <c r="A22" i="11"/>
  <c r="A21" i="11"/>
  <c r="A20" i="11"/>
  <c r="A19" i="11"/>
  <c r="A18" i="11"/>
  <c r="A17" i="11"/>
  <c r="A16" i="11"/>
  <c r="A15" i="11"/>
  <c r="A14" i="11"/>
  <c r="A13" i="11"/>
  <c r="A12" i="11"/>
  <c r="A11" i="11"/>
  <c r="A10" i="11"/>
  <c r="A9" i="11"/>
  <c r="A8" i="11"/>
  <c r="J169" i="11"/>
  <c r="I169" i="11"/>
  <c r="H169" i="11"/>
  <c r="G169" i="11"/>
  <c r="F169" i="11"/>
  <c r="E169" i="11"/>
  <c r="D169" i="11"/>
  <c r="J111" i="11"/>
  <c r="J110" i="11"/>
  <c r="J109" i="11"/>
  <c r="J108" i="11"/>
  <c r="J107" i="11"/>
  <c r="J63" i="11"/>
  <c r="F59" i="11"/>
  <c r="E59" i="11"/>
  <c r="D59" i="11"/>
  <c r="F58" i="11"/>
  <c r="E58" i="11"/>
  <c r="D58" i="11"/>
  <c r="J41" i="11"/>
  <c r="J27" i="11"/>
  <c r="J25" i="11"/>
  <c r="K181" i="2"/>
  <c r="J181" i="2"/>
  <c r="I180" i="38" s="1"/>
  <c r="I181" i="2"/>
  <c r="H180" i="38" s="1"/>
  <c r="H181" i="2"/>
  <c r="G180" i="38" s="1"/>
  <c r="G181" i="2"/>
  <c r="F180" i="38" s="1"/>
  <c r="F181" i="2"/>
  <c r="E180" i="38" s="1"/>
  <c r="E181" i="2"/>
  <c r="D180" i="38" s="1"/>
  <c r="K180" i="2"/>
  <c r="J180" i="2"/>
  <c r="I179" i="38" s="1"/>
  <c r="I180" i="2"/>
  <c r="H179" i="38" s="1"/>
  <c r="H180" i="2"/>
  <c r="G179" i="38" s="1"/>
  <c r="G180" i="2"/>
  <c r="F179" i="38" s="1"/>
  <c r="F180" i="2"/>
  <c r="E179" i="38" s="1"/>
  <c r="E180" i="2"/>
  <c r="D179" i="38" s="1"/>
  <c r="K179" i="2"/>
  <c r="J179" i="2"/>
  <c r="I178" i="38" s="1"/>
  <c r="I179" i="2"/>
  <c r="H178" i="38" s="1"/>
  <c r="H179" i="2"/>
  <c r="G178" i="38" s="1"/>
  <c r="G179" i="2"/>
  <c r="F178" i="38" s="1"/>
  <c r="F179" i="2"/>
  <c r="E178" i="38" s="1"/>
  <c r="E179" i="2"/>
  <c r="D178" i="38" s="1"/>
  <c r="K178" i="2"/>
  <c r="K178" i="20" s="1"/>
  <c r="J178" i="2"/>
  <c r="I177" i="38" s="1"/>
  <c r="I178" i="2"/>
  <c r="H177" i="38" s="1"/>
  <c r="H178" i="2"/>
  <c r="G177" i="38" s="1"/>
  <c r="G178" i="2"/>
  <c r="F177" i="38" s="1"/>
  <c r="F178" i="2"/>
  <c r="E177" i="38" s="1"/>
  <c r="E178" i="2"/>
  <c r="D177" i="38" s="1"/>
  <c r="K177" i="2"/>
  <c r="J177" i="2"/>
  <c r="I176" i="38" s="1"/>
  <c r="I177" i="2"/>
  <c r="H176" i="38" s="1"/>
  <c r="H177" i="2"/>
  <c r="G176" i="38" s="1"/>
  <c r="G177" i="2"/>
  <c r="F176" i="38" s="1"/>
  <c r="F177" i="2"/>
  <c r="E176" i="38" s="1"/>
  <c r="E177" i="2"/>
  <c r="D176" i="38" s="1"/>
  <c r="K176" i="2"/>
  <c r="J176" i="2"/>
  <c r="I175" i="38" s="1"/>
  <c r="I176" i="2"/>
  <c r="H175" i="38" s="1"/>
  <c r="H176" i="2"/>
  <c r="G175" i="38" s="1"/>
  <c r="G176" i="2"/>
  <c r="F175" i="38" s="1"/>
  <c r="F176" i="2"/>
  <c r="E175" i="38" s="1"/>
  <c r="E176" i="2"/>
  <c r="D175" i="38" s="1"/>
  <c r="K175" i="2"/>
  <c r="J175" i="2"/>
  <c r="I174" i="38" s="1"/>
  <c r="I175" i="2"/>
  <c r="H174" i="38" s="1"/>
  <c r="H175" i="2"/>
  <c r="G174" i="38" s="1"/>
  <c r="G175" i="2"/>
  <c r="F174" i="38" s="1"/>
  <c r="F175" i="2"/>
  <c r="E174" i="38" s="1"/>
  <c r="E175" i="2"/>
  <c r="D174" i="38" s="1"/>
  <c r="K174" i="2"/>
  <c r="J174" i="2"/>
  <c r="I173" i="38" s="1"/>
  <c r="I174" i="2"/>
  <c r="H173" i="38" s="1"/>
  <c r="H174" i="2"/>
  <c r="G173" i="38" s="1"/>
  <c r="G174" i="2"/>
  <c r="F173" i="38" s="1"/>
  <c r="F174" i="2"/>
  <c r="E173" i="38" s="1"/>
  <c r="E174" i="2"/>
  <c r="D173" i="38" s="1"/>
  <c r="K166" i="2"/>
  <c r="J166" i="2"/>
  <c r="I165" i="38" s="1"/>
  <c r="I166" i="2"/>
  <c r="H165" i="38" s="1"/>
  <c r="H166" i="2"/>
  <c r="G165" i="38" s="1"/>
  <c r="G166" i="2"/>
  <c r="F165" i="38" s="1"/>
  <c r="F166" i="2"/>
  <c r="E165" i="38" s="1"/>
  <c r="E166" i="2"/>
  <c r="D165" i="38" s="1"/>
  <c r="K165" i="2"/>
  <c r="J165" i="2"/>
  <c r="I164" i="38" s="1"/>
  <c r="I165" i="2"/>
  <c r="H164" i="38" s="1"/>
  <c r="H165" i="2"/>
  <c r="G164" i="38" s="1"/>
  <c r="G165" i="2"/>
  <c r="F164" i="38" s="1"/>
  <c r="F165" i="2"/>
  <c r="E164" i="38" s="1"/>
  <c r="E165" i="2"/>
  <c r="D164" i="38" s="1"/>
  <c r="K164" i="2"/>
  <c r="J164" i="2"/>
  <c r="I163" i="38" s="1"/>
  <c r="I164" i="2"/>
  <c r="H163" i="38" s="1"/>
  <c r="H164" i="2"/>
  <c r="G163" i="38" s="1"/>
  <c r="G164" i="2"/>
  <c r="F163" i="38" s="1"/>
  <c r="F164" i="2"/>
  <c r="E163" i="38" s="1"/>
  <c r="E164" i="2"/>
  <c r="D163" i="38" s="1"/>
  <c r="K163" i="2"/>
  <c r="J163" i="2"/>
  <c r="I162" i="38" s="1"/>
  <c r="I163" i="2"/>
  <c r="H162" i="38" s="1"/>
  <c r="H163" i="2"/>
  <c r="G162" i="38" s="1"/>
  <c r="G163" i="2"/>
  <c r="F162" i="38" s="1"/>
  <c r="F163" i="2"/>
  <c r="E162" i="38" s="1"/>
  <c r="E163" i="2"/>
  <c r="D162" i="38" s="1"/>
  <c r="K162" i="2"/>
  <c r="J162" i="2"/>
  <c r="I161" i="38" s="1"/>
  <c r="I162" i="2"/>
  <c r="H161" i="38" s="1"/>
  <c r="H162" i="2"/>
  <c r="G161" i="38" s="1"/>
  <c r="G162" i="2"/>
  <c r="F161" i="38" s="1"/>
  <c r="F162" i="2"/>
  <c r="E161" i="38" s="1"/>
  <c r="E162" i="2"/>
  <c r="D161" i="38" s="1"/>
  <c r="K157" i="2"/>
  <c r="J157" i="2"/>
  <c r="I156" i="38" s="1"/>
  <c r="I157" i="2"/>
  <c r="H156" i="38" s="1"/>
  <c r="H157" i="2"/>
  <c r="G156" i="38" s="1"/>
  <c r="G157" i="2"/>
  <c r="F156" i="38" s="1"/>
  <c r="F157" i="2"/>
  <c r="E156" i="38" s="1"/>
  <c r="E157" i="2"/>
  <c r="D156" i="38" s="1"/>
  <c r="D157" i="2"/>
  <c r="C155" i="11" s="1"/>
  <c r="K159" i="2"/>
  <c r="J159" i="2"/>
  <c r="I158" i="38" s="1"/>
  <c r="I159" i="2"/>
  <c r="H158" i="38" s="1"/>
  <c r="H159" i="2"/>
  <c r="G158" i="38" s="1"/>
  <c r="G159" i="2"/>
  <c r="F158" i="38" s="1"/>
  <c r="F159" i="2"/>
  <c r="E158" i="38" s="1"/>
  <c r="E159" i="2"/>
  <c r="D158" i="38" s="1"/>
  <c r="K158" i="2"/>
  <c r="J158" i="2"/>
  <c r="I157" i="38" s="1"/>
  <c r="I158" i="2"/>
  <c r="H157" i="38" s="1"/>
  <c r="H158" i="2"/>
  <c r="G157" i="38" s="1"/>
  <c r="G158" i="2"/>
  <c r="F157" i="38" s="1"/>
  <c r="F158" i="2"/>
  <c r="E157" i="38" s="1"/>
  <c r="E158" i="2"/>
  <c r="D157" i="38" s="1"/>
  <c r="K156" i="2"/>
  <c r="J156" i="2"/>
  <c r="I155" i="38" s="1"/>
  <c r="I156" i="2"/>
  <c r="H155" i="38" s="1"/>
  <c r="H156" i="2"/>
  <c r="G155" i="38" s="1"/>
  <c r="G156" i="2"/>
  <c r="F155" i="38" s="1"/>
  <c r="F156" i="2"/>
  <c r="E155" i="38" s="1"/>
  <c r="E156" i="2"/>
  <c r="D155" i="38" s="1"/>
  <c r="K155" i="2"/>
  <c r="J155" i="2"/>
  <c r="I154" i="38" s="1"/>
  <c r="I155" i="2"/>
  <c r="H154" i="38" s="1"/>
  <c r="H155" i="2"/>
  <c r="G154" i="38" s="1"/>
  <c r="G155" i="2"/>
  <c r="F154" i="38" s="1"/>
  <c r="F155" i="2"/>
  <c r="E154" i="38" s="1"/>
  <c r="E155" i="2"/>
  <c r="D154" i="38" s="1"/>
  <c r="K151" i="2"/>
  <c r="J149" i="11" s="1"/>
  <c r="J151" i="2"/>
  <c r="I150" i="38" s="1"/>
  <c r="I151" i="2"/>
  <c r="H150" i="38" s="1"/>
  <c r="H151" i="2"/>
  <c r="G150" i="38" s="1"/>
  <c r="G151" i="2"/>
  <c r="F150" i="38" s="1"/>
  <c r="F151" i="2"/>
  <c r="E150" i="38" s="1"/>
  <c r="E151" i="2"/>
  <c r="D150" i="38" s="1"/>
  <c r="D151" i="2"/>
  <c r="K153" i="2"/>
  <c r="J153" i="2"/>
  <c r="I152" i="38" s="1"/>
  <c r="I153" i="2"/>
  <c r="H152" i="38" s="1"/>
  <c r="H153" i="2"/>
  <c r="G152" i="38" s="1"/>
  <c r="G153" i="2"/>
  <c r="F152" i="38" s="1"/>
  <c r="F153" i="2"/>
  <c r="E152" i="38" s="1"/>
  <c r="E153" i="2"/>
  <c r="D152" i="38" s="1"/>
  <c r="K152" i="2"/>
  <c r="J152" i="2"/>
  <c r="I151" i="38" s="1"/>
  <c r="I152" i="2"/>
  <c r="H151" i="38" s="1"/>
  <c r="H152" i="2"/>
  <c r="G151" i="38" s="1"/>
  <c r="G152" i="2"/>
  <c r="F151" i="38" s="1"/>
  <c r="F152" i="2"/>
  <c r="E151" i="38" s="1"/>
  <c r="E152" i="2"/>
  <c r="D151" i="38" s="1"/>
  <c r="K150" i="2"/>
  <c r="J150" i="2"/>
  <c r="I149" i="38" s="1"/>
  <c r="I150" i="2"/>
  <c r="H149" i="38" s="1"/>
  <c r="H150" i="2"/>
  <c r="G149" i="38" s="1"/>
  <c r="G150" i="2"/>
  <c r="F149" i="38" s="1"/>
  <c r="F150" i="2"/>
  <c r="E149" i="38" s="1"/>
  <c r="E150" i="2"/>
  <c r="D149" i="38" s="1"/>
  <c r="K149" i="2"/>
  <c r="J149" i="2"/>
  <c r="I148" i="38" s="1"/>
  <c r="I149" i="2"/>
  <c r="H148" i="38" s="1"/>
  <c r="H149" i="2"/>
  <c r="G148" i="38" s="1"/>
  <c r="G149" i="2"/>
  <c r="F148" i="38" s="1"/>
  <c r="F149" i="2"/>
  <c r="E148" i="38" s="1"/>
  <c r="E149" i="2"/>
  <c r="D148" i="38" s="1"/>
  <c r="I139" i="38"/>
  <c r="H139" i="38"/>
  <c r="G139" i="38"/>
  <c r="F139" i="38"/>
  <c r="E139" i="38"/>
  <c r="D139" i="38"/>
  <c r="I138" i="38"/>
  <c r="H138" i="38"/>
  <c r="G138" i="38"/>
  <c r="F138" i="38"/>
  <c r="E138" i="38"/>
  <c r="D138" i="38"/>
  <c r="I137" i="38"/>
  <c r="H137" i="38"/>
  <c r="G137" i="38"/>
  <c r="F137" i="38"/>
  <c r="E137" i="38"/>
  <c r="D137" i="38"/>
  <c r="I136" i="38"/>
  <c r="H136" i="38"/>
  <c r="G136" i="38"/>
  <c r="F136" i="38"/>
  <c r="E136" i="38"/>
  <c r="D136" i="38"/>
  <c r="I135" i="38"/>
  <c r="H135" i="38"/>
  <c r="G135" i="38"/>
  <c r="F135" i="38"/>
  <c r="E135" i="38"/>
  <c r="D135" i="38"/>
  <c r="I134" i="38"/>
  <c r="H134" i="38"/>
  <c r="G134" i="38"/>
  <c r="F134" i="38"/>
  <c r="E134" i="38"/>
  <c r="D134" i="38"/>
  <c r="I133" i="38"/>
  <c r="H133" i="38"/>
  <c r="G133" i="38"/>
  <c r="F133" i="38"/>
  <c r="E133" i="38"/>
  <c r="D133" i="38"/>
  <c r="K139" i="20"/>
  <c r="I132" i="38"/>
  <c r="H132" i="38"/>
  <c r="G132" i="38"/>
  <c r="F132" i="38"/>
  <c r="E132" i="38"/>
  <c r="I131" i="38"/>
  <c r="H131" i="38"/>
  <c r="G131" i="38"/>
  <c r="F131" i="38"/>
  <c r="E131" i="38"/>
  <c r="D131" i="38"/>
  <c r="I130" i="38"/>
  <c r="H130" i="38"/>
  <c r="G130" i="38"/>
  <c r="F130" i="38"/>
  <c r="E130" i="38"/>
  <c r="D130" i="38"/>
  <c r="I129" i="38"/>
  <c r="H129" i="38"/>
  <c r="G129" i="38"/>
  <c r="F129" i="38"/>
  <c r="E129" i="38"/>
  <c r="D129" i="38"/>
  <c r="J125" i="11"/>
  <c r="I125" i="38"/>
  <c r="H125" i="38"/>
  <c r="G125" i="38"/>
  <c r="F125" i="38"/>
  <c r="E125" i="38"/>
  <c r="D125" i="38"/>
  <c r="C125" i="11"/>
  <c r="I124" i="38"/>
  <c r="H124" i="38"/>
  <c r="G124" i="38"/>
  <c r="F124" i="38"/>
  <c r="E124" i="38"/>
  <c r="D124" i="38"/>
  <c r="D126" i="20"/>
  <c r="K125" i="20"/>
  <c r="I123" i="38"/>
  <c r="H123" i="38"/>
  <c r="G123" i="38"/>
  <c r="F123" i="38"/>
  <c r="E123" i="38"/>
  <c r="D123" i="38"/>
  <c r="I127" i="38"/>
  <c r="H127" i="38"/>
  <c r="G127" i="38"/>
  <c r="F127" i="38"/>
  <c r="E127" i="38"/>
  <c r="D127" i="38"/>
  <c r="I126" i="38"/>
  <c r="H126" i="38"/>
  <c r="G126" i="38"/>
  <c r="F126" i="38"/>
  <c r="E126" i="38"/>
  <c r="D126" i="38"/>
  <c r="I122" i="38"/>
  <c r="H122" i="38"/>
  <c r="G122" i="38"/>
  <c r="F122" i="38"/>
  <c r="E122" i="38"/>
  <c r="D122" i="38"/>
  <c r="I121" i="38"/>
  <c r="H121" i="38"/>
  <c r="G121" i="38"/>
  <c r="F121" i="38"/>
  <c r="E121" i="38"/>
  <c r="D121" i="38"/>
  <c r="I120" i="38"/>
  <c r="H120" i="38"/>
  <c r="G120" i="38"/>
  <c r="F120" i="38"/>
  <c r="E120" i="38"/>
  <c r="D120" i="38"/>
  <c r="K119" i="2"/>
  <c r="J119" i="2"/>
  <c r="I117" i="38" s="1"/>
  <c r="I119" i="2"/>
  <c r="H117" i="38" s="1"/>
  <c r="H119" i="2"/>
  <c r="G117" i="38" s="1"/>
  <c r="G119" i="2"/>
  <c r="F117" i="38" s="1"/>
  <c r="F119" i="2"/>
  <c r="E117" i="38" s="1"/>
  <c r="E119" i="2"/>
  <c r="D117" i="38" s="1"/>
  <c r="K118" i="2"/>
  <c r="J118" i="2"/>
  <c r="I116" i="38" s="1"/>
  <c r="I118" i="2"/>
  <c r="H116" i="38" s="1"/>
  <c r="H118" i="2"/>
  <c r="G116" i="38" s="1"/>
  <c r="G118" i="2"/>
  <c r="F116" i="38" s="1"/>
  <c r="F118" i="2"/>
  <c r="E116" i="38" s="1"/>
  <c r="E118" i="2"/>
  <c r="D116" i="38" s="1"/>
  <c r="K117" i="2"/>
  <c r="J117" i="2"/>
  <c r="I115" i="38" s="1"/>
  <c r="I117" i="2"/>
  <c r="H115" i="38" s="1"/>
  <c r="H117" i="2"/>
  <c r="G115" i="38" s="1"/>
  <c r="G117" i="2"/>
  <c r="F115" i="38" s="1"/>
  <c r="F117" i="2"/>
  <c r="E115" i="38" s="1"/>
  <c r="E117" i="2"/>
  <c r="D115" i="38" s="1"/>
  <c r="K116" i="2"/>
  <c r="J116" i="2"/>
  <c r="I114" i="38" s="1"/>
  <c r="I116" i="2"/>
  <c r="H114" i="38" s="1"/>
  <c r="H116" i="2"/>
  <c r="G114" i="38" s="1"/>
  <c r="G116" i="2"/>
  <c r="F114" i="38" s="1"/>
  <c r="F116" i="2"/>
  <c r="E114" i="38" s="1"/>
  <c r="E116" i="2"/>
  <c r="D114" i="38" s="1"/>
  <c r="K115" i="2"/>
  <c r="J115" i="2"/>
  <c r="I113" i="38" s="1"/>
  <c r="I115" i="2"/>
  <c r="H113" i="38" s="1"/>
  <c r="H115" i="2"/>
  <c r="G113" i="38" s="1"/>
  <c r="G115" i="2"/>
  <c r="F113" i="38" s="1"/>
  <c r="F115" i="2"/>
  <c r="E113" i="38" s="1"/>
  <c r="E115" i="2"/>
  <c r="D113" i="38" s="1"/>
  <c r="J113" i="2"/>
  <c r="I111" i="38" s="1"/>
  <c r="I113" i="2"/>
  <c r="H111" i="38" s="1"/>
  <c r="H113" i="2"/>
  <c r="G111" i="38" s="1"/>
  <c r="G113" i="2"/>
  <c r="F111" i="38" s="1"/>
  <c r="F113" i="2"/>
  <c r="E111" i="38" s="1"/>
  <c r="E113" i="2"/>
  <c r="D111" i="38" s="1"/>
  <c r="J112" i="2"/>
  <c r="I110" i="38" s="1"/>
  <c r="I112" i="2"/>
  <c r="H110" i="38" s="1"/>
  <c r="H112" i="2"/>
  <c r="G110" i="38" s="1"/>
  <c r="G112" i="2"/>
  <c r="F110" i="38" s="1"/>
  <c r="F112" i="2"/>
  <c r="E110" i="38" s="1"/>
  <c r="E112" i="2"/>
  <c r="D110" i="38" s="1"/>
  <c r="J111" i="2"/>
  <c r="I109" i="38" s="1"/>
  <c r="I111" i="2"/>
  <c r="H109" i="38" s="1"/>
  <c r="H111" i="2"/>
  <c r="G109" i="38" s="1"/>
  <c r="G111" i="2"/>
  <c r="F109" i="38" s="1"/>
  <c r="F111" i="2"/>
  <c r="E109" i="38" s="1"/>
  <c r="E111" i="2"/>
  <c r="D109" i="38" s="1"/>
  <c r="J110" i="2"/>
  <c r="I108" i="38" s="1"/>
  <c r="I110" i="2"/>
  <c r="H108" i="38" s="1"/>
  <c r="H110" i="2"/>
  <c r="G108" i="38" s="1"/>
  <c r="G110" i="2"/>
  <c r="F108" i="38" s="1"/>
  <c r="F110" i="2"/>
  <c r="E108" i="38" s="1"/>
  <c r="E110" i="2"/>
  <c r="D108" i="38" s="1"/>
  <c r="J109" i="2"/>
  <c r="I107" i="38" s="1"/>
  <c r="I109" i="2"/>
  <c r="H107" i="38" s="1"/>
  <c r="H109" i="2"/>
  <c r="G107" i="38" s="1"/>
  <c r="G109" i="2"/>
  <c r="F107" i="38" s="1"/>
  <c r="F109" i="2"/>
  <c r="E107" i="38" s="1"/>
  <c r="E109" i="2"/>
  <c r="D107" i="38" s="1"/>
  <c r="K107" i="2"/>
  <c r="J107" i="2"/>
  <c r="I105" i="38" s="1"/>
  <c r="I107" i="2"/>
  <c r="H105" i="38" s="1"/>
  <c r="H107" i="2"/>
  <c r="G105" i="38" s="1"/>
  <c r="G107" i="2"/>
  <c r="F105" i="38" s="1"/>
  <c r="F107" i="2"/>
  <c r="E105" i="38" s="1"/>
  <c r="E107" i="2"/>
  <c r="D105" i="38" s="1"/>
  <c r="K106" i="2"/>
  <c r="J106" i="2"/>
  <c r="I104" i="38" s="1"/>
  <c r="I106" i="2"/>
  <c r="H104" i="38" s="1"/>
  <c r="H106" i="2"/>
  <c r="G104" i="38" s="1"/>
  <c r="G106" i="2"/>
  <c r="F104" i="38" s="1"/>
  <c r="F106" i="2"/>
  <c r="E104" i="38" s="1"/>
  <c r="E106" i="2"/>
  <c r="D104" i="38" s="1"/>
  <c r="K105" i="2"/>
  <c r="K105" i="20" s="1"/>
  <c r="J105" i="2"/>
  <c r="I103" i="38" s="1"/>
  <c r="I105" i="2"/>
  <c r="H103" i="38" s="1"/>
  <c r="H105" i="2"/>
  <c r="G103" i="38" s="1"/>
  <c r="G105" i="2"/>
  <c r="F103" i="38" s="1"/>
  <c r="F105" i="2"/>
  <c r="E103" i="38" s="1"/>
  <c r="E105" i="2"/>
  <c r="D103" i="38" s="1"/>
  <c r="K104" i="2"/>
  <c r="J104" i="2"/>
  <c r="I102" i="38" s="1"/>
  <c r="I104" i="2"/>
  <c r="H102" i="38" s="1"/>
  <c r="H104" i="2"/>
  <c r="G102" i="38" s="1"/>
  <c r="G104" i="2"/>
  <c r="F102" i="38" s="1"/>
  <c r="F104" i="2"/>
  <c r="E102" i="38" s="1"/>
  <c r="E104" i="2"/>
  <c r="D102" i="38" s="1"/>
  <c r="K103" i="2"/>
  <c r="J103" i="2"/>
  <c r="I101" i="38" s="1"/>
  <c r="I103" i="2"/>
  <c r="H101" i="38" s="1"/>
  <c r="H103" i="2"/>
  <c r="G101" i="38" s="1"/>
  <c r="G103" i="2"/>
  <c r="F101" i="38" s="1"/>
  <c r="F103" i="2"/>
  <c r="E101" i="38" s="1"/>
  <c r="E103" i="2"/>
  <c r="D101" i="38" s="1"/>
  <c r="K98" i="2"/>
  <c r="J98" i="2"/>
  <c r="I97" i="38" s="1"/>
  <c r="I98" i="2"/>
  <c r="H97" i="38" s="1"/>
  <c r="H98" i="2"/>
  <c r="G97" i="38" s="1"/>
  <c r="G98" i="2"/>
  <c r="F97" i="38" s="1"/>
  <c r="F98" i="2"/>
  <c r="E97" i="38" s="1"/>
  <c r="E98" i="2"/>
  <c r="D97" i="38" s="1"/>
  <c r="D98" i="2"/>
  <c r="K97" i="2"/>
  <c r="J97" i="2"/>
  <c r="I96" i="38" s="1"/>
  <c r="I97" i="2"/>
  <c r="H96" i="38" s="1"/>
  <c r="H97" i="2"/>
  <c r="G96" i="38" s="1"/>
  <c r="G97" i="2"/>
  <c r="F96" i="38" s="1"/>
  <c r="F97" i="2"/>
  <c r="E96" i="38" s="1"/>
  <c r="E97" i="2"/>
  <c r="D96" i="38" s="1"/>
  <c r="K96" i="2"/>
  <c r="J96" i="2"/>
  <c r="I95" i="38" s="1"/>
  <c r="I96" i="2"/>
  <c r="H95" i="38" s="1"/>
  <c r="H96" i="2"/>
  <c r="G95" i="38" s="1"/>
  <c r="G96" i="2"/>
  <c r="F95" i="38" s="1"/>
  <c r="F96" i="2"/>
  <c r="E95" i="38" s="1"/>
  <c r="E96" i="2"/>
  <c r="D95" i="38" s="1"/>
  <c r="K95" i="2"/>
  <c r="J93" i="11" s="1"/>
  <c r="J95" i="2"/>
  <c r="I94" i="38" s="1"/>
  <c r="I95" i="2"/>
  <c r="H94" i="38" s="1"/>
  <c r="H95" i="2"/>
  <c r="G94" i="38" s="1"/>
  <c r="G95" i="2"/>
  <c r="F94" i="38" s="1"/>
  <c r="F95" i="2"/>
  <c r="E94" i="38" s="1"/>
  <c r="E95" i="2"/>
  <c r="D94" i="38" s="1"/>
  <c r="K94" i="2"/>
  <c r="J94" i="2"/>
  <c r="I93" i="38" s="1"/>
  <c r="I94" i="2"/>
  <c r="H93" i="38" s="1"/>
  <c r="H94" i="2"/>
  <c r="G93" i="38" s="1"/>
  <c r="G94" i="2"/>
  <c r="F93" i="38" s="1"/>
  <c r="F94" i="2"/>
  <c r="E93" i="38" s="1"/>
  <c r="E94" i="2"/>
  <c r="D93" i="38" s="1"/>
  <c r="K93" i="2"/>
  <c r="J93" i="2"/>
  <c r="I92" i="38" s="1"/>
  <c r="I93" i="2"/>
  <c r="H92" i="38" s="1"/>
  <c r="H93" i="2"/>
  <c r="G92" i="38" s="1"/>
  <c r="G93" i="2"/>
  <c r="F92" i="38" s="1"/>
  <c r="F93" i="2"/>
  <c r="E92" i="38" s="1"/>
  <c r="E93" i="2"/>
  <c r="D92" i="38" s="1"/>
  <c r="K91" i="2"/>
  <c r="J91" i="2"/>
  <c r="I90" i="38" s="1"/>
  <c r="I91" i="2"/>
  <c r="H90" i="38" s="1"/>
  <c r="H91" i="2"/>
  <c r="G90" i="38" s="1"/>
  <c r="G91" i="2"/>
  <c r="F90" i="38" s="1"/>
  <c r="F91" i="2"/>
  <c r="E90" i="38" s="1"/>
  <c r="E91" i="2"/>
  <c r="D90" i="38" s="1"/>
  <c r="K90" i="2"/>
  <c r="J90" i="2"/>
  <c r="I89" i="38" s="1"/>
  <c r="I90" i="2"/>
  <c r="H89" i="38" s="1"/>
  <c r="H90" i="2"/>
  <c r="G89" i="38" s="1"/>
  <c r="G90" i="2"/>
  <c r="F89" i="38" s="1"/>
  <c r="F90" i="2"/>
  <c r="E89" i="38" s="1"/>
  <c r="E90" i="2"/>
  <c r="D89" i="38" s="1"/>
  <c r="K89" i="2"/>
  <c r="J89" i="2"/>
  <c r="I88" i="38" s="1"/>
  <c r="I89" i="2"/>
  <c r="H88" i="38" s="1"/>
  <c r="H89" i="2"/>
  <c r="G88" i="38" s="1"/>
  <c r="G89" i="2"/>
  <c r="F88" i="38" s="1"/>
  <c r="F89" i="2"/>
  <c r="E88" i="38" s="1"/>
  <c r="E89" i="2"/>
  <c r="D88" i="38" s="1"/>
  <c r="K88" i="2"/>
  <c r="K88" i="20" s="1"/>
  <c r="J88" i="2"/>
  <c r="I87" i="38" s="1"/>
  <c r="I88" i="2"/>
  <c r="H87" i="38" s="1"/>
  <c r="H88" i="2"/>
  <c r="G87" i="38" s="1"/>
  <c r="G88" i="2"/>
  <c r="F87" i="38" s="1"/>
  <c r="F88" i="2"/>
  <c r="E87" i="38" s="1"/>
  <c r="E88" i="2"/>
  <c r="D87" i="38" s="1"/>
  <c r="K87" i="2"/>
  <c r="J87" i="2"/>
  <c r="I86" i="38" s="1"/>
  <c r="I87" i="2"/>
  <c r="H86" i="38" s="1"/>
  <c r="H87" i="2"/>
  <c r="G86" i="38" s="1"/>
  <c r="G87" i="2"/>
  <c r="F86" i="38" s="1"/>
  <c r="F87" i="2"/>
  <c r="E86" i="38" s="1"/>
  <c r="E87" i="2"/>
  <c r="D86" i="38" s="1"/>
  <c r="K83" i="2"/>
  <c r="K83" i="20" s="1"/>
  <c r="J83" i="2"/>
  <c r="I84" i="38" s="1"/>
  <c r="I83" i="2"/>
  <c r="H84" i="38" s="1"/>
  <c r="H83" i="2"/>
  <c r="G84" i="38" s="1"/>
  <c r="G83" i="2"/>
  <c r="F84" i="38" s="1"/>
  <c r="F83" i="2"/>
  <c r="E84" i="38" s="1"/>
  <c r="E83" i="2"/>
  <c r="D84" i="38" s="1"/>
  <c r="K82" i="2"/>
  <c r="K82" i="20" s="1"/>
  <c r="J82" i="2"/>
  <c r="I83" i="38" s="1"/>
  <c r="I82" i="2"/>
  <c r="H83" i="38" s="1"/>
  <c r="H82" i="2"/>
  <c r="G83" i="38" s="1"/>
  <c r="G82" i="2"/>
  <c r="F83" i="38" s="1"/>
  <c r="F82" i="2"/>
  <c r="E83" i="38" s="1"/>
  <c r="E82" i="2"/>
  <c r="D83" i="38" s="1"/>
  <c r="K81" i="2"/>
  <c r="K81" i="20" s="1"/>
  <c r="J81" i="2"/>
  <c r="I82" i="38" s="1"/>
  <c r="I81" i="2"/>
  <c r="H82" i="38" s="1"/>
  <c r="H81" i="2"/>
  <c r="G82" i="38" s="1"/>
  <c r="G81" i="2"/>
  <c r="F82" i="38" s="1"/>
  <c r="F81" i="2"/>
  <c r="E82" i="38" s="1"/>
  <c r="E81" i="2"/>
  <c r="D82" i="38" s="1"/>
  <c r="K80" i="2"/>
  <c r="K80" i="20" s="1"/>
  <c r="J80" i="2"/>
  <c r="I81" i="38" s="1"/>
  <c r="I80" i="2"/>
  <c r="H81" i="38" s="1"/>
  <c r="H80" i="2"/>
  <c r="G81" i="38" s="1"/>
  <c r="G80" i="2"/>
  <c r="F81" i="38" s="1"/>
  <c r="F80" i="2"/>
  <c r="E81" i="38" s="1"/>
  <c r="E80" i="2"/>
  <c r="D81" i="38" s="1"/>
  <c r="K78" i="2"/>
  <c r="J78" i="2"/>
  <c r="I79" i="38" s="1"/>
  <c r="I78" i="2"/>
  <c r="H79" i="38" s="1"/>
  <c r="H78" i="2"/>
  <c r="G79" i="38" s="1"/>
  <c r="G78" i="2"/>
  <c r="F79" i="38" s="1"/>
  <c r="F78" i="2"/>
  <c r="E79" i="38" s="1"/>
  <c r="E78" i="2"/>
  <c r="D79" i="38" s="1"/>
  <c r="K77" i="2"/>
  <c r="K77" i="20" s="1"/>
  <c r="J77" i="2"/>
  <c r="I78" i="38" s="1"/>
  <c r="I77" i="2"/>
  <c r="H78" i="38" s="1"/>
  <c r="H77" i="2"/>
  <c r="G78" i="38" s="1"/>
  <c r="G77" i="2"/>
  <c r="F78" i="38" s="1"/>
  <c r="F77" i="2"/>
  <c r="E78" i="38" s="1"/>
  <c r="E77" i="2"/>
  <c r="D78" i="38" s="1"/>
  <c r="K76" i="2"/>
  <c r="K76" i="20" s="1"/>
  <c r="J76" i="2"/>
  <c r="I77" i="38" s="1"/>
  <c r="I76" i="2"/>
  <c r="H77" i="38" s="1"/>
  <c r="H76" i="2"/>
  <c r="G77" i="38" s="1"/>
  <c r="G76" i="2"/>
  <c r="F77" i="38" s="1"/>
  <c r="F76" i="2"/>
  <c r="E77" i="38" s="1"/>
  <c r="E76" i="2"/>
  <c r="D77" i="38" s="1"/>
  <c r="K75" i="2"/>
  <c r="J75" i="2"/>
  <c r="I76" i="38" s="1"/>
  <c r="I75" i="2"/>
  <c r="H76" i="38" s="1"/>
  <c r="H75" i="2"/>
  <c r="G76" i="38" s="1"/>
  <c r="G75" i="2"/>
  <c r="F76" i="38" s="1"/>
  <c r="F75" i="2"/>
  <c r="E76" i="38" s="1"/>
  <c r="E75" i="2"/>
  <c r="D76" i="38" s="1"/>
  <c r="K72" i="2"/>
  <c r="J72" i="2"/>
  <c r="I72" i="38" s="1"/>
  <c r="I72" i="2"/>
  <c r="H72" i="38" s="1"/>
  <c r="H72" i="2"/>
  <c r="G72" i="38" s="1"/>
  <c r="G72" i="2"/>
  <c r="F72" i="38" s="1"/>
  <c r="F72" i="2"/>
  <c r="E72" i="38" s="1"/>
  <c r="E72" i="2"/>
  <c r="D72" i="38" s="1"/>
  <c r="D72" i="2"/>
  <c r="K71" i="2"/>
  <c r="J71" i="2"/>
  <c r="I71" i="38" s="1"/>
  <c r="I71" i="2"/>
  <c r="H71" i="38" s="1"/>
  <c r="H71" i="2"/>
  <c r="G71" i="38" s="1"/>
  <c r="G71" i="2"/>
  <c r="F71" i="38" s="1"/>
  <c r="F71" i="2"/>
  <c r="E71" i="38" s="1"/>
  <c r="E71" i="2"/>
  <c r="D71" i="38" s="1"/>
  <c r="K70" i="2"/>
  <c r="J70" i="2"/>
  <c r="I70" i="38" s="1"/>
  <c r="I70" i="2"/>
  <c r="H70" i="38" s="1"/>
  <c r="H70" i="2"/>
  <c r="G70" i="38" s="1"/>
  <c r="G70" i="2"/>
  <c r="F70" i="38" s="1"/>
  <c r="F70" i="2"/>
  <c r="E70" i="38" s="1"/>
  <c r="E70" i="2"/>
  <c r="D70" i="38" s="1"/>
  <c r="K69" i="2"/>
  <c r="K69" i="20" s="1"/>
  <c r="J69" i="2"/>
  <c r="I69" i="38" s="1"/>
  <c r="I69" i="2"/>
  <c r="H69" i="38" s="1"/>
  <c r="H69" i="2"/>
  <c r="G69" i="38" s="1"/>
  <c r="G69" i="2"/>
  <c r="F69" i="38" s="1"/>
  <c r="F69" i="2"/>
  <c r="E69" i="38" s="1"/>
  <c r="E69" i="2"/>
  <c r="D69" i="38" s="1"/>
  <c r="K68" i="2"/>
  <c r="K68" i="20" s="1"/>
  <c r="J68" i="2"/>
  <c r="I68" i="38" s="1"/>
  <c r="I68" i="2"/>
  <c r="H68" i="38" s="1"/>
  <c r="H68" i="2"/>
  <c r="G68" i="38" s="1"/>
  <c r="G68" i="2"/>
  <c r="F68" i="38" s="1"/>
  <c r="F68" i="2"/>
  <c r="E68" i="38" s="1"/>
  <c r="E68" i="2"/>
  <c r="D68" i="38" s="1"/>
  <c r="D68" i="2"/>
  <c r="K66" i="2"/>
  <c r="K66" i="20" s="1"/>
  <c r="J66" i="2"/>
  <c r="I66" i="2"/>
  <c r="H66" i="2"/>
  <c r="G66" i="2"/>
  <c r="F66" i="2"/>
  <c r="E66" i="2"/>
  <c r="J65" i="2"/>
  <c r="I65" i="2"/>
  <c r="H65" i="2"/>
  <c r="G65" i="2"/>
  <c r="F65" i="2"/>
  <c r="E65" i="2"/>
  <c r="K64" i="2"/>
  <c r="K64" i="20" s="1"/>
  <c r="J64" i="2"/>
  <c r="I64" i="2"/>
  <c r="H64" i="2"/>
  <c r="G64" i="2"/>
  <c r="F64" i="2"/>
  <c r="E64" i="2"/>
  <c r="K63" i="2"/>
  <c r="K63" i="20" s="1"/>
  <c r="J63" i="2"/>
  <c r="I63" i="2"/>
  <c r="H63" i="2"/>
  <c r="G63" i="2"/>
  <c r="F63" i="2"/>
  <c r="E63" i="2"/>
  <c r="D63" i="2"/>
  <c r="K61" i="2"/>
  <c r="K60" i="27" s="1"/>
  <c r="J61" i="2"/>
  <c r="I61" i="38" s="1"/>
  <c r="I61" i="2"/>
  <c r="H61" i="38" s="1"/>
  <c r="H61" i="2"/>
  <c r="G61" i="38" s="1"/>
  <c r="K60" i="2"/>
  <c r="K60" i="20" s="1"/>
  <c r="J60" i="2"/>
  <c r="I60" i="38" s="1"/>
  <c r="I60" i="2"/>
  <c r="H60" i="38" s="1"/>
  <c r="H60" i="2"/>
  <c r="G60" i="38" s="1"/>
  <c r="K59" i="2"/>
  <c r="J57" i="11" s="1"/>
  <c r="J59" i="2"/>
  <c r="I59" i="38" s="1"/>
  <c r="I59" i="2"/>
  <c r="H59" i="38" s="1"/>
  <c r="H59" i="2"/>
  <c r="G59" i="38" s="1"/>
  <c r="G59" i="20"/>
  <c r="F59" i="20"/>
  <c r="E59" i="20"/>
  <c r="K57" i="2"/>
  <c r="K57" i="20" s="1"/>
  <c r="J57" i="2"/>
  <c r="I57" i="2"/>
  <c r="H57" i="2"/>
  <c r="G57" i="2"/>
  <c r="F57" i="2"/>
  <c r="E57" i="2"/>
  <c r="D57" i="2"/>
  <c r="K55" i="2"/>
  <c r="J55" i="2"/>
  <c r="I55" i="38" s="1"/>
  <c r="I55" i="2"/>
  <c r="H55" i="38" s="1"/>
  <c r="H55" i="2"/>
  <c r="G55" i="38" s="1"/>
  <c r="G55" i="2"/>
  <c r="F55" i="38" s="1"/>
  <c r="F55" i="2"/>
  <c r="E55" i="38" s="1"/>
  <c r="E55" i="2"/>
  <c r="D55" i="38" s="1"/>
  <c r="K54" i="2"/>
  <c r="K54" i="20" s="1"/>
  <c r="J54" i="2"/>
  <c r="I54" i="38" s="1"/>
  <c r="I54" i="2"/>
  <c r="H54" i="38" s="1"/>
  <c r="H54" i="2"/>
  <c r="G54" i="38" s="1"/>
  <c r="G54" i="2"/>
  <c r="F54" i="38" s="1"/>
  <c r="F54" i="2"/>
  <c r="E54" i="38" s="1"/>
  <c r="E54" i="2"/>
  <c r="D54" i="38" s="1"/>
  <c r="K53" i="2"/>
  <c r="J51" i="11" s="1"/>
  <c r="J53" i="2"/>
  <c r="I53" i="38" s="1"/>
  <c r="I53" i="2"/>
  <c r="H53" i="38" s="1"/>
  <c r="H53" i="2"/>
  <c r="G53" i="38" s="1"/>
  <c r="G53" i="2"/>
  <c r="F53" i="38" s="1"/>
  <c r="F53" i="2"/>
  <c r="E53" i="38" s="1"/>
  <c r="E53" i="2"/>
  <c r="D53" i="38" s="1"/>
  <c r="D53" i="2"/>
  <c r="D53" i="20" s="1"/>
  <c r="K52" i="2"/>
  <c r="J52" i="2"/>
  <c r="I52" i="38" s="1"/>
  <c r="I52" i="2"/>
  <c r="H52" i="38" s="1"/>
  <c r="H52" i="2"/>
  <c r="G52" i="38" s="1"/>
  <c r="G52" i="2"/>
  <c r="F52" i="38" s="1"/>
  <c r="F52" i="2"/>
  <c r="E52" i="38" s="1"/>
  <c r="E52" i="2"/>
  <c r="D52" i="38" s="1"/>
  <c r="K51" i="2"/>
  <c r="J51" i="2"/>
  <c r="I51" i="38" s="1"/>
  <c r="I51" i="2"/>
  <c r="H51" i="38" s="1"/>
  <c r="H51" i="2"/>
  <c r="G51" i="38" s="1"/>
  <c r="G51" i="2"/>
  <c r="F51" i="38" s="1"/>
  <c r="F51" i="2"/>
  <c r="E51" i="38" s="1"/>
  <c r="E51" i="2"/>
  <c r="D51" i="38" s="1"/>
  <c r="K49" i="2"/>
  <c r="J49" i="2"/>
  <c r="I49" i="38" s="1"/>
  <c r="I49" i="2"/>
  <c r="H49" i="38" s="1"/>
  <c r="H49" i="2"/>
  <c r="G49" i="38" s="1"/>
  <c r="G49" i="2"/>
  <c r="F49" i="38" s="1"/>
  <c r="F49" i="2"/>
  <c r="E49" i="38" s="1"/>
  <c r="E49" i="2"/>
  <c r="D49" i="38" s="1"/>
  <c r="K48" i="2"/>
  <c r="K48" i="20" s="1"/>
  <c r="J48" i="2"/>
  <c r="I48" i="38" s="1"/>
  <c r="I48" i="2"/>
  <c r="H48" i="38" s="1"/>
  <c r="H48" i="2"/>
  <c r="G48" i="38" s="1"/>
  <c r="G48" i="2"/>
  <c r="F48" i="38" s="1"/>
  <c r="F48" i="2"/>
  <c r="E48" i="38" s="1"/>
  <c r="E48" i="2"/>
  <c r="D48" i="38" s="1"/>
  <c r="K47" i="2"/>
  <c r="K47" i="20" s="1"/>
  <c r="J47" i="2"/>
  <c r="I47" i="38" s="1"/>
  <c r="I47" i="2"/>
  <c r="H47" i="38" s="1"/>
  <c r="H47" i="2"/>
  <c r="G47" i="38" s="1"/>
  <c r="G47" i="2"/>
  <c r="F47" i="38" s="1"/>
  <c r="F47" i="2"/>
  <c r="E47" i="38" s="1"/>
  <c r="E47" i="2"/>
  <c r="D47" i="38" s="1"/>
  <c r="K44" i="2"/>
  <c r="K44" i="20" s="1"/>
  <c r="J44" i="2"/>
  <c r="I44" i="2"/>
  <c r="H44" i="2"/>
  <c r="G44" i="2"/>
  <c r="F44" i="2"/>
  <c r="E44" i="2"/>
  <c r="J43" i="2"/>
  <c r="I43" i="2"/>
  <c r="H43" i="2"/>
  <c r="G43" i="2"/>
  <c r="F43" i="2"/>
  <c r="E43" i="2"/>
  <c r="K42" i="2"/>
  <c r="K42" i="20" s="1"/>
  <c r="J42" i="2"/>
  <c r="I42" i="2"/>
  <c r="H42" i="2"/>
  <c r="G42" i="2"/>
  <c r="F42" i="2"/>
  <c r="E42" i="2"/>
  <c r="K41" i="2"/>
  <c r="K41" i="20" s="1"/>
  <c r="J41" i="2"/>
  <c r="I41" i="2"/>
  <c r="H41" i="2"/>
  <c r="G41" i="2"/>
  <c r="F41" i="2"/>
  <c r="E41" i="2"/>
  <c r="K40" i="2"/>
  <c r="K40" i="20" s="1"/>
  <c r="J40" i="2"/>
  <c r="I40" i="2"/>
  <c r="H40" i="2"/>
  <c r="G40" i="2"/>
  <c r="F40" i="2"/>
  <c r="E40" i="2"/>
  <c r="K38" i="2"/>
  <c r="J38" i="2"/>
  <c r="I38" i="38" s="1"/>
  <c r="I38" i="2"/>
  <c r="H38" i="38" s="1"/>
  <c r="H38" i="2"/>
  <c r="G38" i="38" s="1"/>
  <c r="G38" i="2"/>
  <c r="F38" i="38" s="1"/>
  <c r="F38" i="2"/>
  <c r="E38" i="38" s="1"/>
  <c r="E38" i="2"/>
  <c r="D38" i="38" s="1"/>
  <c r="K37" i="2"/>
  <c r="J37" i="2"/>
  <c r="I37" i="38" s="1"/>
  <c r="I37" i="2"/>
  <c r="H37" i="38" s="1"/>
  <c r="H37" i="2"/>
  <c r="G37" i="38" s="1"/>
  <c r="G37" i="2"/>
  <c r="F37" i="38" s="1"/>
  <c r="F37" i="2"/>
  <c r="E37" i="38" s="1"/>
  <c r="E37" i="2"/>
  <c r="D37" i="38" s="1"/>
  <c r="K36" i="2"/>
  <c r="J36" i="2"/>
  <c r="I36" i="38" s="1"/>
  <c r="I36" i="2"/>
  <c r="H36" i="38" s="1"/>
  <c r="H36" i="2"/>
  <c r="G36" i="38" s="1"/>
  <c r="G36" i="2"/>
  <c r="F36" i="38" s="1"/>
  <c r="F36" i="2"/>
  <c r="E36" i="38" s="1"/>
  <c r="E36" i="2"/>
  <c r="D36" i="38" s="1"/>
  <c r="K35" i="2"/>
  <c r="J35" i="2"/>
  <c r="I35" i="38" s="1"/>
  <c r="I35" i="2"/>
  <c r="H35" i="38" s="1"/>
  <c r="H35" i="2"/>
  <c r="G35" i="2"/>
  <c r="F35" i="38" s="1"/>
  <c r="F35" i="2"/>
  <c r="E35" i="38" s="1"/>
  <c r="E35" i="2"/>
  <c r="D35" i="38" s="1"/>
  <c r="K34" i="2"/>
  <c r="J34" i="2"/>
  <c r="I34" i="38" s="1"/>
  <c r="I34" i="2"/>
  <c r="H34" i="38" s="1"/>
  <c r="H34" i="2"/>
  <c r="G34" i="38" s="1"/>
  <c r="G34" i="2"/>
  <c r="F34" i="38" s="1"/>
  <c r="F34" i="2"/>
  <c r="E34" i="38" s="1"/>
  <c r="E34" i="2"/>
  <c r="D34" i="38" s="1"/>
  <c r="K32" i="2"/>
  <c r="K32" i="20" s="1"/>
  <c r="J32" i="2"/>
  <c r="I32" i="38" s="1"/>
  <c r="I32" i="2"/>
  <c r="H32" i="38" s="1"/>
  <c r="H32" i="2"/>
  <c r="G32" i="38" s="1"/>
  <c r="G32" i="2"/>
  <c r="F32" i="38" s="1"/>
  <c r="F32" i="2"/>
  <c r="E32" i="38" s="1"/>
  <c r="E32" i="2"/>
  <c r="D32" i="38" s="1"/>
  <c r="K31" i="2"/>
  <c r="J31" i="2"/>
  <c r="I31" i="38" s="1"/>
  <c r="I31" i="2"/>
  <c r="H31" i="38" s="1"/>
  <c r="H31" i="2"/>
  <c r="G31" i="38" s="1"/>
  <c r="G31" i="2"/>
  <c r="F31" i="38" s="1"/>
  <c r="F31" i="2"/>
  <c r="E31" i="38" s="1"/>
  <c r="E31" i="2"/>
  <c r="D31" i="38" s="1"/>
  <c r="D31" i="2"/>
  <c r="K30" i="2"/>
  <c r="J30" i="2"/>
  <c r="I30" i="38" s="1"/>
  <c r="I30" i="2"/>
  <c r="H30" i="38" s="1"/>
  <c r="H30" i="2"/>
  <c r="G30" i="38" s="1"/>
  <c r="G30" i="2"/>
  <c r="F30" i="38" s="1"/>
  <c r="F30" i="2"/>
  <c r="E30" i="38" s="1"/>
  <c r="E30" i="2"/>
  <c r="D30" i="38" s="1"/>
  <c r="J29" i="2"/>
  <c r="I29" i="38" s="1"/>
  <c r="I29" i="2"/>
  <c r="H29" i="38" s="1"/>
  <c r="H29" i="2"/>
  <c r="G29" i="38" s="1"/>
  <c r="G29" i="2"/>
  <c r="F29" i="38" s="1"/>
  <c r="F29" i="2"/>
  <c r="E29" i="38" s="1"/>
  <c r="E29" i="2"/>
  <c r="D29" i="38" s="1"/>
  <c r="K28" i="2"/>
  <c r="J28" i="2"/>
  <c r="I28" i="38" s="1"/>
  <c r="I28" i="2"/>
  <c r="H28" i="38" s="1"/>
  <c r="H28" i="2"/>
  <c r="G28" i="38" s="1"/>
  <c r="G28" i="2"/>
  <c r="F28" i="38" s="1"/>
  <c r="F28" i="2"/>
  <c r="E28" i="38" s="1"/>
  <c r="E28" i="2"/>
  <c r="D28" i="38" s="1"/>
  <c r="D28" i="2"/>
  <c r="J27" i="2"/>
  <c r="I27" i="38" s="1"/>
  <c r="I27" i="2"/>
  <c r="H27" i="38" s="1"/>
  <c r="H27" i="2"/>
  <c r="G27" i="38" s="1"/>
  <c r="G27" i="2"/>
  <c r="F27" i="38" s="1"/>
  <c r="F27" i="2"/>
  <c r="E27" i="38" s="1"/>
  <c r="E27" i="2"/>
  <c r="D27" i="38" s="1"/>
  <c r="K26" i="2"/>
  <c r="J26" i="2"/>
  <c r="I26" i="38" s="1"/>
  <c r="I26" i="2"/>
  <c r="H26" i="38" s="1"/>
  <c r="H26" i="2"/>
  <c r="G26" i="38" s="1"/>
  <c r="G26" i="2"/>
  <c r="F26" i="38" s="1"/>
  <c r="F26" i="2"/>
  <c r="E26" i="38" s="1"/>
  <c r="E26" i="2"/>
  <c r="D26" i="38" s="1"/>
  <c r="K25" i="2"/>
  <c r="K25" i="20" s="1"/>
  <c r="J25" i="2"/>
  <c r="I25" i="38" s="1"/>
  <c r="I25" i="2"/>
  <c r="H25" i="38" s="1"/>
  <c r="H25" i="2"/>
  <c r="G25" i="38" s="1"/>
  <c r="G25" i="2"/>
  <c r="F25" i="38" s="1"/>
  <c r="F25" i="2"/>
  <c r="E25" i="38" s="1"/>
  <c r="E25" i="2"/>
  <c r="D25" i="38" s="1"/>
  <c r="D25" i="2"/>
  <c r="D25" i="20" s="1"/>
  <c r="K24" i="2"/>
  <c r="J24" i="2"/>
  <c r="I24" i="38" s="1"/>
  <c r="I24" i="2"/>
  <c r="H24" i="38" s="1"/>
  <c r="H24" i="2"/>
  <c r="G24" i="38" s="1"/>
  <c r="G24" i="2"/>
  <c r="F24" i="38" s="1"/>
  <c r="F24" i="2"/>
  <c r="E24" i="38" s="1"/>
  <c r="E24" i="2"/>
  <c r="D24" i="38" s="1"/>
  <c r="D24" i="2"/>
  <c r="K23" i="2"/>
  <c r="J23" i="2"/>
  <c r="I23" i="38" s="1"/>
  <c r="I23" i="2"/>
  <c r="H23" i="38" s="1"/>
  <c r="H23" i="2"/>
  <c r="G23" i="38" s="1"/>
  <c r="G23" i="2"/>
  <c r="F23" i="38" s="1"/>
  <c r="F23" i="2"/>
  <c r="E23" i="38" s="1"/>
  <c r="E23" i="2"/>
  <c r="D23" i="38" s="1"/>
  <c r="K22" i="2"/>
  <c r="K22" i="20" s="1"/>
  <c r="J22" i="2"/>
  <c r="I22" i="38" s="1"/>
  <c r="I22" i="2"/>
  <c r="H22" i="38" s="1"/>
  <c r="H22" i="2"/>
  <c r="G22" i="38" s="1"/>
  <c r="G22" i="2"/>
  <c r="F22" i="38" s="1"/>
  <c r="F22" i="2"/>
  <c r="E22" i="38" s="1"/>
  <c r="E22" i="2"/>
  <c r="D22" i="38" s="1"/>
  <c r="D22" i="2"/>
  <c r="K21" i="2"/>
  <c r="K21" i="20" s="1"/>
  <c r="J21" i="2"/>
  <c r="I21" i="38" s="1"/>
  <c r="I21" i="2"/>
  <c r="H21" i="38" s="1"/>
  <c r="H21" i="2"/>
  <c r="G21" i="38" s="1"/>
  <c r="G21" i="2"/>
  <c r="F21" i="38" s="1"/>
  <c r="F21" i="2"/>
  <c r="E21" i="38" s="1"/>
  <c r="E21" i="2"/>
  <c r="D21" i="38" s="1"/>
  <c r="D21" i="2"/>
  <c r="K20" i="2"/>
  <c r="K20" i="20" s="1"/>
  <c r="J20" i="2"/>
  <c r="I20" i="38" s="1"/>
  <c r="I20" i="2"/>
  <c r="H20" i="38" s="1"/>
  <c r="H20" i="2"/>
  <c r="G20" i="38" s="1"/>
  <c r="G20" i="2"/>
  <c r="F20" i="38" s="1"/>
  <c r="F20" i="2"/>
  <c r="E20" i="38" s="1"/>
  <c r="E20" i="2"/>
  <c r="D20" i="38" s="1"/>
  <c r="K19" i="2"/>
  <c r="K19" i="20" s="1"/>
  <c r="J19" i="2"/>
  <c r="I19" i="38" s="1"/>
  <c r="I19" i="2"/>
  <c r="H19" i="38" s="1"/>
  <c r="H19" i="2"/>
  <c r="G19" i="38" s="1"/>
  <c r="G19" i="2"/>
  <c r="F19" i="38" s="1"/>
  <c r="F19" i="2"/>
  <c r="E19" i="38" s="1"/>
  <c r="E19" i="2"/>
  <c r="D19" i="38" s="1"/>
  <c r="K18" i="2"/>
  <c r="J18" i="2"/>
  <c r="I18" i="38" s="1"/>
  <c r="I18" i="2"/>
  <c r="H18" i="38" s="1"/>
  <c r="H18" i="2"/>
  <c r="G18" i="38" s="1"/>
  <c r="G18" i="2"/>
  <c r="F18" i="38" s="1"/>
  <c r="F18" i="2"/>
  <c r="E18" i="38" s="1"/>
  <c r="E18" i="2"/>
  <c r="D18" i="38" s="1"/>
  <c r="K17" i="2"/>
  <c r="K17" i="20" s="1"/>
  <c r="J17" i="2"/>
  <c r="I17" i="38" s="1"/>
  <c r="I17" i="2"/>
  <c r="H17" i="38" s="1"/>
  <c r="H17" i="2"/>
  <c r="G17" i="38" s="1"/>
  <c r="G17" i="2"/>
  <c r="F17" i="38" s="1"/>
  <c r="F17" i="2"/>
  <c r="E17" i="38" s="1"/>
  <c r="E17" i="2"/>
  <c r="D17" i="38" s="1"/>
  <c r="D17" i="2"/>
  <c r="K16" i="2"/>
  <c r="K16" i="20" s="1"/>
  <c r="J16" i="2"/>
  <c r="I16" i="38" s="1"/>
  <c r="I16" i="2"/>
  <c r="H16" i="38" s="1"/>
  <c r="H16" i="2"/>
  <c r="G16" i="38" s="1"/>
  <c r="G16" i="2"/>
  <c r="F16" i="38" s="1"/>
  <c r="F16" i="2"/>
  <c r="E16" i="38" s="1"/>
  <c r="E16" i="2"/>
  <c r="D16" i="38" s="1"/>
  <c r="D16" i="2"/>
  <c r="K15" i="2"/>
  <c r="J15" i="2"/>
  <c r="I15" i="38" s="1"/>
  <c r="I15" i="2"/>
  <c r="H15" i="38" s="1"/>
  <c r="H15" i="2"/>
  <c r="G15" i="38" s="1"/>
  <c r="G15" i="2"/>
  <c r="F15" i="38" s="1"/>
  <c r="F15" i="2"/>
  <c r="E15" i="38" s="1"/>
  <c r="E15" i="2"/>
  <c r="D15" i="38" s="1"/>
  <c r="K14" i="2"/>
  <c r="K14" i="20" s="1"/>
  <c r="J14" i="2"/>
  <c r="I14" i="38" s="1"/>
  <c r="I14" i="2"/>
  <c r="H14" i="38" s="1"/>
  <c r="H14" i="2"/>
  <c r="G14" i="38" s="1"/>
  <c r="G14" i="2"/>
  <c r="F14" i="38" s="1"/>
  <c r="F14" i="2"/>
  <c r="E14" i="38" s="1"/>
  <c r="E14" i="2"/>
  <c r="D14" i="38" s="1"/>
  <c r="K13" i="2"/>
  <c r="K13" i="20" s="1"/>
  <c r="J13" i="2"/>
  <c r="I13" i="38" s="1"/>
  <c r="I13" i="2"/>
  <c r="H13" i="38" s="1"/>
  <c r="H13" i="2"/>
  <c r="G13" i="38" s="1"/>
  <c r="G13" i="2"/>
  <c r="F13" i="38" s="1"/>
  <c r="F13" i="2"/>
  <c r="E13" i="38" s="1"/>
  <c r="E13" i="2"/>
  <c r="D13" i="38" s="1"/>
  <c r="K12" i="2"/>
  <c r="J12" i="2"/>
  <c r="I12" i="38" s="1"/>
  <c r="I12" i="2"/>
  <c r="H12" i="38" s="1"/>
  <c r="H12" i="2"/>
  <c r="G12" i="38" s="1"/>
  <c r="G12" i="2"/>
  <c r="F12" i="38" s="1"/>
  <c r="F12" i="2"/>
  <c r="E12" i="38" s="1"/>
  <c r="E12" i="2"/>
  <c r="D12" i="38" s="1"/>
  <c r="K11" i="2"/>
  <c r="J11" i="2"/>
  <c r="I11" i="38" s="1"/>
  <c r="I11" i="2"/>
  <c r="H11" i="38" s="1"/>
  <c r="H11" i="2"/>
  <c r="G11" i="38" s="1"/>
  <c r="G11" i="2"/>
  <c r="F11" i="38" s="1"/>
  <c r="F11" i="2"/>
  <c r="E11" i="38" s="1"/>
  <c r="E11" i="2"/>
  <c r="D11" i="38" s="1"/>
  <c r="K10" i="2"/>
  <c r="K10" i="20" s="1"/>
  <c r="J10" i="2"/>
  <c r="I10" i="38" s="1"/>
  <c r="I10" i="2"/>
  <c r="H10" i="38" s="1"/>
  <c r="H10" i="2"/>
  <c r="G10" i="38" s="1"/>
  <c r="G10" i="2"/>
  <c r="F10" i="38" s="1"/>
  <c r="F10" i="2"/>
  <c r="E10" i="38" s="1"/>
  <c r="E10" i="2"/>
  <c r="D10" i="38" s="1"/>
  <c r="D171" i="20"/>
  <c r="D61" i="20"/>
  <c r="D60" i="20"/>
  <c r="C169" i="11"/>
  <c r="C59" i="11"/>
  <c r="C58" i="11"/>
  <c r="C57" i="11"/>
  <c r="AH175" i="2"/>
  <c r="AG175" i="2"/>
  <c r="AF175" i="2"/>
  <c r="P173" i="23" s="1"/>
  <c r="S173" i="23" s="1"/>
  <c r="AJ174" i="2"/>
  <c r="AH174" i="2"/>
  <c r="AG174" i="2"/>
  <c r="AF174" i="2"/>
  <c r="P172" i="23" s="1"/>
  <c r="S172" i="23" s="1"/>
  <c r="D175" i="2"/>
  <c r="D174" i="2"/>
  <c r="A78" i="9"/>
  <c r="A77" i="9"/>
  <c r="AJ162" i="2"/>
  <c r="AH162" i="2"/>
  <c r="AG162" i="2"/>
  <c r="AF162" i="2"/>
  <c r="P160" i="23" s="1"/>
  <c r="S160" i="23" s="1"/>
  <c r="D162" i="2"/>
  <c r="AJ155" i="2"/>
  <c r="AH155" i="2"/>
  <c r="AG155" i="2"/>
  <c r="AF155" i="2"/>
  <c r="P153" i="23" s="1"/>
  <c r="S153" i="23" s="1"/>
  <c r="D155" i="2"/>
  <c r="AJ149" i="2"/>
  <c r="AH149" i="2"/>
  <c r="AG149" i="2"/>
  <c r="AF149" i="2"/>
  <c r="P147" i="23" s="1"/>
  <c r="S147" i="23" s="1"/>
  <c r="D149" i="2"/>
  <c r="AJ115" i="2"/>
  <c r="AH115" i="2"/>
  <c r="AG115" i="2"/>
  <c r="AF115" i="2"/>
  <c r="P114" i="23" s="1"/>
  <c r="S114" i="23" s="1"/>
  <c r="D115" i="2"/>
  <c r="AJ109" i="2"/>
  <c r="AH109" i="2"/>
  <c r="AG109" i="2"/>
  <c r="AF109" i="2"/>
  <c r="P108" i="23" s="1"/>
  <c r="S108" i="23" s="1"/>
  <c r="D109" i="2"/>
  <c r="A51" i="9"/>
  <c r="AH103" i="2"/>
  <c r="AG103" i="2"/>
  <c r="AF103" i="2"/>
  <c r="P102" i="23" s="1"/>
  <c r="S102" i="23" s="1"/>
  <c r="D103" i="2"/>
  <c r="A49" i="9"/>
  <c r="AJ93" i="2"/>
  <c r="AH93" i="2"/>
  <c r="AG93" i="2"/>
  <c r="AF93" i="2"/>
  <c r="P92" i="23" s="1"/>
  <c r="S92" i="23" s="1"/>
  <c r="D93" i="2"/>
  <c r="A45" i="9"/>
  <c r="AJ87" i="2"/>
  <c r="AH87" i="2"/>
  <c r="AG87" i="2"/>
  <c r="AF87" i="2"/>
  <c r="P86" i="23" s="1"/>
  <c r="S86" i="23" s="1"/>
  <c r="D87" i="2"/>
  <c r="A43" i="9"/>
  <c r="P74" i="24"/>
  <c r="AJ72" i="2"/>
  <c r="AH72" i="2"/>
  <c r="CG71" i="10" s="1"/>
  <c r="AG72" i="2"/>
  <c r="AF72" i="2"/>
  <c r="P71" i="23" s="1"/>
  <c r="S71" i="23" s="1"/>
  <c r="A34" i="9"/>
  <c r="A32" i="9"/>
  <c r="A31" i="9"/>
  <c r="A30" i="9"/>
  <c r="D32" i="9"/>
  <c r="D31" i="9"/>
  <c r="AH51" i="2"/>
  <c r="CG50" i="10" s="1"/>
  <c r="AG51" i="2"/>
  <c r="AF51" i="2"/>
  <c r="P50" i="23" s="1"/>
  <c r="S50" i="23" s="1"/>
  <c r="D51" i="2"/>
  <c r="A26" i="9"/>
  <c r="AJ44" i="2"/>
  <c r="AH44" i="2"/>
  <c r="AG44" i="2"/>
  <c r="AF44" i="2"/>
  <c r="P43" i="23" s="1"/>
  <c r="S43" i="23" s="1"/>
  <c r="AJ43" i="2"/>
  <c r="AH43" i="2"/>
  <c r="CG42" i="10" s="1"/>
  <c r="AG43" i="2"/>
  <c r="AF43" i="2"/>
  <c r="P42" i="23" s="1"/>
  <c r="S42" i="23" s="1"/>
  <c r="AJ42" i="2"/>
  <c r="AH42" i="2"/>
  <c r="AG42" i="2"/>
  <c r="AF42" i="2"/>
  <c r="P41" i="23" s="1"/>
  <c r="S41" i="23" s="1"/>
  <c r="AJ41" i="2"/>
  <c r="AH41" i="2"/>
  <c r="CG40" i="10" s="1"/>
  <c r="AG41" i="2"/>
  <c r="AF41" i="2"/>
  <c r="P40" i="23" s="1"/>
  <c r="S40" i="23" s="1"/>
  <c r="AJ40" i="2"/>
  <c r="AH40" i="2"/>
  <c r="CG39" i="10" s="1"/>
  <c r="AG40" i="2"/>
  <c r="AF40" i="2"/>
  <c r="P39" i="23" s="1"/>
  <c r="S39" i="23" s="1"/>
  <c r="D44" i="2"/>
  <c r="D43" i="2"/>
  <c r="D42" i="2"/>
  <c r="D41" i="2"/>
  <c r="D40" i="2"/>
  <c r="A17" i="9"/>
  <c r="AJ35" i="2"/>
  <c r="AH35" i="2"/>
  <c r="CG34" i="10" s="1"/>
  <c r="AG35" i="2"/>
  <c r="AF35" i="2"/>
  <c r="P34" i="23" s="1"/>
  <c r="S34" i="23" s="1"/>
  <c r="AJ34" i="2"/>
  <c r="AH34" i="2"/>
  <c r="CG33" i="10" s="1"/>
  <c r="AG34" i="2"/>
  <c r="AF34" i="2"/>
  <c r="P33" i="23" s="1"/>
  <c r="S33" i="23" s="1"/>
  <c r="D35" i="2"/>
  <c r="D34" i="2"/>
  <c r="A15" i="9"/>
  <c r="A14" i="9"/>
  <c r="AJ32" i="2"/>
  <c r="AH32" i="2"/>
  <c r="AG32" i="2"/>
  <c r="AF32" i="2"/>
  <c r="P31" i="23" s="1"/>
  <c r="S31" i="23" s="1"/>
  <c r="D32" i="2"/>
  <c r="C32" i="38" s="1"/>
  <c r="AJ29" i="2"/>
  <c r="AH29" i="2"/>
  <c r="CG28" i="10" s="1"/>
  <c r="AG29" i="2"/>
  <c r="AF29" i="2"/>
  <c r="P28" i="23" s="1"/>
  <c r="S28" i="23" s="1"/>
  <c r="D29" i="2"/>
  <c r="B28" i="10" s="1"/>
  <c r="AJ27" i="2"/>
  <c r="AH27" i="2"/>
  <c r="CG26" i="10" s="1"/>
  <c r="AG27" i="2"/>
  <c r="AF27" i="2"/>
  <c r="P26" i="23" s="1"/>
  <c r="S26" i="23" s="1"/>
  <c r="D27" i="2"/>
  <c r="AJ26" i="2"/>
  <c r="AH26" i="2"/>
  <c r="CG25" i="10" s="1"/>
  <c r="AG26" i="2"/>
  <c r="AF26" i="2"/>
  <c r="P25" i="23" s="1"/>
  <c r="S25" i="23" s="1"/>
  <c r="D26" i="2"/>
  <c r="AJ23" i="2"/>
  <c r="AH23" i="2"/>
  <c r="CG22" i="10" s="1"/>
  <c r="AG23" i="2"/>
  <c r="P22" i="23"/>
  <c r="S22" i="23" s="1"/>
  <c r="D23" i="2"/>
  <c r="A12" i="9"/>
  <c r="A11" i="9"/>
  <c r="A10" i="9"/>
  <c r="A9" i="9"/>
  <c r="A8" i="9"/>
  <c r="M64" i="9"/>
  <c r="N64" i="9"/>
  <c r="O64" i="9"/>
  <c r="P64" i="9"/>
  <c r="Q64" i="9"/>
  <c r="M13" i="9"/>
  <c r="N13" i="9"/>
  <c r="O13" i="9"/>
  <c r="P13" i="9"/>
  <c r="Q13" i="9"/>
  <c r="P178" i="23"/>
  <c r="S178" i="23" s="1"/>
  <c r="AJ179" i="2"/>
  <c r="AH179" i="2"/>
  <c r="AG179" i="2"/>
  <c r="AF179" i="2"/>
  <c r="P177" i="23" s="1"/>
  <c r="S177" i="23" s="1"/>
  <c r="D180" i="2"/>
  <c r="D179" i="2"/>
  <c r="AJ164" i="2"/>
  <c r="AH164" i="2"/>
  <c r="AG164" i="2"/>
  <c r="AF164" i="2"/>
  <c r="P162" i="23" s="1"/>
  <c r="S162" i="23" s="1"/>
  <c r="D164" i="2"/>
  <c r="AJ159" i="2"/>
  <c r="AH159" i="2"/>
  <c r="AG159" i="2"/>
  <c r="AF159" i="2"/>
  <c r="P157" i="23" s="1"/>
  <c r="S157" i="23" s="1"/>
  <c r="D159" i="2"/>
  <c r="AJ153" i="2"/>
  <c r="AH153" i="2"/>
  <c r="AG153" i="2"/>
  <c r="AF153" i="2"/>
  <c r="P151" i="23" s="1"/>
  <c r="S151" i="23" s="1"/>
  <c r="D153" i="2"/>
  <c r="AJ119" i="2"/>
  <c r="AH119" i="2"/>
  <c r="AG119" i="2"/>
  <c r="AF119" i="2"/>
  <c r="P118" i="23" s="1"/>
  <c r="S118" i="23" s="1"/>
  <c r="D119" i="2"/>
  <c r="AJ113" i="2"/>
  <c r="AH113" i="2"/>
  <c r="AG113" i="2"/>
  <c r="AF113" i="2"/>
  <c r="P112" i="23" s="1"/>
  <c r="S112" i="23" s="1"/>
  <c r="D113" i="2"/>
  <c r="AJ107" i="2"/>
  <c r="AH107" i="2"/>
  <c r="AG107" i="2"/>
  <c r="AF107" i="2"/>
  <c r="P106" i="23" s="1"/>
  <c r="S106" i="23" s="1"/>
  <c r="D107" i="2"/>
  <c r="AJ98" i="2"/>
  <c r="AH98" i="2"/>
  <c r="AG98" i="2"/>
  <c r="AF98" i="2"/>
  <c r="P97" i="23" s="1"/>
  <c r="S97" i="23" s="1"/>
  <c r="AJ89" i="2"/>
  <c r="AH89" i="2"/>
  <c r="AG89" i="2"/>
  <c r="AF89" i="2"/>
  <c r="P88" i="23" s="1"/>
  <c r="S88" i="23" s="1"/>
  <c r="D89" i="2"/>
  <c r="A38" i="8"/>
  <c r="AJ78" i="2"/>
  <c r="AH78" i="2"/>
  <c r="CG77" i="10" s="1"/>
  <c r="CI77" i="10" s="1"/>
  <c r="AG78" i="2"/>
  <c r="AF78" i="2"/>
  <c r="P77" i="23" s="1"/>
  <c r="S77" i="23" s="1"/>
  <c r="D78" i="2"/>
  <c r="A34" i="8"/>
  <c r="AF70" i="2"/>
  <c r="P69" i="23" s="1"/>
  <c r="S69" i="23" s="1"/>
  <c r="D70" i="2"/>
  <c r="A31" i="8"/>
  <c r="L29" i="8"/>
  <c r="AJ66" i="2"/>
  <c r="AH66" i="2"/>
  <c r="CG65" i="10" s="1"/>
  <c r="AG66" i="2"/>
  <c r="AF66" i="2"/>
  <c r="P65" i="23" s="1"/>
  <c r="S65" i="23" s="1"/>
  <c r="D66" i="2"/>
  <c r="A29" i="8"/>
  <c r="AF61" i="2"/>
  <c r="P60" i="23" s="1"/>
  <c r="S60" i="23" s="1"/>
  <c r="AG60" i="2"/>
  <c r="AH60" i="2"/>
  <c r="CG59" i="10" s="1"/>
  <c r="AJ60" i="2"/>
  <c r="AF60" i="2"/>
  <c r="P59" i="23" s="1"/>
  <c r="S59" i="23" s="1"/>
  <c r="V25" i="8"/>
  <c r="U25" i="8"/>
  <c r="T25" i="8"/>
  <c r="S25" i="8"/>
  <c r="A27" i="8"/>
  <c r="A26" i="8"/>
  <c r="A25" i="8"/>
  <c r="D30" i="9"/>
  <c r="AH53" i="2"/>
  <c r="CG52" i="10" s="1"/>
  <c r="AG53" i="2"/>
  <c r="AF53" i="2"/>
  <c r="P52" i="23" s="1"/>
  <c r="S52" i="23" s="1"/>
  <c r="A21" i="8"/>
  <c r="AJ47" i="2"/>
  <c r="AH47" i="2"/>
  <c r="CG46" i="10" s="1"/>
  <c r="AG47" i="2"/>
  <c r="AF47" i="2"/>
  <c r="P46" i="23" s="1"/>
  <c r="S46" i="23" s="1"/>
  <c r="AJ49" i="2"/>
  <c r="AH49" i="2"/>
  <c r="CG48" i="10" s="1"/>
  <c r="AG49" i="2"/>
  <c r="AF49" i="2"/>
  <c r="P48" i="23" s="1"/>
  <c r="S48" i="23" s="1"/>
  <c r="D49" i="2"/>
  <c r="A19" i="8"/>
  <c r="AJ30" i="2"/>
  <c r="AH30" i="2"/>
  <c r="CG29" i="10" s="1"/>
  <c r="AG30" i="2"/>
  <c r="AF30" i="2"/>
  <c r="P29" i="23" s="1"/>
  <c r="S29" i="23" s="1"/>
  <c r="D30" i="2"/>
  <c r="AJ20" i="2"/>
  <c r="AH20" i="2"/>
  <c r="CG19" i="10" s="1"/>
  <c r="AG20" i="2"/>
  <c r="AF20" i="2"/>
  <c r="P19" i="23" s="1"/>
  <c r="S19" i="23" s="1"/>
  <c r="D20" i="2"/>
  <c r="AJ19" i="2"/>
  <c r="AH19" i="2"/>
  <c r="CG18" i="10" s="1"/>
  <c r="AG19" i="2"/>
  <c r="AF19" i="2"/>
  <c r="P18" i="23" s="1"/>
  <c r="S18" i="23" s="1"/>
  <c r="D19" i="2"/>
  <c r="AJ18" i="2"/>
  <c r="AH18" i="2"/>
  <c r="CG17" i="10" s="1"/>
  <c r="AG18" i="2"/>
  <c r="AF18" i="2"/>
  <c r="P17" i="23" s="1"/>
  <c r="S17" i="23" s="1"/>
  <c r="D18" i="2"/>
  <c r="AJ15" i="2"/>
  <c r="AH15" i="2"/>
  <c r="CG14" i="10" s="1"/>
  <c r="AG15" i="2"/>
  <c r="AF15" i="2"/>
  <c r="P14" i="23" s="1"/>
  <c r="S14" i="23" s="1"/>
  <c r="D15" i="2"/>
  <c r="AH13" i="2"/>
  <c r="CG12" i="10" s="1"/>
  <c r="AG13" i="2"/>
  <c r="AF13" i="2"/>
  <c r="P12" i="23" s="1"/>
  <c r="S12" i="23" s="1"/>
  <c r="D13" i="2"/>
  <c r="A13" i="8"/>
  <c r="A12" i="8"/>
  <c r="A11" i="8"/>
  <c r="A10" i="8"/>
  <c r="A9" i="8"/>
  <c r="M26" i="8"/>
  <c r="L26" i="8" s="1"/>
  <c r="M47" i="8"/>
  <c r="N47" i="8"/>
  <c r="O47" i="8"/>
  <c r="P47" i="8"/>
  <c r="Q47" i="8"/>
  <c r="AJ178" i="2"/>
  <c r="AH178" i="2"/>
  <c r="AG178" i="2"/>
  <c r="AF178" i="2"/>
  <c r="P176" i="23" s="1"/>
  <c r="S176" i="23" s="1"/>
  <c r="D178" i="2"/>
  <c r="AJ166" i="2"/>
  <c r="AH166" i="2"/>
  <c r="AG166" i="2"/>
  <c r="AF166" i="2"/>
  <c r="P164" i="23" s="1"/>
  <c r="S164" i="23" s="1"/>
  <c r="D166" i="2"/>
  <c r="AJ158" i="2"/>
  <c r="AH158" i="2"/>
  <c r="AG158" i="2"/>
  <c r="AF158" i="2"/>
  <c r="P156" i="23" s="1"/>
  <c r="S156" i="23" s="1"/>
  <c r="D158" i="2"/>
  <c r="AJ152" i="2"/>
  <c r="AH152" i="2"/>
  <c r="AG152" i="2"/>
  <c r="AF152" i="2"/>
  <c r="P150" i="23" s="1"/>
  <c r="S150" i="23" s="1"/>
  <c r="D152" i="2"/>
  <c r="AJ118" i="2"/>
  <c r="AH118" i="2"/>
  <c r="CG117" i="10" s="1"/>
  <c r="AG118" i="2"/>
  <c r="AF118" i="2"/>
  <c r="P117" i="23" s="1"/>
  <c r="S117" i="23" s="1"/>
  <c r="D118" i="2"/>
  <c r="AJ112" i="2"/>
  <c r="AH112" i="2"/>
  <c r="AG112" i="2"/>
  <c r="AF112" i="2"/>
  <c r="P111" i="23" s="1"/>
  <c r="S111" i="23" s="1"/>
  <c r="D112" i="2"/>
  <c r="AJ106" i="2"/>
  <c r="AH106" i="2"/>
  <c r="AG106" i="2"/>
  <c r="AF106" i="2"/>
  <c r="P105" i="23" s="1"/>
  <c r="S105" i="23" s="1"/>
  <c r="D106" i="2"/>
  <c r="AJ97" i="2"/>
  <c r="AH97" i="2"/>
  <c r="AG97" i="2"/>
  <c r="AF97" i="2"/>
  <c r="P96" i="23" s="1"/>
  <c r="S96" i="23" s="1"/>
  <c r="D97" i="2"/>
  <c r="A42" i="7"/>
  <c r="AJ91" i="2"/>
  <c r="AH91" i="2"/>
  <c r="AG91" i="2"/>
  <c r="AF91" i="2"/>
  <c r="P90" i="23" s="1"/>
  <c r="S90" i="23" s="1"/>
  <c r="D91" i="2"/>
  <c r="A40" i="7"/>
  <c r="O39" i="7"/>
  <c r="N39" i="7"/>
  <c r="M39" i="7"/>
  <c r="AJ83" i="2"/>
  <c r="AH83" i="2"/>
  <c r="CG82" i="10" s="1"/>
  <c r="AG83" i="2"/>
  <c r="AF83" i="2"/>
  <c r="P82" i="23" s="1"/>
  <c r="S82" i="23" s="1"/>
  <c r="AJ82" i="2"/>
  <c r="AH82" i="2"/>
  <c r="CG81" i="10" s="1"/>
  <c r="CJ81" i="10" s="1"/>
  <c r="AG82" i="2"/>
  <c r="AF82" i="2"/>
  <c r="P81" i="23" s="1"/>
  <c r="S81" i="23" s="1"/>
  <c r="D83" i="2"/>
  <c r="D82" i="2"/>
  <c r="A36" i="7"/>
  <c r="A35" i="7"/>
  <c r="AJ77" i="2"/>
  <c r="AH77" i="2"/>
  <c r="CG76" i="10" s="1"/>
  <c r="AG77" i="2"/>
  <c r="AF77" i="2"/>
  <c r="P76" i="23" s="1"/>
  <c r="S76" i="23" s="1"/>
  <c r="D77" i="2"/>
  <c r="A33" i="7"/>
  <c r="AJ69" i="2"/>
  <c r="AH69" i="2"/>
  <c r="CG68" i="10" s="1"/>
  <c r="AG69" i="2"/>
  <c r="AF69" i="2"/>
  <c r="P68" i="23" s="1"/>
  <c r="S68" i="23" s="1"/>
  <c r="D69" i="2"/>
  <c r="K30" i="7"/>
  <c r="AJ65" i="2"/>
  <c r="AH65" i="2"/>
  <c r="CG64" i="10" s="1"/>
  <c r="AG65" i="2"/>
  <c r="AF65" i="2"/>
  <c r="P64" i="23" s="1"/>
  <c r="S64" i="23" s="1"/>
  <c r="D65" i="2"/>
  <c r="AH54" i="2"/>
  <c r="CG53" i="10" s="1"/>
  <c r="CI53" i="10" s="1"/>
  <c r="AG54" i="2"/>
  <c r="AF54" i="2"/>
  <c r="P53" i="23" s="1"/>
  <c r="S53" i="23" s="1"/>
  <c r="D54" i="2"/>
  <c r="AJ48" i="2"/>
  <c r="AH48" i="2"/>
  <c r="CG47" i="10" s="1"/>
  <c r="AG48" i="2"/>
  <c r="AF48" i="2"/>
  <c r="P47" i="23" s="1"/>
  <c r="S47" i="23" s="1"/>
  <c r="D48" i="2"/>
  <c r="AF37" i="2"/>
  <c r="P36" i="23" s="1"/>
  <c r="S36" i="23" s="1"/>
  <c r="AJ38" i="2"/>
  <c r="AH38" i="2"/>
  <c r="CG37" i="10" s="1"/>
  <c r="CK37" i="10" s="1"/>
  <c r="AG38" i="2"/>
  <c r="AF38" i="2"/>
  <c r="P37" i="23" s="1"/>
  <c r="S37" i="23" s="1"/>
  <c r="AJ37" i="2"/>
  <c r="AH37" i="2"/>
  <c r="CG36" i="10" s="1"/>
  <c r="AG37" i="2"/>
  <c r="D38" i="2"/>
  <c r="C36" i="11" s="1"/>
  <c r="AJ14" i="2"/>
  <c r="AH14" i="2"/>
  <c r="CG13" i="10" s="1"/>
  <c r="AG14" i="2"/>
  <c r="AF14" i="2"/>
  <c r="P13" i="23" s="1"/>
  <c r="S13" i="23" s="1"/>
  <c r="AJ12" i="2"/>
  <c r="AH12" i="2"/>
  <c r="CG11" i="10" s="1"/>
  <c r="AG12" i="2"/>
  <c r="AF12" i="2"/>
  <c r="P11" i="23" s="1"/>
  <c r="S11" i="23" s="1"/>
  <c r="AH11" i="2"/>
  <c r="CG10" i="10" s="1"/>
  <c r="AG11" i="2"/>
  <c r="AF11" i="2"/>
  <c r="P10" i="23" s="1"/>
  <c r="S10" i="23" s="1"/>
  <c r="AH10" i="2"/>
  <c r="CG9" i="10" s="1"/>
  <c r="AG10" i="2"/>
  <c r="P9" i="23"/>
  <c r="S9" i="23" s="1"/>
  <c r="D14" i="2"/>
  <c r="D12" i="2"/>
  <c r="D11" i="2"/>
  <c r="D10" i="2"/>
  <c r="A11" i="7"/>
  <c r="A10" i="7"/>
  <c r="A9" i="7"/>
  <c r="A8" i="7"/>
  <c r="C30" i="11" l="1"/>
  <c r="C51" i="11"/>
  <c r="CH76" i="10"/>
  <c r="DG77" i="20"/>
  <c r="DE77" i="20"/>
  <c r="DA77" i="20"/>
  <c r="DD77" i="20"/>
  <c r="DC77" i="20"/>
  <c r="DB77" i="20"/>
  <c r="DF77" i="20"/>
  <c r="CH82" i="10"/>
  <c r="DG83" i="20"/>
  <c r="DE83" i="20"/>
  <c r="DA83" i="20"/>
  <c r="DD83" i="20"/>
  <c r="DC83" i="20"/>
  <c r="DB83" i="20"/>
  <c r="DF83" i="20"/>
  <c r="DG98" i="20"/>
  <c r="DC98" i="20"/>
  <c r="DF98" i="20"/>
  <c r="DB98" i="20"/>
  <c r="DD98" i="20"/>
  <c r="DA98" i="20"/>
  <c r="DE98" i="20"/>
  <c r="CH11" i="10"/>
  <c r="DG12" i="20"/>
  <c r="DF12" i="20"/>
  <c r="DB12" i="20"/>
  <c r="DD12" i="20"/>
  <c r="DE12" i="20"/>
  <c r="DA12" i="20"/>
  <c r="DC12" i="20"/>
  <c r="CH13" i="10"/>
  <c r="DG14" i="20"/>
  <c r="DF14" i="20"/>
  <c r="DB14" i="20"/>
  <c r="DE14" i="20"/>
  <c r="DA14" i="20"/>
  <c r="DD14" i="20"/>
  <c r="DC14" i="20"/>
  <c r="CH36" i="10"/>
  <c r="DG37" i="20"/>
  <c r="DD37" i="20"/>
  <c r="DB37" i="20"/>
  <c r="DF37" i="20"/>
  <c r="DA37" i="20"/>
  <c r="DE37" i="20"/>
  <c r="DC37" i="20"/>
  <c r="CH37" i="10"/>
  <c r="DG38" i="20"/>
  <c r="DF38" i="20"/>
  <c r="DB38" i="20"/>
  <c r="DA38" i="20"/>
  <c r="DD38" i="20"/>
  <c r="DE38" i="20"/>
  <c r="DC38" i="20"/>
  <c r="DG91" i="20"/>
  <c r="DC91" i="20"/>
  <c r="DF91" i="20"/>
  <c r="DB91" i="20"/>
  <c r="DE91" i="20"/>
  <c r="DD91" i="20"/>
  <c r="DA91" i="20"/>
  <c r="DD166" i="20"/>
  <c r="DG166" i="20"/>
  <c r="DC166" i="20"/>
  <c r="DF166" i="20"/>
  <c r="DE166" i="20"/>
  <c r="DB166" i="20"/>
  <c r="DA166" i="20"/>
  <c r="CH19" i="10"/>
  <c r="DG20" i="20"/>
  <c r="DF20" i="20"/>
  <c r="DB20" i="20"/>
  <c r="DE20" i="20"/>
  <c r="DA20" i="20"/>
  <c r="DD20" i="20"/>
  <c r="DC20" i="20"/>
  <c r="DG107" i="20"/>
  <c r="DE107" i="20"/>
  <c r="DA107" i="20"/>
  <c r="DD107" i="20"/>
  <c r="DB107" i="20"/>
  <c r="DF107" i="20"/>
  <c r="DC107" i="20"/>
  <c r="DF159" i="20"/>
  <c r="DB159" i="20"/>
  <c r="DE159" i="20"/>
  <c r="DA159" i="20"/>
  <c r="DD159" i="20"/>
  <c r="DG159" i="20"/>
  <c r="DC159" i="20"/>
  <c r="CH22" i="10"/>
  <c r="DD23" i="20"/>
  <c r="DG23" i="20"/>
  <c r="DC23" i="20"/>
  <c r="DF23" i="20"/>
  <c r="DB23" i="20"/>
  <c r="DA23" i="20"/>
  <c r="DE23" i="20"/>
  <c r="DG32" i="20"/>
  <c r="DE32" i="20"/>
  <c r="DA32" i="20"/>
  <c r="DC32" i="20"/>
  <c r="DD32" i="20"/>
  <c r="DF32" i="20"/>
  <c r="DB32" i="20"/>
  <c r="CH33" i="10"/>
  <c r="DG34" i="20"/>
  <c r="DF34" i="20"/>
  <c r="DB34" i="20"/>
  <c r="DD34" i="20"/>
  <c r="DC34" i="20"/>
  <c r="DA34" i="20"/>
  <c r="DE34" i="20"/>
  <c r="CH34" i="10"/>
  <c r="DG35" i="20"/>
  <c r="DD35" i="20"/>
  <c r="DC35" i="20"/>
  <c r="DA35" i="20"/>
  <c r="DB35" i="20"/>
  <c r="DF35" i="20"/>
  <c r="DE35" i="20"/>
  <c r="DG87" i="20"/>
  <c r="DC87" i="20"/>
  <c r="DF87" i="20"/>
  <c r="DB87" i="20"/>
  <c r="DE87" i="20"/>
  <c r="DD87" i="20"/>
  <c r="DA87" i="20"/>
  <c r="DF155" i="20"/>
  <c r="DB155" i="20"/>
  <c r="DE155" i="20"/>
  <c r="DA155" i="20"/>
  <c r="DD155" i="20"/>
  <c r="DC155" i="20"/>
  <c r="DG155" i="20"/>
  <c r="CU37" i="10"/>
  <c r="CH64" i="10"/>
  <c r="U64" i="10" s="1"/>
  <c r="DG65" i="20"/>
  <c r="DF65" i="20"/>
  <c r="DB65" i="20"/>
  <c r="DA65" i="20"/>
  <c r="DC65" i="20"/>
  <c r="DE65" i="20"/>
  <c r="DD65" i="20"/>
  <c r="CH18" i="10"/>
  <c r="DG19" i="20"/>
  <c r="DD19" i="20"/>
  <c r="DF19" i="20"/>
  <c r="DC19" i="20"/>
  <c r="DB19" i="20"/>
  <c r="DE19" i="20"/>
  <c r="DA19" i="20"/>
  <c r="CH46" i="10"/>
  <c r="DG47" i="20"/>
  <c r="DD47" i="20"/>
  <c r="DB47" i="20"/>
  <c r="DF47" i="20"/>
  <c r="DA47" i="20"/>
  <c r="DE47" i="20"/>
  <c r="DC47" i="20"/>
  <c r="DC89" i="20"/>
  <c r="DF89" i="20"/>
  <c r="DB89" i="20"/>
  <c r="DA89" i="20"/>
  <c r="DD89" i="20"/>
  <c r="DG89" i="20"/>
  <c r="DE89" i="20"/>
  <c r="DG179" i="20"/>
  <c r="DF179" i="20"/>
  <c r="DB179" i="20"/>
  <c r="DE179" i="20"/>
  <c r="DA179" i="20"/>
  <c r="DD179" i="20"/>
  <c r="DC179" i="20"/>
  <c r="CH28" i="10"/>
  <c r="DG29" i="20"/>
  <c r="DC29" i="20"/>
  <c r="DE29" i="20"/>
  <c r="DF29" i="20"/>
  <c r="DB29" i="20"/>
  <c r="DA29" i="20"/>
  <c r="DD29" i="20"/>
  <c r="CH68" i="10"/>
  <c r="DG69" i="20"/>
  <c r="DE69" i="20"/>
  <c r="DA69" i="20"/>
  <c r="DD69" i="20"/>
  <c r="DF69" i="20"/>
  <c r="DC69" i="20"/>
  <c r="DB69" i="20"/>
  <c r="CH117" i="10"/>
  <c r="DC118" i="20"/>
  <c r="DF118" i="20"/>
  <c r="DB118" i="20"/>
  <c r="DD118" i="20"/>
  <c r="DA118" i="20"/>
  <c r="DE118" i="20"/>
  <c r="DG118" i="20"/>
  <c r="DG178" i="20"/>
  <c r="DD178" i="20"/>
  <c r="DC178" i="20"/>
  <c r="DB178" i="20"/>
  <c r="DA178" i="20"/>
  <c r="DE178" i="20"/>
  <c r="DF178" i="20"/>
  <c r="CH14" i="10"/>
  <c r="DG15" i="20"/>
  <c r="DD15" i="20"/>
  <c r="DB15" i="20"/>
  <c r="DC15" i="20"/>
  <c r="DF15" i="20"/>
  <c r="DE15" i="20"/>
  <c r="DA15" i="20"/>
  <c r="CH29" i="10"/>
  <c r="DG30" i="20"/>
  <c r="DE30" i="20"/>
  <c r="DA30" i="20"/>
  <c r="DD30" i="20"/>
  <c r="DC30" i="20"/>
  <c r="DB30" i="20"/>
  <c r="DF30" i="20"/>
  <c r="CH59" i="10"/>
  <c r="DG60" i="20"/>
  <c r="DF60" i="20"/>
  <c r="DB60" i="20"/>
  <c r="DD60" i="20"/>
  <c r="DA60" i="20"/>
  <c r="DC60" i="20"/>
  <c r="DE60" i="20"/>
  <c r="DD164" i="20"/>
  <c r="DC164" i="20"/>
  <c r="DG164" i="20"/>
  <c r="DB164" i="20"/>
  <c r="DA164" i="20"/>
  <c r="DE164" i="20"/>
  <c r="DF164" i="20"/>
  <c r="CH25" i="10"/>
  <c r="DG26" i="20"/>
  <c r="DE26" i="20"/>
  <c r="DA26" i="20"/>
  <c r="DD26" i="20"/>
  <c r="DC26" i="20"/>
  <c r="DB26" i="20"/>
  <c r="DF26" i="20"/>
  <c r="CH71" i="10"/>
  <c r="DG72" i="20"/>
  <c r="DE72" i="20"/>
  <c r="DA72" i="20"/>
  <c r="DD72" i="20"/>
  <c r="DF72" i="20"/>
  <c r="DB72" i="20"/>
  <c r="DC72" i="20"/>
  <c r="DD162" i="20"/>
  <c r="DG162" i="20"/>
  <c r="DC162" i="20"/>
  <c r="DF162" i="20"/>
  <c r="DE162" i="20"/>
  <c r="DA162" i="20"/>
  <c r="DB162" i="20"/>
  <c r="DG174" i="20"/>
  <c r="DD174" i="20"/>
  <c r="DC174" i="20"/>
  <c r="DB174" i="20"/>
  <c r="DA174" i="20"/>
  <c r="DF174" i="20"/>
  <c r="DE174" i="20"/>
  <c r="CH81" i="10"/>
  <c r="CI81" i="10" s="1"/>
  <c r="DG82" i="20"/>
  <c r="DC82" i="20"/>
  <c r="DF82" i="20"/>
  <c r="DB82" i="20"/>
  <c r="DA82" i="20"/>
  <c r="DD82" i="20"/>
  <c r="DE82" i="20"/>
  <c r="DD158" i="20"/>
  <c r="DC158" i="20"/>
  <c r="DB158" i="20"/>
  <c r="DA158" i="20"/>
  <c r="DF158" i="20"/>
  <c r="DG158" i="20"/>
  <c r="DE158" i="20"/>
  <c r="CH48" i="10"/>
  <c r="DG49" i="20"/>
  <c r="DD49" i="20"/>
  <c r="DF49" i="20"/>
  <c r="DA49" i="20"/>
  <c r="DE49" i="20"/>
  <c r="DC49" i="20"/>
  <c r="DB49" i="20"/>
  <c r="CH47" i="10"/>
  <c r="DF48" i="20"/>
  <c r="DB48" i="20"/>
  <c r="DA48" i="20"/>
  <c r="DD48" i="20"/>
  <c r="DG48" i="20"/>
  <c r="DC48" i="20"/>
  <c r="DE48" i="20"/>
  <c r="DE97" i="20"/>
  <c r="DA97" i="20"/>
  <c r="DG97" i="20"/>
  <c r="DD97" i="20"/>
  <c r="DB97" i="20"/>
  <c r="DC97" i="20"/>
  <c r="DF97" i="20"/>
  <c r="CH17" i="10"/>
  <c r="DG18" i="20"/>
  <c r="DF18" i="20"/>
  <c r="DB18" i="20"/>
  <c r="DE18" i="20"/>
  <c r="DA18" i="20"/>
  <c r="DD18" i="20"/>
  <c r="DC18" i="20"/>
  <c r="CH65" i="10"/>
  <c r="AA65" i="10" s="1"/>
  <c r="DE66" i="20"/>
  <c r="DA66" i="20"/>
  <c r="DD66" i="20"/>
  <c r="DB66" i="20"/>
  <c r="DF66" i="20"/>
  <c r="DG66" i="20"/>
  <c r="DC66" i="20"/>
  <c r="CH26" i="10"/>
  <c r="DG27" i="20"/>
  <c r="DC27" i="20"/>
  <c r="DA27" i="20"/>
  <c r="DF27" i="20"/>
  <c r="DB27" i="20"/>
  <c r="DE27" i="20"/>
  <c r="DD27" i="20"/>
  <c r="CH39" i="10"/>
  <c r="DG40" i="20"/>
  <c r="DD40" i="20"/>
  <c r="DF40" i="20"/>
  <c r="DA40" i="20"/>
  <c r="DC40" i="20"/>
  <c r="DE40" i="20"/>
  <c r="DB40" i="20"/>
  <c r="CH40" i="10"/>
  <c r="DG41" i="20"/>
  <c r="DF41" i="20"/>
  <c r="DB41" i="20"/>
  <c r="DE41" i="20"/>
  <c r="DA41" i="20"/>
  <c r="DD41" i="20"/>
  <c r="DC41" i="20"/>
  <c r="CH41" i="10"/>
  <c r="DG42" i="20"/>
  <c r="DD42" i="20"/>
  <c r="DE42" i="20"/>
  <c r="DB42" i="20"/>
  <c r="DF42" i="20"/>
  <c r="DC42" i="20"/>
  <c r="DA42" i="20"/>
  <c r="CH42" i="10"/>
  <c r="DF43" i="20"/>
  <c r="DB43" i="20"/>
  <c r="DD43" i="20"/>
  <c r="DC43" i="20"/>
  <c r="DG43" i="20"/>
  <c r="DA43" i="20"/>
  <c r="DE43" i="20"/>
  <c r="CH43" i="10"/>
  <c r="DG44" i="20"/>
  <c r="DD44" i="20"/>
  <c r="DC44" i="20"/>
  <c r="DA44" i="20"/>
  <c r="DE44" i="20"/>
  <c r="DB44" i="20"/>
  <c r="DF44" i="20"/>
  <c r="DG93" i="20"/>
  <c r="DC93" i="20"/>
  <c r="DF93" i="20"/>
  <c r="DB93" i="20"/>
  <c r="DD93" i="20"/>
  <c r="DA93" i="20"/>
  <c r="DE93" i="20"/>
  <c r="DC153" i="20"/>
  <c r="DA153" i="20"/>
  <c r="DD153" i="20"/>
  <c r="DG153" i="20"/>
  <c r="DF153" i="20"/>
  <c r="DB153" i="20"/>
  <c r="DE153" i="20"/>
  <c r="DG149" i="20"/>
  <c r="DC149" i="20"/>
  <c r="DA149" i="20"/>
  <c r="DF149" i="20"/>
  <c r="DB149" i="20"/>
  <c r="DE149" i="20"/>
  <c r="DD149" i="20"/>
  <c r="DC112" i="20"/>
  <c r="DA112" i="20"/>
  <c r="DD112" i="20"/>
  <c r="DG112" i="20"/>
  <c r="DF112" i="20"/>
  <c r="DB112" i="20"/>
  <c r="DE112" i="20"/>
  <c r="DG113" i="20"/>
  <c r="DE113" i="20"/>
  <c r="DA113" i="20"/>
  <c r="DC113" i="20"/>
  <c r="DF113" i="20"/>
  <c r="DD113" i="20"/>
  <c r="DB113" i="20"/>
  <c r="DG109" i="20"/>
  <c r="DE109" i="20"/>
  <c r="DA109" i="20"/>
  <c r="DC109" i="20"/>
  <c r="DB109" i="20"/>
  <c r="DD109" i="20"/>
  <c r="DF109" i="20"/>
  <c r="DE106" i="20"/>
  <c r="DA106" i="20"/>
  <c r="DB106" i="20"/>
  <c r="DG106" i="20"/>
  <c r="DD106" i="20"/>
  <c r="DC106" i="20"/>
  <c r="DF106" i="20"/>
  <c r="DE152" i="20"/>
  <c r="DA152" i="20"/>
  <c r="DG152" i="20"/>
  <c r="DB152" i="20"/>
  <c r="DD152" i="20"/>
  <c r="DC152" i="20"/>
  <c r="DF152" i="20"/>
  <c r="DC119" i="20"/>
  <c r="DE119" i="20"/>
  <c r="DD119" i="20"/>
  <c r="DG119" i="20"/>
  <c r="DF119" i="20"/>
  <c r="DB119" i="20"/>
  <c r="DA119" i="20"/>
  <c r="DC115" i="20"/>
  <c r="DA115" i="20"/>
  <c r="DG115" i="20"/>
  <c r="DF115" i="20"/>
  <c r="DB115" i="20"/>
  <c r="DE115" i="20"/>
  <c r="DD115" i="20"/>
  <c r="CH77" i="10"/>
  <c r="CK77" i="10" s="1"/>
  <c r="DC78" i="20"/>
  <c r="DF78" i="20"/>
  <c r="DB78" i="20"/>
  <c r="DE78" i="20"/>
  <c r="DA78" i="20"/>
  <c r="DG78" i="20"/>
  <c r="DD78" i="20"/>
  <c r="CK81" i="10"/>
  <c r="CL81" i="10" s="1"/>
  <c r="AA59" i="10"/>
  <c r="U59" i="10"/>
  <c r="AI42" i="2"/>
  <c r="CG41" i="10"/>
  <c r="AI44" i="2"/>
  <c r="CG43" i="10"/>
  <c r="AG30" i="10"/>
  <c r="AC30" i="10"/>
  <c r="Y30" i="10"/>
  <c r="O30" i="10"/>
  <c r="K30" i="10"/>
  <c r="G30" i="10"/>
  <c r="C30" i="10"/>
  <c r="AE29" i="10"/>
  <c r="AA29" i="10"/>
  <c r="W29" i="10"/>
  <c r="M29" i="10"/>
  <c r="I29" i="10"/>
  <c r="E29" i="10"/>
  <c r="AG27" i="10"/>
  <c r="AC27" i="10"/>
  <c r="Y27" i="10"/>
  <c r="O27" i="10"/>
  <c r="K27" i="10"/>
  <c r="G27" i="10"/>
  <c r="C27" i="10"/>
  <c r="AE24" i="10"/>
  <c r="AA24" i="10"/>
  <c r="W24" i="10"/>
  <c r="M24" i="10"/>
  <c r="I24" i="10"/>
  <c r="E24" i="10"/>
  <c r="AG23" i="10"/>
  <c r="AC23" i="10"/>
  <c r="Y23" i="10"/>
  <c r="O23" i="10"/>
  <c r="K23" i="10"/>
  <c r="G23" i="10"/>
  <c r="C23" i="10"/>
  <c r="AE21" i="10"/>
  <c r="AF30" i="10"/>
  <c r="AB30" i="10"/>
  <c r="X30" i="10"/>
  <c r="N30" i="10"/>
  <c r="J30" i="10"/>
  <c r="F30" i="10"/>
  <c r="AH29" i="10"/>
  <c r="AD29" i="10"/>
  <c r="Z29" i="10"/>
  <c r="P29" i="10"/>
  <c r="L29" i="10"/>
  <c r="H29" i="10"/>
  <c r="D29" i="10"/>
  <c r="AF27" i="10"/>
  <c r="AB27" i="10"/>
  <c r="X27" i="10"/>
  <c r="N27" i="10"/>
  <c r="J27" i="10"/>
  <c r="F27" i="10"/>
  <c r="AH24" i="10"/>
  <c r="AD24" i="10"/>
  <c r="Z24" i="10"/>
  <c r="P24" i="10"/>
  <c r="L24" i="10"/>
  <c r="H24" i="10"/>
  <c r="D24" i="10"/>
  <c r="AF23" i="10"/>
  <c r="AB23" i="10"/>
  <c r="X23" i="10"/>
  <c r="N23" i="10"/>
  <c r="J23" i="10"/>
  <c r="F23" i="10"/>
  <c r="AH21" i="10"/>
  <c r="AH30" i="10"/>
  <c r="Z30" i="10"/>
  <c r="L30" i="10"/>
  <c r="D30" i="10"/>
  <c r="AB29" i="10"/>
  <c r="N29" i="10"/>
  <c r="F29" i="10"/>
  <c r="AD27" i="10"/>
  <c r="P27" i="10"/>
  <c r="H27" i="10"/>
  <c r="AF24" i="10"/>
  <c r="X24" i="10"/>
  <c r="J24" i="10"/>
  <c r="AH23" i="10"/>
  <c r="Z23" i="10"/>
  <c r="L23" i="10"/>
  <c r="D23" i="10"/>
  <c r="AC21" i="10"/>
  <c r="Y21" i="10"/>
  <c r="O21" i="10"/>
  <c r="K21" i="10"/>
  <c r="G21" i="10"/>
  <c r="C21" i="10"/>
  <c r="AE20" i="10"/>
  <c r="AA20" i="10"/>
  <c r="W20" i="10"/>
  <c r="M20" i="10"/>
  <c r="I20" i="10"/>
  <c r="E20" i="10"/>
  <c r="AG19" i="10"/>
  <c r="AC19" i="10"/>
  <c r="Y19" i="10"/>
  <c r="O19" i="10"/>
  <c r="K19" i="10"/>
  <c r="G19" i="10"/>
  <c r="C19" i="10"/>
  <c r="AE18" i="10"/>
  <c r="AA18" i="10"/>
  <c r="W18" i="10"/>
  <c r="M18" i="10"/>
  <c r="I18" i="10"/>
  <c r="E18" i="10"/>
  <c r="AG17" i="10"/>
  <c r="AC17" i="10"/>
  <c r="Y17" i="10"/>
  <c r="O17" i="10"/>
  <c r="K17" i="10"/>
  <c r="G17" i="10"/>
  <c r="C17" i="10"/>
  <c r="AE16" i="10"/>
  <c r="AA16" i="10"/>
  <c r="W16" i="10"/>
  <c r="M16" i="10"/>
  <c r="I16" i="10"/>
  <c r="E16" i="10"/>
  <c r="AG15" i="10"/>
  <c r="AC15" i="10"/>
  <c r="Y15" i="10"/>
  <c r="O15" i="10"/>
  <c r="K15" i="10"/>
  <c r="G15" i="10"/>
  <c r="C15" i="10"/>
  <c r="AE14" i="10"/>
  <c r="AA14" i="10"/>
  <c r="W14" i="10"/>
  <c r="M14" i="10"/>
  <c r="I14" i="10"/>
  <c r="E14" i="10"/>
  <c r="AG13" i="10"/>
  <c r="AC13" i="10"/>
  <c r="Y13" i="10"/>
  <c r="O13" i="10"/>
  <c r="K13" i="10"/>
  <c r="G13" i="10"/>
  <c r="C13" i="10"/>
  <c r="AE12" i="10"/>
  <c r="AA12" i="10"/>
  <c r="W12" i="10"/>
  <c r="M12" i="10"/>
  <c r="I12" i="10"/>
  <c r="E12" i="10"/>
  <c r="AG11" i="10"/>
  <c r="AC11" i="10"/>
  <c r="Y11" i="10"/>
  <c r="O11" i="10"/>
  <c r="K11" i="10"/>
  <c r="G11" i="10"/>
  <c r="C11" i="10"/>
  <c r="AF10" i="10"/>
  <c r="AB10" i="10"/>
  <c r="X10" i="10"/>
  <c r="N10" i="10"/>
  <c r="J10" i="10"/>
  <c r="F10" i="10"/>
  <c r="AH9" i="10"/>
  <c r="AD9" i="10"/>
  <c r="Z9" i="10"/>
  <c r="N28" i="10"/>
  <c r="J28" i="10"/>
  <c r="F28" i="10"/>
  <c r="P26" i="10"/>
  <c r="L26" i="10"/>
  <c r="H26" i="10"/>
  <c r="D26" i="10"/>
  <c r="N25" i="10"/>
  <c r="J25" i="10"/>
  <c r="F25" i="10"/>
  <c r="P22" i="10"/>
  <c r="L22" i="10"/>
  <c r="H22" i="10"/>
  <c r="D22" i="10"/>
  <c r="E9" i="10"/>
  <c r="I9" i="10"/>
  <c r="M9" i="10"/>
  <c r="AD30" i="10"/>
  <c r="P30" i="10"/>
  <c r="AF29" i="10"/>
  <c r="J29" i="10"/>
  <c r="Z27" i="10"/>
  <c r="D27" i="10"/>
  <c r="AE30" i="10"/>
  <c r="W30" i="10"/>
  <c r="I30" i="10"/>
  <c r="AG29" i="10"/>
  <c r="Y29" i="10"/>
  <c r="K29" i="10"/>
  <c r="C29" i="10"/>
  <c r="AA27" i="10"/>
  <c r="M27" i="10"/>
  <c r="E27" i="10"/>
  <c r="AC24" i="10"/>
  <c r="O24" i="10"/>
  <c r="G24" i="10"/>
  <c r="AE23" i="10"/>
  <c r="W23" i="10"/>
  <c r="I23" i="10"/>
  <c r="AG21" i="10"/>
  <c r="AB21" i="10"/>
  <c r="X21" i="10"/>
  <c r="N21" i="10"/>
  <c r="J21" i="10"/>
  <c r="F21" i="10"/>
  <c r="AH20" i="10"/>
  <c r="AD20" i="10"/>
  <c r="Z20" i="10"/>
  <c r="P20" i="10"/>
  <c r="L20" i="10"/>
  <c r="H20" i="10"/>
  <c r="D20" i="10"/>
  <c r="AF19" i="10"/>
  <c r="AB19" i="10"/>
  <c r="X19" i="10"/>
  <c r="N19" i="10"/>
  <c r="J19" i="10"/>
  <c r="F19" i="10"/>
  <c r="AH18" i="10"/>
  <c r="AD18" i="10"/>
  <c r="Z18" i="10"/>
  <c r="P18" i="10"/>
  <c r="L18" i="10"/>
  <c r="H18" i="10"/>
  <c r="D18" i="10"/>
  <c r="AF17" i="10"/>
  <c r="AB17" i="10"/>
  <c r="X17" i="10"/>
  <c r="N17" i="10"/>
  <c r="J17" i="10"/>
  <c r="F17" i="10"/>
  <c r="AH16" i="10"/>
  <c r="AD16" i="10"/>
  <c r="Z16" i="10"/>
  <c r="P16" i="10"/>
  <c r="L16" i="10"/>
  <c r="H16" i="10"/>
  <c r="D16" i="10"/>
  <c r="AF15" i="10"/>
  <c r="AB15" i="10"/>
  <c r="X15" i="10"/>
  <c r="N15" i="10"/>
  <c r="J15" i="10"/>
  <c r="F15" i="10"/>
  <c r="AH14" i="10"/>
  <c r="AD14" i="10"/>
  <c r="Z14" i="10"/>
  <c r="P14" i="10"/>
  <c r="L14" i="10"/>
  <c r="H14" i="10"/>
  <c r="D14" i="10"/>
  <c r="AF13" i="10"/>
  <c r="AB13" i="10"/>
  <c r="X13" i="10"/>
  <c r="N13" i="10"/>
  <c r="J13" i="10"/>
  <c r="F13" i="10"/>
  <c r="AH12" i="10"/>
  <c r="AD12" i="10"/>
  <c r="Z12" i="10"/>
  <c r="P12" i="10"/>
  <c r="L12" i="10"/>
  <c r="H12" i="10"/>
  <c r="D12" i="10"/>
  <c r="AF11" i="10"/>
  <c r="AB11" i="10"/>
  <c r="X11" i="10"/>
  <c r="N11" i="10"/>
  <c r="J11" i="10"/>
  <c r="F11" i="10"/>
  <c r="AE10" i="10"/>
  <c r="AA10" i="10"/>
  <c r="W10" i="10"/>
  <c r="M10" i="10"/>
  <c r="I10" i="10"/>
  <c r="E10" i="10"/>
  <c r="AG9" i="10"/>
  <c r="AC9" i="10"/>
  <c r="Y9" i="10"/>
  <c r="M28" i="10"/>
  <c r="I28" i="10"/>
  <c r="E28" i="10"/>
  <c r="O26" i="10"/>
  <c r="K26" i="10"/>
  <c r="G26" i="10"/>
  <c r="C26" i="10"/>
  <c r="M25" i="10"/>
  <c r="I25" i="10"/>
  <c r="E25" i="10"/>
  <c r="O22" i="10"/>
  <c r="K22" i="10"/>
  <c r="G22" i="10"/>
  <c r="C22" i="10"/>
  <c r="F9" i="10"/>
  <c r="J9" i="10"/>
  <c r="N9" i="10"/>
  <c r="H30" i="10"/>
  <c r="X29" i="10"/>
  <c r="AH27" i="10"/>
  <c r="L27" i="10"/>
  <c r="AB24" i="10"/>
  <c r="AC29" i="10"/>
  <c r="W27" i="10"/>
  <c r="N24" i="10"/>
  <c r="AD23" i="10"/>
  <c r="H23" i="10"/>
  <c r="AA21" i="10"/>
  <c r="M21" i="10"/>
  <c r="E21" i="10"/>
  <c r="AC20" i="10"/>
  <c r="O20" i="10"/>
  <c r="G20" i="10"/>
  <c r="AE19" i="10"/>
  <c r="W19" i="10"/>
  <c r="I19" i="10"/>
  <c r="AG18" i="10"/>
  <c r="Y18" i="10"/>
  <c r="K18" i="10"/>
  <c r="C18" i="10"/>
  <c r="AA17" i="10"/>
  <c r="M17" i="10"/>
  <c r="E17" i="10"/>
  <c r="AC16" i="10"/>
  <c r="O16" i="10"/>
  <c r="G16" i="10"/>
  <c r="AE15" i="10"/>
  <c r="W15" i="10"/>
  <c r="I15" i="10"/>
  <c r="AG14" i="10"/>
  <c r="Y14" i="10"/>
  <c r="K14" i="10"/>
  <c r="C14" i="10"/>
  <c r="AA13" i="10"/>
  <c r="M13" i="10"/>
  <c r="E13" i="10"/>
  <c r="AC12" i="10"/>
  <c r="O12" i="10"/>
  <c r="G12" i="10"/>
  <c r="AE11" i="10"/>
  <c r="W11" i="10"/>
  <c r="I11" i="10"/>
  <c r="AH10" i="10"/>
  <c r="Z10" i="10"/>
  <c r="L10" i="10"/>
  <c r="D10" i="10"/>
  <c r="AB9" i="10"/>
  <c r="P28" i="10"/>
  <c r="H28" i="10"/>
  <c r="N26" i="10"/>
  <c r="F26" i="10"/>
  <c r="L25" i="10"/>
  <c r="D25" i="10"/>
  <c r="J22" i="10"/>
  <c r="C9" i="10"/>
  <c r="K9" i="10"/>
  <c r="P23" i="10"/>
  <c r="W21" i="10"/>
  <c r="AG20" i="10"/>
  <c r="K20" i="10"/>
  <c r="AA19" i="10"/>
  <c r="E19" i="10"/>
  <c r="AC18" i="10"/>
  <c r="G18" i="10"/>
  <c r="W17" i="10"/>
  <c r="AG16" i="10"/>
  <c r="K16" i="10"/>
  <c r="AA15" i="10"/>
  <c r="E15" i="10"/>
  <c r="O14" i="10"/>
  <c r="AE13" i="10"/>
  <c r="I13" i="10"/>
  <c r="AG12" i="10"/>
  <c r="K12" i="10"/>
  <c r="AA11" i="10"/>
  <c r="E11" i="10"/>
  <c r="P10" i="10"/>
  <c r="AF9" i="10"/>
  <c r="D28" i="10"/>
  <c r="P25" i="10"/>
  <c r="N22" i="10"/>
  <c r="G9" i="10"/>
  <c r="Y24" i="10"/>
  <c r="M23" i="10"/>
  <c r="P21" i="10"/>
  <c r="AF20" i="10"/>
  <c r="J20" i="10"/>
  <c r="Z19" i="10"/>
  <c r="AB18" i="10"/>
  <c r="F18" i="10"/>
  <c r="P17" i="10"/>
  <c r="AF16" i="10"/>
  <c r="J16" i="10"/>
  <c r="Z15" i="10"/>
  <c r="D15" i="10"/>
  <c r="F14" i="10"/>
  <c r="P13" i="10"/>
  <c r="AF12" i="10"/>
  <c r="J12" i="10"/>
  <c r="AH11" i="10"/>
  <c r="L11" i="10"/>
  <c r="AC10" i="10"/>
  <c r="G10" i="10"/>
  <c r="W9" i="10"/>
  <c r="C28" i="10"/>
  <c r="O25" i="10"/>
  <c r="M22" i="10"/>
  <c r="H9" i="10"/>
  <c r="AA30" i="10"/>
  <c r="O29" i="10"/>
  <c r="I27" i="10"/>
  <c r="K24" i="10"/>
  <c r="AA23" i="10"/>
  <c r="E23" i="10"/>
  <c r="Z21" i="10"/>
  <c r="L21" i="10"/>
  <c r="D21" i="10"/>
  <c r="AB20" i="10"/>
  <c r="N20" i="10"/>
  <c r="F20" i="10"/>
  <c r="AD19" i="10"/>
  <c r="P19" i="10"/>
  <c r="H19" i="10"/>
  <c r="AF18" i="10"/>
  <c r="X18" i="10"/>
  <c r="J18" i="10"/>
  <c r="AH17" i="10"/>
  <c r="Z17" i="10"/>
  <c r="L17" i="10"/>
  <c r="D17" i="10"/>
  <c r="AB16" i="10"/>
  <c r="N16" i="10"/>
  <c r="F16" i="10"/>
  <c r="AD15" i="10"/>
  <c r="P15" i="10"/>
  <c r="H15" i="10"/>
  <c r="AF14" i="10"/>
  <c r="X14" i="10"/>
  <c r="J14" i="10"/>
  <c r="AH13" i="10"/>
  <c r="Z13" i="10"/>
  <c r="L13" i="10"/>
  <c r="D13" i="10"/>
  <c r="AB12" i="10"/>
  <c r="N12" i="10"/>
  <c r="F12" i="10"/>
  <c r="AD11" i="10"/>
  <c r="P11" i="10"/>
  <c r="H11" i="10"/>
  <c r="AG10" i="10"/>
  <c r="Y10" i="10"/>
  <c r="K10" i="10"/>
  <c r="C10" i="10"/>
  <c r="AA9" i="10"/>
  <c r="O28" i="10"/>
  <c r="G28" i="10"/>
  <c r="M26" i="10"/>
  <c r="E26" i="10"/>
  <c r="K25" i="10"/>
  <c r="C25" i="10"/>
  <c r="I22" i="10"/>
  <c r="D9" i="10"/>
  <c r="L9" i="10"/>
  <c r="M30" i="10"/>
  <c r="G29" i="10"/>
  <c r="AG24" i="10"/>
  <c r="F24" i="10"/>
  <c r="AF21" i="10"/>
  <c r="I21" i="10"/>
  <c r="Y20" i="10"/>
  <c r="C20" i="10"/>
  <c r="M19" i="10"/>
  <c r="O18" i="10"/>
  <c r="AE17" i="10"/>
  <c r="I17" i="10"/>
  <c r="Y16" i="10"/>
  <c r="C16" i="10"/>
  <c r="M15" i="10"/>
  <c r="AC14" i="10"/>
  <c r="G14" i="10"/>
  <c r="W13" i="10"/>
  <c r="Y12" i="10"/>
  <c r="C12" i="10"/>
  <c r="M11" i="10"/>
  <c r="AD10" i="10"/>
  <c r="H10" i="10"/>
  <c r="X9" i="10"/>
  <c r="L28" i="10"/>
  <c r="J26" i="10"/>
  <c r="H25" i="10"/>
  <c r="F22" i="10"/>
  <c r="O9" i="10"/>
  <c r="E30" i="10"/>
  <c r="AE27" i="10"/>
  <c r="C24" i="10"/>
  <c r="AD21" i="10"/>
  <c r="H21" i="10"/>
  <c r="X20" i="10"/>
  <c r="AH19" i="10"/>
  <c r="L19" i="10"/>
  <c r="D19" i="10"/>
  <c r="N18" i="10"/>
  <c r="AD17" i="10"/>
  <c r="H17" i="10"/>
  <c r="X16" i="10"/>
  <c r="AH15" i="10"/>
  <c r="L15" i="10"/>
  <c r="AB14" i="10"/>
  <c r="N14" i="10"/>
  <c r="AD13" i="10"/>
  <c r="H13" i="10"/>
  <c r="X12" i="10"/>
  <c r="Z11" i="10"/>
  <c r="D11" i="10"/>
  <c r="O10" i="10"/>
  <c r="AE9" i="10"/>
  <c r="K28" i="10"/>
  <c r="I26" i="10"/>
  <c r="G25" i="10"/>
  <c r="E22" i="10"/>
  <c r="P9" i="10"/>
  <c r="CJ23" i="20"/>
  <c r="CM23" i="20"/>
  <c r="CI23" i="20"/>
  <c r="CL23" i="20"/>
  <c r="CH23" i="20"/>
  <c r="CK23" i="20"/>
  <c r="CG23" i="20"/>
  <c r="BQ23" i="20"/>
  <c r="BM23" i="20"/>
  <c r="AX23" i="20"/>
  <c r="AT23" i="20"/>
  <c r="AE23" i="20"/>
  <c r="AA23" i="20"/>
  <c r="BP23" i="20"/>
  <c r="AW23" i="20"/>
  <c r="AS23" i="20"/>
  <c r="AD23" i="20"/>
  <c r="Z23" i="20"/>
  <c r="BS23" i="20"/>
  <c r="BO23" i="20"/>
  <c r="AV23" i="20"/>
  <c r="AC23" i="20"/>
  <c r="Y23" i="20"/>
  <c r="BR23" i="20"/>
  <c r="BN23" i="20"/>
  <c r="AY23" i="20"/>
  <c r="AU23" i="20"/>
  <c r="AB23" i="20"/>
  <c r="CK32" i="20"/>
  <c r="CG32" i="20"/>
  <c r="CJ32" i="20"/>
  <c r="CM32" i="20"/>
  <c r="CI32" i="20"/>
  <c r="CL32" i="20"/>
  <c r="CH32" i="20"/>
  <c r="BQ32" i="20"/>
  <c r="BM32" i="20"/>
  <c r="AX32" i="20"/>
  <c r="AT32" i="20"/>
  <c r="AE32" i="20"/>
  <c r="AA32" i="20"/>
  <c r="BP32" i="20"/>
  <c r="AW32" i="20"/>
  <c r="AS32" i="20"/>
  <c r="AD32" i="20"/>
  <c r="Z32" i="20"/>
  <c r="BS32" i="20"/>
  <c r="BO32" i="20"/>
  <c r="AV32" i="20"/>
  <c r="AC32" i="20"/>
  <c r="Y32" i="20"/>
  <c r="BR32" i="20"/>
  <c r="BN32" i="20"/>
  <c r="AY32" i="20"/>
  <c r="AU32" i="20"/>
  <c r="AB32" i="20"/>
  <c r="CJ34" i="20"/>
  <c r="CM34" i="20"/>
  <c r="CI34" i="20"/>
  <c r="CL34" i="20"/>
  <c r="CH34" i="20"/>
  <c r="CK34" i="20"/>
  <c r="CG34" i="20"/>
  <c r="CL35" i="20"/>
  <c r="CH35" i="20"/>
  <c r="CK35" i="20"/>
  <c r="CG35" i="20"/>
  <c r="CJ35" i="20"/>
  <c r="CM35" i="20"/>
  <c r="CI35" i="20"/>
  <c r="CK87" i="20"/>
  <c r="CG87" i="20"/>
  <c r="CJ87" i="20"/>
  <c r="CM87" i="20"/>
  <c r="CI87" i="20"/>
  <c r="CL87" i="20"/>
  <c r="CH87" i="20"/>
  <c r="BP87" i="20"/>
  <c r="AX87" i="20"/>
  <c r="AT87" i="20"/>
  <c r="AB87" i="20"/>
  <c r="BS87" i="20"/>
  <c r="BO87" i="20"/>
  <c r="AW87" i="20"/>
  <c r="AS87" i="20"/>
  <c r="AE87" i="20"/>
  <c r="AA87" i="20"/>
  <c r="BR87" i="20"/>
  <c r="BN87" i="20"/>
  <c r="AV87" i="20"/>
  <c r="AD87" i="20"/>
  <c r="Z87" i="20"/>
  <c r="BQ87" i="20"/>
  <c r="BM87" i="20"/>
  <c r="AY87" i="20"/>
  <c r="AU87" i="20"/>
  <c r="AC87" i="20"/>
  <c r="Y87" i="20"/>
  <c r="CM26" i="20"/>
  <c r="CI26" i="20"/>
  <c r="CL26" i="20"/>
  <c r="CH26" i="20"/>
  <c r="CK26" i="20"/>
  <c r="CG26" i="20"/>
  <c r="CJ26" i="20"/>
  <c r="BP26" i="20"/>
  <c r="AW26" i="20"/>
  <c r="AS26" i="20"/>
  <c r="AD26" i="20"/>
  <c r="Z26" i="20"/>
  <c r="BS26" i="20"/>
  <c r="BO26" i="20"/>
  <c r="AV26" i="20"/>
  <c r="AC26" i="20"/>
  <c r="Y26" i="20"/>
  <c r="BR26" i="20"/>
  <c r="BN26" i="20"/>
  <c r="AY26" i="20"/>
  <c r="AU26" i="20"/>
  <c r="AB26" i="20"/>
  <c r="BQ26" i="20"/>
  <c r="BM26" i="20"/>
  <c r="AX26" i="20"/>
  <c r="AT26" i="20"/>
  <c r="AE26" i="20"/>
  <c r="AA26" i="20"/>
  <c r="CJ72" i="20"/>
  <c r="CM72" i="20"/>
  <c r="CI72" i="20"/>
  <c r="CL72" i="20"/>
  <c r="CH72" i="20"/>
  <c r="CK72" i="20"/>
  <c r="CG72" i="20"/>
  <c r="BP72" i="20"/>
  <c r="AX72" i="20"/>
  <c r="AT72" i="20"/>
  <c r="AB72" i="20"/>
  <c r="BS72" i="20"/>
  <c r="BO72" i="20"/>
  <c r="AW72" i="20"/>
  <c r="AS72" i="20"/>
  <c r="AE72" i="20"/>
  <c r="AA72" i="20"/>
  <c r="BR72" i="20"/>
  <c r="BN72" i="20"/>
  <c r="AV72" i="20"/>
  <c r="AD72" i="20"/>
  <c r="Z72" i="20"/>
  <c r="BQ72" i="20"/>
  <c r="BM72" i="20"/>
  <c r="AY72" i="20"/>
  <c r="AU72" i="20"/>
  <c r="AC72" i="20"/>
  <c r="Y72" i="20"/>
  <c r="CM109" i="20"/>
  <c r="CI109" i="20"/>
  <c r="CL109" i="20"/>
  <c r="CH109" i="20"/>
  <c r="CK109" i="20"/>
  <c r="CG109" i="20"/>
  <c r="CJ109" i="20"/>
  <c r="Y109" i="20"/>
  <c r="AC109" i="20"/>
  <c r="AU109" i="20"/>
  <c r="AY109" i="20"/>
  <c r="Z109" i="20"/>
  <c r="AD109" i="20"/>
  <c r="AV109" i="20"/>
  <c r="AB109" i="20"/>
  <c r="AX109" i="20"/>
  <c r="AA109" i="20"/>
  <c r="AE109" i="20"/>
  <c r="AS109" i="20"/>
  <c r="AW109" i="20"/>
  <c r="AT109" i="20"/>
  <c r="CJ149" i="20"/>
  <c r="CM149" i="20"/>
  <c r="CI149" i="20"/>
  <c r="CL149" i="20"/>
  <c r="CH149" i="20"/>
  <c r="CK149" i="20"/>
  <c r="CG149" i="20"/>
  <c r="CK27" i="20"/>
  <c r="CG27" i="20"/>
  <c r="CJ27" i="20"/>
  <c r="CM27" i="20"/>
  <c r="CI27" i="20"/>
  <c r="CL27" i="20"/>
  <c r="CH27" i="20"/>
  <c r="BQ27" i="20"/>
  <c r="BM27" i="20"/>
  <c r="AX27" i="20"/>
  <c r="AT27" i="20"/>
  <c r="AE27" i="20"/>
  <c r="AA27" i="20"/>
  <c r="BP27" i="20"/>
  <c r="AW27" i="20"/>
  <c r="AS27" i="20"/>
  <c r="AD27" i="20"/>
  <c r="Z27" i="20"/>
  <c r="BS27" i="20"/>
  <c r="BO27" i="20"/>
  <c r="AV27" i="20"/>
  <c r="AC27" i="20"/>
  <c r="Y27" i="20"/>
  <c r="BR27" i="20"/>
  <c r="BN27" i="20"/>
  <c r="AY27" i="20"/>
  <c r="AU27" i="20"/>
  <c r="AB27" i="20"/>
  <c r="CK40" i="20"/>
  <c r="CG40" i="20"/>
  <c r="CJ40" i="20"/>
  <c r="CM40" i="20"/>
  <c r="CI40" i="20"/>
  <c r="CL40" i="20"/>
  <c r="CH40" i="20"/>
  <c r="CL41" i="20"/>
  <c r="CH41" i="20"/>
  <c r="CK41" i="20"/>
  <c r="CG41" i="20"/>
  <c r="CJ41" i="20"/>
  <c r="CM41" i="20"/>
  <c r="CI41" i="20"/>
  <c r="CM42" i="20"/>
  <c r="CI42" i="20"/>
  <c r="CL42" i="20"/>
  <c r="CH42" i="20"/>
  <c r="CK42" i="20"/>
  <c r="CG42" i="20"/>
  <c r="CJ42" i="20"/>
  <c r="CJ43" i="20"/>
  <c r="CM43" i="20"/>
  <c r="CI43" i="20"/>
  <c r="CL43" i="20"/>
  <c r="CH43" i="20"/>
  <c r="CK43" i="20"/>
  <c r="CG43" i="20"/>
  <c r="CJ44" i="20"/>
  <c r="CM44" i="20"/>
  <c r="CI44" i="20"/>
  <c r="CL44" i="20"/>
  <c r="CH44" i="20"/>
  <c r="CK44" i="20"/>
  <c r="CG44" i="20"/>
  <c r="CM93" i="20"/>
  <c r="CI93" i="20"/>
  <c r="CL93" i="20"/>
  <c r="CH93" i="20"/>
  <c r="CK93" i="20"/>
  <c r="CG93" i="20"/>
  <c r="CJ93" i="20"/>
  <c r="BR93" i="20"/>
  <c r="BN93" i="20"/>
  <c r="AV93" i="20"/>
  <c r="AD93" i="20"/>
  <c r="Z93" i="20"/>
  <c r="BQ93" i="20"/>
  <c r="BM93" i="20"/>
  <c r="AY93" i="20"/>
  <c r="AU93" i="20"/>
  <c r="AC93" i="20"/>
  <c r="Y93" i="20"/>
  <c r="BP93" i="20"/>
  <c r="AX93" i="20"/>
  <c r="AT93" i="20"/>
  <c r="AB93" i="20"/>
  <c r="BS93" i="20"/>
  <c r="BO93" i="20"/>
  <c r="AW93" i="20"/>
  <c r="AS93" i="20"/>
  <c r="AE93" i="20"/>
  <c r="AA93" i="20"/>
  <c r="CK115" i="20"/>
  <c r="CG115" i="20"/>
  <c r="CJ115" i="20"/>
  <c r="CM115" i="20"/>
  <c r="CI115" i="20"/>
  <c r="CL115" i="20"/>
  <c r="CH115" i="20"/>
  <c r="BM115" i="20"/>
  <c r="BQ115" i="20"/>
  <c r="BP115" i="20"/>
  <c r="BN115" i="20"/>
  <c r="BR115" i="20"/>
  <c r="BO115" i="20"/>
  <c r="BS115" i="20"/>
  <c r="CL155" i="20"/>
  <c r="CH155" i="20"/>
  <c r="BS155" i="20"/>
  <c r="BO155" i="20"/>
  <c r="AW155" i="20"/>
  <c r="AS155" i="20"/>
  <c r="AE155" i="20"/>
  <c r="CK155" i="20"/>
  <c r="CG155" i="20"/>
  <c r="CJ155" i="20"/>
  <c r="BQ155" i="20"/>
  <c r="BM155" i="20"/>
  <c r="AY155" i="20"/>
  <c r="AU155" i="20"/>
  <c r="CM155" i="20"/>
  <c r="CI155" i="20"/>
  <c r="BP155" i="20"/>
  <c r="AX155" i="20"/>
  <c r="AT155" i="20"/>
  <c r="AB155" i="20"/>
  <c r="BR155" i="20"/>
  <c r="Z155" i="20"/>
  <c r="BN155" i="20"/>
  <c r="AV155" i="20"/>
  <c r="AD155" i="20"/>
  <c r="Y155" i="20"/>
  <c r="AC155" i="20"/>
  <c r="AA155" i="20"/>
  <c r="CM29" i="20"/>
  <c r="CI29" i="20"/>
  <c r="CL29" i="20"/>
  <c r="CH29" i="20"/>
  <c r="CK29" i="20"/>
  <c r="CG29" i="20"/>
  <c r="CJ29" i="20"/>
  <c r="BS29" i="20"/>
  <c r="BO29" i="20"/>
  <c r="AV29" i="20"/>
  <c r="AC29" i="20"/>
  <c r="Y29" i="20"/>
  <c r="BR29" i="20"/>
  <c r="BN29" i="20"/>
  <c r="AY29" i="20"/>
  <c r="AU29" i="20"/>
  <c r="AB29" i="20"/>
  <c r="BQ29" i="20"/>
  <c r="BM29" i="20"/>
  <c r="AX29" i="20"/>
  <c r="AT29" i="20"/>
  <c r="AE29" i="20"/>
  <c r="AA29" i="20"/>
  <c r="BP29" i="20"/>
  <c r="AW29" i="20"/>
  <c r="AS29" i="20"/>
  <c r="AD29" i="20"/>
  <c r="Z29" i="20"/>
  <c r="CJ162" i="20"/>
  <c r="BQ162" i="20"/>
  <c r="BM162" i="20"/>
  <c r="AY162" i="20"/>
  <c r="AU162" i="20"/>
  <c r="AC162" i="20"/>
  <c r="Y162" i="20"/>
  <c r="CM162" i="20"/>
  <c r="CL162" i="20"/>
  <c r="CH162" i="20"/>
  <c r="BS162" i="20"/>
  <c r="BO162" i="20"/>
  <c r="AW162" i="20"/>
  <c r="AS162" i="20"/>
  <c r="E52" i="21" s="1"/>
  <c r="E105" i="21" s="1"/>
  <c r="AE162" i="20"/>
  <c r="AA162" i="20"/>
  <c r="CK162" i="20"/>
  <c r="CG162" i="20"/>
  <c r="BR162" i="20"/>
  <c r="BN162" i="20"/>
  <c r="AV162" i="20"/>
  <c r="AD162" i="20"/>
  <c r="Z162" i="20"/>
  <c r="CI162" i="20"/>
  <c r="AT162" i="20"/>
  <c r="AB162" i="20"/>
  <c r="BP162" i="20"/>
  <c r="AX162" i="20"/>
  <c r="CH174" i="20"/>
  <c r="CJ174" i="20"/>
  <c r="BS174" i="20"/>
  <c r="BO174" i="20"/>
  <c r="AY174" i="20"/>
  <c r="AU174" i="20"/>
  <c r="AE174" i="20"/>
  <c r="AA174" i="20"/>
  <c r="CL174" i="20"/>
  <c r="CG174" i="20"/>
  <c r="BQ174" i="20"/>
  <c r="BM174" i="20"/>
  <c r="AW174" i="20"/>
  <c r="AS174" i="20"/>
  <c r="AC174" i="20"/>
  <c r="Y174" i="20"/>
  <c r="CK174" i="20"/>
  <c r="BP174" i="20"/>
  <c r="AV174" i="20"/>
  <c r="AB174" i="20"/>
  <c r="CM174" i="20"/>
  <c r="AX174" i="20"/>
  <c r="CI174" i="20"/>
  <c r="AT174" i="20"/>
  <c r="BR174" i="20"/>
  <c r="AD174" i="20"/>
  <c r="BN174" i="20"/>
  <c r="Z174" i="20"/>
  <c r="CK15" i="20"/>
  <c r="CG15" i="20"/>
  <c r="CJ15" i="20"/>
  <c r="CM15" i="20"/>
  <c r="CI15" i="20"/>
  <c r="CH15" i="20"/>
  <c r="CL15" i="20"/>
  <c r="BP15" i="20"/>
  <c r="AX15" i="20"/>
  <c r="AT15" i="20"/>
  <c r="AB15" i="20"/>
  <c r="BS15" i="20"/>
  <c r="BO15" i="20"/>
  <c r="AW15" i="20"/>
  <c r="AS15" i="20"/>
  <c r="AE15" i="20"/>
  <c r="AA15" i="20"/>
  <c r="BR15" i="20"/>
  <c r="BN15" i="20"/>
  <c r="AV15" i="20"/>
  <c r="AD15" i="20"/>
  <c r="Z15" i="20"/>
  <c r="BM15" i="20"/>
  <c r="AY15" i="20"/>
  <c r="BQ15" i="20"/>
  <c r="AU15" i="20"/>
  <c r="AC15" i="20"/>
  <c r="Y15" i="20"/>
  <c r="CM30" i="20"/>
  <c r="CI30" i="20"/>
  <c r="CL30" i="20"/>
  <c r="CH30" i="20"/>
  <c r="CK30" i="20"/>
  <c r="CG30" i="20"/>
  <c r="CJ30" i="20"/>
  <c r="BS30" i="20"/>
  <c r="BO30" i="20"/>
  <c r="AW30" i="20"/>
  <c r="AS30" i="20"/>
  <c r="AE30" i="20"/>
  <c r="AA30" i="20"/>
  <c r="BR30" i="20"/>
  <c r="BN30" i="20"/>
  <c r="AV30" i="20"/>
  <c r="AD30" i="20"/>
  <c r="Z30" i="20"/>
  <c r="BQ30" i="20"/>
  <c r="BM30" i="20"/>
  <c r="AY30" i="20"/>
  <c r="AU30" i="20"/>
  <c r="AC30" i="20"/>
  <c r="Y30" i="20"/>
  <c r="AT30" i="20"/>
  <c r="AB30" i="20"/>
  <c r="BP30" i="20"/>
  <c r="AX30" i="20"/>
  <c r="CM60" i="20"/>
  <c r="CI60" i="20"/>
  <c r="CL60" i="20"/>
  <c r="CH60" i="20"/>
  <c r="CK60" i="20"/>
  <c r="CG60" i="20"/>
  <c r="CJ60" i="20"/>
  <c r="BP60" i="20"/>
  <c r="AX60" i="20"/>
  <c r="AT60" i="20"/>
  <c r="AB60" i="20"/>
  <c r="BS60" i="20"/>
  <c r="BO60" i="20"/>
  <c r="AW60" i="20"/>
  <c r="AS60" i="20"/>
  <c r="AE60" i="20"/>
  <c r="AA60" i="20"/>
  <c r="BR60" i="20"/>
  <c r="BN60" i="20"/>
  <c r="AV60" i="20"/>
  <c r="AD60" i="20"/>
  <c r="Z60" i="20"/>
  <c r="AY60" i="20"/>
  <c r="AC60" i="20"/>
  <c r="BQ60" i="20"/>
  <c r="AU60" i="20"/>
  <c r="Y60" i="20"/>
  <c r="BM60" i="20"/>
  <c r="CK78" i="20"/>
  <c r="CG78" i="20"/>
  <c r="CJ78" i="20"/>
  <c r="CM78" i="20"/>
  <c r="CI78" i="20"/>
  <c r="CL78" i="20"/>
  <c r="CH78" i="20"/>
  <c r="BQ78" i="20"/>
  <c r="BM78" i="20"/>
  <c r="AY78" i="20"/>
  <c r="AU78" i="20"/>
  <c r="AC78" i="20"/>
  <c r="Y78" i="20"/>
  <c r="BP78" i="20"/>
  <c r="AX78" i="20"/>
  <c r="AT78" i="20"/>
  <c r="AB78" i="20"/>
  <c r="BN78" i="20"/>
  <c r="BS78" i="20"/>
  <c r="BO78" i="20"/>
  <c r="AW78" i="20"/>
  <c r="AS78" i="20"/>
  <c r="AE78" i="20"/>
  <c r="AA78" i="20"/>
  <c r="BR78" i="20"/>
  <c r="Z78" i="20"/>
  <c r="AV78" i="20"/>
  <c r="AD78" i="20"/>
  <c r="CK113" i="20"/>
  <c r="CG113" i="20"/>
  <c r="Z113" i="20"/>
  <c r="AD113" i="20"/>
  <c r="AS113" i="20"/>
  <c r="AW113" i="20"/>
  <c r="CJ113" i="20"/>
  <c r="AA113" i="20"/>
  <c r="AE113" i="20"/>
  <c r="AT113" i="20"/>
  <c r="AX113" i="20"/>
  <c r="CM113" i="20"/>
  <c r="CI113" i="20"/>
  <c r="AB113" i="20"/>
  <c r="AU113" i="20"/>
  <c r="AY113" i="20"/>
  <c r="AC113" i="20"/>
  <c r="Y113" i="20"/>
  <c r="CL113" i="20"/>
  <c r="CH113" i="20"/>
  <c r="AV113" i="20"/>
  <c r="CL159" i="20"/>
  <c r="CH159" i="20"/>
  <c r="BQ159" i="20"/>
  <c r="BM159" i="20"/>
  <c r="AX159" i="20"/>
  <c r="AT159" i="20"/>
  <c r="AE159" i="20"/>
  <c r="AA159" i="20"/>
  <c r="CK159" i="20"/>
  <c r="CG159" i="20"/>
  <c r="BP159" i="20"/>
  <c r="AW159" i="20"/>
  <c r="AS159" i="20"/>
  <c r="AD159" i="20"/>
  <c r="Z159" i="20"/>
  <c r="CJ159" i="20"/>
  <c r="BS159" i="20"/>
  <c r="BO159" i="20"/>
  <c r="AV159" i="20"/>
  <c r="AC159" i="20"/>
  <c r="Y159" i="20"/>
  <c r="CI159" i="20"/>
  <c r="BR159" i="20"/>
  <c r="AY159" i="20"/>
  <c r="AB159" i="20"/>
  <c r="CM159" i="20"/>
  <c r="BN159" i="20"/>
  <c r="AU159" i="20"/>
  <c r="CL18" i="20"/>
  <c r="CH18" i="20"/>
  <c r="CK18" i="20"/>
  <c r="CG18" i="20"/>
  <c r="CJ18" i="20"/>
  <c r="CM18" i="20"/>
  <c r="CI18" i="20"/>
  <c r="BS18" i="20"/>
  <c r="BO18" i="20"/>
  <c r="AW18" i="20"/>
  <c r="AS18" i="20"/>
  <c r="AE18" i="20"/>
  <c r="AA18" i="20"/>
  <c r="BR18" i="20"/>
  <c r="BN18" i="20"/>
  <c r="AV18" i="20"/>
  <c r="AD18" i="20"/>
  <c r="Z18" i="20"/>
  <c r="BQ18" i="20"/>
  <c r="BM18" i="20"/>
  <c r="AY18" i="20"/>
  <c r="AU18" i="20"/>
  <c r="AC18" i="20"/>
  <c r="Y18" i="20"/>
  <c r="AT18" i="20"/>
  <c r="AB18" i="20"/>
  <c r="AX18" i="20"/>
  <c r="BP18" i="20"/>
  <c r="CK66" i="20"/>
  <c r="CG66" i="20"/>
  <c r="CJ66" i="20"/>
  <c r="CM66" i="20"/>
  <c r="CI66" i="20"/>
  <c r="CH66" i="20"/>
  <c r="CL66" i="20"/>
  <c r="BR66" i="20"/>
  <c r="BN66" i="20"/>
  <c r="AW66" i="20"/>
  <c r="AS66" i="20"/>
  <c r="AB66" i="20"/>
  <c r="BQ66" i="20"/>
  <c r="BM66" i="20"/>
  <c r="AV66" i="20"/>
  <c r="AE66" i="20"/>
  <c r="AA66" i="20"/>
  <c r="BP66" i="20"/>
  <c r="AY66" i="20"/>
  <c r="AU66" i="20"/>
  <c r="AD66" i="20"/>
  <c r="Z66" i="20"/>
  <c r="BO66" i="20"/>
  <c r="Y66" i="20"/>
  <c r="AX66" i="20"/>
  <c r="AT66" i="20"/>
  <c r="BS66" i="20"/>
  <c r="AC66" i="20"/>
  <c r="CL119" i="20"/>
  <c r="CH119" i="20"/>
  <c r="BP119" i="20"/>
  <c r="CK119" i="20"/>
  <c r="CG119" i="20"/>
  <c r="BM119" i="20"/>
  <c r="BQ119" i="20"/>
  <c r="CJ119" i="20"/>
  <c r="BN119" i="20"/>
  <c r="BR119" i="20"/>
  <c r="CM119" i="20"/>
  <c r="BS119" i="20"/>
  <c r="CI119" i="20"/>
  <c r="BO119" i="20"/>
  <c r="CM164" i="20"/>
  <c r="CI164" i="20"/>
  <c r="BR164" i="20"/>
  <c r="BN164" i="20"/>
  <c r="AY164" i="20"/>
  <c r="AU164" i="20"/>
  <c r="AB164" i="20"/>
  <c r="CL164" i="20"/>
  <c r="CH164" i="20"/>
  <c r="BQ164" i="20"/>
  <c r="BM164" i="20"/>
  <c r="AX164" i="20"/>
  <c r="AT164" i="20"/>
  <c r="AE164" i="20"/>
  <c r="AA164" i="20"/>
  <c r="CK164" i="20"/>
  <c r="CG164" i="20"/>
  <c r="BP164" i="20"/>
  <c r="AW164" i="20"/>
  <c r="AS164" i="20"/>
  <c r="AD164" i="20"/>
  <c r="Z164" i="20"/>
  <c r="AC164" i="20"/>
  <c r="BS164" i="20"/>
  <c r="AV164" i="20"/>
  <c r="Y164" i="20"/>
  <c r="CJ164" i="20"/>
  <c r="BO164" i="20"/>
  <c r="CM19" i="20"/>
  <c r="CI19" i="20"/>
  <c r="CL19" i="20"/>
  <c r="CH19" i="20"/>
  <c r="CK19" i="20"/>
  <c r="CG19" i="20"/>
  <c r="CJ19" i="20"/>
  <c r="BP19" i="20"/>
  <c r="AX19" i="20"/>
  <c r="AT19" i="20"/>
  <c r="AB19" i="20"/>
  <c r="BS19" i="20"/>
  <c r="BO19" i="20"/>
  <c r="AW19" i="20"/>
  <c r="AS19" i="20"/>
  <c r="AE19" i="20"/>
  <c r="AA19" i="20"/>
  <c r="BR19" i="20"/>
  <c r="BN19" i="20"/>
  <c r="AV19" i="20"/>
  <c r="AD19" i="20"/>
  <c r="Z19" i="20"/>
  <c r="BQ19" i="20"/>
  <c r="Y19" i="20"/>
  <c r="BM19" i="20"/>
  <c r="AY19" i="20"/>
  <c r="AU19" i="20"/>
  <c r="AC19" i="20"/>
  <c r="CJ49" i="20"/>
  <c r="CM49" i="20"/>
  <c r="CI49" i="20"/>
  <c r="CL49" i="20"/>
  <c r="CH49" i="20"/>
  <c r="CG49" i="20"/>
  <c r="CK49" i="20"/>
  <c r="BP49" i="20"/>
  <c r="AY49" i="20"/>
  <c r="AU49" i="20"/>
  <c r="AD49" i="20"/>
  <c r="Z49" i="20"/>
  <c r="BS49" i="20"/>
  <c r="BO49" i="20"/>
  <c r="AX49" i="20"/>
  <c r="AT49" i="20"/>
  <c r="AC49" i="20"/>
  <c r="Y49" i="20"/>
  <c r="BR49" i="20"/>
  <c r="BN49" i="20"/>
  <c r="AW49" i="20"/>
  <c r="AS49" i="20"/>
  <c r="AB49" i="20"/>
  <c r="BM49" i="20"/>
  <c r="AA49" i="20"/>
  <c r="AV49" i="20"/>
  <c r="BQ49" i="20"/>
  <c r="AE49" i="20"/>
  <c r="CK89" i="20"/>
  <c r="CG89" i="20"/>
  <c r="CJ89" i="20"/>
  <c r="CM89" i="20"/>
  <c r="CI89" i="20"/>
  <c r="CL89" i="20"/>
  <c r="CH89" i="20"/>
  <c r="BQ89" i="20"/>
  <c r="BM89" i="20"/>
  <c r="AX89" i="20"/>
  <c r="AT89" i="20"/>
  <c r="AE89" i="20"/>
  <c r="AA89" i="20"/>
  <c r="AU89" i="20"/>
  <c r="AB89" i="20"/>
  <c r="BP89" i="20"/>
  <c r="AW89" i="20"/>
  <c r="AS89" i="20"/>
  <c r="AD89" i="20"/>
  <c r="Z89" i="20"/>
  <c r="BN89" i="20"/>
  <c r="BS89" i="20"/>
  <c r="BO89" i="20"/>
  <c r="AV89" i="20"/>
  <c r="AC89" i="20"/>
  <c r="Y89" i="20"/>
  <c r="BR89" i="20"/>
  <c r="AY89" i="20"/>
  <c r="CM98" i="20"/>
  <c r="CI98" i="20"/>
  <c r="CL98" i="20"/>
  <c r="CH98" i="20"/>
  <c r="CK98" i="20"/>
  <c r="CG98" i="20"/>
  <c r="CJ98" i="20"/>
  <c r="BS98" i="20"/>
  <c r="BO98" i="20"/>
  <c r="AV98" i="20"/>
  <c r="AC98" i="20"/>
  <c r="Y98" i="20"/>
  <c r="AW98" i="20"/>
  <c r="Z98" i="20"/>
  <c r="BR98" i="20"/>
  <c r="BN98" i="20"/>
  <c r="AY98" i="20"/>
  <c r="AU98" i="20"/>
  <c r="AB98" i="20"/>
  <c r="BP98" i="20"/>
  <c r="AD98" i="20"/>
  <c r="BQ98" i="20"/>
  <c r="BM98" i="20"/>
  <c r="AX98" i="20"/>
  <c r="AT98" i="20"/>
  <c r="AE98" i="20"/>
  <c r="AA98" i="20"/>
  <c r="AS98" i="20"/>
  <c r="CJ20" i="20"/>
  <c r="CM20" i="20"/>
  <c r="CI20" i="20"/>
  <c r="CL20" i="20"/>
  <c r="CH20" i="20"/>
  <c r="CK20" i="20"/>
  <c r="CG20" i="20"/>
  <c r="BQ20" i="20"/>
  <c r="BM20" i="20"/>
  <c r="AY20" i="20"/>
  <c r="AU20" i="20"/>
  <c r="AC20" i="20"/>
  <c r="Y20" i="20"/>
  <c r="BP20" i="20"/>
  <c r="AX20" i="20"/>
  <c r="AT20" i="20"/>
  <c r="AB20" i="20"/>
  <c r="BS20" i="20"/>
  <c r="BO20" i="20"/>
  <c r="AW20" i="20"/>
  <c r="AS20" i="20"/>
  <c r="AE20" i="20"/>
  <c r="AA20" i="20"/>
  <c r="AV20" i="20"/>
  <c r="AD20" i="20"/>
  <c r="Z20" i="20"/>
  <c r="BN20" i="20"/>
  <c r="BR20" i="20"/>
  <c r="CM107" i="20"/>
  <c r="CI107" i="20"/>
  <c r="BR107" i="20"/>
  <c r="BN107" i="20"/>
  <c r="AY107" i="20"/>
  <c r="AU107" i="20"/>
  <c r="AB107" i="20"/>
  <c r="CL107" i="20"/>
  <c r="CH107" i="20"/>
  <c r="BQ107" i="20"/>
  <c r="BM107" i="20"/>
  <c r="AX107" i="20"/>
  <c r="AT107" i="20"/>
  <c r="AE107" i="20"/>
  <c r="CK107" i="20"/>
  <c r="CG107" i="20"/>
  <c r="BP107" i="20"/>
  <c r="AW107" i="20"/>
  <c r="AS107" i="20"/>
  <c r="AD107" i="20"/>
  <c r="Z107" i="20"/>
  <c r="CJ107" i="20"/>
  <c r="AC107" i="20"/>
  <c r="BS107" i="20"/>
  <c r="AV107" i="20"/>
  <c r="AA107" i="20"/>
  <c r="BO107" i="20"/>
  <c r="Y107" i="20"/>
  <c r="CK153" i="20"/>
  <c r="CG153" i="20"/>
  <c r="CJ153" i="20"/>
  <c r="CM153" i="20"/>
  <c r="CI153" i="20"/>
  <c r="CH153" i="20"/>
  <c r="CL153" i="20"/>
  <c r="CJ179" i="20"/>
  <c r="BR179" i="20"/>
  <c r="BN179" i="20"/>
  <c r="AV179" i="20"/>
  <c r="AD179" i="20"/>
  <c r="Z179" i="20"/>
  <c r="CM179" i="20"/>
  <c r="CI179" i="20"/>
  <c r="BQ179" i="20"/>
  <c r="BM179" i="20"/>
  <c r="AY179" i="20"/>
  <c r="AU179" i="20"/>
  <c r="AC179" i="20"/>
  <c r="Y179" i="20"/>
  <c r="CL179" i="20"/>
  <c r="CH179" i="20"/>
  <c r="BP179" i="20"/>
  <c r="AX179" i="20"/>
  <c r="AT179" i="20"/>
  <c r="AB179" i="20"/>
  <c r="BS179" i="20"/>
  <c r="AW179" i="20"/>
  <c r="AA179" i="20"/>
  <c r="CK179" i="20"/>
  <c r="BO179" i="20"/>
  <c r="AS179" i="20"/>
  <c r="AE179" i="20"/>
  <c r="CG179" i="20"/>
  <c r="CK180" i="20"/>
  <c r="CG180" i="20"/>
  <c r="BS180" i="20"/>
  <c r="BO180" i="20"/>
  <c r="AW180" i="20"/>
  <c r="AS180" i="20"/>
  <c r="AE180" i="20"/>
  <c r="AA180" i="20"/>
  <c r="CJ180" i="20"/>
  <c r="BR180" i="20"/>
  <c r="BN180" i="20"/>
  <c r="AV180" i="20"/>
  <c r="AD180" i="20"/>
  <c r="Z180" i="20"/>
  <c r="CM180" i="20"/>
  <c r="CI180" i="20"/>
  <c r="BQ180" i="20"/>
  <c r="BM180" i="20"/>
  <c r="AY180" i="20"/>
  <c r="AU180" i="20"/>
  <c r="AC180" i="20"/>
  <c r="Y180" i="20"/>
  <c r="CH180" i="20"/>
  <c r="CL180" i="20"/>
  <c r="AT180" i="20"/>
  <c r="BP180" i="20"/>
  <c r="AX180" i="20"/>
  <c r="AB180" i="20"/>
  <c r="CK47" i="20"/>
  <c r="CG47" i="20"/>
  <c r="CJ47" i="20"/>
  <c r="CM47" i="20"/>
  <c r="CI47" i="20"/>
  <c r="CL47" i="20"/>
  <c r="CH47" i="20"/>
  <c r="BS47" i="20"/>
  <c r="BO47" i="20"/>
  <c r="AW47" i="20"/>
  <c r="AS47" i="20"/>
  <c r="AE47" i="20"/>
  <c r="AA47" i="20"/>
  <c r="AX47" i="20"/>
  <c r="BR47" i="20"/>
  <c r="BN47" i="20"/>
  <c r="AV47" i="20"/>
  <c r="AD47" i="20"/>
  <c r="Z47" i="20"/>
  <c r="BP47" i="20"/>
  <c r="AB47" i="20"/>
  <c r="BQ47" i="20"/>
  <c r="BM47" i="20"/>
  <c r="AY47" i="20"/>
  <c r="AU47" i="20"/>
  <c r="AC47" i="20"/>
  <c r="Y47" i="20"/>
  <c r="AT47" i="20"/>
  <c r="CJ12" i="20"/>
  <c r="CG12" i="20"/>
  <c r="CM12" i="20"/>
  <c r="CI12" i="20"/>
  <c r="CK12" i="20"/>
  <c r="CL12" i="20"/>
  <c r="CH12" i="20"/>
  <c r="BQ12" i="20"/>
  <c r="BM12" i="20"/>
  <c r="AX12" i="20"/>
  <c r="AT12" i="20"/>
  <c r="AB12" i="20"/>
  <c r="BP12" i="20"/>
  <c r="AW12" i="20"/>
  <c r="AS12" i="20"/>
  <c r="AE12" i="20"/>
  <c r="AA12" i="20"/>
  <c r="BS12" i="20"/>
  <c r="BO12" i="20"/>
  <c r="AV12" i="20"/>
  <c r="AD12" i="20"/>
  <c r="Z12" i="20"/>
  <c r="BN12" i="20"/>
  <c r="Y12" i="20"/>
  <c r="BR12" i="20"/>
  <c r="AY12" i="20"/>
  <c r="AU12" i="20"/>
  <c r="AC12" i="20"/>
  <c r="CL14" i="20"/>
  <c r="CH14" i="20"/>
  <c r="CM14" i="20"/>
  <c r="CK14" i="20"/>
  <c r="CG14" i="20"/>
  <c r="CJ14" i="20"/>
  <c r="CI14" i="20"/>
  <c r="BS14" i="20"/>
  <c r="BO14" i="20"/>
  <c r="AV14" i="20"/>
  <c r="AD14" i="20"/>
  <c r="Z14" i="20"/>
  <c r="BR14" i="20"/>
  <c r="BN14" i="20"/>
  <c r="AY14" i="20"/>
  <c r="AU14" i="20"/>
  <c r="AC14" i="20"/>
  <c r="Y14" i="20"/>
  <c r="BQ14" i="20"/>
  <c r="BM14" i="20"/>
  <c r="AX14" i="20"/>
  <c r="AT14" i="20"/>
  <c r="AB14" i="20"/>
  <c r="BP14" i="20"/>
  <c r="AA14" i="20"/>
  <c r="AE14" i="20"/>
  <c r="AW14" i="20"/>
  <c r="AS14" i="20"/>
  <c r="CM37" i="20"/>
  <c r="CI37" i="20"/>
  <c r="CL37" i="20"/>
  <c r="CH37" i="20"/>
  <c r="CK37" i="20"/>
  <c r="CG37" i="20"/>
  <c r="CJ37" i="20"/>
  <c r="AD37" i="20"/>
  <c r="Z37" i="20"/>
  <c r="AV37" i="20"/>
  <c r="BR37" i="20"/>
  <c r="BN37" i="20"/>
  <c r="AC37" i="20"/>
  <c r="Y37" i="20"/>
  <c r="AY37" i="20"/>
  <c r="AU37" i="20"/>
  <c r="BQ37" i="20"/>
  <c r="BM37" i="20"/>
  <c r="AB37" i="20"/>
  <c r="AX37" i="20"/>
  <c r="AT37" i="20"/>
  <c r="BP37" i="20"/>
  <c r="BS37" i="20"/>
  <c r="AE37" i="20"/>
  <c r="AW37" i="20"/>
  <c r="BO37" i="20"/>
  <c r="AA37" i="20"/>
  <c r="AS37" i="20"/>
  <c r="CJ38" i="20"/>
  <c r="CK38" i="20"/>
  <c r="CM38" i="20"/>
  <c r="CI38" i="20"/>
  <c r="CG38" i="20"/>
  <c r="CL38" i="20"/>
  <c r="CH38" i="20"/>
  <c r="AE38" i="20"/>
  <c r="AA38" i="20"/>
  <c r="AW38" i="20"/>
  <c r="AS38" i="20"/>
  <c r="BS38" i="20"/>
  <c r="BO38" i="20"/>
  <c r="AD38" i="20"/>
  <c r="Z38" i="20"/>
  <c r="AV38" i="20"/>
  <c r="BR38" i="20"/>
  <c r="BN38" i="20"/>
  <c r="AC38" i="20"/>
  <c r="Y38" i="20"/>
  <c r="AY38" i="20"/>
  <c r="AU38" i="20"/>
  <c r="BQ38" i="20"/>
  <c r="BM38" i="20"/>
  <c r="AB38" i="20"/>
  <c r="AT38" i="20"/>
  <c r="BP38" i="20"/>
  <c r="AX38" i="20"/>
  <c r="CK91" i="20"/>
  <c r="CG91" i="20"/>
  <c r="CJ91" i="20"/>
  <c r="CM91" i="20"/>
  <c r="CI91" i="20"/>
  <c r="CL91" i="20"/>
  <c r="CH91" i="20"/>
  <c r="BQ91" i="20"/>
  <c r="BM91" i="20"/>
  <c r="AV91" i="20"/>
  <c r="AE91" i="20"/>
  <c r="AA91" i="20"/>
  <c r="BR91" i="20"/>
  <c r="BP91" i="20"/>
  <c r="AY91" i="20"/>
  <c r="AU91" i="20"/>
  <c r="AD91" i="20"/>
  <c r="Z91" i="20"/>
  <c r="AS91" i="20"/>
  <c r="BS91" i="20"/>
  <c r="BO91" i="20"/>
  <c r="AX91" i="20"/>
  <c r="AT91" i="20"/>
  <c r="AC91" i="20"/>
  <c r="Y91" i="20"/>
  <c r="BN91" i="20"/>
  <c r="AW91" i="20"/>
  <c r="AB91" i="20"/>
  <c r="CJ106" i="20"/>
  <c r="BQ106" i="20"/>
  <c r="BM106" i="20"/>
  <c r="AV106" i="20"/>
  <c r="AE106" i="20"/>
  <c r="AA106" i="20"/>
  <c r="CM106" i="20"/>
  <c r="CI106" i="20"/>
  <c r="BP106" i="20"/>
  <c r="AY106" i="20"/>
  <c r="AU106" i="20"/>
  <c r="AD106" i="20"/>
  <c r="Z106" i="20"/>
  <c r="CL106" i="20"/>
  <c r="CH106" i="20"/>
  <c r="BS106" i="20"/>
  <c r="BO106" i="20"/>
  <c r="AX106" i="20"/>
  <c r="AT106" i="20"/>
  <c r="AC106" i="20"/>
  <c r="Y106" i="20"/>
  <c r="AS106" i="20"/>
  <c r="BR106" i="20"/>
  <c r="CG106" i="20"/>
  <c r="AW106" i="20"/>
  <c r="AB106" i="20"/>
  <c r="CK106" i="20"/>
  <c r="BN106" i="20"/>
  <c r="CJ152" i="20"/>
  <c r="CM152" i="20"/>
  <c r="CI152" i="20"/>
  <c r="CL152" i="20"/>
  <c r="CH152" i="20"/>
  <c r="CG152" i="20"/>
  <c r="CK152" i="20"/>
  <c r="CJ69" i="20"/>
  <c r="CM69" i="20"/>
  <c r="CI69" i="20"/>
  <c r="CL69" i="20"/>
  <c r="CH69" i="20"/>
  <c r="CK69" i="20"/>
  <c r="CG69" i="20"/>
  <c r="BP69" i="20"/>
  <c r="AY69" i="20"/>
  <c r="AU69" i="20"/>
  <c r="AD69" i="20"/>
  <c r="Z69" i="20"/>
  <c r="BS69" i="20"/>
  <c r="BO69" i="20"/>
  <c r="AX69" i="20"/>
  <c r="AT69" i="20"/>
  <c r="AC69" i="20"/>
  <c r="Y69" i="20"/>
  <c r="BR69" i="20"/>
  <c r="BN69" i="20"/>
  <c r="AW69" i="20"/>
  <c r="AS69" i="20"/>
  <c r="AB69" i="20"/>
  <c r="AV69" i="20"/>
  <c r="AE69" i="20"/>
  <c r="BQ69" i="20"/>
  <c r="AA69" i="20"/>
  <c r="BM69" i="20"/>
  <c r="CJ112" i="20"/>
  <c r="Y112" i="20"/>
  <c r="AC112" i="20"/>
  <c r="AT112" i="20"/>
  <c r="AX112" i="20"/>
  <c r="CM112" i="20"/>
  <c r="CI112" i="20"/>
  <c r="Z112" i="20"/>
  <c r="AD112" i="20"/>
  <c r="AU112" i="20"/>
  <c r="AY112" i="20"/>
  <c r="CL112" i="20"/>
  <c r="CH112" i="20"/>
  <c r="AA112" i="20"/>
  <c r="AE112" i="20"/>
  <c r="AV112" i="20"/>
  <c r="AS112" i="20"/>
  <c r="AB112" i="20"/>
  <c r="CK112" i="20"/>
  <c r="AW112" i="20"/>
  <c r="CG112" i="20"/>
  <c r="CM158" i="20"/>
  <c r="CI158" i="20"/>
  <c r="BP158" i="20"/>
  <c r="AY158" i="20"/>
  <c r="AU158" i="20"/>
  <c r="AD158" i="20"/>
  <c r="Z158" i="20"/>
  <c r="CL158" i="20"/>
  <c r="CH158" i="20"/>
  <c r="BS158" i="20"/>
  <c r="BO158" i="20"/>
  <c r="AX158" i="20"/>
  <c r="AT158" i="20"/>
  <c r="AC158" i="20"/>
  <c r="Y158" i="20"/>
  <c r="CK158" i="20"/>
  <c r="CG158" i="20"/>
  <c r="BR158" i="20"/>
  <c r="BN158" i="20"/>
  <c r="AW158" i="20"/>
  <c r="AS158" i="20"/>
  <c r="AB158" i="20"/>
  <c r="CJ158" i="20"/>
  <c r="BM158" i="20"/>
  <c r="AA158" i="20"/>
  <c r="AV158" i="20"/>
  <c r="AE158" i="20"/>
  <c r="BQ158" i="20"/>
  <c r="CL48" i="20"/>
  <c r="CH48" i="20"/>
  <c r="CM48" i="20"/>
  <c r="CK48" i="20"/>
  <c r="CG48" i="20"/>
  <c r="CJ48" i="20"/>
  <c r="CI48" i="20"/>
  <c r="BS48" i="20"/>
  <c r="BO48" i="20"/>
  <c r="AV48" i="20"/>
  <c r="AC48" i="20"/>
  <c r="Y48" i="20"/>
  <c r="BR48" i="20"/>
  <c r="BN48" i="20"/>
  <c r="AY48" i="20"/>
  <c r="AU48" i="20"/>
  <c r="AB48" i="20"/>
  <c r="BQ48" i="20"/>
  <c r="BM48" i="20"/>
  <c r="AX48" i="20"/>
  <c r="AT48" i="20"/>
  <c r="AE48" i="20"/>
  <c r="AA48" i="20"/>
  <c r="BP48" i="20"/>
  <c r="AS48" i="20"/>
  <c r="Z48" i="20"/>
  <c r="AD48" i="20"/>
  <c r="AW48" i="20"/>
  <c r="CM97" i="20"/>
  <c r="CI97" i="20"/>
  <c r="CL97" i="20"/>
  <c r="CH97" i="20"/>
  <c r="CK97" i="20"/>
  <c r="CG97" i="20"/>
  <c r="CJ97" i="20"/>
  <c r="BR97" i="20"/>
  <c r="BN97" i="20"/>
  <c r="AV97" i="20"/>
  <c r="AD97" i="20"/>
  <c r="Z97" i="20"/>
  <c r="BS97" i="20"/>
  <c r="AW97" i="20"/>
  <c r="AA97" i="20"/>
  <c r="BQ97" i="20"/>
  <c r="BM97" i="20"/>
  <c r="AY97" i="20"/>
  <c r="AU97" i="20"/>
  <c r="AC97" i="20"/>
  <c r="Y97" i="20"/>
  <c r="AE97" i="20"/>
  <c r="BP97" i="20"/>
  <c r="AX97" i="20"/>
  <c r="AT97" i="20"/>
  <c r="AB97" i="20"/>
  <c r="BO97" i="20"/>
  <c r="AS97" i="20"/>
  <c r="CM118" i="20"/>
  <c r="CI118" i="20"/>
  <c r="BO118" i="20"/>
  <c r="BS118" i="20"/>
  <c r="CL118" i="20"/>
  <c r="CH118" i="20"/>
  <c r="BP118" i="20"/>
  <c r="CK118" i="20"/>
  <c r="CG118" i="20"/>
  <c r="BM118" i="20"/>
  <c r="BQ118" i="20"/>
  <c r="CJ118" i="20"/>
  <c r="BR118" i="20"/>
  <c r="BN118" i="20"/>
  <c r="CK166" i="20"/>
  <c r="CG166" i="20"/>
  <c r="BR166" i="20"/>
  <c r="BN166" i="20"/>
  <c r="AV166" i="20"/>
  <c r="AD166" i="20"/>
  <c r="Z166" i="20"/>
  <c r="CJ166" i="20"/>
  <c r="BQ166" i="20"/>
  <c r="BM166" i="20"/>
  <c r="AY166" i="20"/>
  <c r="AU166" i="20"/>
  <c r="AC166" i="20"/>
  <c r="Y166" i="20"/>
  <c r="CM166" i="20"/>
  <c r="CI166" i="20"/>
  <c r="BP166" i="20"/>
  <c r="AX166" i="20"/>
  <c r="AT166" i="20"/>
  <c r="AB166" i="20"/>
  <c r="CL166" i="20"/>
  <c r="BS166" i="20"/>
  <c r="AA166" i="20"/>
  <c r="CH166" i="20"/>
  <c r="BO166" i="20"/>
  <c r="AW166" i="20"/>
  <c r="AS166" i="20"/>
  <c r="AE166" i="20"/>
  <c r="CJ65" i="20"/>
  <c r="CM65" i="20"/>
  <c r="CI65" i="20"/>
  <c r="CL65" i="20"/>
  <c r="CH65" i="20"/>
  <c r="CK65" i="20"/>
  <c r="CG65" i="20"/>
  <c r="BS65" i="20"/>
  <c r="BO65" i="20"/>
  <c r="AW65" i="20"/>
  <c r="AS65" i="20"/>
  <c r="AE65" i="20"/>
  <c r="AA65" i="20"/>
  <c r="BR65" i="20"/>
  <c r="BN65" i="20"/>
  <c r="AV65" i="20"/>
  <c r="AD65" i="20"/>
  <c r="Z65" i="20"/>
  <c r="BQ65" i="20"/>
  <c r="BM65" i="20"/>
  <c r="AY65" i="20"/>
  <c r="AU65" i="20"/>
  <c r="AC65" i="20"/>
  <c r="Y65" i="20"/>
  <c r="BP65" i="20"/>
  <c r="AX65" i="20"/>
  <c r="AT65" i="20"/>
  <c r="AB65" i="20"/>
  <c r="CK77" i="20"/>
  <c r="CG77" i="20"/>
  <c r="CJ77" i="20"/>
  <c r="CM77" i="20"/>
  <c r="CI77" i="20"/>
  <c r="CL77" i="20"/>
  <c r="CH77" i="20"/>
  <c r="BR77" i="20"/>
  <c r="BN77" i="20"/>
  <c r="AX77" i="20"/>
  <c r="AT77" i="20"/>
  <c r="AD77" i="20"/>
  <c r="Z77" i="20"/>
  <c r="BQ77" i="20"/>
  <c r="BM77" i="20"/>
  <c r="AW77" i="20"/>
  <c r="AS77" i="20"/>
  <c r="AC77" i="20"/>
  <c r="Y77" i="20"/>
  <c r="BP77" i="20"/>
  <c r="AV77" i="20"/>
  <c r="AB77" i="20"/>
  <c r="BO77" i="20"/>
  <c r="AE77" i="20"/>
  <c r="AY77" i="20"/>
  <c r="AA77" i="20"/>
  <c r="BS77" i="20"/>
  <c r="AU77" i="20"/>
  <c r="CK82" i="20"/>
  <c r="CG82" i="20"/>
  <c r="CJ82" i="20"/>
  <c r="CM82" i="20"/>
  <c r="CI82" i="20"/>
  <c r="CH82" i="20"/>
  <c r="CL82" i="20"/>
  <c r="BQ82" i="20"/>
  <c r="BM82" i="20"/>
  <c r="AW82" i="20"/>
  <c r="AS82" i="20"/>
  <c r="AC82" i="20"/>
  <c r="Y82" i="20"/>
  <c r="BR82" i="20"/>
  <c r="BP82" i="20"/>
  <c r="AV82" i="20"/>
  <c r="AB82" i="20"/>
  <c r="BS82" i="20"/>
  <c r="BO82" i="20"/>
  <c r="AY82" i="20"/>
  <c r="AU82" i="20"/>
  <c r="AE82" i="20"/>
  <c r="AA82" i="20"/>
  <c r="BN82" i="20"/>
  <c r="Z82" i="20"/>
  <c r="AX82" i="20"/>
  <c r="AT82" i="20"/>
  <c r="AD82" i="20"/>
  <c r="CL83" i="20"/>
  <c r="CH83" i="20"/>
  <c r="CK83" i="20"/>
  <c r="CG83" i="20"/>
  <c r="CJ83" i="20"/>
  <c r="CM83" i="20"/>
  <c r="CI83" i="20"/>
  <c r="BR83" i="20"/>
  <c r="BN83" i="20"/>
  <c r="AX83" i="20"/>
  <c r="AT83" i="20"/>
  <c r="AD83" i="20"/>
  <c r="Z83" i="20"/>
  <c r="BQ83" i="20"/>
  <c r="BM83" i="20"/>
  <c r="AW83" i="20"/>
  <c r="AS83" i="20"/>
  <c r="AC83" i="20"/>
  <c r="Y83" i="20"/>
  <c r="BS83" i="20"/>
  <c r="BP83" i="20"/>
  <c r="AV83" i="20"/>
  <c r="AB83" i="20"/>
  <c r="BO83" i="20"/>
  <c r="AU83" i="20"/>
  <c r="AE83" i="20"/>
  <c r="AA83" i="20"/>
  <c r="AY83" i="20"/>
  <c r="CM178" i="20"/>
  <c r="CI178" i="20"/>
  <c r="BS178" i="20"/>
  <c r="BO178" i="20"/>
  <c r="AY178" i="20"/>
  <c r="AU178" i="20"/>
  <c r="AE178" i="20"/>
  <c r="AA178" i="20"/>
  <c r="CL178" i="20"/>
  <c r="CH178" i="20"/>
  <c r="BR178" i="20"/>
  <c r="BN178" i="20"/>
  <c r="AX178" i="20"/>
  <c r="AT178" i="20"/>
  <c r="AD178" i="20"/>
  <c r="Z178" i="20"/>
  <c r="CK178" i="20"/>
  <c r="CG178" i="20"/>
  <c r="BQ178" i="20"/>
  <c r="BM178" i="20"/>
  <c r="AW178" i="20"/>
  <c r="AS178" i="20"/>
  <c r="AC178" i="20"/>
  <c r="Y178" i="20"/>
  <c r="CJ178" i="20"/>
  <c r="AV178" i="20"/>
  <c r="BP178" i="20"/>
  <c r="AB178" i="20"/>
  <c r="BR51" i="20"/>
  <c r="BN51" i="20"/>
  <c r="AW51" i="20"/>
  <c r="AS51" i="20"/>
  <c r="AB51" i="20"/>
  <c r="BO51" i="20"/>
  <c r="AT51" i="20"/>
  <c r="Y51" i="20"/>
  <c r="BQ51" i="20"/>
  <c r="BM51" i="20"/>
  <c r="AV51" i="20"/>
  <c r="AE51" i="20"/>
  <c r="AA51" i="20"/>
  <c r="BS51" i="20"/>
  <c r="AX51" i="20"/>
  <c r="AC51" i="20"/>
  <c r="BP51" i="20"/>
  <c r="AY51" i="20"/>
  <c r="AU51" i="20"/>
  <c r="AD51" i="20"/>
  <c r="Z51" i="20"/>
  <c r="BQ53" i="20"/>
  <c r="BM53" i="20"/>
  <c r="AY53" i="20"/>
  <c r="AU53" i="20"/>
  <c r="AC53" i="20"/>
  <c r="Y53" i="20"/>
  <c r="BR53" i="20"/>
  <c r="AV53" i="20"/>
  <c r="Z53" i="20"/>
  <c r="BP53" i="20"/>
  <c r="AX53" i="20"/>
  <c r="AT53" i="20"/>
  <c r="AB53" i="20"/>
  <c r="AD53" i="20"/>
  <c r="BS53" i="20"/>
  <c r="BO53" i="20"/>
  <c r="AW53" i="20"/>
  <c r="AS53" i="20"/>
  <c r="AE53" i="20"/>
  <c r="AA53" i="20"/>
  <c r="BN53" i="20"/>
  <c r="BP54" i="20"/>
  <c r="AW54" i="20"/>
  <c r="AS54" i="20"/>
  <c r="AD54" i="20"/>
  <c r="Z54" i="20"/>
  <c r="BR54" i="20"/>
  <c r="AY54" i="20"/>
  <c r="BM54" i="20"/>
  <c r="AT54" i="20"/>
  <c r="AA54" i="20"/>
  <c r="BS54" i="20"/>
  <c r="BO54" i="20"/>
  <c r="AV54" i="20"/>
  <c r="AC54" i="20"/>
  <c r="Y54" i="20"/>
  <c r="BN54" i="20"/>
  <c r="AU54" i="20"/>
  <c r="AB54" i="20"/>
  <c r="BQ54" i="20"/>
  <c r="AX54" i="20"/>
  <c r="AE54" i="20"/>
  <c r="BS44" i="20"/>
  <c r="BO44" i="20"/>
  <c r="AW44" i="20"/>
  <c r="AS44" i="20"/>
  <c r="AE44" i="20"/>
  <c r="AA44" i="20"/>
  <c r="BR44" i="20"/>
  <c r="BN44" i="20"/>
  <c r="AV44" i="20"/>
  <c r="AD44" i="20"/>
  <c r="Z44" i="20"/>
  <c r="BQ44" i="20"/>
  <c r="BM44" i="20"/>
  <c r="AY44" i="20"/>
  <c r="AU44" i="20"/>
  <c r="AC44" i="20"/>
  <c r="Y44" i="20"/>
  <c r="BP44" i="20"/>
  <c r="AX44" i="20"/>
  <c r="AT44" i="20"/>
  <c r="AB44" i="20"/>
  <c r="BQ43" i="20"/>
  <c r="BM43" i="20"/>
  <c r="AX43" i="20"/>
  <c r="AT43" i="20"/>
  <c r="AE43" i="20"/>
  <c r="AA43" i="20"/>
  <c r="BR43" i="20"/>
  <c r="BP43" i="20"/>
  <c r="AW43" i="20"/>
  <c r="AS43" i="20"/>
  <c r="AD43" i="20"/>
  <c r="Z43" i="20"/>
  <c r="AU43" i="20"/>
  <c r="BS43" i="20"/>
  <c r="BO43" i="20"/>
  <c r="AV43" i="20"/>
  <c r="AC43" i="20"/>
  <c r="Y43" i="20"/>
  <c r="BN43" i="20"/>
  <c r="AY43" i="20"/>
  <c r="AB43" i="20"/>
  <c r="BS42" i="20"/>
  <c r="BO42" i="20"/>
  <c r="AY42" i="20"/>
  <c r="AU42" i="20"/>
  <c r="AE42" i="20"/>
  <c r="AA42" i="20"/>
  <c r="AV42" i="20"/>
  <c r="BR42" i="20"/>
  <c r="BN42" i="20"/>
  <c r="AX42" i="20"/>
  <c r="AT42" i="20"/>
  <c r="AD42" i="20"/>
  <c r="Z42" i="20"/>
  <c r="BQ42" i="20"/>
  <c r="BM42" i="20"/>
  <c r="AW42" i="20"/>
  <c r="AS42" i="20"/>
  <c r="AC42" i="20"/>
  <c r="Y42" i="20"/>
  <c r="BP42" i="20"/>
  <c r="AB42" i="20"/>
  <c r="BQ41" i="20"/>
  <c r="BM41" i="20"/>
  <c r="AV41" i="20"/>
  <c r="AE41" i="20"/>
  <c r="AA41" i="20"/>
  <c r="BO41" i="20"/>
  <c r="AT41" i="20"/>
  <c r="AC41" i="20"/>
  <c r="BR41" i="20"/>
  <c r="BN41" i="20"/>
  <c r="AW41" i="20"/>
  <c r="AS41" i="20"/>
  <c r="AB41" i="20"/>
  <c r="BP41" i="20"/>
  <c r="AY41" i="20"/>
  <c r="AU41" i="20"/>
  <c r="AD41" i="20"/>
  <c r="Z41" i="20"/>
  <c r="BS41" i="20"/>
  <c r="AX41" i="20"/>
  <c r="Y41" i="20"/>
  <c r="BS40" i="20"/>
  <c r="BO40" i="20"/>
  <c r="AW40" i="20"/>
  <c r="AS40" i="20"/>
  <c r="AE40" i="20"/>
  <c r="AA40" i="20"/>
  <c r="BQ40" i="20"/>
  <c r="AU40" i="20"/>
  <c r="Y40" i="20"/>
  <c r="AX40" i="20"/>
  <c r="AB40" i="20"/>
  <c r="BR40" i="20"/>
  <c r="BN40" i="20"/>
  <c r="AV40" i="20"/>
  <c r="AD40" i="20"/>
  <c r="Z40" i="20"/>
  <c r="BM40" i="20"/>
  <c r="AY40" i="20"/>
  <c r="AC40" i="20"/>
  <c r="BP40" i="20"/>
  <c r="AT40" i="20"/>
  <c r="AB35" i="20"/>
  <c r="AV35" i="20"/>
  <c r="BP35" i="20"/>
  <c r="AC35" i="20"/>
  <c r="AS35" i="20"/>
  <c r="BQ35" i="20"/>
  <c r="AE35" i="20"/>
  <c r="AA35" i="20"/>
  <c r="AY35" i="20"/>
  <c r="AU35" i="20"/>
  <c r="BS35" i="20"/>
  <c r="BO35" i="20"/>
  <c r="AD35" i="20"/>
  <c r="Z35" i="20"/>
  <c r="AX35" i="20"/>
  <c r="AT35" i="20"/>
  <c r="BR35" i="20"/>
  <c r="BN35" i="20"/>
  <c r="Y35" i="20"/>
  <c r="AW35" i="20"/>
  <c r="BM35" i="20"/>
  <c r="AE34" i="20"/>
  <c r="AA34" i="20"/>
  <c r="AX34" i="20"/>
  <c r="AT34" i="20"/>
  <c r="BQ34" i="20"/>
  <c r="BM34" i="20"/>
  <c r="AD34" i="20"/>
  <c r="Z34" i="20"/>
  <c r="AW34" i="20"/>
  <c r="AS34" i="20"/>
  <c r="BP34" i="20"/>
  <c r="AC34" i="20"/>
  <c r="Y34" i="20"/>
  <c r="AV34" i="20"/>
  <c r="BS34" i="20"/>
  <c r="BO34" i="20"/>
  <c r="AB34" i="20"/>
  <c r="AY34" i="20"/>
  <c r="AU34" i="20"/>
  <c r="BR34" i="20"/>
  <c r="BN34" i="20"/>
  <c r="M60" i="27"/>
  <c r="W61" i="20"/>
  <c r="G35" i="38"/>
  <c r="G35" i="25"/>
  <c r="BP112" i="20"/>
  <c r="BS112" i="20"/>
  <c r="BO112" i="20"/>
  <c r="BR112" i="20"/>
  <c r="BN112" i="20"/>
  <c r="BQ112" i="20"/>
  <c r="BM112" i="20"/>
  <c r="AX153" i="20"/>
  <c r="AT153" i="20"/>
  <c r="AB153" i="20"/>
  <c r="AW153" i="20"/>
  <c r="AS153" i="20"/>
  <c r="AE153" i="20"/>
  <c r="AA153" i="20"/>
  <c r="AV153" i="20"/>
  <c r="AD153" i="20"/>
  <c r="Z153" i="20"/>
  <c r="AY153" i="20"/>
  <c r="AC153" i="20"/>
  <c r="AU153" i="20"/>
  <c r="Y153" i="20"/>
  <c r="BQ113" i="20"/>
  <c r="BM113" i="20"/>
  <c r="BP113" i="20"/>
  <c r="BS113" i="20"/>
  <c r="BO113" i="20"/>
  <c r="BR113" i="20"/>
  <c r="BN113" i="20"/>
  <c r="AX149" i="20"/>
  <c r="AT149" i="20"/>
  <c r="AB149" i="20"/>
  <c r="AW149" i="20"/>
  <c r="AS149" i="20"/>
  <c r="AE149" i="20"/>
  <c r="AA149" i="20"/>
  <c r="AV149" i="20"/>
  <c r="AD149" i="20"/>
  <c r="Z149" i="20"/>
  <c r="AU149" i="20"/>
  <c r="Y149" i="20"/>
  <c r="AY149" i="20"/>
  <c r="AC149" i="20"/>
  <c r="BQ109" i="20"/>
  <c r="BM109" i="20"/>
  <c r="BP109" i="20"/>
  <c r="BS109" i="20"/>
  <c r="BO109" i="20"/>
  <c r="BN109" i="20"/>
  <c r="BR109" i="20"/>
  <c r="AW152" i="20"/>
  <c r="AS152" i="20"/>
  <c r="AE152" i="20"/>
  <c r="AA152" i="20"/>
  <c r="AV152" i="20"/>
  <c r="AD152" i="20"/>
  <c r="Z152" i="20"/>
  <c r="AY152" i="20"/>
  <c r="AU152" i="20"/>
  <c r="AC152" i="20"/>
  <c r="Y152" i="20"/>
  <c r="AX152" i="20"/>
  <c r="AB152" i="20"/>
  <c r="AT152" i="20"/>
  <c r="AV118" i="20"/>
  <c r="AE118" i="20"/>
  <c r="AA118" i="20"/>
  <c r="AX118" i="20"/>
  <c r="Y118" i="20"/>
  <c r="AS118" i="20"/>
  <c r="AY118" i="20"/>
  <c r="AU118" i="20"/>
  <c r="AD118" i="20"/>
  <c r="Z118" i="20"/>
  <c r="AT118" i="20"/>
  <c r="AC118" i="20"/>
  <c r="AW118" i="20"/>
  <c r="AB118" i="20"/>
  <c r="AY119" i="20"/>
  <c r="AU119" i="20"/>
  <c r="AC119" i="20"/>
  <c r="Y119" i="20"/>
  <c r="AV119" i="20"/>
  <c r="AX119" i="20"/>
  <c r="AT119" i="20"/>
  <c r="AB119" i="20"/>
  <c r="Z119" i="20"/>
  <c r="AW119" i="20"/>
  <c r="AS119" i="20"/>
  <c r="AE119" i="20"/>
  <c r="AA119" i="20"/>
  <c r="AD119" i="20"/>
  <c r="AX115" i="20"/>
  <c r="AT115" i="20"/>
  <c r="AE115" i="20"/>
  <c r="AA115" i="20"/>
  <c r="AC115" i="20"/>
  <c r="AU115" i="20"/>
  <c r="AW115" i="20"/>
  <c r="AS115" i="20"/>
  <c r="AD115" i="20"/>
  <c r="Z115" i="20"/>
  <c r="AV115" i="20"/>
  <c r="Y115" i="20"/>
  <c r="AY115" i="20"/>
  <c r="AB115" i="20"/>
  <c r="R19" i="23"/>
  <c r="R14" i="23"/>
  <c r="R29" i="23"/>
  <c r="R28" i="23"/>
  <c r="R18" i="23"/>
  <c r="R12" i="23"/>
  <c r="R26" i="23"/>
  <c r="R9" i="23"/>
  <c r="R10" i="23"/>
  <c r="R17" i="23"/>
  <c r="R31" i="23"/>
  <c r="R25" i="23"/>
  <c r="R22" i="23"/>
  <c r="P17" i="24"/>
  <c r="S17" i="24" s="1"/>
  <c r="B10" i="10"/>
  <c r="C11" i="38"/>
  <c r="P10" i="24"/>
  <c r="S10" i="24" s="1"/>
  <c r="P64" i="24"/>
  <c r="S64" i="24" s="1"/>
  <c r="B90" i="10"/>
  <c r="C90" i="38"/>
  <c r="P97" i="24"/>
  <c r="S97" i="24" s="1"/>
  <c r="B117" i="10"/>
  <c r="C116" i="38"/>
  <c r="B157" i="10"/>
  <c r="C157" i="38"/>
  <c r="P165" i="24"/>
  <c r="S165" i="24" s="1"/>
  <c r="B12" i="10"/>
  <c r="C13" i="38"/>
  <c r="B179" i="10"/>
  <c r="C178" i="38"/>
  <c r="P22" i="24"/>
  <c r="S22" i="24" s="1"/>
  <c r="P31" i="24"/>
  <c r="S31" i="24" s="1"/>
  <c r="P33" i="24"/>
  <c r="S33" i="24" s="1"/>
  <c r="P34" i="24"/>
  <c r="S34" i="24" s="1"/>
  <c r="B121" i="10"/>
  <c r="C120" i="38"/>
  <c r="F40" i="38"/>
  <c r="G40" i="20"/>
  <c r="B11" i="10"/>
  <c r="C12" i="38"/>
  <c r="B37" i="10"/>
  <c r="C38" i="38"/>
  <c r="P47" i="24"/>
  <c r="S47" i="24" s="1"/>
  <c r="B53" i="10"/>
  <c r="C54" i="38"/>
  <c r="B68" i="10"/>
  <c r="C69" i="38"/>
  <c r="P77" i="24"/>
  <c r="S77" i="24" s="1"/>
  <c r="P82" i="24"/>
  <c r="S82" i="24" s="1"/>
  <c r="P83" i="24"/>
  <c r="S83" i="24" s="1"/>
  <c r="B14" i="10"/>
  <c r="C15" i="38"/>
  <c r="P18" i="24"/>
  <c r="S18" i="24" s="1"/>
  <c r="P46" i="24"/>
  <c r="S46" i="24" s="1"/>
  <c r="B112" i="10"/>
  <c r="C111" i="38"/>
  <c r="P119" i="24"/>
  <c r="B152" i="10"/>
  <c r="C152" i="38"/>
  <c r="B163" i="10"/>
  <c r="C163" i="38"/>
  <c r="B33" i="10"/>
  <c r="C34" i="38"/>
  <c r="B86" i="10"/>
  <c r="C86" i="38"/>
  <c r="P93" i="24"/>
  <c r="P109" i="24"/>
  <c r="S109" i="24" s="1"/>
  <c r="B136" i="10"/>
  <c r="C130" i="38"/>
  <c r="P148" i="24"/>
  <c r="S148" i="24" s="1"/>
  <c r="H40" i="20"/>
  <c r="G40" i="38"/>
  <c r="H41" i="38"/>
  <c r="I41" i="20"/>
  <c r="I42" i="38"/>
  <c r="J42" i="20"/>
  <c r="D44" i="38"/>
  <c r="E44" i="20"/>
  <c r="H57" i="20"/>
  <c r="G57" i="38"/>
  <c r="H63" i="38"/>
  <c r="I63" i="20"/>
  <c r="I64" i="38"/>
  <c r="J64" i="20"/>
  <c r="D66" i="38"/>
  <c r="E66" i="20"/>
  <c r="H66" i="38"/>
  <c r="I66" i="20"/>
  <c r="B13" i="10"/>
  <c r="C14" i="38"/>
  <c r="P36" i="24"/>
  <c r="S36" i="24" s="1"/>
  <c r="P37" i="24"/>
  <c r="S37" i="24" s="1"/>
  <c r="B64" i="10"/>
  <c r="C65" i="38"/>
  <c r="D65" i="20"/>
  <c r="B81" i="10"/>
  <c r="C83" i="38"/>
  <c r="P91" i="24"/>
  <c r="S91" i="24" s="1"/>
  <c r="B96" i="10"/>
  <c r="C96" i="38"/>
  <c r="P106" i="24"/>
  <c r="S106" i="24" s="1"/>
  <c r="B111" i="10"/>
  <c r="C110" i="38"/>
  <c r="P118" i="24"/>
  <c r="B127" i="10"/>
  <c r="C126" i="38"/>
  <c r="B151" i="10"/>
  <c r="C151" i="38"/>
  <c r="P157" i="24"/>
  <c r="S157" i="24" s="1"/>
  <c r="B165" i="10"/>
  <c r="C165" i="38"/>
  <c r="P177" i="24"/>
  <c r="S177" i="24" s="1"/>
  <c r="P12" i="24"/>
  <c r="S12" i="24" s="1"/>
  <c r="B17" i="10"/>
  <c r="C18" i="38"/>
  <c r="P19" i="24"/>
  <c r="S19" i="24" s="1"/>
  <c r="P52" i="24"/>
  <c r="S52" i="24" s="1"/>
  <c r="B69" i="10"/>
  <c r="C70" i="38"/>
  <c r="P89" i="24"/>
  <c r="B22" i="10"/>
  <c r="C23" i="38"/>
  <c r="P26" i="24"/>
  <c r="S26" i="24" s="1"/>
  <c r="B34" i="10"/>
  <c r="C35" i="38"/>
  <c r="B41" i="10"/>
  <c r="C42" i="38"/>
  <c r="D42" i="20"/>
  <c r="P39" i="24"/>
  <c r="S39" i="24" s="1"/>
  <c r="P40" i="24"/>
  <c r="S40" i="24" s="1"/>
  <c r="P41" i="24"/>
  <c r="S41" i="24" s="1"/>
  <c r="P42" i="24"/>
  <c r="S42" i="24" s="1"/>
  <c r="P43" i="24"/>
  <c r="S43" i="24" s="1"/>
  <c r="B50" i="10"/>
  <c r="C51" i="38"/>
  <c r="P71" i="24"/>
  <c r="S71" i="24" s="1"/>
  <c r="B174" i="10"/>
  <c r="C173" i="38"/>
  <c r="B15" i="10"/>
  <c r="C16" i="38"/>
  <c r="B16" i="10"/>
  <c r="C17" i="38"/>
  <c r="B23" i="10"/>
  <c r="C24" i="38"/>
  <c r="B24" i="10"/>
  <c r="C25" i="38"/>
  <c r="D40" i="38"/>
  <c r="E40" i="20"/>
  <c r="H40" i="38"/>
  <c r="I40" i="20"/>
  <c r="E41" i="38"/>
  <c r="F41" i="20"/>
  <c r="I41" i="38"/>
  <c r="J41" i="20"/>
  <c r="F42" i="38"/>
  <c r="G42" i="20"/>
  <c r="H43" i="20"/>
  <c r="G43" i="38"/>
  <c r="E44" i="38"/>
  <c r="F44" i="20"/>
  <c r="I44" i="38"/>
  <c r="J44" i="20"/>
  <c r="D57" i="38"/>
  <c r="E57" i="20"/>
  <c r="H57" i="38"/>
  <c r="I57" i="20"/>
  <c r="E63" i="38"/>
  <c r="F63" i="20"/>
  <c r="I63" i="38"/>
  <c r="J63" i="20"/>
  <c r="F64" i="38"/>
  <c r="G64" i="20"/>
  <c r="H65" i="20"/>
  <c r="G65" i="38"/>
  <c r="E66" i="38"/>
  <c r="F66" i="20"/>
  <c r="I66" i="38"/>
  <c r="J66" i="20"/>
  <c r="B36" i="10"/>
  <c r="C37" i="38"/>
  <c r="B178" i="10"/>
  <c r="C177" i="38"/>
  <c r="P78" i="24"/>
  <c r="S78" i="24" s="1"/>
  <c r="B43" i="10"/>
  <c r="C44" i="38"/>
  <c r="D44" i="20"/>
  <c r="P50" i="24"/>
  <c r="S50" i="24" s="1"/>
  <c r="B30" i="10"/>
  <c r="C31" i="38"/>
  <c r="B29" i="10"/>
  <c r="C30" i="38"/>
  <c r="P48" i="24"/>
  <c r="S48" i="24" s="1"/>
  <c r="P65" i="24"/>
  <c r="B77" i="10"/>
  <c r="C79" i="38"/>
  <c r="P107" i="24"/>
  <c r="S107" i="24" s="1"/>
  <c r="B128" i="10"/>
  <c r="C127" i="38"/>
  <c r="P158" i="24"/>
  <c r="S158" i="24" s="1"/>
  <c r="B180" i="10"/>
  <c r="C179" i="38"/>
  <c r="P25" i="24"/>
  <c r="S25" i="24" s="1"/>
  <c r="C29" i="38"/>
  <c r="B40" i="10"/>
  <c r="C41" i="38"/>
  <c r="D41" i="20"/>
  <c r="B102" i="10"/>
  <c r="C101" i="38"/>
  <c r="B114" i="10"/>
  <c r="C113" i="38"/>
  <c r="B122" i="10"/>
  <c r="C121" i="38"/>
  <c r="B154" i="10"/>
  <c r="C154" i="38"/>
  <c r="P161" i="24"/>
  <c r="S161" i="24" s="1"/>
  <c r="P173" i="24"/>
  <c r="S173" i="24" s="1"/>
  <c r="P174" i="24"/>
  <c r="S174" i="24" s="1"/>
  <c r="D41" i="38"/>
  <c r="E41" i="20"/>
  <c r="E42" i="38"/>
  <c r="F42" i="20"/>
  <c r="F43" i="38"/>
  <c r="G43" i="20"/>
  <c r="H44" i="38"/>
  <c r="I44" i="20"/>
  <c r="B56" i="10"/>
  <c r="C57" i="38"/>
  <c r="D57" i="20"/>
  <c r="D63" i="38"/>
  <c r="E63" i="20"/>
  <c r="E64" i="38"/>
  <c r="F64" i="20"/>
  <c r="F65" i="38"/>
  <c r="G65" i="20"/>
  <c r="B71" i="10"/>
  <c r="C72" i="38"/>
  <c r="B9" i="10"/>
  <c r="C10" i="38"/>
  <c r="P11" i="24"/>
  <c r="S11" i="24" s="1"/>
  <c r="P13" i="24"/>
  <c r="S13" i="24" s="1"/>
  <c r="B47" i="10"/>
  <c r="C48" i="38"/>
  <c r="P53" i="24"/>
  <c r="S53" i="24" s="1"/>
  <c r="P68" i="24"/>
  <c r="S68" i="24" s="1"/>
  <c r="B76" i="10"/>
  <c r="C78" i="38"/>
  <c r="B82" i="10"/>
  <c r="C84" i="38"/>
  <c r="P14" i="24"/>
  <c r="S14" i="24" s="1"/>
  <c r="B18" i="10"/>
  <c r="C19" i="38"/>
  <c r="P29" i="24"/>
  <c r="S29" i="24" s="1"/>
  <c r="B48" i="10"/>
  <c r="C49" i="38"/>
  <c r="B65" i="10"/>
  <c r="C66" i="38"/>
  <c r="D66" i="20"/>
  <c r="P98" i="24"/>
  <c r="S98" i="24" s="1"/>
  <c r="B106" i="10"/>
  <c r="C105" i="38"/>
  <c r="P113" i="24"/>
  <c r="S113" i="24" s="1"/>
  <c r="B118" i="10"/>
  <c r="C117" i="38"/>
  <c r="C139" i="38"/>
  <c r="P152" i="24"/>
  <c r="S152" i="24" s="1"/>
  <c r="B158" i="10"/>
  <c r="C158" i="38"/>
  <c r="P163" i="24"/>
  <c r="S163" i="24" s="1"/>
  <c r="P178" i="24"/>
  <c r="S178" i="24" s="1"/>
  <c r="P179" i="24"/>
  <c r="S179" i="24" s="1"/>
  <c r="B25" i="10"/>
  <c r="C26" i="38"/>
  <c r="P28" i="24"/>
  <c r="B42" i="10"/>
  <c r="C43" i="38"/>
  <c r="D43" i="20"/>
  <c r="P87" i="24"/>
  <c r="B92" i="10"/>
  <c r="C92" i="38"/>
  <c r="P103" i="24"/>
  <c r="S103" i="24" s="1"/>
  <c r="B108" i="10"/>
  <c r="C107" i="38"/>
  <c r="P115" i="24"/>
  <c r="B148" i="10"/>
  <c r="C148" i="38"/>
  <c r="P154" i="24"/>
  <c r="S154" i="24" s="1"/>
  <c r="B161" i="10"/>
  <c r="C161" i="38"/>
  <c r="B175" i="10"/>
  <c r="C174" i="38"/>
  <c r="B20" i="10"/>
  <c r="C21" i="38"/>
  <c r="B21" i="10"/>
  <c r="C22" i="38"/>
  <c r="B27" i="10"/>
  <c r="C28" i="38"/>
  <c r="E40" i="38"/>
  <c r="F40" i="20"/>
  <c r="I40" i="38"/>
  <c r="J40" i="20"/>
  <c r="F41" i="38"/>
  <c r="G41" i="20"/>
  <c r="H42" i="20"/>
  <c r="G42" i="38"/>
  <c r="D43" i="38"/>
  <c r="E43" i="20"/>
  <c r="H43" i="38"/>
  <c r="I43" i="20"/>
  <c r="F44" i="38"/>
  <c r="G44" i="20"/>
  <c r="B52" i="10"/>
  <c r="C53" i="38"/>
  <c r="E57" i="38"/>
  <c r="F57" i="20"/>
  <c r="I57" i="38"/>
  <c r="J57" i="20"/>
  <c r="F63" i="38"/>
  <c r="G63" i="20"/>
  <c r="H64" i="20"/>
  <c r="G64" i="38"/>
  <c r="D65" i="38"/>
  <c r="E65" i="20"/>
  <c r="H65" i="38"/>
  <c r="I65" i="20"/>
  <c r="F66" i="38"/>
  <c r="G66" i="20"/>
  <c r="B124" i="10"/>
  <c r="C123" i="38"/>
  <c r="B125" i="10"/>
  <c r="C124" i="38"/>
  <c r="B126" i="10"/>
  <c r="C125" i="38"/>
  <c r="P9" i="24"/>
  <c r="S9" i="24" s="1"/>
  <c r="B105" i="10"/>
  <c r="C104" i="38"/>
  <c r="P112" i="24"/>
  <c r="S112" i="24" s="1"/>
  <c r="C138" i="38"/>
  <c r="P151" i="24"/>
  <c r="S151" i="24" s="1"/>
  <c r="B19" i="10"/>
  <c r="C20" i="38"/>
  <c r="P59" i="24"/>
  <c r="B88" i="10"/>
  <c r="C88" i="38"/>
  <c r="B26" i="10"/>
  <c r="C27" i="38"/>
  <c r="B39" i="10"/>
  <c r="C40" i="38"/>
  <c r="D40" i="20"/>
  <c r="B135" i="10"/>
  <c r="C129" i="38"/>
  <c r="H41" i="20"/>
  <c r="G41" i="38"/>
  <c r="D42" i="38"/>
  <c r="E42" i="20"/>
  <c r="H42" i="38"/>
  <c r="I42" i="20"/>
  <c r="E43" i="38"/>
  <c r="F43" i="20"/>
  <c r="I43" i="38"/>
  <c r="J43" i="20"/>
  <c r="H44" i="20"/>
  <c r="G44" i="38"/>
  <c r="F57" i="38"/>
  <c r="G57" i="20"/>
  <c r="B62" i="10"/>
  <c r="C63" i="38"/>
  <c r="D63" i="20"/>
  <c r="H63" i="20"/>
  <c r="G63" i="38"/>
  <c r="D64" i="38"/>
  <c r="E64" i="20"/>
  <c r="H64" i="38"/>
  <c r="I64" i="20"/>
  <c r="E65" i="38"/>
  <c r="F65" i="20"/>
  <c r="I65" i="38"/>
  <c r="J65" i="20"/>
  <c r="H66" i="20"/>
  <c r="G66" i="38"/>
  <c r="B67" i="10"/>
  <c r="C68" i="38"/>
  <c r="B97" i="10"/>
  <c r="C97" i="38"/>
  <c r="D132" i="38"/>
  <c r="D137" i="11"/>
  <c r="B150" i="10"/>
  <c r="C150" i="38"/>
  <c r="B156" i="10"/>
  <c r="C156" i="38"/>
  <c r="C19" i="11"/>
  <c r="D17" i="20"/>
  <c r="M61" i="2"/>
  <c r="N61" i="2" s="1"/>
  <c r="P13" i="26"/>
  <c r="R13" i="26" s="1"/>
  <c r="P29" i="26"/>
  <c r="R29" i="26" s="1"/>
  <c r="P89" i="26"/>
  <c r="R89" i="26" s="1"/>
  <c r="P42" i="26"/>
  <c r="R42" i="26" s="1"/>
  <c r="P103" i="26"/>
  <c r="R103" i="26" s="1"/>
  <c r="P9" i="26"/>
  <c r="R9" i="26" s="1"/>
  <c r="P64" i="26"/>
  <c r="R64" i="26" s="1"/>
  <c r="P97" i="26"/>
  <c r="R97" i="26" s="1"/>
  <c r="P112" i="26"/>
  <c r="R112" i="26" s="1"/>
  <c r="P151" i="26"/>
  <c r="R151" i="26" s="1"/>
  <c r="BP152" i="20"/>
  <c r="BQ152" i="20"/>
  <c r="BS152" i="20"/>
  <c r="BO152" i="20"/>
  <c r="BR152" i="20"/>
  <c r="BN152" i="20"/>
  <c r="BM152" i="20"/>
  <c r="P165" i="26"/>
  <c r="R165" i="26" s="1"/>
  <c r="P17" i="26"/>
  <c r="R17" i="26" s="1"/>
  <c r="P59" i="26"/>
  <c r="R59" i="26" s="1"/>
  <c r="P98" i="26"/>
  <c r="R98" i="26" s="1"/>
  <c r="P113" i="26"/>
  <c r="R113" i="26" s="1"/>
  <c r="P152" i="26"/>
  <c r="R152" i="26" s="1"/>
  <c r="BQ153" i="20"/>
  <c r="BM153" i="20"/>
  <c r="BP153" i="20"/>
  <c r="BN153" i="20"/>
  <c r="BS153" i="20"/>
  <c r="BO153" i="20"/>
  <c r="BR153" i="20"/>
  <c r="P163" i="26"/>
  <c r="R163" i="26" s="1"/>
  <c r="P178" i="26"/>
  <c r="R178" i="26" s="1"/>
  <c r="P179" i="26"/>
  <c r="R179" i="26" s="1"/>
  <c r="P28" i="26"/>
  <c r="R28" i="26" s="1"/>
  <c r="P40" i="26"/>
  <c r="R40" i="26" s="1"/>
  <c r="P77" i="26"/>
  <c r="R77" i="26" s="1"/>
  <c r="P82" i="26"/>
  <c r="R82" i="26" s="1"/>
  <c r="P83" i="26"/>
  <c r="R83" i="26" s="1"/>
  <c r="P18" i="26"/>
  <c r="R18" i="26" s="1"/>
  <c r="P48" i="26"/>
  <c r="R48" i="26" s="1"/>
  <c r="P46" i="26"/>
  <c r="R46" i="26" s="1"/>
  <c r="P65" i="26"/>
  <c r="R65" i="26" s="1"/>
  <c r="P22" i="26"/>
  <c r="R22" i="26" s="1"/>
  <c r="P31" i="26"/>
  <c r="R31" i="26" s="1"/>
  <c r="P33" i="26"/>
  <c r="R33" i="26" s="1"/>
  <c r="P34" i="26"/>
  <c r="R34" i="26" s="1"/>
  <c r="P50" i="26"/>
  <c r="R50" i="26" s="1"/>
  <c r="P74" i="26"/>
  <c r="P93" i="26"/>
  <c r="R93" i="26" s="1"/>
  <c r="P109" i="26"/>
  <c r="R109" i="26" s="1"/>
  <c r="P148" i="26"/>
  <c r="R148" i="26" s="1"/>
  <c r="BQ149" i="20"/>
  <c r="BM149" i="20"/>
  <c r="BP149" i="20"/>
  <c r="BN149" i="20"/>
  <c r="BS149" i="20"/>
  <c r="BO149" i="20"/>
  <c r="BR149" i="20"/>
  <c r="P161" i="26"/>
  <c r="R161" i="26" s="1"/>
  <c r="P173" i="26"/>
  <c r="R173" i="26" s="1"/>
  <c r="P11" i="26"/>
  <c r="R11" i="26" s="1"/>
  <c r="P53" i="26"/>
  <c r="R53" i="26" s="1"/>
  <c r="P68" i="26"/>
  <c r="R68" i="26" s="1"/>
  <c r="P14" i="26"/>
  <c r="R14" i="26" s="1"/>
  <c r="P26" i="26"/>
  <c r="R26" i="26" s="1"/>
  <c r="P39" i="26"/>
  <c r="R39" i="26" s="1"/>
  <c r="P41" i="26"/>
  <c r="R41" i="26" s="1"/>
  <c r="P43" i="26"/>
  <c r="R43" i="26" s="1"/>
  <c r="P71" i="26"/>
  <c r="R71" i="26" s="1"/>
  <c r="P87" i="26"/>
  <c r="R87" i="26" s="1"/>
  <c r="P115" i="26"/>
  <c r="R115" i="26" s="1"/>
  <c r="P154" i="26"/>
  <c r="R154" i="26" s="1"/>
  <c r="P47" i="26"/>
  <c r="R47" i="26" s="1"/>
  <c r="P36" i="26"/>
  <c r="R36" i="26" s="1"/>
  <c r="P37" i="26"/>
  <c r="R37" i="26" s="1"/>
  <c r="P91" i="26"/>
  <c r="R91" i="26" s="1"/>
  <c r="P106" i="26"/>
  <c r="R106" i="26" s="1"/>
  <c r="P118" i="26"/>
  <c r="R118" i="26" s="1"/>
  <c r="P157" i="26"/>
  <c r="R157" i="26" s="1"/>
  <c r="P177" i="26"/>
  <c r="R177" i="26" s="1"/>
  <c r="P12" i="26"/>
  <c r="R12" i="26" s="1"/>
  <c r="P19" i="26"/>
  <c r="R19" i="26" s="1"/>
  <c r="P52" i="26"/>
  <c r="R52" i="26" s="1"/>
  <c r="P107" i="26"/>
  <c r="R107" i="26" s="1"/>
  <c r="P119" i="26"/>
  <c r="R119" i="26" s="1"/>
  <c r="P158" i="26"/>
  <c r="R158" i="26" s="1"/>
  <c r="P25" i="26"/>
  <c r="R25" i="26" s="1"/>
  <c r="G102" i="28"/>
  <c r="G104" i="27"/>
  <c r="G104" i="26"/>
  <c r="G104" i="25"/>
  <c r="G104" i="24"/>
  <c r="G103" i="23"/>
  <c r="D103" i="11"/>
  <c r="D103" i="28"/>
  <c r="D105" i="27"/>
  <c r="D105" i="26"/>
  <c r="D105" i="25"/>
  <c r="D105" i="24"/>
  <c r="D104" i="23"/>
  <c r="H103" i="11"/>
  <c r="H103" i="28"/>
  <c r="H105" i="27"/>
  <c r="H105" i="26"/>
  <c r="H105" i="25"/>
  <c r="H105" i="24"/>
  <c r="H104" i="23"/>
  <c r="E104" i="28"/>
  <c r="E106" i="27"/>
  <c r="E106" i="26"/>
  <c r="E106" i="25"/>
  <c r="E106" i="24"/>
  <c r="E105" i="23"/>
  <c r="I104" i="28"/>
  <c r="I106" i="27"/>
  <c r="I106" i="26"/>
  <c r="I106" i="25"/>
  <c r="I106" i="24"/>
  <c r="I105" i="23"/>
  <c r="F105" i="28"/>
  <c r="F107" i="27"/>
  <c r="F107" i="26"/>
  <c r="F107" i="25"/>
  <c r="F107" i="24"/>
  <c r="F106" i="23"/>
  <c r="G107" i="28"/>
  <c r="G109" i="27"/>
  <c r="G109" i="26"/>
  <c r="G109" i="25"/>
  <c r="G109" i="24"/>
  <c r="G108" i="23"/>
  <c r="E108" i="11"/>
  <c r="E108" i="28"/>
  <c r="E110" i="27"/>
  <c r="E110" i="26"/>
  <c r="E110" i="25"/>
  <c r="E110" i="24"/>
  <c r="E109" i="23"/>
  <c r="I108" i="28"/>
  <c r="I110" i="27"/>
  <c r="I110" i="26"/>
  <c r="I110" i="25"/>
  <c r="I110" i="24"/>
  <c r="I109" i="23"/>
  <c r="H111" i="20"/>
  <c r="G109" i="28"/>
  <c r="G111" i="27"/>
  <c r="G111" i="26"/>
  <c r="G111" i="25"/>
  <c r="G111" i="24"/>
  <c r="G110" i="23"/>
  <c r="E110" i="28"/>
  <c r="E112" i="27"/>
  <c r="E112" i="26"/>
  <c r="E112" i="25"/>
  <c r="E112" i="24"/>
  <c r="E111" i="23"/>
  <c r="I110" i="28"/>
  <c r="I112" i="27"/>
  <c r="I112" i="26"/>
  <c r="I112" i="25"/>
  <c r="I112" i="24"/>
  <c r="I111" i="23"/>
  <c r="G111" i="28"/>
  <c r="G113" i="27"/>
  <c r="G113" i="26"/>
  <c r="G113" i="25"/>
  <c r="G113" i="24"/>
  <c r="G112" i="23"/>
  <c r="E113" i="28"/>
  <c r="E115" i="27"/>
  <c r="E115" i="26"/>
  <c r="E115" i="25"/>
  <c r="E115" i="24"/>
  <c r="E114" i="23"/>
  <c r="I113" i="28"/>
  <c r="I115" i="26"/>
  <c r="I115" i="27"/>
  <c r="I115" i="25"/>
  <c r="I115" i="24"/>
  <c r="I114" i="23"/>
  <c r="F114" i="28"/>
  <c r="F116" i="27"/>
  <c r="F116" i="26"/>
  <c r="F116" i="25"/>
  <c r="F116" i="24"/>
  <c r="F115" i="23"/>
  <c r="G115" i="28"/>
  <c r="G117" i="27"/>
  <c r="G117" i="26"/>
  <c r="G117" i="25"/>
  <c r="G117" i="24"/>
  <c r="G116" i="23"/>
  <c r="D116" i="28"/>
  <c r="D118" i="27"/>
  <c r="D118" i="26"/>
  <c r="D118" i="25"/>
  <c r="D118" i="24"/>
  <c r="D117" i="23"/>
  <c r="H116" i="28"/>
  <c r="H118" i="27"/>
  <c r="H118" i="26"/>
  <c r="H118" i="25"/>
  <c r="H118" i="24"/>
  <c r="H117" i="23"/>
  <c r="E117" i="28"/>
  <c r="E119" i="27"/>
  <c r="E119" i="26"/>
  <c r="E119" i="25"/>
  <c r="E119" i="24"/>
  <c r="E118" i="23"/>
  <c r="I117" i="28"/>
  <c r="I119" i="27"/>
  <c r="I119" i="26"/>
  <c r="I119" i="25"/>
  <c r="I119" i="24"/>
  <c r="I118" i="23"/>
  <c r="F120" i="28"/>
  <c r="F122" i="27"/>
  <c r="F122" i="26"/>
  <c r="F122" i="25"/>
  <c r="F122" i="24"/>
  <c r="F121" i="23"/>
  <c r="G121" i="28"/>
  <c r="G123" i="27"/>
  <c r="G123" i="26"/>
  <c r="G123" i="25"/>
  <c r="G123" i="24"/>
  <c r="G122" i="23"/>
  <c r="D122" i="28"/>
  <c r="D124" i="27"/>
  <c r="D124" i="26"/>
  <c r="D124" i="25"/>
  <c r="D124" i="24"/>
  <c r="D123" i="23"/>
  <c r="H122" i="28"/>
  <c r="H124" i="27"/>
  <c r="H124" i="25"/>
  <c r="H124" i="24"/>
  <c r="H124" i="26"/>
  <c r="H123" i="23"/>
  <c r="E126" i="28"/>
  <c r="E128" i="26"/>
  <c r="E128" i="27"/>
  <c r="E128" i="25"/>
  <c r="E128" i="24"/>
  <c r="E127" i="23"/>
  <c r="I126" i="28"/>
  <c r="I128" i="27"/>
  <c r="I128" i="26"/>
  <c r="I128" i="25"/>
  <c r="I128" i="24"/>
  <c r="I127" i="23"/>
  <c r="F127" i="28"/>
  <c r="F129" i="27"/>
  <c r="F129" i="26"/>
  <c r="F129" i="25"/>
  <c r="F129" i="24"/>
  <c r="F128" i="23"/>
  <c r="G125" i="20"/>
  <c r="F123" i="28"/>
  <c r="F125" i="27"/>
  <c r="F125" i="26"/>
  <c r="F125" i="25"/>
  <c r="F125" i="24"/>
  <c r="F124" i="23"/>
  <c r="F124" i="28"/>
  <c r="F126" i="27"/>
  <c r="F126" i="26"/>
  <c r="F126" i="25"/>
  <c r="F126" i="24"/>
  <c r="F125" i="23"/>
  <c r="F125" i="11"/>
  <c r="F125" i="28"/>
  <c r="F127" i="27"/>
  <c r="F127" i="26"/>
  <c r="F127" i="25"/>
  <c r="F127" i="24"/>
  <c r="F126" i="23"/>
  <c r="G133" i="28"/>
  <c r="A24" i="30" s="1"/>
  <c r="G135" i="27"/>
  <c r="G135" i="26"/>
  <c r="G135" i="24"/>
  <c r="G135" i="25"/>
  <c r="G134" i="23"/>
  <c r="D134" i="28"/>
  <c r="D136" i="27"/>
  <c r="D136" i="26"/>
  <c r="D136" i="25"/>
  <c r="D136" i="24"/>
  <c r="D135" i="23"/>
  <c r="H134" i="28"/>
  <c r="H136" i="27"/>
  <c r="H136" i="26"/>
  <c r="H136" i="25"/>
  <c r="H136" i="24"/>
  <c r="H135" i="23"/>
  <c r="E135" i="28"/>
  <c r="E137" i="27"/>
  <c r="E137" i="26"/>
  <c r="E137" i="25"/>
  <c r="E137" i="24"/>
  <c r="E136" i="23"/>
  <c r="I135" i="28"/>
  <c r="I137" i="27"/>
  <c r="I137" i="26"/>
  <c r="I137" i="25"/>
  <c r="I137" i="24"/>
  <c r="I136" i="23"/>
  <c r="G139" i="20"/>
  <c r="F136" i="28"/>
  <c r="F138" i="27"/>
  <c r="F138" i="26"/>
  <c r="F138" i="25"/>
  <c r="F138" i="24"/>
  <c r="F137" i="23"/>
  <c r="G137" i="28"/>
  <c r="G139" i="27"/>
  <c r="G139" i="26"/>
  <c r="G139" i="25"/>
  <c r="G139" i="24"/>
  <c r="G138" i="23"/>
  <c r="F146" i="28"/>
  <c r="F148" i="27"/>
  <c r="F148" i="26"/>
  <c r="F148" i="25"/>
  <c r="F148" i="24"/>
  <c r="F147" i="23"/>
  <c r="G147" i="28"/>
  <c r="G149" i="27"/>
  <c r="G149" i="26"/>
  <c r="G149" i="25"/>
  <c r="G149" i="24"/>
  <c r="G148" i="23"/>
  <c r="D149" i="28"/>
  <c r="D151" i="27"/>
  <c r="D151" i="26"/>
  <c r="D151" i="25"/>
  <c r="D151" i="24"/>
  <c r="D150" i="23"/>
  <c r="H149" i="28"/>
  <c r="H151" i="27"/>
  <c r="H151" i="26"/>
  <c r="H151" i="24"/>
  <c r="H151" i="25"/>
  <c r="H150" i="23"/>
  <c r="E150" i="28"/>
  <c r="E152" i="27"/>
  <c r="E152" i="26"/>
  <c r="E152" i="24"/>
  <c r="E152" i="25"/>
  <c r="E151" i="23"/>
  <c r="I150" i="28"/>
  <c r="I152" i="27"/>
  <c r="I152" i="26"/>
  <c r="I152" i="24"/>
  <c r="I152" i="25"/>
  <c r="I151" i="23"/>
  <c r="E148" i="28"/>
  <c r="E150" i="27"/>
  <c r="E150" i="26"/>
  <c r="E150" i="25"/>
  <c r="E150" i="24"/>
  <c r="E149" i="23"/>
  <c r="I148" i="28"/>
  <c r="I150" i="26"/>
  <c r="I150" i="27"/>
  <c r="I150" i="25"/>
  <c r="I150" i="24"/>
  <c r="I149" i="23"/>
  <c r="F152" i="28"/>
  <c r="F154" i="27"/>
  <c r="F154" i="26"/>
  <c r="F154" i="25"/>
  <c r="F154" i="24"/>
  <c r="F153" i="23"/>
  <c r="G153" i="28"/>
  <c r="G155" i="27"/>
  <c r="G155" i="26"/>
  <c r="G155" i="25"/>
  <c r="G155" i="24"/>
  <c r="G154" i="23"/>
  <c r="D155" i="28"/>
  <c r="D157" i="27"/>
  <c r="D157" i="26"/>
  <c r="D157" i="25"/>
  <c r="D157" i="24"/>
  <c r="D156" i="23"/>
  <c r="H155" i="28"/>
  <c r="H157" i="27"/>
  <c r="H157" i="26"/>
  <c r="H157" i="25"/>
  <c r="H157" i="24"/>
  <c r="H156" i="23"/>
  <c r="E156" i="28"/>
  <c r="E158" i="26"/>
  <c r="E158" i="27"/>
  <c r="E158" i="25"/>
  <c r="E158" i="24"/>
  <c r="E157" i="23"/>
  <c r="I156" i="28"/>
  <c r="I158" i="26"/>
  <c r="I158" i="27"/>
  <c r="I158" i="25"/>
  <c r="I158" i="24"/>
  <c r="I157" i="23"/>
  <c r="F157" i="20"/>
  <c r="E154" i="28"/>
  <c r="E156" i="27"/>
  <c r="E156" i="26"/>
  <c r="E156" i="24"/>
  <c r="E156" i="25"/>
  <c r="E155" i="23"/>
  <c r="J157" i="20"/>
  <c r="I154" i="28"/>
  <c r="I156" i="27"/>
  <c r="I156" i="26"/>
  <c r="I156" i="24"/>
  <c r="I156" i="25"/>
  <c r="I155" i="23"/>
  <c r="F159" i="28"/>
  <c r="F161" i="27"/>
  <c r="F161" i="26"/>
  <c r="F161" i="25"/>
  <c r="F161" i="24"/>
  <c r="F160" i="23"/>
  <c r="G160" i="28"/>
  <c r="G162" i="27"/>
  <c r="G162" i="26"/>
  <c r="G162" i="25"/>
  <c r="G162" i="24"/>
  <c r="G161" i="23"/>
  <c r="D161" i="28"/>
  <c r="D163" i="27"/>
  <c r="D163" i="26"/>
  <c r="D163" i="25"/>
  <c r="D163" i="24"/>
  <c r="D162" i="23"/>
  <c r="H161" i="28"/>
  <c r="H163" i="27"/>
  <c r="H163" i="26"/>
  <c r="H163" i="25"/>
  <c r="H163" i="24"/>
  <c r="H162" i="23"/>
  <c r="E163" i="11"/>
  <c r="E162" i="28"/>
  <c r="E164" i="26"/>
  <c r="E164" i="25"/>
  <c r="E164" i="27"/>
  <c r="E164" i="24"/>
  <c r="E163" i="23"/>
  <c r="I163" i="11"/>
  <c r="I162" i="28"/>
  <c r="I164" i="26"/>
  <c r="I164" i="27"/>
  <c r="I164" i="25"/>
  <c r="I164" i="24"/>
  <c r="I163" i="23"/>
  <c r="F163" i="28"/>
  <c r="F165" i="27"/>
  <c r="F165" i="26"/>
  <c r="F165" i="25"/>
  <c r="F165" i="24"/>
  <c r="F164" i="23"/>
  <c r="G171" i="28"/>
  <c r="G173" i="27"/>
  <c r="G173" i="26"/>
  <c r="G173" i="25"/>
  <c r="G173" i="24"/>
  <c r="G172" i="23"/>
  <c r="E175" i="20"/>
  <c r="D172" i="28"/>
  <c r="D174" i="27"/>
  <c r="D174" i="26"/>
  <c r="D174" i="25"/>
  <c r="D174" i="24"/>
  <c r="D173" i="23"/>
  <c r="H172" i="28"/>
  <c r="H174" i="27"/>
  <c r="H174" i="26"/>
  <c r="H174" i="25"/>
  <c r="H174" i="24"/>
  <c r="H173" i="23"/>
  <c r="F176" i="20"/>
  <c r="E173" i="28"/>
  <c r="E175" i="26"/>
  <c r="E175" i="27"/>
  <c r="E175" i="25"/>
  <c r="E175" i="24"/>
  <c r="E174" i="23"/>
  <c r="I173" i="28"/>
  <c r="I175" i="27"/>
  <c r="I175" i="26"/>
  <c r="I175" i="25"/>
  <c r="I175" i="24"/>
  <c r="I174" i="23"/>
  <c r="F174" i="28"/>
  <c r="F176" i="27"/>
  <c r="F176" i="26"/>
  <c r="F176" i="25"/>
  <c r="F176" i="24"/>
  <c r="F175" i="23"/>
  <c r="G175" i="28"/>
  <c r="G177" i="27"/>
  <c r="G177" i="26"/>
  <c r="G177" i="24"/>
  <c r="G177" i="25"/>
  <c r="G176" i="23"/>
  <c r="E179" i="20"/>
  <c r="D176" i="28"/>
  <c r="D178" i="27"/>
  <c r="D178" i="26"/>
  <c r="D178" i="24"/>
  <c r="D178" i="25"/>
  <c r="D177" i="23"/>
  <c r="I179" i="20"/>
  <c r="H176" i="28"/>
  <c r="H178" i="27"/>
  <c r="H178" i="26"/>
  <c r="H178" i="24"/>
  <c r="H178" i="25"/>
  <c r="H177" i="23"/>
  <c r="E177" i="28"/>
  <c r="E179" i="26"/>
  <c r="E179" i="27"/>
  <c r="E179" i="24"/>
  <c r="E179" i="25"/>
  <c r="E178" i="23"/>
  <c r="I177" i="28"/>
  <c r="I179" i="27"/>
  <c r="I179" i="26"/>
  <c r="I179" i="24"/>
  <c r="I179" i="25"/>
  <c r="I178" i="23"/>
  <c r="F178" i="28"/>
  <c r="F180" i="27"/>
  <c r="F180" i="26"/>
  <c r="F180" i="24"/>
  <c r="F180" i="25"/>
  <c r="F179" i="23"/>
  <c r="AO10" i="2"/>
  <c r="AK10" i="2"/>
  <c r="AN10" i="2"/>
  <c r="U10" i="25"/>
  <c r="X10" i="25" s="1"/>
  <c r="AI10" i="2"/>
  <c r="C36" i="28"/>
  <c r="C37" i="27"/>
  <c r="C37" i="26"/>
  <c r="C37" i="24"/>
  <c r="C38" i="25"/>
  <c r="C37" i="23"/>
  <c r="D54" i="20"/>
  <c r="C52" i="28"/>
  <c r="C53" i="27"/>
  <c r="C53" i="26"/>
  <c r="C54" i="25"/>
  <c r="C53" i="24"/>
  <c r="C53" i="23"/>
  <c r="D69" i="20"/>
  <c r="C67" i="28"/>
  <c r="C68" i="27"/>
  <c r="C68" i="26"/>
  <c r="C69" i="25"/>
  <c r="C68" i="24"/>
  <c r="C68" i="23"/>
  <c r="R90" i="23"/>
  <c r="AI97" i="2"/>
  <c r="AN97" i="2"/>
  <c r="AO97" i="2"/>
  <c r="AK97" i="2"/>
  <c r="AL97" i="2"/>
  <c r="U97" i="25"/>
  <c r="X97" i="25" s="1"/>
  <c r="R156" i="23"/>
  <c r="AL166" i="2"/>
  <c r="AO166" i="2"/>
  <c r="AK166" i="2"/>
  <c r="AN166" i="2"/>
  <c r="U165" i="25"/>
  <c r="X165" i="25" s="1"/>
  <c r="AI166" i="2"/>
  <c r="R52" i="23"/>
  <c r="R59" i="23"/>
  <c r="AI98" i="2"/>
  <c r="AL98" i="2"/>
  <c r="AK98" i="2"/>
  <c r="AO98" i="2"/>
  <c r="AN98" i="2"/>
  <c r="U98" i="25"/>
  <c r="X98" i="25" s="1"/>
  <c r="AI113" i="2"/>
  <c r="AO113" i="2"/>
  <c r="AK113" i="2"/>
  <c r="AN113" i="2"/>
  <c r="AM113" i="2"/>
  <c r="U113" i="25"/>
  <c r="X113" i="25" s="1"/>
  <c r="AM179" i="2"/>
  <c r="AO179" i="2"/>
  <c r="AN179" i="2"/>
  <c r="AK179" i="2"/>
  <c r="U178" i="25"/>
  <c r="X178" i="25" s="1"/>
  <c r="AI179" i="2"/>
  <c r="C25" i="11"/>
  <c r="C25" i="28"/>
  <c r="C26" i="27"/>
  <c r="C27" i="25"/>
  <c r="C26" i="26"/>
  <c r="C26" i="24"/>
  <c r="C38" i="28"/>
  <c r="C39" i="27"/>
  <c r="C40" i="25"/>
  <c r="C39" i="26"/>
  <c r="C39" i="24"/>
  <c r="C39" i="23"/>
  <c r="C85" i="11"/>
  <c r="C85" i="28"/>
  <c r="C87" i="27"/>
  <c r="C87" i="26"/>
  <c r="C87" i="25"/>
  <c r="C87" i="24"/>
  <c r="C86" i="23"/>
  <c r="C113" i="11"/>
  <c r="C113" i="28"/>
  <c r="C115" i="27"/>
  <c r="C115" i="25"/>
  <c r="C115" i="24"/>
  <c r="C115" i="26"/>
  <c r="C114" i="23"/>
  <c r="C121" i="11"/>
  <c r="C121" i="28"/>
  <c r="C123" i="27"/>
  <c r="C123" i="26"/>
  <c r="C123" i="25"/>
  <c r="C123" i="24"/>
  <c r="C122" i="23"/>
  <c r="H9" i="23"/>
  <c r="H8" i="28"/>
  <c r="H9" i="27"/>
  <c r="H10" i="25"/>
  <c r="H9" i="26"/>
  <c r="H9" i="24"/>
  <c r="I9" i="28"/>
  <c r="I10" i="27"/>
  <c r="I11" i="25"/>
  <c r="I10" i="26"/>
  <c r="I10" i="24"/>
  <c r="G11" i="28"/>
  <c r="G12" i="27"/>
  <c r="G13" i="25"/>
  <c r="G12" i="26"/>
  <c r="G12" i="24"/>
  <c r="H13" i="23"/>
  <c r="H12" i="28"/>
  <c r="H13" i="27"/>
  <c r="H14" i="25"/>
  <c r="H13" i="26"/>
  <c r="H13" i="24"/>
  <c r="I14" i="23"/>
  <c r="I13" i="28"/>
  <c r="I14" i="27"/>
  <c r="I15" i="25"/>
  <c r="I14" i="26"/>
  <c r="I14" i="24"/>
  <c r="I15" i="23"/>
  <c r="I14" i="28"/>
  <c r="I15" i="27"/>
  <c r="I16" i="25"/>
  <c r="I15" i="26"/>
  <c r="I15" i="24"/>
  <c r="I15" i="28"/>
  <c r="I16" i="27"/>
  <c r="I17" i="25"/>
  <c r="I16" i="26"/>
  <c r="I16" i="24"/>
  <c r="G18" i="23"/>
  <c r="G17" i="28"/>
  <c r="G18" i="27"/>
  <c r="G19" i="25"/>
  <c r="G18" i="26"/>
  <c r="G18" i="24"/>
  <c r="H19" i="23"/>
  <c r="H18" i="28"/>
  <c r="H19" i="27"/>
  <c r="H20" i="25"/>
  <c r="H19" i="26"/>
  <c r="H19" i="24"/>
  <c r="D21" i="23"/>
  <c r="D20" i="28"/>
  <c r="D21" i="27"/>
  <c r="D22" i="25"/>
  <c r="D21" i="26"/>
  <c r="D21" i="24"/>
  <c r="E22" i="28"/>
  <c r="E23" i="27"/>
  <c r="E24" i="25"/>
  <c r="E23" i="26"/>
  <c r="E23" i="24"/>
  <c r="I24" i="23"/>
  <c r="I23" i="28"/>
  <c r="I24" i="27"/>
  <c r="I25" i="25"/>
  <c r="I24" i="26"/>
  <c r="I24" i="24"/>
  <c r="G26" i="23"/>
  <c r="G25" i="28"/>
  <c r="G26" i="27"/>
  <c r="G27" i="25"/>
  <c r="G26" i="26"/>
  <c r="G26" i="24"/>
  <c r="H27" i="23"/>
  <c r="H26" i="28"/>
  <c r="H27" i="27"/>
  <c r="H28" i="25"/>
  <c r="H27" i="26"/>
  <c r="H27" i="24"/>
  <c r="G28" i="28"/>
  <c r="G29" i="27"/>
  <c r="G30" i="25"/>
  <c r="G29" i="26"/>
  <c r="G29" i="24"/>
  <c r="D31" i="23"/>
  <c r="D30" i="28"/>
  <c r="D31" i="27"/>
  <c r="D32" i="25"/>
  <c r="D31" i="26"/>
  <c r="D31" i="24"/>
  <c r="F33" i="28"/>
  <c r="F34" i="27"/>
  <c r="F35" i="25"/>
  <c r="F34" i="26"/>
  <c r="F34" i="24"/>
  <c r="F34" i="23"/>
  <c r="H35" i="28"/>
  <c r="H36" i="27"/>
  <c r="H37" i="25"/>
  <c r="H36" i="26"/>
  <c r="H36" i="24"/>
  <c r="H36" i="23"/>
  <c r="F38" i="28"/>
  <c r="F39" i="27"/>
  <c r="F39" i="26"/>
  <c r="F39" i="24"/>
  <c r="F40" i="25"/>
  <c r="F39" i="23"/>
  <c r="D40" i="11"/>
  <c r="D40" i="28"/>
  <c r="D41" i="27"/>
  <c r="D42" i="25"/>
  <c r="D41" i="26"/>
  <c r="D41" i="24"/>
  <c r="D41" i="23"/>
  <c r="I41" i="28"/>
  <c r="I42" i="27"/>
  <c r="I42" i="26"/>
  <c r="I43" i="25"/>
  <c r="I42" i="24"/>
  <c r="I42" i="23"/>
  <c r="I47" i="20"/>
  <c r="H45" i="28"/>
  <c r="H46" i="27"/>
  <c r="H46" i="26"/>
  <c r="H47" i="25"/>
  <c r="H46" i="24"/>
  <c r="H46" i="23"/>
  <c r="F47" i="28"/>
  <c r="F48" i="27"/>
  <c r="F48" i="26"/>
  <c r="F49" i="25"/>
  <c r="F48" i="24"/>
  <c r="F48" i="23"/>
  <c r="E52" i="20"/>
  <c r="D50" i="28"/>
  <c r="D51" i="27"/>
  <c r="D51" i="26"/>
  <c r="D52" i="25"/>
  <c r="D51" i="24"/>
  <c r="D51" i="23"/>
  <c r="I53" i="20"/>
  <c r="H51" i="28"/>
  <c r="H52" i="27"/>
  <c r="H53" i="25"/>
  <c r="H52" i="26"/>
  <c r="H52" i="24"/>
  <c r="H52" i="23"/>
  <c r="G55" i="20"/>
  <c r="F53" i="28"/>
  <c r="F54" i="27"/>
  <c r="F54" i="26"/>
  <c r="F55" i="25"/>
  <c r="F54" i="24"/>
  <c r="F54" i="23"/>
  <c r="D62" i="28"/>
  <c r="D63" i="27"/>
  <c r="D63" i="26"/>
  <c r="D64" i="25"/>
  <c r="D63" i="24"/>
  <c r="D63" i="23"/>
  <c r="I63" i="28"/>
  <c r="I64" i="27"/>
  <c r="I64" i="26"/>
  <c r="I65" i="25"/>
  <c r="I64" i="24"/>
  <c r="I64" i="23"/>
  <c r="H68" i="20"/>
  <c r="G66" i="28"/>
  <c r="G67" i="27"/>
  <c r="G67" i="26"/>
  <c r="G68" i="25"/>
  <c r="G67" i="24"/>
  <c r="G67" i="23"/>
  <c r="E68" i="28"/>
  <c r="E69" i="27"/>
  <c r="E69" i="26"/>
  <c r="E69" i="24"/>
  <c r="E70" i="25"/>
  <c r="E69" i="23"/>
  <c r="D73" i="28"/>
  <c r="D75" i="27"/>
  <c r="D75" i="26"/>
  <c r="D75" i="25"/>
  <c r="D75" i="24"/>
  <c r="D74" i="23"/>
  <c r="I74" i="28"/>
  <c r="I76" i="27"/>
  <c r="I76" i="26"/>
  <c r="I76" i="25"/>
  <c r="I76" i="24"/>
  <c r="I75" i="23"/>
  <c r="H78" i="20"/>
  <c r="G76" i="28"/>
  <c r="G78" i="27"/>
  <c r="G78" i="26"/>
  <c r="G78" i="25"/>
  <c r="G78" i="24"/>
  <c r="G77" i="23"/>
  <c r="E79" i="28"/>
  <c r="E81" i="27"/>
  <c r="E81" i="26"/>
  <c r="E81" i="25"/>
  <c r="E81" i="24"/>
  <c r="E80" i="23"/>
  <c r="I79" i="28"/>
  <c r="I81" i="27"/>
  <c r="I81" i="26"/>
  <c r="I81" i="25"/>
  <c r="I81" i="24"/>
  <c r="I80" i="23"/>
  <c r="G82" i="23"/>
  <c r="G81" i="28"/>
  <c r="G83" i="27"/>
  <c r="G83" i="26"/>
  <c r="G83" i="25"/>
  <c r="G83" i="24"/>
  <c r="E86" i="28"/>
  <c r="E88" i="27"/>
  <c r="E88" i="26"/>
  <c r="E88" i="25"/>
  <c r="E88" i="24"/>
  <c r="E87" i="23"/>
  <c r="H89" i="28"/>
  <c r="H91" i="27"/>
  <c r="H91" i="26"/>
  <c r="H91" i="25"/>
  <c r="H91" i="24"/>
  <c r="H90" i="23"/>
  <c r="I96" i="28"/>
  <c r="I98" i="27"/>
  <c r="I98" i="26"/>
  <c r="I98" i="25"/>
  <c r="I98" i="24"/>
  <c r="I97" i="23"/>
  <c r="R11" i="23"/>
  <c r="AN48" i="2"/>
  <c r="AM48" i="2"/>
  <c r="AO48" i="2"/>
  <c r="AL48" i="2"/>
  <c r="U48" i="25"/>
  <c r="X48" i="25" s="1"/>
  <c r="AI48" i="2"/>
  <c r="R53" i="23"/>
  <c r="C63" i="28"/>
  <c r="C64" i="27"/>
  <c r="C64" i="26"/>
  <c r="C65" i="25"/>
  <c r="C64" i="24"/>
  <c r="C64" i="23"/>
  <c r="R68" i="23"/>
  <c r="AI77" i="2"/>
  <c r="AK77" i="2"/>
  <c r="AN77" i="2"/>
  <c r="AO77" i="2"/>
  <c r="U77" i="25"/>
  <c r="X77" i="25" s="1"/>
  <c r="D82" i="20"/>
  <c r="C80" i="28"/>
  <c r="C82" i="27"/>
  <c r="C82" i="26"/>
  <c r="C82" i="25"/>
  <c r="C82" i="24"/>
  <c r="C81" i="23"/>
  <c r="AI82" i="2"/>
  <c r="AL82" i="2"/>
  <c r="AO82" i="2"/>
  <c r="AK82" i="2"/>
  <c r="U82" i="25"/>
  <c r="X82" i="25" s="1"/>
  <c r="AI83" i="2"/>
  <c r="AO83" i="2"/>
  <c r="AK83" i="2"/>
  <c r="AM83" i="2"/>
  <c r="AN83" i="2"/>
  <c r="U83" i="25"/>
  <c r="X83" i="25" s="1"/>
  <c r="D97" i="20"/>
  <c r="C95" i="28"/>
  <c r="C97" i="27"/>
  <c r="C97" i="26"/>
  <c r="C97" i="25"/>
  <c r="C97" i="24"/>
  <c r="C96" i="23"/>
  <c r="C110" i="11"/>
  <c r="C110" i="28"/>
  <c r="C112" i="27"/>
  <c r="C112" i="26"/>
  <c r="C112" i="25"/>
  <c r="C112" i="24"/>
  <c r="C111" i="23"/>
  <c r="D128" i="20"/>
  <c r="C126" i="28"/>
  <c r="C128" i="27"/>
  <c r="C128" i="26"/>
  <c r="C128" i="25"/>
  <c r="C128" i="24"/>
  <c r="C127" i="23"/>
  <c r="C150" i="11"/>
  <c r="C149" i="28"/>
  <c r="C151" i="27"/>
  <c r="C151" i="26"/>
  <c r="C151" i="25"/>
  <c r="C151" i="24"/>
  <c r="C150" i="23"/>
  <c r="D166" i="20"/>
  <c r="C163" i="28"/>
  <c r="C165" i="27"/>
  <c r="C165" i="26"/>
  <c r="C165" i="25"/>
  <c r="C165" i="24"/>
  <c r="C164" i="23"/>
  <c r="C16" i="28"/>
  <c r="C17" i="27"/>
  <c r="C18" i="25"/>
  <c r="C17" i="26"/>
  <c r="C17" i="24"/>
  <c r="AO19" i="2"/>
  <c r="AK19" i="2"/>
  <c r="AN19" i="2"/>
  <c r="U19" i="25"/>
  <c r="X19" i="25" s="1"/>
  <c r="AI19" i="2"/>
  <c r="AI49" i="2"/>
  <c r="AM49" i="2"/>
  <c r="AL49" i="2"/>
  <c r="AN49" i="2"/>
  <c r="AO49" i="2"/>
  <c r="U49" i="25"/>
  <c r="X49" i="25" s="1"/>
  <c r="AI47" i="2"/>
  <c r="AO47" i="2"/>
  <c r="AN47" i="2"/>
  <c r="AL47" i="2"/>
  <c r="AM47" i="2"/>
  <c r="U47" i="25"/>
  <c r="X47" i="25" s="1"/>
  <c r="AI66" i="2"/>
  <c r="AN66" i="2"/>
  <c r="AO66" i="2"/>
  <c r="AL66" i="2"/>
  <c r="AK66" i="2"/>
  <c r="U66" i="25"/>
  <c r="X66" i="25" s="1"/>
  <c r="D70" i="20"/>
  <c r="C68" i="28"/>
  <c r="C69" i="27"/>
  <c r="C69" i="26"/>
  <c r="C70" i="25"/>
  <c r="C69" i="24"/>
  <c r="C69" i="23"/>
  <c r="AI78" i="2"/>
  <c r="AO78" i="2"/>
  <c r="AK78" i="2"/>
  <c r="AN78" i="2"/>
  <c r="U78" i="25"/>
  <c r="X78" i="25" s="1"/>
  <c r="R88" i="23"/>
  <c r="C111" i="11"/>
  <c r="C111" i="28"/>
  <c r="C113" i="27"/>
  <c r="C113" i="26"/>
  <c r="C113" i="25"/>
  <c r="C113" i="24"/>
  <c r="C112" i="23"/>
  <c r="D129" i="20"/>
  <c r="C127" i="28"/>
  <c r="C129" i="27"/>
  <c r="C129" i="26"/>
  <c r="C129" i="25"/>
  <c r="C129" i="24"/>
  <c r="C128" i="23"/>
  <c r="D153" i="20"/>
  <c r="C150" i="28"/>
  <c r="C152" i="27"/>
  <c r="C152" i="26"/>
  <c r="C152" i="25"/>
  <c r="C152" i="24"/>
  <c r="C151" i="23"/>
  <c r="D164" i="20"/>
  <c r="C161" i="28"/>
  <c r="C163" i="27"/>
  <c r="C163" i="26"/>
  <c r="C163" i="25"/>
  <c r="C163" i="24"/>
  <c r="C162" i="23"/>
  <c r="D180" i="20"/>
  <c r="C177" i="28"/>
  <c r="C179" i="27"/>
  <c r="C179" i="26"/>
  <c r="C179" i="25"/>
  <c r="C179" i="24"/>
  <c r="C178" i="23"/>
  <c r="AO23" i="2"/>
  <c r="AK23" i="2"/>
  <c r="AN23" i="2"/>
  <c r="U23" i="25"/>
  <c r="X23" i="25" s="1"/>
  <c r="AI23" i="2"/>
  <c r="C27" i="28"/>
  <c r="C28" i="27"/>
  <c r="C29" i="25"/>
  <c r="C28" i="26"/>
  <c r="C28" i="24"/>
  <c r="AN32" i="2"/>
  <c r="AK32" i="2"/>
  <c r="AO32" i="2"/>
  <c r="U32" i="25"/>
  <c r="X32" i="25" s="1"/>
  <c r="AI32" i="2"/>
  <c r="D34" i="20"/>
  <c r="C32" i="28"/>
  <c r="C33" i="27"/>
  <c r="C33" i="26"/>
  <c r="C34" i="25"/>
  <c r="C33" i="24"/>
  <c r="C33" i="23"/>
  <c r="AL34" i="2"/>
  <c r="AN34" i="2"/>
  <c r="AK34" i="2"/>
  <c r="AO34" i="2"/>
  <c r="U34" i="25"/>
  <c r="X34" i="25" s="1"/>
  <c r="AI34" i="2"/>
  <c r="AI35" i="2"/>
  <c r="AL35" i="2"/>
  <c r="AO35" i="2"/>
  <c r="AK35" i="2"/>
  <c r="AN35" i="2"/>
  <c r="U35" i="25"/>
  <c r="X35" i="25" s="1"/>
  <c r="C39" i="11"/>
  <c r="C39" i="28"/>
  <c r="C40" i="27"/>
  <c r="C40" i="26"/>
  <c r="C41" i="25"/>
  <c r="C40" i="24"/>
  <c r="C40" i="23"/>
  <c r="R39" i="23"/>
  <c r="R40" i="23"/>
  <c r="R42" i="23"/>
  <c r="AI51" i="2"/>
  <c r="AO51" i="2"/>
  <c r="AK51" i="2"/>
  <c r="AM51" i="2"/>
  <c r="AN51" i="2"/>
  <c r="U51" i="25"/>
  <c r="X51" i="25" s="1"/>
  <c r="R71" i="23"/>
  <c r="R86" i="23"/>
  <c r="AN93" i="2"/>
  <c r="AM93" i="2"/>
  <c r="AK93" i="2"/>
  <c r="AO93" i="2"/>
  <c r="U93" i="25"/>
  <c r="X93" i="25" s="1"/>
  <c r="AI93" i="2"/>
  <c r="R102" i="23"/>
  <c r="AI109" i="2"/>
  <c r="AO109" i="2"/>
  <c r="AK109" i="2"/>
  <c r="AN109" i="2"/>
  <c r="AM109" i="2"/>
  <c r="U109" i="25"/>
  <c r="X109" i="25" s="1"/>
  <c r="AN149" i="2"/>
  <c r="AM149" i="2"/>
  <c r="AO149" i="2"/>
  <c r="AK149" i="2"/>
  <c r="U148" i="25"/>
  <c r="X148" i="25" s="1"/>
  <c r="AI149" i="2"/>
  <c r="R153" i="23"/>
  <c r="AI162" i="2"/>
  <c r="AO162" i="2"/>
  <c r="AK162" i="2"/>
  <c r="AM162" i="2"/>
  <c r="AN162" i="2"/>
  <c r="U161" i="25"/>
  <c r="X161" i="25" s="1"/>
  <c r="C172" i="11"/>
  <c r="C171" i="28"/>
  <c r="C173" i="27"/>
  <c r="C173" i="26"/>
  <c r="C173" i="25"/>
  <c r="C173" i="24"/>
  <c r="C172" i="23"/>
  <c r="AI174" i="2"/>
  <c r="AN174" i="2"/>
  <c r="AM174" i="2"/>
  <c r="AO174" i="2"/>
  <c r="AK174" i="2"/>
  <c r="U173" i="25"/>
  <c r="X173" i="25" s="1"/>
  <c r="AI175" i="2"/>
  <c r="AM175" i="2"/>
  <c r="AL175" i="2"/>
  <c r="AK175" i="2"/>
  <c r="AO175" i="2"/>
  <c r="U174" i="25"/>
  <c r="X174" i="25" s="1"/>
  <c r="E8" i="28"/>
  <c r="E9" i="27"/>
  <c r="E10" i="25"/>
  <c r="E9" i="26"/>
  <c r="E9" i="24"/>
  <c r="I8" i="28"/>
  <c r="I9" i="27"/>
  <c r="I10" i="25"/>
  <c r="I9" i="26"/>
  <c r="I9" i="24"/>
  <c r="F9" i="28"/>
  <c r="F10" i="27"/>
  <c r="F11" i="25"/>
  <c r="F10" i="26"/>
  <c r="F10" i="24"/>
  <c r="G11" i="23"/>
  <c r="G10" i="28"/>
  <c r="G11" i="27"/>
  <c r="G12" i="25"/>
  <c r="G11" i="26"/>
  <c r="G11" i="24"/>
  <c r="D11" i="28"/>
  <c r="D12" i="27"/>
  <c r="D12" i="26"/>
  <c r="D12" i="24"/>
  <c r="D13" i="25"/>
  <c r="H12" i="23"/>
  <c r="H11" i="28"/>
  <c r="H12" i="27"/>
  <c r="H12" i="26"/>
  <c r="H13" i="25"/>
  <c r="H12" i="24"/>
  <c r="E12" i="28"/>
  <c r="E13" i="27"/>
  <c r="E14" i="25"/>
  <c r="E13" i="26"/>
  <c r="E13" i="24"/>
  <c r="I12" i="28"/>
  <c r="I13" i="27"/>
  <c r="I14" i="25"/>
  <c r="I13" i="26"/>
  <c r="I13" i="24"/>
  <c r="F14" i="23"/>
  <c r="F13" i="28"/>
  <c r="F14" i="27"/>
  <c r="F15" i="25"/>
  <c r="F14" i="26"/>
  <c r="F14" i="24"/>
  <c r="F14" i="28"/>
  <c r="F15" i="27"/>
  <c r="F15" i="26"/>
  <c r="F15" i="24"/>
  <c r="F16" i="25"/>
  <c r="F15" i="28"/>
  <c r="F16" i="27"/>
  <c r="F17" i="25"/>
  <c r="F16" i="26"/>
  <c r="F16" i="24"/>
  <c r="G16" i="28"/>
  <c r="G17" i="27"/>
  <c r="G18" i="25"/>
  <c r="G17" i="26"/>
  <c r="G17" i="24"/>
  <c r="D17" i="28"/>
  <c r="D18" i="27"/>
  <c r="D18" i="26"/>
  <c r="D18" i="24"/>
  <c r="D19" i="25"/>
  <c r="H18" i="23"/>
  <c r="H17" i="28"/>
  <c r="H18" i="27"/>
  <c r="H18" i="26"/>
  <c r="H19" i="25"/>
  <c r="H18" i="24"/>
  <c r="E19" i="23"/>
  <c r="E18" i="28"/>
  <c r="E19" i="27"/>
  <c r="E20" i="25"/>
  <c r="E19" i="26"/>
  <c r="E19" i="24"/>
  <c r="I19" i="23"/>
  <c r="I18" i="28"/>
  <c r="I19" i="27"/>
  <c r="I20" i="25"/>
  <c r="I19" i="26"/>
  <c r="I19" i="24"/>
  <c r="E19" i="28"/>
  <c r="E20" i="27"/>
  <c r="E21" i="25"/>
  <c r="E20" i="26"/>
  <c r="E20" i="24"/>
  <c r="I20" i="23"/>
  <c r="I19" i="28"/>
  <c r="I20" i="27"/>
  <c r="I21" i="25"/>
  <c r="I20" i="26"/>
  <c r="I20" i="24"/>
  <c r="E20" i="28"/>
  <c r="E21" i="27"/>
  <c r="E22" i="25"/>
  <c r="E21" i="26"/>
  <c r="E21" i="24"/>
  <c r="I21" i="23"/>
  <c r="I20" i="28"/>
  <c r="I21" i="27"/>
  <c r="I22" i="25"/>
  <c r="I21" i="26"/>
  <c r="I21" i="24"/>
  <c r="F22" i="23"/>
  <c r="F21" i="28"/>
  <c r="F22" i="27"/>
  <c r="F23" i="25"/>
  <c r="F22" i="26"/>
  <c r="F22" i="24"/>
  <c r="F23" i="23"/>
  <c r="F22" i="28"/>
  <c r="F23" i="27"/>
  <c r="F23" i="26"/>
  <c r="F23" i="24"/>
  <c r="F24" i="25"/>
  <c r="F23" i="28"/>
  <c r="F24" i="27"/>
  <c r="F25" i="25"/>
  <c r="F24" i="26"/>
  <c r="F24" i="24"/>
  <c r="G24" i="28"/>
  <c r="G25" i="27"/>
  <c r="G26" i="25"/>
  <c r="G25" i="26"/>
  <c r="G25" i="24"/>
  <c r="D25" i="28"/>
  <c r="D26" i="27"/>
  <c r="D26" i="26"/>
  <c r="D26" i="24"/>
  <c r="D27" i="25"/>
  <c r="H26" i="23"/>
  <c r="H25" i="28"/>
  <c r="H26" i="27"/>
  <c r="H26" i="26"/>
  <c r="H27" i="25"/>
  <c r="H26" i="24"/>
  <c r="E26" i="28"/>
  <c r="E27" i="27"/>
  <c r="E28" i="25"/>
  <c r="E27" i="26"/>
  <c r="E27" i="24"/>
  <c r="I26" i="28"/>
  <c r="I27" i="27"/>
  <c r="I28" i="25"/>
  <c r="I27" i="26"/>
  <c r="I27" i="24"/>
  <c r="F27" i="28"/>
  <c r="F28" i="27"/>
  <c r="F29" i="25"/>
  <c r="F28" i="26"/>
  <c r="F28" i="24"/>
  <c r="D29" i="23"/>
  <c r="D28" i="28"/>
  <c r="D29" i="27"/>
  <c r="D30" i="25"/>
  <c r="D29" i="26"/>
  <c r="D29" i="24"/>
  <c r="H29" i="23"/>
  <c r="H28" i="28"/>
  <c r="H29" i="27"/>
  <c r="H30" i="25"/>
  <c r="H29" i="26"/>
  <c r="H29" i="24"/>
  <c r="D29" i="28"/>
  <c r="D30" i="27"/>
  <c r="D30" i="26"/>
  <c r="D30" i="24"/>
  <c r="D31" i="25"/>
  <c r="H30" i="23"/>
  <c r="H29" i="28"/>
  <c r="H30" i="27"/>
  <c r="H30" i="26"/>
  <c r="H31" i="25"/>
  <c r="H30" i="24"/>
  <c r="E31" i="23"/>
  <c r="E30" i="28"/>
  <c r="E31" i="27"/>
  <c r="E32" i="25"/>
  <c r="E31" i="26"/>
  <c r="E31" i="24"/>
  <c r="I31" i="23"/>
  <c r="I30" i="28"/>
  <c r="I31" i="27"/>
  <c r="I32" i="25"/>
  <c r="I31" i="26"/>
  <c r="I31" i="24"/>
  <c r="F32" i="28"/>
  <c r="F33" i="27"/>
  <c r="F34" i="25"/>
  <c r="F33" i="26"/>
  <c r="F33" i="24"/>
  <c r="F33" i="23"/>
  <c r="G33" i="28"/>
  <c r="G34" i="27"/>
  <c r="G34" i="26"/>
  <c r="G34" i="24"/>
  <c r="G34" i="23"/>
  <c r="D34" i="28"/>
  <c r="D35" i="27"/>
  <c r="D36" i="25"/>
  <c r="D35" i="26"/>
  <c r="D35" i="24"/>
  <c r="D35" i="23"/>
  <c r="H34" i="28"/>
  <c r="H35" i="27"/>
  <c r="H36" i="25"/>
  <c r="H35" i="26"/>
  <c r="H35" i="24"/>
  <c r="H35" i="23"/>
  <c r="E35" i="11"/>
  <c r="E35" i="28"/>
  <c r="E36" i="27"/>
  <c r="E36" i="26"/>
  <c r="E36" i="24"/>
  <c r="E37" i="25"/>
  <c r="E36" i="23"/>
  <c r="I35" i="28"/>
  <c r="I36" i="27"/>
  <c r="I36" i="26"/>
  <c r="I36" i="24"/>
  <c r="I37" i="25"/>
  <c r="I36" i="23"/>
  <c r="F36" i="11"/>
  <c r="F36" i="28"/>
  <c r="F37" i="27"/>
  <c r="F38" i="25"/>
  <c r="F37" i="26"/>
  <c r="F37" i="24"/>
  <c r="F37" i="23"/>
  <c r="G38" i="28"/>
  <c r="G39" i="27"/>
  <c r="G40" i="25"/>
  <c r="G39" i="26"/>
  <c r="G39" i="24"/>
  <c r="G39" i="23"/>
  <c r="D39" i="28"/>
  <c r="D40" i="27"/>
  <c r="D40" i="26"/>
  <c r="D40" i="24"/>
  <c r="D41" i="25"/>
  <c r="D40" i="23"/>
  <c r="H39" i="28"/>
  <c r="H40" i="27"/>
  <c r="H40" i="26"/>
  <c r="H41" i="25"/>
  <c r="H40" i="24"/>
  <c r="H40" i="23"/>
  <c r="E40" i="28"/>
  <c r="E41" i="27"/>
  <c r="E41" i="26"/>
  <c r="E42" i="25"/>
  <c r="E41" i="24"/>
  <c r="E41" i="23"/>
  <c r="I40" i="28"/>
  <c r="I41" i="27"/>
  <c r="I41" i="26"/>
  <c r="I42" i="25"/>
  <c r="I41" i="24"/>
  <c r="I41" i="23"/>
  <c r="F41" i="28"/>
  <c r="F42" i="27"/>
  <c r="F43" i="25"/>
  <c r="F42" i="26"/>
  <c r="F42" i="24"/>
  <c r="F42" i="23"/>
  <c r="D42" i="28"/>
  <c r="D43" i="27"/>
  <c r="D43" i="26"/>
  <c r="D44" i="25"/>
  <c r="D43" i="24"/>
  <c r="D43" i="23"/>
  <c r="H42" i="28"/>
  <c r="H43" i="27"/>
  <c r="H44" i="25"/>
  <c r="H43" i="26"/>
  <c r="H43" i="24"/>
  <c r="H43" i="23"/>
  <c r="F47" i="20"/>
  <c r="E45" i="28"/>
  <c r="E46" i="27"/>
  <c r="E46" i="26"/>
  <c r="E47" i="25"/>
  <c r="E46" i="24"/>
  <c r="E46" i="23"/>
  <c r="I45" i="28"/>
  <c r="I46" i="27"/>
  <c r="I46" i="26"/>
  <c r="I46" i="24"/>
  <c r="I47" i="25"/>
  <c r="I46" i="23"/>
  <c r="G48" i="20"/>
  <c r="F46" i="28"/>
  <c r="F47" i="26"/>
  <c r="F47" i="27"/>
  <c r="F48" i="25"/>
  <c r="F47" i="24"/>
  <c r="F47" i="23"/>
  <c r="H49" i="20"/>
  <c r="G47" i="28"/>
  <c r="G48" i="27"/>
  <c r="G49" i="25"/>
  <c r="G48" i="24"/>
  <c r="G48" i="26"/>
  <c r="G48" i="23"/>
  <c r="E51" i="20"/>
  <c r="D49" i="28"/>
  <c r="D50" i="27"/>
  <c r="D50" i="26"/>
  <c r="D51" i="25"/>
  <c r="D50" i="24"/>
  <c r="D50" i="23"/>
  <c r="I51" i="20"/>
  <c r="H49" i="28"/>
  <c r="H50" i="27"/>
  <c r="H51" i="25"/>
  <c r="H50" i="26"/>
  <c r="H50" i="24"/>
  <c r="H50" i="23"/>
  <c r="E50" i="11"/>
  <c r="E50" i="28"/>
  <c r="E51" i="27"/>
  <c r="E51" i="26"/>
  <c r="E52" i="25"/>
  <c r="E51" i="24"/>
  <c r="E51" i="23"/>
  <c r="I50" i="11"/>
  <c r="I50" i="28"/>
  <c r="I51" i="27"/>
  <c r="I51" i="26"/>
  <c r="I52" i="25"/>
  <c r="I51" i="24"/>
  <c r="I51" i="23"/>
  <c r="F53" i="20"/>
  <c r="E51" i="28"/>
  <c r="E52" i="27"/>
  <c r="E52" i="26"/>
  <c r="E53" i="25"/>
  <c r="E52" i="24"/>
  <c r="E52" i="23"/>
  <c r="J53" i="20"/>
  <c r="I51" i="28"/>
  <c r="I52" i="27"/>
  <c r="I52" i="26"/>
  <c r="I52" i="24"/>
  <c r="I53" i="25"/>
  <c r="I52" i="23"/>
  <c r="F52" i="11"/>
  <c r="F52" i="28"/>
  <c r="F53" i="27"/>
  <c r="F54" i="25"/>
  <c r="F53" i="24"/>
  <c r="F53" i="26"/>
  <c r="F53" i="23"/>
  <c r="G53" i="28"/>
  <c r="G54" i="27"/>
  <c r="G54" i="26"/>
  <c r="G55" i="25"/>
  <c r="G54" i="24"/>
  <c r="G54" i="23"/>
  <c r="C55" i="11"/>
  <c r="C55" i="28"/>
  <c r="C56" i="27"/>
  <c r="C56" i="26"/>
  <c r="C57" i="25"/>
  <c r="C56" i="24"/>
  <c r="C56" i="23"/>
  <c r="G55" i="28"/>
  <c r="G56" i="27"/>
  <c r="G56" i="26"/>
  <c r="G57" i="25"/>
  <c r="G56" i="24"/>
  <c r="G56" i="23"/>
  <c r="I59" i="20"/>
  <c r="H57" i="28"/>
  <c r="H58" i="27"/>
  <c r="H58" i="26"/>
  <c r="H59" i="25"/>
  <c r="H58" i="24"/>
  <c r="H58" i="23"/>
  <c r="H58" i="28"/>
  <c r="H59" i="27"/>
  <c r="H59" i="26"/>
  <c r="H60" i="25"/>
  <c r="H59" i="24"/>
  <c r="H59" i="23"/>
  <c r="H59" i="28"/>
  <c r="H60" i="27"/>
  <c r="H60" i="26"/>
  <c r="H61" i="25"/>
  <c r="H60" i="24"/>
  <c r="H60" i="23"/>
  <c r="D61" i="11"/>
  <c r="D61" i="28"/>
  <c r="D62" i="27"/>
  <c r="D63" i="25"/>
  <c r="D62" i="24"/>
  <c r="D62" i="26"/>
  <c r="D62" i="23"/>
  <c r="H61" i="28"/>
  <c r="H62" i="27"/>
  <c r="H63" i="25"/>
  <c r="H62" i="26"/>
  <c r="H62" i="24"/>
  <c r="H62" i="23"/>
  <c r="E62" i="28"/>
  <c r="E63" i="27"/>
  <c r="E63" i="26"/>
  <c r="E64" i="25"/>
  <c r="E63" i="24"/>
  <c r="E63" i="23"/>
  <c r="I62" i="28"/>
  <c r="I63" i="27"/>
  <c r="I63" i="26"/>
  <c r="I64" i="25"/>
  <c r="I63" i="24"/>
  <c r="I63" i="23"/>
  <c r="F63" i="11"/>
  <c r="F63" i="28"/>
  <c r="F64" i="27"/>
  <c r="F64" i="26"/>
  <c r="F65" i="25"/>
  <c r="F64" i="24"/>
  <c r="F64" i="23"/>
  <c r="D64" i="28"/>
  <c r="D65" i="27"/>
  <c r="D65" i="26"/>
  <c r="D66" i="25"/>
  <c r="D65" i="24"/>
  <c r="D65" i="23"/>
  <c r="H64" i="28"/>
  <c r="H65" i="27"/>
  <c r="H65" i="26"/>
  <c r="H66" i="25"/>
  <c r="H65" i="24"/>
  <c r="H65" i="23"/>
  <c r="E68" i="20"/>
  <c r="D66" i="28"/>
  <c r="D67" i="27"/>
  <c r="D67" i="26"/>
  <c r="D68" i="25"/>
  <c r="D67" i="24"/>
  <c r="D67" i="23"/>
  <c r="I68" i="20"/>
  <c r="H66" i="28"/>
  <c r="H67" i="27"/>
  <c r="H67" i="26"/>
  <c r="H68" i="25"/>
  <c r="H67" i="24"/>
  <c r="H67" i="23"/>
  <c r="F69" i="20"/>
  <c r="E67" i="28"/>
  <c r="E68" i="27"/>
  <c r="E68" i="26"/>
  <c r="E69" i="25"/>
  <c r="E68" i="24"/>
  <c r="E68" i="23"/>
  <c r="I67" i="28"/>
  <c r="I68" i="27"/>
  <c r="I68" i="26"/>
  <c r="I69" i="25"/>
  <c r="I68" i="24"/>
  <c r="I68" i="23"/>
  <c r="F68" i="28"/>
  <c r="F69" i="27"/>
  <c r="F69" i="26"/>
  <c r="F70" i="25"/>
  <c r="F69" i="24"/>
  <c r="F69" i="23"/>
  <c r="H71" i="20"/>
  <c r="G69" i="28"/>
  <c r="G70" i="27"/>
  <c r="G70" i="26"/>
  <c r="G71" i="25"/>
  <c r="G70" i="24"/>
  <c r="G70" i="23"/>
  <c r="C70" i="11"/>
  <c r="C70" i="28"/>
  <c r="C71" i="27"/>
  <c r="C71" i="26"/>
  <c r="C72" i="25"/>
  <c r="C71" i="24"/>
  <c r="C71" i="23"/>
  <c r="G70" i="28"/>
  <c r="G71" i="27"/>
  <c r="G71" i="26"/>
  <c r="G72" i="25"/>
  <c r="G71" i="24"/>
  <c r="G71" i="23"/>
  <c r="D74" i="27"/>
  <c r="D74" i="26"/>
  <c r="D74" i="24"/>
  <c r="H74" i="27"/>
  <c r="H74" i="26"/>
  <c r="H74" i="24"/>
  <c r="F75" i="20"/>
  <c r="E73" i="28"/>
  <c r="E75" i="27"/>
  <c r="E75" i="26"/>
  <c r="E75" i="25"/>
  <c r="E75" i="24"/>
  <c r="E74" i="23"/>
  <c r="J75" i="20"/>
  <c r="I73" i="28"/>
  <c r="I75" i="26"/>
  <c r="I75" i="27"/>
  <c r="I75" i="25"/>
  <c r="I75" i="24"/>
  <c r="I74" i="23"/>
  <c r="F74" i="11"/>
  <c r="F74" i="28"/>
  <c r="F76" i="27"/>
  <c r="F76" i="26"/>
  <c r="F76" i="25"/>
  <c r="F76" i="24"/>
  <c r="F75" i="23"/>
  <c r="G75" i="28"/>
  <c r="G77" i="27"/>
  <c r="G77" i="26"/>
  <c r="G77" i="25"/>
  <c r="G77" i="24"/>
  <c r="G76" i="23"/>
  <c r="D76" i="28"/>
  <c r="D78" i="27"/>
  <c r="D78" i="26"/>
  <c r="D78" i="25"/>
  <c r="D78" i="24"/>
  <c r="D77" i="23"/>
  <c r="H76" i="28"/>
  <c r="H78" i="27"/>
  <c r="H78" i="26"/>
  <c r="H78" i="25"/>
  <c r="H78" i="24"/>
  <c r="H77" i="23"/>
  <c r="F80" i="20"/>
  <c r="E78" i="28"/>
  <c r="E80" i="27"/>
  <c r="E80" i="26"/>
  <c r="E80" i="25"/>
  <c r="E80" i="24"/>
  <c r="E79" i="23"/>
  <c r="J80" i="20"/>
  <c r="I78" i="28"/>
  <c r="I80" i="27"/>
  <c r="I80" i="26"/>
  <c r="I80" i="25"/>
  <c r="I80" i="24"/>
  <c r="I79" i="23"/>
  <c r="F79" i="28"/>
  <c r="F81" i="27"/>
  <c r="F81" i="26"/>
  <c r="F81" i="25"/>
  <c r="F81" i="24"/>
  <c r="F80" i="23"/>
  <c r="G81" i="23"/>
  <c r="G80" i="28"/>
  <c r="G82" i="27"/>
  <c r="G82" i="26"/>
  <c r="G82" i="25"/>
  <c r="G82" i="24"/>
  <c r="E83" i="20"/>
  <c r="D81" i="28"/>
  <c r="D83" i="27"/>
  <c r="D83" i="26"/>
  <c r="D83" i="25"/>
  <c r="D83" i="24"/>
  <c r="D82" i="23"/>
  <c r="H81" i="28"/>
  <c r="H83" i="27"/>
  <c r="H83" i="26"/>
  <c r="H83" i="25"/>
  <c r="H83" i="24"/>
  <c r="H82" i="23"/>
  <c r="F87" i="20"/>
  <c r="E85" i="28"/>
  <c r="E87" i="27"/>
  <c r="E87" i="26"/>
  <c r="E87" i="25"/>
  <c r="E87" i="24"/>
  <c r="E86" i="23"/>
  <c r="J87" i="20"/>
  <c r="I85" i="28"/>
  <c r="I87" i="27"/>
  <c r="I87" i="26"/>
  <c r="I87" i="24"/>
  <c r="I87" i="25"/>
  <c r="I86" i="23"/>
  <c r="G88" i="20"/>
  <c r="F86" i="28"/>
  <c r="F88" i="27"/>
  <c r="F88" i="26"/>
  <c r="F88" i="25"/>
  <c r="F88" i="24"/>
  <c r="F87" i="23"/>
  <c r="G87" i="28"/>
  <c r="G89" i="27"/>
  <c r="G89" i="26"/>
  <c r="G89" i="25"/>
  <c r="G89" i="24"/>
  <c r="G88" i="23"/>
  <c r="D88" i="11"/>
  <c r="D88" i="28"/>
  <c r="D90" i="27"/>
  <c r="D90" i="26"/>
  <c r="D90" i="25"/>
  <c r="D90" i="24"/>
  <c r="D89" i="23"/>
  <c r="H88" i="28"/>
  <c r="H90" i="27"/>
  <c r="H90" i="26"/>
  <c r="H90" i="25"/>
  <c r="H90" i="24"/>
  <c r="H89" i="23"/>
  <c r="E89" i="11"/>
  <c r="E89" i="28"/>
  <c r="E91" i="27"/>
  <c r="E91" i="26"/>
  <c r="E91" i="24"/>
  <c r="E91" i="25"/>
  <c r="E90" i="23"/>
  <c r="I89" i="28"/>
  <c r="I91" i="27"/>
  <c r="I91" i="26"/>
  <c r="I91" i="24"/>
  <c r="I91" i="25"/>
  <c r="I90" i="23"/>
  <c r="F91" i="28"/>
  <c r="F93" i="27"/>
  <c r="F93" i="26"/>
  <c r="F93" i="25"/>
  <c r="F93" i="24"/>
  <c r="F92" i="23"/>
  <c r="H94" i="20"/>
  <c r="G92" i="28"/>
  <c r="G94" i="27"/>
  <c r="G94" i="26"/>
  <c r="G94" i="25"/>
  <c r="G94" i="24"/>
  <c r="G93" i="23"/>
  <c r="E95" i="20"/>
  <c r="D93" i="28"/>
  <c r="D95" i="27"/>
  <c r="D95" i="26"/>
  <c r="D95" i="25"/>
  <c r="D95" i="24"/>
  <c r="D94" i="23"/>
  <c r="I95" i="20"/>
  <c r="H93" i="28"/>
  <c r="H95" i="27"/>
  <c r="H95" i="26"/>
  <c r="H95" i="25"/>
  <c r="H95" i="24"/>
  <c r="H94" i="23"/>
  <c r="E94" i="28"/>
  <c r="E96" i="27"/>
  <c r="E96" i="26"/>
  <c r="E96" i="25"/>
  <c r="E96" i="24"/>
  <c r="E95" i="23"/>
  <c r="I94" i="28"/>
  <c r="I96" i="26"/>
  <c r="I96" i="27"/>
  <c r="I96" i="25"/>
  <c r="I96" i="24"/>
  <c r="I95" i="23"/>
  <c r="F95" i="28"/>
  <c r="F97" i="27"/>
  <c r="F97" i="26"/>
  <c r="F97" i="25"/>
  <c r="F97" i="24"/>
  <c r="F96" i="23"/>
  <c r="F96" i="28"/>
  <c r="F98" i="27"/>
  <c r="F98" i="26"/>
  <c r="F98" i="25"/>
  <c r="F98" i="24"/>
  <c r="F97" i="23"/>
  <c r="G101" i="28"/>
  <c r="G103" i="27"/>
  <c r="G103" i="26"/>
  <c r="G103" i="25"/>
  <c r="G103" i="24"/>
  <c r="G102" i="23"/>
  <c r="E104" i="20"/>
  <c r="D102" i="28"/>
  <c r="D104" i="27"/>
  <c r="D104" i="26"/>
  <c r="D104" i="25"/>
  <c r="D104" i="24"/>
  <c r="D103" i="23"/>
  <c r="H102" i="28"/>
  <c r="H104" i="27"/>
  <c r="H104" i="26"/>
  <c r="H104" i="25"/>
  <c r="H104" i="24"/>
  <c r="H103" i="23"/>
  <c r="E103" i="28"/>
  <c r="E105" i="27"/>
  <c r="E105" i="26"/>
  <c r="E105" i="25"/>
  <c r="E105" i="24"/>
  <c r="E104" i="23"/>
  <c r="I103" i="28"/>
  <c r="I105" i="27"/>
  <c r="I105" i="25"/>
  <c r="I105" i="26"/>
  <c r="I105" i="24"/>
  <c r="I104" i="23"/>
  <c r="F104" i="28"/>
  <c r="F106" i="27"/>
  <c r="F106" i="26"/>
  <c r="F106" i="25"/>
  <c r="F106" i="24"/>
  <c r="F105" i="23"/>
  <c r="G105" i="28"/>
  <c r="G107" i="27"/>
  <c r="G107" i="26"/>
  <c r="G107" i="25"/>
  <c r="G107" i="24"/>
  <c r="G106" i="23"/>
  <c r="E109" i="20"/>
  <c r="D107" i="28"/>
  <c r="D109" i="27"/>
  <c r="D109" i="26"/>
  <c r="D109" i="25"/>
  <c r="D109" i="24"/>
  <c r="D108" i="23"/>
  <c r="H107" i="28"/>
  <c r="H109" i="27"/>
  <c r="H109" i="25"/>
  <c r="H109" i="26"/>
  <c r="H109" i="24"/>
  <c r="H108" i="23"/>
  <c r="F108" i="28"/>
  <c r="F110" i="27"/>
  <c r="F110" i="26"/>
  <c r="F110" i="25"/>
  <c r="F110" i="24"/>
  <c r="F109" i="23"/>
  <c r="D109" i="28"/>
  <c r="D111" i="27"/>
  <c r="D111" i="26"/>
  <c r="D111" i="25"/>
  <c r="D111" i="24"/>
  <c r="D110" i="23"/>
  <c r="H109" i="28"/>
  <c r="H111" i="27"/>
  <c r="H111" i="25"/>
  <c r="H111" i="26"/>
  <c r="H111" i="24"/>
  <c r="H110" i="23"/>
  <c r="F110" i="28"/>
  <c r="F112" i="27"/>
  <c r="F112" i="26"/>
  <c r="F112" i="25"/>
  <c r="F112" i="24"/>
  <c r="F111" i="23"/>
  <c r="D111" i="28"/>
  <c r="D113" i="27"/>
  <c r="D113" i="26"/>
  <c r="D113" i="25"/>
  <c r="D113" i="24"/>
  <c r="D112" i="23"/>
  <c r="H111" i="28"/>
  <c r="H113" i="27"/>
  <c r="H113" i="25"/>
  <c r="H113" i="26"/>
  <c r="H113" i="24"/>
  <c r="H112" i="23"/>
  <c r="F113" i="28"/>
  <c r="F115" i="27"/>
  <c r="F115" i="26"/>
  <c r="F115" i="25"/>
  <c r="F115" i="24"/>
  <c r="F114" i="23"/>
  <c r="G114" i="28"/>
  <c r="G116" i="27"/>
  <c r="G116" i="26"/>
  <c r="G116" i="25"/>
  <c r="G116" i="24"/>
  <c r="G115" i="23"/>
  <c r="E117" i="20"/>
  <c r="D115" i="28"/>
  <c r="D117" i="27"/>
  <c r="D117" i="26"/>
  <c r="D117" i="25"/>
  <c r="D117" i="24"/>
  <c r="D116" i="23"/>
  <c r="I117" i="20"/>
  <c r="H115" i="28"/>
  <c r="H117" i="27"/>
  <c r="H117" i="25"/>
  <c r="H117" i="24"/>
  <c r="H117" i="26"/>
  <c r="H116" i="23"/>
  <c r="E116" i="28"/>
  <c r="E118" i="27"/>
  <c r="E118" i="26"/>
  <c r="E118" i="25"/>
  <c r="E118" i="24"/>
  <c r="E117" i="23"/>
  <c r="I116" i="28"/>
  <c r="I118" i="27"/>
  <c r="I118" i="26"/>
  <c r="I118" i="25"/>
  <c r="I118" i="24"/>
  <c r="I117" i="23"/>
  <c r="F117" i="28"/>
  <c r="F119" i="27"/>
  <c r="F119" i="26"/>
  <c r="F119" i="25"/>
  <c r="F119" i="24"/>
  <c r="F118" i="23"/>
  <c r="G120" i="28"/>
  <c r="G122" i="27"/>
  <c r="G122" i="26"/>
  <c r="G122" i="25"/>
  <c r="G122" i="24"/>
  <c r="G121" i="23"/>
  <c r="D121" i="28"/>
  <c r="D123" i="27"/>
  <c r="D123" i="26"/>
  <c r="D123" i="25"/>
  <c r="D123" i="24"/>
  <c r="D122" i="23"/>
  <c r="H121" i="28"/>
  <c r="H123" i="27"/>
  <c r="H123" i="26"/>
  <c r="H123" i="25"/>
  <c r="H123" i="24"/>
  <c r="H122" i="23"/>
  <c r="E122" i="28"/>
  <c r="E124" i="26"/>
  <c r="E124" i="27"/>
  <c r="E124" i="25"/>
  <c r="E124" i="24"/>
  <c r="E123" i="23"/>
  <c r="I122" i="28"/>
  <c r="I124" i="27"/>
  <c r="I124" i="26"/>
  <c r="I124" i="25"/>
  <c r="I124" i="24"/>
  <c r="I123" i="23"/>
  <c r="F126" i="28"/>
  <c r="F128" i="27"/>
  <c r="F128" i="26"/>
  <c r="F128" i="25"/>
  <c r="F128" i="24"/>
  <c r="F127" i="23"/>
  <c r="G127" i="28"/>
  <c r="G129" i="27"/>
  <c r="G129" i="26"/>
  <c r="G129" i="25"/>
  <c r="G129" i="24"/>
  <c r="G128" i="23"/>
  <c r="D125" i="20"/>
  <c r="C123" i="28"/>
  <c r="C125" i="27"/>
  <c r="C125" i="26"/>
  <c r="C125" i="25"/>
  <c r="C125" i="24"/>
  <c r="C124" i="23"/>
  <c r="G123" i="28"/>
  <c r="G125" i="27"/>
  <c r="G125" i="26"/>
  <c r="G125" i="25"/>
  <c r="G125" i="24"/>
  <c r="G124" i="23"/>
  <c r="C124" i="11"/>
  <c r="C124" i="28"/>
  <c r="C126" i="27"/>
  <c r="C126" i="26"/>
  <c r="C126" i="25"/>
  <c r="C126" i="24"/>
  <c r="C125" i="23"/>
  <c r="G124" i="28"/>
  <c r="G126" i="27"/>
  <c r="G126" i="26"/>
  <c r="G126" i="25"/>
  <c r="G126" i="24"/>
  <c r="G125" i="23"/>
  <c r="D127" i="20"/>
  <c r="C125" i="28"/>
  <c r="C127" i="27"/>
  <c r="C127" i="26"/>
  <c r="C127" i="25"/>
  <c r="C127" i="24"/>
  <c r="C126" i="23"/>
  <c r="G125" i="28"/>
  <c r="G127" i="27"/>
  <c r="G127" i="26"/>
  <c r="G127" i="25"/>
  <c r="G127" i="24"/>
  <c r="G126" i="23"/>
  <c r="D133" i="28"/>
  <c r="D135" i="27"/>
  <c r="D135" i="26"/>
  <c r="D135" i="25"/>
  <c r="D135" i="24"/>
  <c r="D134" i="23"/>
  <c r="H133" i="28"/>
  <c r="H135" i="27"/>
  <c r="H135" i="26"/>
  <c r="H135" i="25"/>
  <c r="H135" i="24"/>
  <c r="H134" i="23"/>
  <c r="E134" i="28"/>
  <c r="E136" i="27"/>
  <c r="E136" i="26"/>
  <c r="E136" i="25"/>
  <c r="E136" i="24"/>
  <c r="E135" i="23"/>
  <c r="I134" i="28"/>
  <c r="I136" i="26"/>
  <c r="I136" i="27"/>
  <c r="I136" i="25"/>
  <c r="I136" i="24"/>
  <c r="I135" i="23"/>
  <c r="F136" i="11"/>
  <c r="F135" i="28"/>
  <c r="F137" i="27"/>
  <c r="F137" i="26"/>
  <c r="F137" i="25"/>
  <c r="F137" i="24"/>
  <c r="F136" i="23"/>
  <c r="G136" i="28"/>
  <c r="G138" i="27"/>
  <c r="G138" i="26"/>
  <c r="G138" i="25"/>
  <c r="G138" i="24"/>
  <c r="G137" i="23"/>
  <c r="D137" i="28"/>
  <c r="D139" i="27"/>
  <c r="D139" i="25"/>
  <c r="D139" i="24"/>
  <c r="D139" i="26"/>
  <c r="D138" i="23"/>
  <c r="H137" i="28"/>
  <c r="H139" i="27"/>
  <c r="H139" i="26"/>
  <c r="H139" i="25"/>
  <c r="H139" i="24"/>
  <c r="H138" i="23"/>
  <c r="G146" i="28"/>
  <c r="G148" i="27"/>
  <c r="G148" i="26"/>
  <c r="G148" i="25"/>
  <c r="G148" i="24"/>
  <c r="G147" i="23"/>
  <c r="E150" i="20"/>
  <c r="D147" i="28"/>
  <c r="D149" i="27"/>
  <c r="D149" i="26"/>
  <c r="D149" i="25"/>
  <c r="D149" i="24"/>
  <c r="D148" i="23"/>
  <c r="H147" i="28"/>
  <c r="H149" i="27"/>
  <c r="H149" i="26"/>
  <c r="H149" i="25"/>
  <c r="H149" i="24"/>
  <c r="H148" i="23"/>
  <c r="E149" i="28"/>
  <c r="E151" i="26"/>
  <c r="E151" i="27"/>
  <c r="E151" i="25"/>
  <c r="E151" i="24"/>
  <c r="E150" i="23"/>
  <c r="I149" i="28"/>
  <c r="I151" i="27"/>
  <c r="I151" i="26"/>
  <c r="I151" i="25"/>
  <c r="I151" i="24"/>
  <c r="I150" i="23"/>
  <c r="F150" i="28"/>
  <c r="F152" i="27"/>
  <c r="F152" i="26"/>
  <c r="F152" i="25"/>
  <c r="F152" i="24"/>
  <c r="F151" i="23"/>
  <c r="F149" i="11"/>
  <c r="F148" i="28"/>
  <c r="F150" i="27"/>
  <c r="F150" i="26"/>
  <c r="F150" i="25"/>
  <c r="F150" i="24"/>
  <c r="F149" i="23"/>
  <c r="G152" i="28"/>
  <c r="G154" i="27"/>
  <c r="G154" i="26"/>
  <c r="G154" i="25"/>
  <c r="G154" i="24"/>
  <c r="G153" i="23"/>
  <c r="E156" i="20"/>
  <c r="D153" i="28"/>
  <c r="D155" i="27"/>
  <c r="D155" i="26"/>
  <c r="D155" i="25"/>
  <c r="D155" i="24"/>
  <c r="D154" i="23"/>
  <c r="H153" i="28"/>
  <c r="H155" i="27"/>
  <c r="H155" i="26"/>
  <c r="H155" i="25"/>
  <c r="H155" i="24"/>
  <c r="H154" i="23"/>
  <c r="E155" i="28"/>
  <c r="E157" i="27"/>
  <c r="E157" i="26"/>
  <c r="E157" i="24"/>
  <c r="E157" i="25"/>
  <c r="E156" i="23"/>
  <c r="I155" i="28"/>
  <c r="I157" i="27"/>
  <c r="I157" i="26"/>
  <c r="I157" i="24"/>
  <c r="I157" i="25"/>
  <c r="I156" i="23"/>
  <c r="F156" i="28"/>
  <c r="F158" i="27"/>
  <c r="F158" i="26"/>
  <c r="F158" i="25"/>
  <c r="F158" i="24"/>
  <c r="F157" i="23"/>
  <c r="F154" i="28"/>
  <c r="F156" i="27"/>
  <c r="F156" i="26"/>
  <c r="F156" i="25"/>
  <c r="F156" i="24"/>
  <c r="F155" i="23"/>
  <c r="G159" i="28"/>
  <c r="G161" i="27"/>
  <c r="G161" i="26"/>
  <c r="G161" i="25"/>
  <c r="G161" i="24"/>
  <c r="G160" i="23"/>
  <c r="E163" i="20"/>
  <c r="D160" i="28"/>
  <c r="D162" i="27"/>
  <c r="D162" i="26"/>
  <c r="D162" i="25"/>
  <c r="D162" i="24"/>
  <c r="D161" i="23"/>
  <c r="H160" i="28"/>
  <c r="H162" i="27"/>
  <c r="H162" i="26"/>
  <c r="H162" i="25"/>
  <c r="H162" i="24"/>
  <c r="H161" i="23"/>
  <c r="E161" i="28"/>
  <c r="E163" i="27"/>
  <c r="E163" i="26"/>
  <c r="E163" i="25"/>
  <c r="E163" i="24"/>
  <c r="E162" i="23"/>
  <c r="I161" i="28"/>
  <c r="I163" i="27"/>
  <c r="I163" i="26"/>
  <c r="I163" i="25"/>
  <c r="I163" i="24"/>
  <c r="I162" i="23"/>
  <c r="F162" i="28"/>
  <c r="F164" i="27"/>
  <c r="F164" i="25"/>
  <c r="F164" i="26"/>
  <c r="F164" i="24"/>
  <c r="F163" i="23"/>
  <c r="G163" i="28"/>
  <c r="G165" i="27"/>
  <c r="G165" i="26"/>
  <c r="G165" i="25"/>
  <c r="G165" i="24"/>
  <c r="G164" i="23"/>
  <c r="E174" i="20"/>
  <c r="D171" i="28"/>
  <c r="D173" i="27"/>
  <c r="D173" i="26"/>
  <c r="D173" i="25"/>
  <c r="D173" i="24"/>
  <c r="D172" i="23"/>
  <c r="H171" i="28"/>
  <c r="H173" i="27"/>
  <c r="H173" i="26"/>
  <c r="H173" i="25"/>
  <c r="H173" i="24"/>
  <c r="H172" i="23"/>
  <c r="E172" i="28"/>
  <c r="E174" i="26"/>
  <c r="E174" i="27"/>
  <c r="E174" i="25"/>
  <c r="E174" i="24"/>
  <c r="E173" i="23"/>
  <c r="I172" i="28"/>
  <c r="I174" i="26"/>
  <c r="I174" i="27"/>
  <c r="I174" i="25"/>
  <c r="I174" i="24"/>
  <c r="I173" i="23"/>
  <c r="G176" i="20"/>
  <c r="F173" i="28"/>
  <c r="F175" i="27"/>
  <c r="F175" i="26"/>
  <c r="F175" i="25"/>
  <c r="F175" i="24"/>
  <c r="F174" i="23"/>
  <c r="G175" i="11"/>
  <c r="G174" i="28"/>
  <c r="G176" i="27"/>
  <c r="G176" i="26"/>
  <c r="G176" i="24"/>
  <c r="G176" i="25"/>
  <c r="G175" i="23"/>
  <c r="D175" i="28"/>
  <c r="D177" i="27"/>
  <c r="D177" i="26"/>
  <c r="D177" i="25"/>
  <c r="D177" i="24"/>
  <c r="D176" i="23"/>
  <c r="H175" i="28"/>
  <c r="H177" i="27"/>
  <c r="H177" i="25"/>
  <c r="H177" i="26"/>
  <c r="H177" i="24"/>
  <c r="H176" i="23"/>
  <c r="E176" i="28"/>
  <c r="E178" i="26"/>
  <c r="E178" i="27"/>
  <c r="E178" i="24"/>
  <c r="E178" i="25"/>
  <c r="E177" i="23"/>
  <c r="I176" i="28"/>
  <c r="I178" i="26"/>
  <c r="I178" i="27"/>
  <c r="I178" i="24"/>
  <c r="I178" i="25"/>
  <c r="I177" i="23"/>
  <c r="F177" i="28"/>
  <c r="F179" i="27"/>
  <c r="F179" i="26"/>
  <c r="F179" i="24"/>
  <c r="F179" i="25"/>
  <c r="F178" i="23"/>
  <c r="G178" i="28"/>
  <c r="G180" i="27"/>
  <c r="G180" i="26"/>
  <c r="G180" i="24"/>
  <c r="G180" i="25"/>
  <c r="G179" i="23"/>
  <c r="C10" i="28"/>
  <c r="C11" i="27"/>
  <c r="C12" i="25"/>
  <c r="C11" i="26"/>
  <c r="C11" i="24"/>
  <c r="AO11" i="2"/>
  <c r="AK11" i="2"/>
  <c r="AN11" i="2"/>
  <c r="U11" i="25"/>
  <c r="X11" i="25" s="1"/>
  <c r="AI11" i="2"/>
  <c r="R47" i="24"/>
  <c r="R105" i="23"/>
  <c r="AI112" i="2"/>
  <c r="AO112" i="2"/>
  <c r="AK112" i="2"/>
  <c r="AN112" i="2"/>
  <c r="AM112" i="2"/>
  <c r="U112" i="25"/>
  <c r="X112" i="25" s="1"/>
  <c r="R176" i="23"/>
  <c r="C13" i="28"/>
  <c r="C14" i="27"/>
  <c r="C15" i="25"/>
  <c r="C14" i="26"/>
  <c r="C14" i="24"/>
  <c r="AO18" i="2"/>
  <c r="AK18" i="2"/>
  <c r="AN18" i="2"/>
  <c r="U18" i="25"/>
  <c r="X18" i="25" s="1"/>
  <c r="AI18" i="2"/>
  <c r="C28" i="28"/>
  <c r="C29" i="27"/>
  <c r="C30" i="25"/>
  <c r="C29" i="26"/>
  <c r="C29" i="24"/>
  <c r="D78" i="20"/>
  <c r="C76" i="28"/>
  <c r="C78" i="27"/>
  <c r="C78" i="26"/>
  <c r="C78" i="25"/>
  <c r="C78" i="24"/>
  <c r="C77" i="23"/>
  <c r="R106" i="23"/>
  <c r="R157" i="23"/>
  <c r="AI164" i="2"/>
  <c r="AN164" i="2"/>
  <c r="AK164" i="2"/>
  <c r="AO164" i="2"/>
  <c r="AL164" i="2"/>
  <c r="U163" i="25"/>
  <c r="X163" i="25" s="1"/>
  <c r="C42" i="11"/>
  <c r="C42" i="28"/>
  <c r="C43" i="27"/>
  <c r="C43" i="26"/>
  <c r="C44" i="25"/>
  <c r="C43" i="24"/>
  <c r="C43" i="23"/>
  <c r="D103" i="20"/>
  <c r="C101" i="28"/>
  <c r="C103" i="27"/>
  <c r="C103" i="26"/>
  <c r="C103" i="25"/>
  <c r="C103" i="24"/>
  <c r="C102" i="23"/>
  <c r="D137" i="20"/>
  <c r="C134" i="28"/>
  <c r="C136" i="27"/>
  <c r="C136" i="26"/>
  <c r="C136" i="25"/>
  <c r="C136" i="24"/>
  <c r="C135" i="23"/>
  <c r="D155" i="20"/>
  <c r="C152" i="28"/>
  <c r="C154" i="27"/>
  <c r="C154" i="26"/>
  <c r="C154" i="24"/>
  <c r="C154" i="25"/>
  <c r="C153" i="23"/>
  <c r="D8" i="28"/>
  <c r="D9" i="27"/>
  <c r="D10" i="25"/>
  <c r="D9" i="26"/>
  <c r="D9" i="24"/>
  <c r="E9" i="28"/>
  <c r="E10" i="27"/>
  <c r="E11" i="25"/>
  <c r="E10" i="26"/>
  <c r="E10" i="24"/>
  <c r="F10" i="28"/>
  <c r="F11" i="27"/>
  <c r="F11" i="26"/>
  <c r="F11" i="24"/>
  <c r="F12" i="25"/>
  <c r="D12" i="28"/>
  <c r="D13" i="27"/>
  <c r="D14" i="25"/>
  <c r="D13" i="26"/>
  <c r="D13" i="24"/>
  <c r="E14" i="23"/>
  <c r="E13" i="28"/>
  <c r="E14" i="27"/>
  <c r="E15" i="25"/>
  <c r="E14" i="26"/>
  <c r="E14" i="24"/>
  <c r="E14" i="28"/>
  <c r="E15" i="27"/>
  <c r="E16" i="25"/>
  <c r="E15" i="26"/>
  <c r="E15" i="24"/>
  <c r="E15" i="28"/>
  <c r="E16" i="27"/>
  <c r="E17" i="25"/>
  <c r="E16" i="26"/>
  <c r="E16" i="24"/>
  <c r="F17" i="23"/>
  <c r="F16" i="28"/>
  <c r="F17" i="27"/>
  <c r="F17" i="26"/>
  <c r="F17" i="24"/>
  <c r="F18" i="25"/>
  <c r="D19" i="23"/>
  <c r="D18" i="28"/>
  <c r="D19" i="27"/>
  <c r="D20" i="25"/>
  <c r="D19" i="26"/>
  <c r="D19" i="24"/>
  <c r="H20" i="23"/>
  <c r="H19" i="28"/>
  <c r="H20" i="27"/>
  <c r="H20" i="26"/>
  <c r="H21" i="25"/>
  <c r="H20" i="24"/>
  <c r="E22" i="23"/>
  <c r="E21" i="28"/>
  <c r="E22" i="27"/>
  <c r="E23" i="25"/>
  <c r="E22" i="26"/>
  <c r="E22" i="24"/>
  <c r="I23" i="23"/>
  <c r="I22" i="28"/>
  <c r="I23" i="27"/>
  <c r="I24" i="25"/>
  <c r="I23" i="26"/>
  <c r="I23" i="24"/>
  <c r="F25" i="23"/>
  <c r="F24" i="28"/>
  <c r="F25" i="27"/>
  <c r="F25" i="26"/>
  <c r="F25" i="24"/>
  <c r="F26" i="25"/>
  <c r="D26" i="28"/>
  <c r="D27" i="27"/>
  <c r="D28" i="25"/>
  <c r="D27" i="26"/>
  <c r="D27" i="24"/>
  <c r="I28" i="23"/>
  <c r="I27" i="28"/>
  <c r="I28" i="27"/>
  <c r="I29" i="25"/>
  <c r="I28" i="26"/>
  <c r="I28" i="24"/>
  <c r="G30" i="23"/>
  <c r="G29" i="28"/>
  <c r="G30" i="27"/>
  <c r="G31" i="25"/>
  <c r="G30" i="26"/>
  <c r="G30" i="24"/>
  <c r="E32" i="28"/>
  <c r="E33" i="27"/>
  <c r="E34" i="25"/>
  <c r="E33" i="26"/>
  <c r="E33" i="24"/>
  <c r="E33" i="23"/>
  <c r="D35" i="28"/>
  <c r="D36" i="27"/>
  <c r="D37" i="25"/>
  <c r="D36" i="26"/>
  <c r="D36" i="24"/>
  <c r="D36" i="23"/>
  <c r="I36" i="28"/>
  <c r="I37" i="27"/>
  <c r="I38" i="25"/>
  <c r="I37" i="26"/>
  <c r="I37" i="24"/>
  <c r="I37" i="23"/>
  <c r="G39" i="28"/>
  <c r="G40" i="27"/>
  <c r="G40" i="26"/>
  <c r="G41" i="25"/>
  <c r="G40" i="24"/>
  <c r="G40" i="23"/>
  <c r="E41" i="28"/>
  <c r="E42" i="27"/>
  <c r="E42" i="26"/>
  <c r="E43" i="25"/>
  <c r="E42" i="24"/>
  <c r="E42" i="23"/>
  <c r="G42" i="28"/>
  <c r="G43" i="27"/>
  <c r="G43" i="26"/>
  <c r="G44" i="25"/>
  <c r="G43" i="24"/>
  <c r="G43" i="23"/>
  <c r="F48" i="20"/>
  <c r="E46" i="28"/>
  <c r="E47" i="27"/>
  <c r="E47" i="26"/>
  <c r="E48" i="25"/>
  <c r="E47" i="24"/>
  <c r="E47" i="23"/>
  <c r="G49" i="28"/>
  <c r="G50" i="27"/>
  <c r="G50" i="26"/>
  <c r="G51" i="25"/>
  <c r="G50" i="24"/>
  <c r="G50" i="23"/>
  <c r="E53" i="20"/>
  <c r="D51" i="28"/>
  <c r="D52" i="27"/>
  <c r="D53" i="25"/>
  <c r="D52" i="26"/>
  <c r="D52" i="24"/>
  <c r="D52" i="23"/>
  <c r="I52" i="28"/>
  <c r="I53" i="27"/>
  <c r="I53" i="26"/>
  <c r="I54" i="25"/>
  <c r="I53" i="24"/>
  <c r="I53" i="23"/>
  <c r="F55" i="28"/>
  <c r="F56" i="27"/>
  <c r="F56" i="26"/>
  <c r="F57" i="25"/>
  <c r="F56" i="24"/>
  <c r="F56" i="23"/>
  <c r="C61" i="28"/>
  <c r="C62" i="27"/>
  <c r="C62" i="26"/>
  <c r="C63" i="25"/>
  <c r="C62" i="24"/>
  <c r="C62" i="23"/>
  <c r="H62" i="28"/>
  <c r="H63" i="27"/>
  <c r="H63" i="26"/>
  <c r="H64" i="25"/>
  <c r="H63" i="24"/>
  <c r="H63" i="23"/>
  <c r="G64" i="28"/>
  <c r="G65" i="27"/>
  <c r="G65" i="26"/>
  <c r="G66" i="25"/>
  <c r="G65" i="24"/>
  <c r="G65" i="23"/>
  <c r="E69" i="20"/>
  <c r="D67" i="28"/>
  <c r="D68" i="27"/>
  <c r="D68" i="26"/>
  <c r="D69" i="25"/>
  <c r="D68" i="24"/>
  <c r="D68" i="23"/>
  <c r="I68" i="28"/>
  <c r="I69" i="27"/>
  <c r="I69" i="26"/>
  <c r="I70" i="25"/>
  <c r="I69" i="24"/>
  <c r="I69" i="23"/>
  <c r="G74" i="27"/>
  <c r="G74" i="26"/>
  <c r="G74" i="24"/>
  <c r="E74" i="11"/>
  <c r="E74" i="28"/>
  <c r="E76" i="27"/>
  <c r="E76" i="26"/>
  <c r="E76" i="24"/>
  <c r="E76" i="25"/>
  <c r="E75" i="23"/>
  <c r="F75" i="28"/>
  <c r="F77" i="27"/>
  <c r="F77" i="26"/>
  <c r="F77" i="25"/>
  <c r="F77" i="24"/>
  <c r="F76" i="23"/>
  <c r="D78" i="28"/>
  <c r="D80" i="27"/>
  <c r="D80" i="26"/>
  <c r="D80" i="24"/>
  <c r="D80" i="25"/>
  <c r="D79" i="23"/>
  <c r="H85" i="28"/>
  <c r="H87" i="27"/>
  <c r="H87" i="26"/>
  <c r="H87" i="25"/>
  <c r="H87" i="24"/>
  <c r="H86" i="23"/>
  <c r="G89" i="20"/>
  <c r="F87" i="28"/>
  <c r="F89" i="27"/>
  <c r="F89" i="26"/>
  <c r="F89" i="25"/>
  <c r="F89" i="24"/>
  <c r="F88" i="23"/>
  <c r="D89" i="11"/>
  <c r="D89" i="28"/>
  <c r="D91" i="27"/>
  <c r="D91" i="26"/>
  <c r="D91" i="25"/>
  <c r="D91" i="24"/>
  <c r="D90" i="23"/>
  <c r="I91" i="28"/>
  <c r="I93" i="27"/>
  <c r="I93" i="26"/>
  <c r="I93" i="25"/>
  <c r="I93" i="24"/>
  <c r="I92" i="23"/>
  <c r="E96" i="20"/>
  <c r="D94" i="28"/>
  <c r="D96" i="27"/>
  <c r="D96" i="26"/>
  <c r="D96" i="25"/>
  <c r="D96" i="24"/>
  <c r="D95" i="23"/>
  <c r="E95" i="11"/>
  <c r="E95" i="28"/>
  <c r="E97" i="27"/>
  <c r="E97" i="26"/>
  <c r="E97" i="25"/>
  <c r="E97" i="24"/>
  <c r="E96" i="23"/>
  <c r="E96" i="28"/>
  <c r="E98" i="27"/>
  <c r="E98" i="26"/>
  <c r="E98" i="25"/>
  <c r="E98" i="24"/>
  <c r="E97" i="23"/>
  <c r="C8" i="28"/>
  <c r="C9" i="27"/>
  <c r="C10" i="25"/>
  <c r="C9" i="26"/>
  <c r="C9" i="24"/>
  <c r="AI37" i="2"/>
  <c r="AN37" i="2"/>
  <c r="AO37" i="2"/>
  <c r="AK37" i="2"/>
  <c r="AL37" i="2"/>
  <c r="U37" i="25"/>
  <c r="X37" i="25" s="1"/>
  <c r="AL38" i="2"/>
  <c r="AO38" i="2"/>
  <c r="AN38" i="2"/>
  <c r="AK38" i="2"/>
  <c r="U38" i="25"/>
  <c r="X38" i="25" s="1"/>
  <c r="AI38" i="2"/>
  <c r="C46" i="11"/>
  <c r="C46" i="28"/>
  <c r="C47" i="27"/>
  <c r="C47" i="26"/>
  <c r="C48" i="25"/>
  <c r="C47" i="24"/>
  <c r="C47" i="23"/>
  <c r="R64" i="23"/>
  <c r="C75" i="11"/>
  <c r="C75" i="28"/>
  <c r="C77" i="27"/>
  <c r="C77" i="26"/>
  <c r="C77" i="24"/>
  <c r="C77" i="25"/>
  <c r="C76" i="23"/>
  <c r="C81" i="11"/>
  <c r="C81" i="28"/>
  <c r="C83" i="27"/>
  <c r="C83" i="26"/>
  <c r="C83" i="25"/>
  <c r="C83" i="24"/>
  <c r="C82" i="23"/>
  <c r="AO91" i="2"/>
  <c r="AK91" i="2"/>
  <c r="AN91" i="2"/>
  <c r="AL91" i="2"/>
  <c r="U91" i="25"/>
  <c r="X91" i="25" s="1"/>
  <c r="AI91" i="2"/>
  <c r="R96" i="23"/>
  <c r="AI106" i="2"/>
  <c r="AM106" i="2"/>
  <c r="AO106" i="2"/>
  <c r="AN106" i="2"/>
  <c r="AK106" i="2"/>
  <c r="U106" i="25"/>
  <c r="X106" i="25" s="1"/>
  <c r="R111" i="23"/>
  <c r="AO118" i="2"/>
  <c r="AK118" i="2"/>
  <c r="AN118" i="2"/>
  <c r="AL118" i="2"/>
  <c r="U118" i="25"/>
  <c r="X118" i="25" s="1"/>
  <c r="AI118" i="2"/>
  <c r="R150" i="23"/>
  <c r="AI158" i="2"/>
  <c r="AN158" i="2"/>
  <c r="AM158" i="2"/>
  <c r="AO158" i="2"/>
  <c r="AL158" i="2"/>
  <c r="U157" i="25"/>
  <c r="X157" i="25" s="1"/>
  <c r="AI178" i="2"/>
  <c r="AN178" i="2"/>
  <c r="AM178" i="2"/>
  <c r="AK178" i="2"/>
  <c r="AO178" i="2"/>
  <c r="U177" i="25"/>
  <c r="X177" i="25" s="1"/>
  <c r="AN13" i="2"/>
  <c r="AK13" i="2"/>
  <c r="AO13" i="2"/>
  <c r="U13" i="25"/>
  <c r="X13" i="25" s="1"/>
  <c r="AI13" i="2"/>
  <c r="C17" i="28"/>
  <c r="C18" i="27"/>
  <c r="C19" i="25"/>
  <c r="C18" i="26"/>
  <c r="C18" i="24"/>
  <c r="AN20" i="2"/>
  <c r="AK20" i="2"/>
  <c r="AO20" i="2"/>
  <c r="U20" i="25"/>
  <c r="X20" i="25" s="1"/>
  <c r="AI20" i="2"/>
  <c r="D49" i="20"/>
  <c r="C47" i="28"/>
  <c r="C48" i="27"/>
  <c r="C49" i="25"/>
  <c r="C48" i="26"/>
  <c r="C48" i="24"/>
  <c r="C48" i="23"/>
  <c r="AI53" i="2"/>
  <c r="AN53" i="2"/>
  <c r="AM53" i="2"/>
  <c r="AK53" i="2"/>
  <c r="AO53" i="2"/>
  <c r="U53" i="25"/>
  <c r="X53" i="25" s="1"/>
  <c r="AI60" i="2"/>
  <c r="AM60" i="2"/>
  <c r="AK60" i="2"/>
  <c r="AO60" i="2"/>
  <c r="AN60" i="2"/>
  <c r="U60" i="25"/>
  <c r="X60" i="25" s="1"/>
  <c r="C64" i="28"/>
  <c r="C65" i="27"/>
  <c r="C65" i="26"/>
  <c r="C66" i="25"/>
  <c r="C65" i="24"/>
  <c r="C65" i="23"/>
  <c r="R69" i="23"/>
  <c r="P78" i="26"/>
  <c r="R78" i="26" s="1"/>
  <c r="R97" i="23"/>
  <c r="AI107" i="2"/>
  <c r="AO107" i="2"/>
  <c r="AK107" i="2"/>
  <c r="AM107" i="2"/>
  <c r="AN107" i="2"/>
  <c r="U107" i="25"/>
  <c r="X107" i="25" s="1"/>
  <c r="R112" i="23"/>
  <c r="AN119" i="2"/>
  <c r="AO119" i="2"/>
  <c r="AK119" i="2"/>
  <c r="AL119" i="2"/>
  <c r="U119" i="25"/>
  <c r="X119" i="25" s="1"/>
  <c r="AI119" i="2"/>
  <c r="R151" i="23"/>
  <c r="AI159" i="2"/>
  <c r="AM159" i="2"/>
  <c r="AL159" i="2"/>
  <c r="AO159" i="2"/>
  <c r="AN159" i="2"/>
  <c r="U158" i="25"/>
  <c r="X158" i="25" s="1"/>
  <c r="R177" i="23"/>
  <c r="C21" i="28"/>
  <c r="C22" i="27"/>
  <c r="C23" i="25"/>
  <c r="C22" i="26"/>
  <c r="C22" i="24"/>
  <c r="AO26" i="2"/>
  <c r="AK26" i="2"/>
  <c r="AN26" i="2"/>
  <c r="U26" i="25"/>
  <c r="X26" i="25" s="1"/>
  <c r="AI26" i="2"/>
  <c r="C30" i="28"/>
  <c r="C31" i="27"/>
  <c r="C32" i="25"/>
  <c r="C31" i="26"/>
  <c r="C31" i="24"/>
  <c r="D35" i="20"/>
  <c r="C33" i="28"/>
  <c r="C34" i="27"/>
  <c r="C35" i="25"/>
  <c r="C34" i="26"/>
  <c r="C34" i="24"/>
  <c r="C34" i="23"/>
  <c r="C40" i="28"/>
  <c r="C41" i="27"/>
  <c r="C41" i="26"/>
  <c r="C42" i="25"/>
  <c r="C41" i="24"/>
  <c r="C41" i="23"/>
  <c r="R39" i="24"/>
  <c r="C49" i="11"/>
  <c r="C49" i="28"/>
  <c r="C50" i="27"/>
  <c r="C50" i="26"/>
  <c r="C51" i="25"/>
  <c r="C50" i="24"/>
  <c r="C50" i="23"/>
  <c r="C74" i="27"/>
  <c r="C74" i="26"/>
  <c r="C74" i="24"/>
  <c r="C91" i="11"/>
  <c r="C91" i="28"/>
  <c r="C93" i="27"/>
  <c r="C93" i="26"/>
  <c r="C93" i="25"/>
  <c r="C93" i="24"/>
  <c r="C92" i="23"/>
  <c r="D109" i="20"/>
  <c r="C107" i="28"/>
  <c r="C109" i="27"/>
  <c r="C109" i="26"/>
  <c r="C109" i="25"/>
  <c r="C109" i="24"/>
  <c r="C108" i="23"/>
  <c r="D149" i="20"/>
  <c r="C146" i="28"/>
  <c r="C148" i="27"/>
  <c r="C148" i="26"/>
  <c r="C148" i="25"/>
  <c r="C148" i="24"/>
  <c r="C147" i="23"/>
  <c r="C160" i="11"/>
  <c r="C159" i="28"/>
  <c r="C161" i="27"/>
  <c r="C161" i="26"/>
  <c r="C161" i="25"/>
  <c r="C161" i="24"/>
  <c r="C160" i="23"/>
  <c r="C173" i="11"/>
  <c r="C172" i="28"/>
  <c r="C174" i="27"/>
  <c r="C174" i="26"/>
  <c r="C174" i="24"/>
  <c r="C174" i="25"/>
  <c r="C173" i="23"/>
  <c r="F9" i="23"/>
  <c r="F8" i="28"/>
  <c r="F9" i="27"/>
  <c r="F9" i="26"/>
  <c r="F9" i="24"/>
  <c r="F10" i="25"/>
  <c r="G10" i="23"/>
  <c r="G9" i="28"/>
  <c r="G10" i="27"/>
  <c r="G11" i="25"/>
  <c r="G10" i="26"/>
  <c r="G10" i="24"/>
  <c r="D10" i="28"/>
  <c r="D11" i="27"/>
  <c r="D12" i="25"/>
  <c r="D11" i="26"/>
  <c r="D11" i="24"/>
  <c r="H10" i="28"/>
  <c r="H11" i="27"/>
  <c r="H12" i="25"/>
  <c r="H11" i="26"/>
  <c r="H11" i="24"/>
  <c r="E12" i="23"/>
  <c r="E11" i="28"/>
  <c r="E12" i="27"/>
  <c r="E13" i="25"/>
  <c r="E12" i="26"/>
  <c r="E12" i="24"/>
  <c r="I12" i="23"/>
  <c r="I11" i="28"/>
  <c r="I12" i="27"/>
  <c r="I13" i="25"/>
  <c r="I12" i="26"/>
  <c r="I12" i="24"/>
  <c r="F12" i="28"/>
  <c r="F13" i="27"/>
  <c r="F13" i="26"/>
  <c r="F13" i="24"/>
  <c r="F14" i="25"/>
  <c r="G13" i="28"/>
  <c r="G14" i="27"/>
  <c r="G15" i="25"/>
  <c r="G14" i="26"/>
  <c r="G14" i="24"/>
  <c r="C14" i="28"/>
  <c r="C15" i="27"/>
  <c r="C16" i="25"/>
  <c r="C15" i="26"/>
  <c r="C15" i="24"/>
  <c r="G14" i="28"/>
  <c r="G15" i="27"/>
  <c r="G16" i="25"/>
  <c r="G15" i="26"/>
  <c r="G15" i="24"/>
  <c r="C15" i="28"/>
  <c r="C16" i="27"/>
  <c r="C17" i="25"/>
  <c r="C16" i="26"/>
  <c r="C16" i="24"/>
  <c r="G16" i="23"/>
  <c r="G15" i="28"/>
  <c r="G16" i="27"/>
  <c r="G17" i="25"/>
  <c r="G16" i="26"/>
  <c r="G16" i="24"/>
  <c r="D16" i="28"/>
  <c r="D17" i="27"/>
  <c r="D18" i="25"/>
  <c r="D17" i="26"/>
  <c r="D17" i="24"/>
  <c r="H16" i="28"/>
  <c r="H17" i="27"/>
  <c r="H18" i="25"/>
  <c r="H17" i="26"/>
  <c r="H17" i="24"/>
  <c r="E17" i="28"/>
  <c r="E18" i="27"/>
  <c r="E19" i="25"/>
  <c r="E18" i="26"/>
  <c r="E18" i="24"/>
  <c r="I17" i="28"/>
  <c r="I18" i="27"/>
  <c r="I19" i="25"/>
  <c r="I18" i="26"/>
  <c r="I18" i="24"/>
  <c r="F18" i="28"/>
  <c r="F19" i="27"/>
  <c r="F19" i="26"/>
  <c r="F19" i="24"/>
  <c r="F20" i="25"/>
  <c r="F19" i="28"/>
  <c r="F20" i="27"/>
  <c r="F21" i="25"/>
  <c r="F20" i="26"/>
  <c r="F20" i="24"/>
  <c r="F20" i="28"/>
  <c r="F21" i="27"/>
  <c r="F21" i="26"/>
  <c r="F21" i="24"/>
  <c r="F22" i="25"/>
  <c r="G21" i="28"/>
  <c r="G22" i="27"/>
  <c r="G23" i="25"/>
  <c r="G22" i="26"/>
  <c r="G22" i="24"/>
  <c r="C22" i="28"/>
  <c r="C23" i="27"/>
  <c r="C24" i="25"/>
  <c r="C23" i="26"/>
  <c r="C23" i="24"/>
  <c r="G22" i="28"/>
  <c r="G23" i="27"/>
  <c r="G24" i="25"/>
  <c r="G23" i="26"/>
  <c r="G23" i="24"/>
  <c r="C23" i="28"/>
  <c r="C24" i="27"/>
  <c r="C25" i="25"/>
  <c r="C24" i="26"/>
  <c r="C24" i="24"/>
  <c r="G23" i="28"/>
  <c r="G24" i="27"/>
  <c r="G25" i="25"/>
  <c r="G24" i="26"/>
  <c r="G24" i="24"/>
  <c r="D24" i="28"/>
  <c r="D25" i="27"/>
  <c r="D26" i="25"/>
  <c r="D25" i="26"/>
  <c r="D25" i="24"/>
  <c r="H24" i="28"/>
  <c r="H25" i="27"/>
  <c r="H26" i="25"/>
  <c r="H25" i="26"/>
  <c r="H25" i="24"/>
  <c r="E25" i="28"/>
  <c r="E26" i="27"/>
  <c r="E27" i="25"/>
  <c r="E26" i="26"/>
  <c r="E26" i="24"/>
  <c r="I25" i="28"/>
  <c r="I26" i="27"/>
  <c r="I27" i="25"/>
  <c r="I26" i="26"/>
  <c r="I26" i="24"/>
  <c r="F27" i="23"/>
  <c r="F26" i="28"/>
  <c r="F27" i="27"/>
  <c r="F27" i="26"/>
  <c r="F27" i="24"/>
  <c r="F28" i="25"/>
  <c r="G28" i="23"/>
  <c r="G27" i="28"/>
  <c r="G28" i="27"/>
  <c r="G29" i="25"/>
  <c r="G28" i="26"/>
  <c r="G28" i="24"/>
  <c r="E29" i="23"/>
  <c r="E28" i="28"/>
  <c r="E29" i="27"/>
  <c r="E30" i="25"/>
  <c r="E29" i="26"/>
  <c r="E29" i="24"/>
  <c r="I29" i="23"/>
  <c r="I28" i="28"/>
  <c r="I29" i="27"/>
  <c r="I30" i="25"/>
  <c r="I29" i="26"/>
  <c r="I29" i="24"/>
  <c r="E30" i="23"/>
  <c r="E29" i="28"/>
  <c r="E30" i="27"/>
  <c r="E31" i="25"/>
  <c r="E30" i="26"/>
  <c r="E30" i="24"/>
  <c r="I29" i="28"/>
  <c r="I30" i="27"/>
  <c r="I31" i="25"/>
  <c r="I30" i="26"/>
  <c r="I30" i="24"/>
  <c r="F30" i="28"/>
  <c r="F31" i="27"/>
  <c r="F31" i="26"/>
  <c r="F31" i="24"/>
  <c r="F32" i="25"/>
  <c r="H34" i="20"/>
  <c r="G32" i="28"/>
  <c r="G33" i="27"/>
  <c r="G33" i="26"/>
  <c r="G33" i="24"/>
  <c r="G34" i="25"/>
  <c r="G33" i="23"/>
  <c r="E35" i="20"/>
  <c r="D33" i="28"/>
  <c r="D34" i="27"/>
  <c r="D35" i="25"/>
  <c r="D34" i="26"/>
  <c r="D34" i="24"/>
  <c r="D34" i="23"/>
  <c r="I35" i="20"/>
  <c r="H33" i="28"/>
  <c r="H34" i="27"/>
  <c r="H35" i="25"/>
  <c r="H34" i="26"/>
  <c r="H34" i="24"/>
  <c r="H34" i="23"/>
  <c r="E34" i="11"/>
  <c r="E34" i="28"/>
  <c r="E35" i="27"/>
  <c r="E36" i="25"/>
  <c r="E35" i="26"/>
  <c r="E35" i="24"/>
  <c r="E35" i="23"/>
  <c r="I34" i="28"/>
  <c r="I35" i="27"/>
  <c r="I36" i="25"/>
  <c r="I35" i="26"/>
  <c r="I35" i="24"/>
  <c r="I35" i="23"/>
  <c r="G37" i="20"/>
  <c r="F35" i="28"/>
  <c r="F36" i="27"/>
  <c r="F37" i="25"/>
  <c r="F36" i="26"/>
  <c r="F36" i="24"/>
  <c r="F36" i="23"/>
  <c r="H38" i="20"/>
  <c r="G36" i="28"/>
  <c r="G37" i="27"/>
  <c r="G37" i="26"/>
  <c r="G37" i="24"/>
  <c r="G38" i="25"/>
  <c r="G37" i="23"/>
  <c r="D38" i="28"/>
  <c r="D39" i="27"/>
  <c r="D40" i="25"/>
  <c r="D39" i="26"/>
  <c r="D39" i="24"/>
  <c r="D39" i="23"/>
  <c r="H38" i="28"/>
  <c r="H39" i="27"/>
  <c r="H40" i="25"/>
  <c r="H39" i="26"/>
  <c r="H39" i="24"/>
  <c r="H39" i="23"/>
  <c r="E39" i="28"/>
  <c r="E40" i="27"/>
  <c r="E40" i="26"/>
  <c r="E41" i="25"/>
  <c r="E40" i="24"/>
  <c r="E40" i="23"/>
  <c r="I39" i="28"/>
  <c r="I40" i="27"/>
  <c r="I40" i="26"/>
  <c r="I41" i="25"/>
  <c r="I40" i="24"/>
  <c r="I40" i="23"/>
  <c r="F40" i="28"/>
  <c r="F41" i="27"/>
  <c r="F41" i="26"/>
  <c r="F41" i="24"/>
  <c r="F42" i="25"/>
  <c r="F41" i="23"/>
  <c r="G41" i="28"/>
  <c r="G42" i="27"/>
  <c r="G42" i="26"/>
  <c r="G43" i="25"/>
  <c r="G42" i="24"/>
  <c r="G42" i="23"/>
  <c r="E42" i="28"/>
  <c r="E43" i="27"/>
  <c r="E43" i="26"/>
  <c r="E44" i="25"/>
  <c r="E43" i="24"/>
  <c r="E43" i="23"/>
  <c r="I42" i="28"/>
  <c r="I43" i="27"/>
  <c r="I43" i="26"/>
  <c r="I44" i="25"/>
  <c r="I43" i="24"/>
  <c r="I43" i="23"/>
  <c r="G47" i="20"/>
  <c r="F45" i="28"/>
  <c r="F46" i="27"/>
  <c r="F46" i="26"/>
  <c r="F47" i="25"/>
  <c r="F46" i="24"/>
  <c r="F46" i="23"/>
  <c r="G46" i="28"/>
  <c r="G47" i="27"/>
  <c r="G48" i="25"/>
  <c r="G47" i="24"/>
  <c r="G47" i="26"/>
  <c r="G47" i="23"/>
  <c r="D47" i="28"/>
  <c r="D48" i="27"/>
  <c r="D48" i="26"/>
  <c r="D49" i="25"/>
  <c r="D48" i="24"/>
  <c r="D48" i="23"/>
  <c r="H47" i="28"/>
  <c r="H48" i="27"/>
  <c r="H48" i="26"/>
  <c r="H48" i="24"/>
  <c r="H49" i="25"/>
  <c r="H48" i="23"/>
  <c r="E49" i="28"/>
  <c r="E50" i="27"/>
  <c r="E50" i="26"/>
  <c r="E51" i="25"/>
  <c r="E50" i="24"/>
  <c r="E50" i="23"/>
  <c r="I49" i="28"/>
  <c r="I50" i="27"/>
  <c r="I50" i="26"/>
  <c r="I51" i="25"/>
  <c r="I50" i="24"/>
  <c r="I50" i="23"/>
  <c r="G52" i="20"/>
  <c r="F50" i="28"/>
  <c r="F51" i="27"/>
  <c r="F52" i="25"/>
  <c r="F51" i="26"/>
  <c r="F51" i="24"/>
  <c r="F51" i="23"/>
  <c r="F51" i="11"/>
  <c r="F51" i="28"/>
  <c r="F52" i="27"/>
  <c r="F52" i="26"/>
  <c r="F53" i="25"/>
  <c r="F52" i="24"/>
  <c r="F52" i="23"/>
  <c r="G52" i="28"/>
  <c r="G53" i="27"/>
  <c r="G53" i="26"/>
  <c r="G53" i="24"/>
  <c r="G54" i="25"/>
  <c r="G53" i="23"/>
  <c r="E55" i="20"/>
  <c r="D53" i="28"/>
  <c r="D54" i="27"/>
  <c r="D54" i="26"/>
  <c r="D54" i="24"/>
  <c r="D55" i="25"/>
  <c r="D54" i="23"/>
  <c r="H53" i="28"/>
  <c r="H54" i="27"/>
  <c r="H54" i="26"/>
  <c r="H54" i="24"/>
  <c r="H55" i="25"/>
  <c r="H54" i="23"/>
  <c r="D55" i="28"/>
  <c r="D56" i="27"/>
  <c r="D56" i="26"/>
  <c r="D57" i="25"/>
  <c r="D56" i="24"/>
  <c r="D56" i="23"/>
  <c r="H55" i="28"/>
  <c r="H56" i="27"/>
  <c r="H56" i="26"/>
  <c r="H57" i="25"/>
  <c r="H56" i="24"/>
  <c r="H56" i="23"/>
  <c r="J59" i="20"/>
  <c r="I57" i="28"/>
  <c r="I58" i="27"/>
  <c r="I58" i="26"/>
  <c r="I58" i="24"/>
  <c r="I59" i="25"/>
  <c r="I58" i="23"/>
  <c r="I58" i="28"/>
  <c r="I59" i="27"/>
  <c r="I59" i="26"/>
  <c r="I60" i="25"/>
  <c r="I59" i="24"/>
  <c r="I59" i="23"/>
  <c r="I59" i="28"/>
  <c r="I60" i="27"/>
  <c r="I60" i="26"/>
  <c r="I61" i="25"/>
  <c r="I60" i="24"/>
  <c r="I60" i="23"/>
  <c r="E61" i="28"/>
  <c r="E62" i="27"/>
  <c r="E62" i="26"/>
  <c r="E63" i="25"/>
  <c r="E62" i="24"/>
  <c r="E62" i="23"/>
  <c r="I61" i="28"/>
  <c r="I62" i="27"/>
  <c r="I62" i="26"/>
  <c r="I63" i="25"/>
  <c r="I62" i="24"/>
  <c r="I62" i="23"/>
  <c r="F62" i="11"/>
  <c r="F62" i="28"/>
  <c r="F63" i="27"/>
  <c r="F64" i="25"/>
  <c r="F63" i="24"/>
  <c r="F63" i="26"/>
  <c r="F63" i="23"/>
  <c r="G63" i="28"/>
  <c r="G64" i="27"/>
  <c r="G64" i="26"/>
  <c r="G65" i="25"/>
  <c r="G64" i="24"/>
  <c r="G64" i="23"/>
  <c r="E64" i="28"/>
  <c r="E65" i="27"/>
  <c r="E65" i="26"/>
  <c r="E66" i="25"/>
  <c r="E65" i="24"/>
  <c r="E65" i="23"/>
  <c r="I64" i="28"/>
  <c r="I65" i="27"/>
  <c r="I65" i="26"/>
  <c r="I66" i="25"/>
  <c r="I65" i="24"/>
  <c r="I65" i="23"/>
  <c r="E66" i="11"/>
  <c r="E66" i="28"/>
  <c r="E67" i="27"/>
  <c r="E67" i="26"/>
  <c r="E68" i="25"/>
  <c r="E67" i="24"/>
  <c r="E67" i="23"/>
  <c r="J68" i="20"/>
  <c r="I66" i="28"/>
  <c r="I67" i="27"/>
  <c r="I67" i="26"/>
  <c r="I67" i="24"/>
  <c r="I68" i="25"/>
  <c r="I67" i="23"/>
  <c r="G69" i="20"/>
  <c r="F67" i="28"/>
  <c r="F68" i="27"/>
  <c r="F68" i="26"/>
  <c r="F69" i="25"/>
  <c r="F68" i="24"/>
  <c r="F68" i="23"/>
  <c r="H70" i="20"/>
  <c r="G68" i="28"/>
  <c r="G69" i="27"/>
  <c r="G69" i="26"/>
  <c r="G70" i="25"/>
  <c r="G69" i="24"/>
  <c r="G69" i="23"/>
  <c r="E71" i="20"/>
  <c r="D69" i="28"/>
  <c r="D70" i="27"/>
  <c r="D70" i="26"/>
  <c r="D71" i="25"/>
  <c r="D70" i="24"/>
  <c r="D70" i="23"/>
  <c r="H69" i="28"/>
  <c r="H70" i="27"/>
  <c r="H70" i="26"/>
  <c r="H71" i="25"/>
  <c r="H70" i="24"/>
  <c r="H70" i="23"/>
  <c r="E72" i="20"/>
  <c r="D70" i="28"/>
  <c r="D71" i="27"/>
  <c r="D71" i="26"/>
  <c r="D72" i="25"/>
  <c r="D71" i="24"/>
  <c r="D71" i="23"/>
  <c r="H70" i="28"/>
  <c r="H71" i="27"/>
  <c r="H71" i="26"/>
  <c r="H72" i="25"/>
  <c r="H71" i="24"/>
  <c r="H71" i="23"/>
  <c r="E74" i="27"/>
  <c r="E74" i="26"/>
  <c r="E74" i="24"/>
  <c r="I74" i="27"/>
  <c r="I74" i="26"/>
  <c r="I74" i="24"/>
  <c r="F73" i="28"/>
  <c r="F75" i="27"/>
  <c r="F75" i="26"/>
  <c r="F75" i="25"/>
  <c r="F75" i="24"/>
  <c r="F74" i="23"/>
  <c r="G74" i="28"/>
  <c r="G76" i="27"/>
  <c r="G76" i="26"/>
  <c r="G76" i="25"/>
  <c r="G76" i="24"/>
  <c r="G75" i="23"/>
  <c r="E77" i="20"/>
  <c r="D75" i="28"/>
  <c r="D77" i="27"/>
  <c r="D77" i="26"/>
  <c r="D77" i="25"/>
  <c r="D77" i="24"/>
  <c r="D76" i="23"/>
  <c r="H75" i="28"/>
  <c r="H77" i="27"/>
  <c r="H77" i="26"/>
  <c r="H77" i="25"/>
  <c r="H77" i="24"/>
  <c r="H76" i="23"/>
  <c r="E76" i="28"/>
  <c r="E78" i="27"/>
  <c r="E78" i="26"/>
  <c r="E78" i="25"/>
  <c r="E78" i="24"/>
  <c r="E77" i="23"/>
  <c r="I76" i="28"/>
  <c r="I78" i="27"/>
  <c r="I78" i="26"/>
  <c r="I78" i="25"/>
  <c r="I78" i="24"/>
  <c r="I77" i="23"/>
  <c r="F78" i="28"/>
  <c r="F80" i="27"/>
  <c r="F80" i="26"/>
  <c r="F80" i="25"/>
  <c r="F80" i="24"/>
  <c r="F79" i="23"/>
  <c r="G79" i="28"/>
  <c r="G81" i="27"/>
  <c r="G81" i="26"/>
  <c r="G81" i="25"/>
  <c r="G81" i="24"/>
  <c r="D80" i="28"/>
  <c r="D82" i="27"/>
  <c r="D82" i="26"/>
  <c r="D82" i="24"/>
  <c r="D82" i="25"/>
  <c r="D81" i="23"/>
  <c r="H80" i="28"/>
  <c r="H82" i="27"/>
  <c r="H82" i="26"/>
  <c r="H82" i="24"/>
  <c r="H82" i="25"/>
  <c r="H81" i="23"/>
  <c r="F83" i="20"/>
  <c r="E81" i="28"/>
  <c r="E83" i="27"/>
  <c r="E83" i="26"/>
  <c r="E83" i="25"/>
  <c r="E83" i="24"/>
  <c r="E82" i="23"/>
  <c r="I81" i="28"/>
  <c r="I83" i="27"/>
  <c r="I83" i="26"/>
  <c r="I83" i="25"/>
  <c r="I83" i="24"/>
  <c r="I82" i="23"/>
  <c r="F85" i="28"/>
  <c r="F87" i="27"/>
  <c r="F87" i="26"/>
  <c r="F87" i="25"/>
  <c r="F87" i="24"/>
  <c r="F86" i="23"/>
  <c r="G86" i="28"/>
  <c r="G88" i="27"/>
  <c r="G88" i="26"/>
  <c r="G88" i="24"/>
  <c r="G88" i="25"/>
  <c r="G87" i="23"/>
  <c r="D87" i="28"/>
  <c r="D89" i="27"/>
  <c r="D89" i="26"/>
  <c r="D89" i="25"/>
  <c r="D89" i="24"/>
  <c r="D88" i="23"/>
  <c r="H87" i="28"/>
  <c r="H89" i="27"/>
  <c r="H89" i="26"/>
  <c r="H89" i="25"/>
  <c r="H89" i="24"/>
  <c r="H88" i="23"/>
  <c r="E88" i="28"/>
  <c r="E90" i="27"/>
  <c r="E90" i="26"/>
  <c r="E90" i="25"/>
  <c r="E90" i="24"/>
  <c r="E89" i="23"/>
  <c r="I88" i="28"/>
  <c r="I90" i="27"/>
  <c r="I90" i="26"/>
  <c r="I90" i="25"/>
  <c r="I90" i="24"/>
  <c r="I89" i="23"/>
  <c r="F89" i="28"/>
  <c r="F91" i="27"/>
  <c r="F91" i="26"/>
  <c r="F91" i="25"/>
  <c r="F91" i="24"/>
  <c r="F90" i="23"/>
  <c r="G91" i="28"/>
  <c r="G93" i="27"/>
  <c r="G93" i="26"/>
  <c r="G93" i="25"/>
  <c r="G93" i="24"/>
  <c r="G92" i="23"/>
  <c r="D92" i="28"/>
  <c r="D94" i="27"/>
  <c r="D94" i="26"/>
  <c r="D94" i="25"/>
  <c r="D94" i="24"/>
  <c r="D93" i="23"/>
  <c r="H92" i="28"/>
  <c r="H94" i="27"/>
  <c r="H94" i="26"/>
  <c r="H94" i="25"/>
  <c r="H94" i="24"/>
  <c r="H93" i="23"/>
  <c r="E93" i="28"/>
  <c r="E95" i="27"/>
  <c r="E95" i="26"/>
  <c r="E95" i="25"/>
  <c r="E95" i="24"/>
  <c r="E94" i="23"/>
  <c r="I93" i="28"/>
  <c r="I95" i="27"/>
  <c r="I95" i="26"/>
  <c r="I95" i="25"/>
  <c r="I95" i="24"/>
  <c r="I94" i="23"/>
  <c r="G96" i="20"/>
  <c r="F94" i="28"/>
  <c r="F96" i="27"/>
  <c r="F96" i="26"/>
  <c r="F96" i="25"/>
  <c r="F96" i="24"/>
  <c r="F95" i="23"/>
  <c r="G95" i="28"/>
  <c r="G97" i="27"/>
  <c r="G97" i="26"/>
  <c r="G97" i="25"/>
  <c r="G97" i="24"/>
  <c r="G96" i="23"/>
  <c r="C96" i="11"/>
  <c r="C96" i="28"/>
  <c r="C98" i="27"/>
  <c r="C98" i="26"/>
  <c r="C98" i="25"/>
  <c r="C98" i="24"/>
  <c r="C97" i="23"/>
  <c r="G96" i="28"/>
  <c r="G98" i="27"/>
  <c r="G98" i="26"/>
  <c r="G98" i="25"/>
  <c r="G98" i="24"/>
  <c r="G97" i="23"/>
  <c r="D101" i="28"/>
  <c r="D103" i="27"/>
  <c r="D103" i="26"/>
  <c r="D103" i="25"/>
  <c r="D103" i="24"/>
  <c r="D102" i="23"/>
  <c r="H101" i="28"/>
  <c r="H103" i="27"/>
  <c r="H103" i="26"/>
  <c r="H103" i="25"/>
  <c r="H103" i="24"/>
  <c r="H102" i="23"/>
  <c r="E102" i="28"/>
  <c r="E104" i="27"/>
  <c r="E104" i="26"/>
  <c r="E104" i="25"/>
  <c r="E104" i="24"/>
  <c r="E103" i="23"/>
  <c r="I102" i="28"/>
  <c r="I104" i="27"/>
  <c r="I104" i="26"/>
  <c r="I104" i="25"/>
  <c r="I104" i="24"/>
  <c r="I103" i="23"/>
  <c r="G105" i="20"/>
  <c r="F103" i="28"/>
  <c r="F105" i="27"/>
  <c r="F105" i="26"/>
  <c r="F105" i="25"/>
  <c r="F105" i="24"/>
  <c r="F104" i="23"/>
  <c r="G104" i="28"/>
  <c r="G106" i="27"/>
  <c r="G106" i="25"/>
  <c r="G106" i="26"/>
  <c r="G106" i="24"/>
  <c r="G105" i="23"/>
  <c r="D105" i="28"/>
  <c r="D107" i="27"/>
  <c r="D107" i="26"/>
  <c r="D107" i="25"/>
  <c r="D107" i="24"/>
  <c r="D106" i="23"/>
  <c r="H105" i="28"/>
  <c r="H107" i="27"/>
  <c r="H107" i="26"/>
  <c r="H107" i="25"/>
  <c r="H107" i="24"/>
  <c r="H106" i="23"/>
  <c r="E107" i="28"/>
  <c r="E109" i="27"/>
  <c r="E109" i="26"/>
  <c r="E109" i="25"/>
  <c r="E109" i="24"/>
  <c r="E108" i="23"/>
  <c r="I107" i="28"/>
  <c r="I109" i="27"/>
  <c r="I109" i="26"/>
  <c r="I109" i="25"/>
  <c r="I109" i="24"/>
  <c r="I108" i="23"/>
  <c r="G108" i="28"/>
  <c r="G110" i="27"/>
  <c r="G110" i="26"/>
  <c r="G110" i="25"/>
  <c r="G110" i="24"/>
  <c r="G109" i="23"/>
  <c r="E109" i="11"/>
  <c r="E109" i="28"/>
  <c r="E111" i="27"/>
  <c r="E111" i="26"/>
  <c r="E111" i="25"/>
  <c r="E111" i="24"/>
  <c r="E110" i="23"/>
  <c r="I109" i="11"/>
  <c r="I109" i="28"/>
  <c r="I111" i="27"/>
  <c r="I111" i="26"/>
  <c r="I111" i="25"/>
  <c r="I111" i="24"/>
  <c r="I110" i="23"/>
  <c r="G110" i="28"/>
  <c r="G112" i="27"/>
  <c r="G112" i="26"/>
  <c r="G112" i="25"/>
  <c r="G112" i="24"/>
  <c r="G111" i="23"/>
  <c r="E111" i="28"/>
  <c r="E113" i="27"/>
  <c r="E113" i="26"/>
  <c r="E113" i="25"/>
  <c r="E113" i="24"/>
  <c r="E112" i="23"/>
  <c r="I111" i="28"/>
  <c r="I113" i="27"/>
  <c r="I113" i="26"/>
  <c r="I113" i="25"/>
  <c r="I113" i="24"/>
  <c r="I112" i="23"/>
  <c r="G113" i="28"/>
  <c r="G115" i="27"/>
  <c r="G115" i="26"/>
  <c r="G115" i="25"/>
  <c r="G115" i="24"/>
  <c r="G114" i="23"/>
  <c r="D114" i="28"/>
  <c r="D116" i="27"/>
  <c r="D116" i="26"/>
  <c r="D116" i="25"/>
  <c r="D116" i="24"/>
  <c r="D115" i="23"/>
  <c r="H114" i="28"/>
  <c r="H116" i="27"/>
  <c r="H116" i="26"/>
  <c r="H116" i="25"/>
  <c r="H116" i="24"/>
  <c r="H115" i="23"/>
  <c r="E115" i="28"/>
  <c r="E117" i="27"/>
  <c r="E117" i="26"/>
  <c r="E117" i="25"/>
  <c r="E117" i="24"/>
  <c r="E116" i="23"/>
  <c r="I115" i="28"/>
  <c r="I117" i="27"/>
  <c r="I117" i="26"/>
  <c r="I117" i="25"/>
  <c r="I117" i="24"/>
  <c r="I116" i="23"/>
  <c r="F116" i="28"/>
  <c r="F118" i="27"/>
  <c r="F118" i="26"/>
  <c r="F118" i="25"/>
  <c r="F118" i="24"/>
  <c r="F117" i="23"/>
  <c r="G117" i="28"/>
  <c r="G119" i="27"/>
  <c r="G119" i="26"/>
  <c r="G119" i="25"/>
  <c r="G119" i="24"/>
  <c r="G118" i="23"/>
  <c r="D120" i="28"/>
  <c r="D122" i="27"/>
  <c r="D122" i="26"/>
  <c r="D122" i="25"/>
  <c r="D122" i="24"/>
  <c r="D121" i="23"/>
  <c r="H120" i="28"/>
  <c r="H122" i="27"/>
  <c r="H122" i="26"/>
  <c r="H122" i="25"/>
  <c r="H122" i="24"/>
  <c r="H121" i="23"/>
  <c r="E121" i="28"/>
  <c r="E123" i="27"/>
  <c r="E123" i="26"/>
  <c r="E123" i="25"/>
  <c r="E123" i="24"/>
  <c r="E122" i="23"/>
  <c r="I121" i="28"/>
  <c r="I123" i="27"/>
  <c r="I123" i="25"/>
  <c r="I123" i="24"/>
  <c r="I123" i="26"/>
  <c r="I122" i="23"/>
  <c r="F122" i="28"/>
  <c r="F124" i="27"/>
  <c r="F124" i="26"/>
  <c r="F124" i="25"/>
  <c r="F124" i="24"/>
  <c r="F123" i="23"/>
  <c r="G126" i="28"/>
  <c r="G128" i="27"/>
  <c r="G128" i="25"/>
  <c r="G128" i="24"/>
  <c r="G128" i="26"/>
  <c r="G127" i="23"/>
  <c r="E129" i="20"/>
  <c r="D127" i="28"/>
  <c r="D129" i="27"/>
  <c r="D129" i="26"/>
  <c r="D129" i="25"/>
  <c r="D129" i="24"/>
  <c r="D128" i="23"/>
  <c r="H127" i="28"/>
  <c r="H129" i="27"/>
  <c r="H129" i="26"/>
  <c r="H129" i="25"/>
  <c r="H129" i="24"/>
  <c r="H128" i="23"/>
  <c r="D123" i="11"/>
  <c r="D123" i="28"/>
  <c r="D125" i="27"/>
  <c r="D125" i="26"/>
  <c r="D125" i="25"/>
  <c r="D125" i="24"/>
  <c r="D124" i="23"/>
  <c r="H123" i="11"/>
  <c r="H123" i="28"/>
  <c r="H125" i="27"/>
  <c r="H125" i="26"/>
  <c r="H125" i="25"/>
  <c r="H125" i="24"/>
  <c r="H124" i="23"/>
  <c r="D124" i="28"/>
  <c r="D126" i="27"/>
  <c r="D126" i="26"/>
  <c r="D126" i="25"/>
  <c r="D126" i="24"/>
  <c r="D125" i="23"/>
  <c r="H124" i="28"/>
  <c r="H126" i="27"/>
  <c r="H126" i="26"/>
  <c r="H126" i="25"/>
  <c r="H126" i="24"/>
  <c r="H125" i="23"/>
  <c r="E127" i="20"/>
  <c r="D125" i="28"/>
  <c r="D127" i="27"/>
  <c r="D127" i="26"/>
  <c r="D127" i="25"/>
  <c r="D127" i="24"/>
  <c r="D126" i="23"/>
  <c r="I127" i="20"/>
  <c r="H125" i="28"/>
  <c r="H127" i="27"/>
  <c r="H127" i="26"/>
  <c r="H127" i="25"/>
  <c r="H127" i="24"/>
  <c r="H126" i="23"/>
  <c r="E133" i="28"/>
  <c r="E135" i="26"/>
  <c r="E135" i="27"/>
  <c r="E135" i="25"/>
  <c r="E135" i="24"/>
  <c r="E134" i="23"/>
  <c r="I133" i="28"/>
  <c r="I135" i="26"/>
  <c r="I135" i="27"/>
  <c r="I135" i="25"/>
  <c r="I135" i="24"/>
  <c r="I134" i="23"/>
  <c r="F134" i="28"/>
  <c r="F136" i="27"/>
  <c r="F136" i="26"/>
  <c r="F136" i="25"/>
  <c r="F136" i="24"/>
  <c r="F135" i="23"/>
  <c r="G135" i="28"/>
  <c r="G137" i="27"/>
  <c r="G137" i="26"/>
  <c r="G137" i="25"/>
  <c r="G137" i="24"/>
  <c r="G136" i="23"/>
  <c r="D136" i="28"/>
  <c r="D138" i="27"/>
  <c r="D138" i="26"/>
  <c r="D138" i="25"/>
  <c r="D138" i="24"/>
  <c r="D137" i="23"/>
  <c r="H137" i="11"/>
  <c r="H136" i="28"/>
  <c r="H138" i="27"/>
  <c r="H138" i="26"/>
  <c r="H138" i="25"/>
  <c r="H138" i="24"/>
  <c r="H137" i="23"/>
  <c r="E138" i="11"/>
  <c r="E137" i="28"/>
  <c r="E139" i="26"/>
  <c r="E139" i="27"/>
  <c r="E139" i="25"/>
  <c r="E139" i="24"/>
  <c r="E138" i="23"/>
  <c r="I138" i="11"/>
  <c r="I137" i="28"/>
  <c r="I139" i="26"/>
  <c r="I139" i="27"/>
  <c r="I139" i="25"/>
  <c r="I139" i="24"/>
  <c r="I138" i="23"/>
  <c r="E149" i="20"/>
  <c r="D146" i="28"/>
  <c r="D148" i="27"/>
  <c r="D148" i="26"/>
  <c r="D148" i="25"/>
  <c r="D148" i="24"/>
  <c r="D147" i="23"/>
  <c r="H146" i="28"/>
  <c r="H148" i="27"/>
  <c r="H148" i="26"/>
  <c r="H148" i="25"/>
  <c r="H148" i="24"/>
  <c r="H147" i="23"/>
  <c r="E147" i="28"/>
  <c r="E149" i="26"/>
  <c r="E149" i="27"/>
  <c r="E149" i="25"/>
  <c r="E149" i="24"/>
  <c r="E148" i="23"/>
  <c r="I147" i="28"/>
  <c r="I149" i="26"/>
  <c r="I149" i="27"/>
  <c r="I149" i="25"/>
  <c r="I149" i="24"/>
  <c r="I148" i="23"/>
  <c r="F149" i="28"/>
  <c r="F151" i="27"/>
  <c r="F151" i="26"/>
  <c r="F151" i="25"/>
  <c r="F151" i="24"/>
  <c r="F150" i="23"/>
  <c r="G150" i="28"/>
  <c r="G152" i="27"/>
  <c r="G152" i="26"/>
  <c r="G152" i="25"/>
  <c r="G152" i="24"/>
  <c r="G151" i="23"/>
  <c r="C149" i="11"/>
  <c r="C148" i="28"/>
  <c r="C150" i="27"/>
  <c r="C150" i="26"/>
  <c r="C150" i="25"/>
  <c r="C150" i="24"/>
  <c r="C149" i="23"/>
  <c r="G148" i="28"/>
  <c r="G150" i="27"/>
  <c r="G150" i="26"/>
  <c r="G150" i="25"/>
  <c r="G150" i="24"/>
  <c r="G149" i="23"/>
  <c r="D153" i="11"/>
  <c r="D152" i="28"/>
  <c r="D154" i="27"/>
  <c r="D154" i="26"/>
  <c r="D154" i="25"/>
  <c r="D154" i="24"/>
  <c r="D153" i="23"/>
  <c r="H152" i="28"/>
  <c r="H154" i="27"/>
  <c r="H154" i="25"/>
  <c r="H154" i="26"/>
  <c r="H154" i="24"/>
  <c r="H153" i="23"/>
  <c r="E153" i="28"/>
  <c r="E155" i="27"/>
  <c r="E155" i="26"/>
  <c r="E155" i="25"/>
  <c r="E155" i="24"/>
  <c r="E154" i="23"/>
  <c r="I153" i="28"/>
  <c r="I155" i="26"/>
  <c r="I155" i="27"/>
  <c r="I155" i="25"/>
  <c r="I155" i="24"/>
  <c r="I154" i="23"/>
  <c r="F155" i="28"/>
  <c r="F157" i="27"/>
  <c r="F157" i="26"/>
  <c r="F157" i="25"/>
  <c r="F157" i="24"/>
  <c r="F156" i="23"/>
  <c r="G156" i="28"/>
  <c r="G158" i="27"/>
  <c r="G158" i="25"/>
  <c r="G158" i="26"/>
  <c r="G158" i="24"/>
  <c r="G157" i="23"/>
  <c r="D157" i="20"/>
  <c r="C154" i="28"/>
  <c r="C156" i="27"/>
  <c r="C156" i="26"/>
  <c r="C156" i="25"/>
  <c r="C156" i="24"/>
  <c r="C155" i="23"/>
  <c r="G155" i="11"/>
  <c r="G154" i="28"/>
  <c r="G156" i="27"/>
  <c r="G156" i="26"/>
  <c r="G156" i="25"/>
  <c r="G156" i="24"/>
  <c r="G155" i="23"/>
  <c r="E162" i="20"/>
  <c r="D159" i="28"/>
  <c r="D161" i="27"/>
  <c r="D161" i="26"/>
  <c r="D161" i="25"/>
  <c r="D161" i="24"/>
  <c r="D160" i="23"/>
  <c r="H159" i="28"/>
  <c r="H161" i="27"/>
  <c r="H161" i="26"/>
  <c r="H161" i="25"/>
  <c r="H161" i="24"/>
  <c r="H160" i="23"/>
  <c r="E160" i="28"/>
  <c r="E162" i="26"/>
  <c r="E162" i="27"/>
  <c r="E162" i="25"/>
  <c r="E162" i="24"/>
  <c r="E161" i="23"/>
  <c r="I160" i="28"/>
  <c r="I162" i="27"/>
  <c r="I162" i="26"/>
  <c r="I162" i="25"/>
  <c r="I162" i="24"/>
  <c r="I161" i="23"/>
  <c r="F161" i="28"/>
  <c r="F163" i="27"/>
  <c r="F163" i="26"/>
  <c r="F163" i="25"/>
  <c r="F163" i="24"/>
  <c r="F162" i="23"/>
  <c r="H165" i="20"/>
  <c r="G162" i="28"/>
  <c r="G164" i="27"/>
  <c r="G164" i="26"/>
  <c r="G164" i="25"/>
  <c r="G164" i="24"/>
  <c r="G163" i="23"/>
  <c r="D163" i="28"/>
  <c r="D165" i="27"/>
  <c r="D165" i="26"/>
  <c r="D165" i="25"/>
  <c r="D165" i="24"/>
  <c r="D164" i="23"/>
  <c r="H163" i="28"/>
  <c r="H165" i="27"/>
  <c r="H165" i="26"/>
  <c r="H165" i="25"/>
  <c r="H165" i="24"/>
  <c r="H164" i="23"/>
  <c r="E171" i="28"/>
  <c r="E173" i="27"/>
  <c r="E173" i="26"/>
  <c r="E173" i="25"/>
  <c r="E173" i="24"/>
  <c r="E172" i="23"/>
  <c r="I171" i="28"/>
  <c r="I173" i="27"/>
  <c r="I173" i="26"/>
  <c r="I173" i="25"/>
  <c r="I173" i="24"/>
  <c r="I172" i="23"/>
  <c r="F172" i="28"/>
  <c r="F174" i="27"/>
  <c r="F174" i="26"/>
  <c r="F174" i="25"/>
  <c r="F174" i="24"/>
  <c r="F173" i="23"/>
  <c r="G173" i="28"/>
  <c r="G175" i="27"/>
  <c r="G175" i="26"/>
  <c r="G175" i="25"/>
  <c r="G175" i="24"/>
  <c r="G174" i="23"/>
  <c r="D174" i="28"/>
  <c r="D176" i="27"/>
  <c r="D176" i="26"/>
  <c r="D176" i="25"/>
  <c r="D176" i="24"/>
  <c r="D175" i="23"/>
  <c r="H174" i="28"/>
  <c r="H176" i="27"/>
  <c r="H176" i="26"/>
  <c r="H176" i="25"/>
  <c r="H176" i="24"/>
  <c r="H175" i="23"/>
  <c r="E175" i="28"/>
  <c r="E177" i="27"/>
  <c r="E177" i="26"/>
  <c r="E177" i="24"/>
  <c r="E177" i="25"/>
  <c r="E176" i="23"/>
  <c r="I175" i="28"/>
  <c r="I177" i="27"/>
  <c r="I177" i="26"/>
  <c r="I177" i="24"/>
  <c r="I177" i="25"/>
  <c r="I176" i="23"/>
  <c r="F176" i="28"/>
  <c r="F178" i="27"/>
  <c r="F178" i="26"/>
  <c r="F178" i="25"/>
  <c r="F178" i="24"/>
  <c r="F177" i="23"/>
  <c r="G177" i="28"/>
  <c r="G179" i="27"/>
  <c r="G179" i="26"/>
  <c r="G179" i="25"/>
  <c r="G179" i="24"/>
  <c r="G178" i="23"/>
  <c r="D178" i="28"/>
  <c r="D180" i="27"/>
  <c r="D180" i="26"/>
  <c r="D180" i="24"/>
  <c r="D180" i="25"/>
  <c r="D179" i="23"/>
  <c r="H178" i="28"/>
  <c r="H180" i="27"/>
  <c r="H180" i="26"/>
  <c r="H180" i="24"/>
  <c r="H180" i="25"/>
  <c r="H179" i="23"/>
  <c r="AI65" i="2"/>
  <c r="AO65" i="2"/>
  <c r="AK65" i="2"/>
  <c r="AN65" i="2"/>
  <c r="AM65" i="2"/>
  <c r="U65" i="25"/>
  <c r="X65" i="25" s="1"/>
  <c r="AO152" i="2"/>
  <c r="AK152" i="2"/>
  <c r="AN152" i="2"/>
  <c r="AM152" i="2"/>
  <c r="U151" i="25"/>
  <c r="X151" i="25" s="1"/>
  <c r="AI152" i="2"/>
  <c r="D89" i="20"/>
  <c r="C87" i="28"/>
  <c r="C89" i="27"/>
  <c r="C89" i="26"/>
  <c r="C89" i="25"/>
  <c r="C89" i="24"/>
  <c r="C88" i="23"/>
  <c r="AN153" i="2"/>
  <c r="AM153" i="2"/>
  <c r="AK153" i="2"/>
  <c r="AO153" i="2"/>
  <c r="U152" i="25"/>
  <c r="X152" i="25" s="1"/>
  <c r="AI153" i="2"/>
  <c r="D179" i="20"/>
  <c r="C176" i="28"/>
  <c r="C178" i="27"/>
  <c r="C178" i="26"/>
  <c r="C178" i="24"/>
  <c r="C178" i="25"/>
  <c r="C177" i="23"/>
  <c r="AI180" i="2"/>
  <c r="AL180" i="2"/>
  <c r="AO180" i="2"/>
  <c r="AK180" i="2"/>
  <c r="AM180" i="2"/>
  <c r="U179" i="25"/>
  <c r="X179" i="25" s="1"/>
  <c r="AO29" i="2"/>
  <c r="AK29" i="2"/>
  <c r="AN29" i="2"/>
  <c r="U29" i="25"/>
  <c r="X29" i="25" s="1"/>
  <c r="AI29" i="2"/>
  <c r="D19" i="28"/>
  <c r="D20" i="27"/>
  <c r="D20" i="26"/>
  <c r="D20" i="24"/>
  <c r="D21" i="25"/>
  <c r="H21" i="23"/>
  <c r="H20" i="28"/>
  <c r="H21" i="27"/>
  <c r="H22" i="25"/>
  <c r="H21" i="26"/>
  <c r="H21" i="24"/>
  <c r="I22" i="23"/>
  <c r="I21" i="28"/>
  <c r="I22" i="27"/>
  <c r="I23" i="25"/>
  <c r="I22" i="26"/>
  <c r="I22" i="24"/>
  <c r="E23" i="28"/>
  <c r="E24" i="27"/>
  <c r="E25" i="25"/>
  <c r="E24" i="26"/>
  <c r="E24" i="24"/>
  <c r="E28" i="23"/>
  <c r="E27" i="28"/>
  <c r="E28" i="27"/>
  <c r="E29" i="25"/>
  <c r="E28" i="26"/>
  <c r="E28" i="24"/>
  <c r="C29" i="28"/>
  <c r="C30" i="27"/>
  <c r="C31" i="25"/>
  <c r="C30" i="26"/>
  <c r="C30" i="24"/>
  <c r="H31" i="23"/>
  <c r="H30" i="28"/>
  <c r="H31" i="27"/>
  <c r="H32" i="25"/>
  <c r="H31" i="26"/>
  <c r="H31" i="24"/>
  <c r="I32" i="28"/>
  <c r="I33" i="27"/>
  <c r="I34" i="25"/>
  <c r="I33" i="26"/>
  <c r="I33" i="24"/>
  <c r="I33" i="23"/>
  <c r="H36" i="20"/>
  <c r="G34" i="28"/>
  <c r="G35" i="27"/>
  <c r="G35" i="26"/>
  <c r="G35" i="24"/>
  <c r="G36" i="25"/>
  <c r="G35" i="23"/>
  <c r="E36" i="28"/>
  <c r="E37" i="27"/>
  <c r="E38" i="25"/>
  <c r="E37" i="26"/>
  <c r="E37" i="24"/>
  <c r="E37" i="23"/>
  <c r="H40" i="28"/>
  <c r="H41" i="27"/>
  <c r="H41" i="26"/>
  <c r="H42" i="25"/>
  <c r="H41" i="24"/>
  <c r="H41" i="23"/>
  <c r="E47" i="20"/>
  <c r="D45" i="28"/>
  <c r="D46" i="27"/>
  <c r="D46" i="26"/>
  <c r="D47" i="25"/>
  <c r="D46" i="24"/>
  <c r="D46" i="23"/>
  <c r="I46" i="28"/>
  <c r="I47" i="27"/>
  <c r="I48" i="25"/>
  <c r="I47" i="26"/>
  <c r="I47" i="24"/>
  <c r="I47" i="23"/>
  <c r="I52" i="20"/>
  <c r="H50" i="28"/>
  <c r="H51" i="27"/>
  <c r="H51" i="26"/>
  <c r="H52" i="25"/>
  <c r="H51" i="24"/>
  <c r="H51" i="23"/>
  <c r="F54" i="20"/>
  <c r="E52" i="28"/>
  <c r="E53" i="27"/>
  <c r="E53" i="26"/>
  <c r="E54" i="25"/>
  <c r="E53" i="24"/>
  <c r="E53" i="23"/>
  <c r="G61" i="28"/>
  <c r="G62" i="27"/>
  <c r="G62" i="26"/>
  <c r="G63" i="25"/>
  <c r="G62" i="24"/>
  <c r="G62" i="23"/>
  <c r="E63" i="28"/>
  <c r="E64" i="27"/>
  <c r="E64" i="26"/>
  <c r="E64" i="24"/>
  <c r="E65" i="25"/>
  <c r="E64" i="23"/>
  <c r="D68" i="20"/>
  <c r="C66" i="28"/>
  <c r="C67" i="27"/>
  <c r="C67" i="26"/>
  <c r="C68" i="25"/>
  <c r="C67" i="24"/>
  <c r="C67" i="23"/>
  <c r="H67" i="28"/>
  <c r="H68" i="27"/>
  <c r="H68" i="26"/>
  <c r="H69" i="25"/>
  <c r="H68" i="24"/>
  <c r="H68" i="23"/>
  <c r="F69" i="11"/>
  <c r="F69" i="28"/>
  <c r="F70" i="27"/>
  <c r="F70" i="26"/>
  <c r="F71" i="25"/>
  <c r="F70" i="24"/>
  <c r="F70" i="23"/>
  <c r="F70" i="28"/>
  <c r="F71" i="27"/>
  <c r="F71" i="26"/>
  <c r="F72" i="25"/>
  <c r="F71" i="24"/>
  <c r="F71" i="23"/>
  <c r="H73" i="28"/>
  <c r="H75" i="27"/>
  <c r="H75" i="26"/>
  <c r="H75" i="25"/>
  <c r="H75" i="24"/>
  <c r="H74" i="23"/>
  <c r="H78" i="28"/>
  <c r="H80" i="27"/>
  <c r="H80" i="26"/>
  <c r="H80" i="25"/>
  <c r="H80" i="24"/>
  <c r="H79" i="23"/>
  <c r="F80" i="11"/>
  <c r="F80" i="28"/>
  <c r="F82" i="27"/>
  <c r="F82" i="26"/>
  <c r="F82" i="25"/>
  <c r="F82" i="24"/>
  <c r="F81" i="23"/>
  <c r="E87" i="20"/>
  <c r="D85" i="28"/>
  <c r="D87" i="27"/>
  <c r="D87" i="26"/>
  <c r="D87" i="25"/>
  <c r="D87" i="24"/>
  <c r="D86" i="23"/>
  <c r="I86" i="28"/>
  <c r="I88" i="27"/>
  <c r="I88" i="26"/>
  <c r="I88" i="25"/>
  <c r="I88" i="24"/>
  <c r="I87" i="23"/>
  <c r="G88" i="28"/>
  <c r="G90" i="27"/>
  <c r="G90" i="26"/>
  <c r="G90" i="24"/>
  <c r="G90" i="25"/>
  <c r="G89" i="23"/>
  <c r="E91" i="28"/>
  <c r="E93" i="27"/>
  <c r="E93" i="26"/>
  <c r="E93" i="25"/>
  <c r="E93" i="24"/>
  <c r="E92" i="23"/>
  <c r="F92" i="28"/>
  <c r="F94" i="27"/>
  <c r="F94" i="26"/>
  <c r="F94" i="25"/>
  <c r="F94" i="24"/>
  <c r="F93" i="23"/>
  <c r="G93" i="28"/>
  <c r="G95" i="27"/>
  <c r="G95" i="26"/>
  <c r="G95" i="25"/>
  <c r="G95" i="24"/>
  <c r="G94" i="23"/>
  <c r="H94" i="28"/>
  <c r="H96" i="27"/>
  <c r="H96" i="26"/>
  <c r="H96" i="25"/>
  <c r="H96" i="24"/>
  <c r="H95" i="23"/>
  <c r="I95" i="28"/>
  <c r="I97" i="27"/>
  <c r="I97" i="26"/>
  <c r="I97" i="25"/>
  <c r="I97" i="24"/>
  <c r="I96" i="23"/>
  <c r="F101" i="28"/>
  <c r="F103" i="27"/>
  <c r="F103" i="26"/>
  <c r="F103" i="25"/>
  <c r="F103" i="24"/>
  <c r="F102" i="23"/>
  <c r="C12" i="28"/>
  <c r="C13" i="27"/>
  <c r="C14" i="25"/>
  <c r="C13" i="26"/>
  <c r="C13" i="24"/>
  <c r="R13" i="23"/>
  <c r="C9" i="28"/>
  <c r="C10" i="27"/>
  <c r="C11" i="25"/>
  <c r="C10" i="26"/>
  <c r="C10" i="24"/>
  <c r="AN12" i="2"/>
  <c r="AK12" i="2"/>
  <c r="AO12" i="2"/>
  <c r="U12" i="25"/>
  <c r="X12" i="25" s="1"/>
  <c r="AI12" i="2"/>
  <c r="AO14" i="2"/>
  <c r="AK14" i="2"/>
  <c r="AN14" i="2"/>
  <c r="U14" i="25"/>
  <c r="X14" i="25" s="1"/>
  <c r="AI14" i="2"/>
  <c r="D37" i="20"/>
  <c r="C35" i="28"/>
  <c r="C36" i="27"/>
  <c r="C37" i="25"/>
  <c r="C36" i="26"/>
  <c r="C36" i="24"/>
  <c r="C36" i="23"/>
  <c r="R47" i="23"/>
  <c r="AM54" i="2"/>
  <c r="AO54" i="2"/>
  <c r="AN54" i="2"/>
  <c r="AK54" i="2"/>
  <c r="U54" i="25"/>
  <c r="X54" i="25" s="1"/>
  <c r="AI54" i="2"/>
  <c r="AL69" i="2"/>
  <c r="AO69" i="2"/>
  <c r="AK69" i="2"/>
  <c r="AN69" i="2"/>
  <c r="U69" i="25"/>
  <c r="X69" i="25" s="1"/>
  <c r="AI69" i="2"/>
  <c r="R82" i="23"/>
  <c r="D91" i="20"/>
  <c r="C89" i="28"/>
  <c r="C91" i="27"/>
  <c r="C91" i="26"/>
  <c r="C91" i="25"/>
  <c r="C91" i="24"/>
  <c r="C90" i="23"/>
  <c r="C104" i="11"/>
  <c r="C104" i="28"/>
  <c r="C106" i="27"/>
  <c r="C106" i="26"/>
  <c r="C106" i="25"/>
  <c r="C106" i="24"/>
  <c r="C105" i="23"/>
  <c r="C116" i="11"/>
  <c r="C116" i="28"/>
  <c r="C118" i="27"/>
  <c r="C118" i="26"/>
  <c r="C118" i="25"/>
  <c r="C118" i="24"/>
  <c r="C117" i="23"/>
  <c r="C156" i="11"/>
  <c r="C155" i="28"/>
  <c r="C157" i="27"/>
  <c r="C157" i="26"/>
  <c r="C157" i="25"/>
  <c r="C157" i="24"/>
  <c r="C156" i="23"/>
  <c r="C176" i="11"/>
  <c r="C175" i="28"/>
  <c r="C177" i="27"/>
  <c r="C177" i="26"/>
  <c r="C177" i="24"/>
  <c r="C177" i="25"/>
  <c r="C176" i="23"/>
  <c r="C11" i="28"/>
  <c r="C12" i="27"/>
  <c r="C13" i="25"/>
  <c r="C12" i="26"/>
  <c r="C12" i="24"/>
  <c r="AO15" i="2"/>
  <c r="AK15" i="2"/>
  <c r="AN15" i="2"/>
  <c r="U15" i="25"/>
  <c r="X15" i="25" s="1"/>
  <c r="AI15" i="2"/>
  <c r="C18" i="28"/>
  <c r="C19" i="27"/>
  <c r="C20" i="25"/>
  <c r="C19" i="26"/>
  <c r="C19" i="24"/>
  <c r="AO30" i="2"/>
  <c r="AK30" i="2"/>
  <c r="AN30" i="2"/>
  <c r="U30" i="25"/>
  <c r="X30" i="25" s="1"/>
  <c r="AI30" i="2"/>
  <c r="R48" i="23"/>
  <c r="R46" i="23"/>
  <c r="R65" i="23"/>
  <c r="AI89" i="2"/>
  <c r="AM89" i="2"/>
  <c r="AK89" i="2"/>
  <c r="AN89" i="2"/>
  <c r="AO89" i="2"/>
  <c r="U89" i="25"/>
  <c r="X89" i="25" s="1"/>
  <c r="C105" i="11"/>
  <c r="C105" i="28"/>
  <c r="C107" i="27"/>
  <c r="C107" i="26"/>
  <c r="C107" i="25"/>
  <c r="C107" i="24"/>
  <c r="C106" i="23"/>
  <c r="C117" i="11"/>
  <c r="C117" i="28"/>
  <c r="C119" i="27"/>
  <c r="C119" i="26"/>
  <c r="C119" i="25"/>
  <c r="C119" i="24"/>
  <c r="C118" i="23"/>
  <c r="C157" i="11"/>
  <c r="C156" i="28"/>
  <c r="C158" i="27"/>
  <c r="C158" i="26"/>
  <c r="C158" i="25"/>
  <c r="C158" i="24"/>
  <c r="C157" i="23"/>
  <c r="C24" i="28"/>
  <c r="C25" i="27"/>
  <c r="C26" i="25"/>
  <c r="C25" i="26"/>
  <c r="C25" i="24"/>
  <c r="AO27" i="2"/>
  <c r="AK27" i="2"/>
  <c r="AN27" i="2"/>
  <c r="U27" i="25"/>
  <c r="X27" i="25" s="1"/>
  <c r="AI27" i="2"/>
  <c r="C41" i="11"/>
  <c r="C41" i="28"/>
  <c r="C42" i="27"/>
  <c r="C42" i="26"/>
  <c r="C43" i="25"/>
  <c r="C42" i="24"/>
  <c r="C42" i="23"/>
  <c r="AI40" i="2"/>
  <c r="AL40" i="2"/>
  <c r="AO40" i="2"/>
  <c r="AM40" i="2"/>
  <c r="AN40" i="2"/>
  <c r="U40" i="25"/>
  <c r="X40" i="25" s="1"/>
  <c r="AI41" i="2"/>
  <c r="AO41" i="2"/>
  <c r="AK41" i="2"/>
  <c r="AN41" i="2"/>
  <c r="AM41" i="2"/>
  <c r="U41" i="25"/>
  <c r="X41" i="25" s="1"/>
  <c r="AK42" i="2"/>
  <c r="AO42" i="2"/>
  <c r="AL42" i="2"/>
  <c r="U42" i="25"/>
  <c r="X42" i="25" s="1"/>
  <c r="AI43" i="2"/>
  <c r="AN43" i="2"/>
  <c r="AK43" i="2"/>
  <c r="AO43" i="2"/>
  <c r="U43" i="25"/>
  <c r="X43" i="25" s="1"/>
  <c r="AL44" i="2"/>
  <c r="AO44" i="2"/>
  <c r="AK44" i="2"/>
  <c r="U44" i="25"/>
  <c r="X44" i="25" s="1"/>
  <c r="R50" i="23"/>
  <c r="AI72" i="2"/>
  <c r="AL72" i="2"/>
  <c r="AO72" i="2"/>
  <c r="AN72" i="2"/>
  <c r="AK72" i="2"/>
  <c r="U72" i="25"/>
  <c r="X72" i="25" s="1"/>
  <c r="AI87" i="2"/>
  <c r="AO87" i="2"/>
  <c r="AK87" i="2"/>
  <c r="AN87" i="2"/>
  <c r="AL87" i="2"/>
  <c r="U87" i="25"/>
  <c r="X87" i="25" s="1"/>
  <c r="R92" i="23"/>
  <c r="AO103" i="2"/>
  <c r="AK103" i="2"/>
  <c r="AN103" i="2"/>
  <c r="AM103" i="2"/>
  <c r="U103" i="25"/>
  <c r="X103" i="25" s="1"/>
  <c r="AI103" i="2"/>
  <c r="R108" i="23"/>
  <c r="AN115" i="2"/>
  <c r="AL115" i="2"/>
  <c r="AK115" i="2"/>
  <c r="AO115" i="2"/>
  <c r="U115" i="25"/>
  <c r="X115" i="25" s="1"/>
  <c r="AI115" i="2"/>
  <c r="D122" i="20"/>
  <c r="C120" i="28"/>
  <c r="C122" i="27"/>
  <c r="C122" i="26"/>
  <c r="C122" i="25"/>
  <c r="C122" i="24"/>
  <c r="C121" i="23"/>
  <c r="C134" i="11"/>
  <c r="C133" i="28"/>
  <c r="C135" i="27"/>
  <c r="C135" i="26"/>
  <c r="C135" i="25"/>
  <c r="C135" i="24"/>
  <c r="C134" i="23"/>
  <c r="R147" i="23"/>
  <c r="AI155" i="2"/>
  <c r="AM155" i="2"/>
  <c r="AL155" i="2"/>
  <c r="AN155" i="2"/>
  <c r="AO155" i="2"/>
  <c r="U154" i="25"/>
  <c r="X154" i="25" s="1"/>
  <c r="R172" i="23"/>
  <c r="G9" i="23"/>
  <c r="G8" i="28"/>
  <c r="G9" i="27"/>
  <c r="G10" i="25"/>
  <c r="G9" i="26"/>
  <c r="G9" i="24"/>
  <c r="D10" i="23"/>
  <c r="D9" i="28"/>
  <c r="D10" i="27"/>
  <c r="D10" i="26"/>
  <c r="D10" i="24"/>
  <c r="D11" i="25"/>
  <c r="H9" i="28"/>
  <c r="H10" i="27"/>
  <c r="H10" i="26"/>
  <c r="H11" i="25"/>
  <c r="H10" i="24"/>
  <c r="E10" i="28"/>
  <c r="E11" i="27"/>
  <c r="E12" i="25"/>
  <c r="E11" i="26"/>
  <c r="E11" i="24"/>
  <c r="I10" i="28"/>
  <c r="I11" i="27"/>
  <c r="I12" i="25"/>
  <c r="I11" i="26"/>
  <c r="I11" i="24"/>
  <c r="F11" i="28"/>
  <c r="F12" i="27"/>
  <c r="F13" i="25"/>
  <c r="F12" i="26"/>
  <c r="F12" i="24"/>
  <c r="G13" i="23"/>
  <c r="G12" i="28"/>
  <c r="G13" i="27"/>
  <c r="G14" i="25"/>
  <c r="G13" i="26"/>
  <c r="G13" i="24"/>
  <c r="D13" i="28"/>
  <c r="D14" i="27"/>
  <c r="D14" i="26"/>
  <c r="D14" i="24"/>
  <c r="D15" i="25"/>
  <c r="H13" i="28"/>
  <c r="H14" i="27"/>
  <c r="H14" i="26"/>
  <c r="H15" i="25"/>
  <c r="H14" i="24"/>
  <c r="D14" i="28"/>
  <c r="D15" i="27"/>
  <c r="D16" i="25"/>
  <c r="D15" i="26"/>
  <c r="D15" i="24"/>
  <c r="H15" i="23"/>
  <c r="H14" i="28"/>
  <c r="H15" i="27"/>
  <c r="H16" i="25"/>
  <c r="H15" i="26"/>
  <c r="H15" i="24"/>
  <c r="D15" i="28"/>
  <c r="D16" i="27"/>
  <c r="D16" i="26"/>
  <c r="D16" i="24"/>
  <c r="D17" i="25"/>
  <c r="H16" i="23"/>
  <c r="H15" i="28"/>
  <c r="H16" i="27"/>
  <c r="H16" i="26"/>
  <c r="H17" i="25"/>
  <c r="H16" i="24"/>
  <c r="E17" i="23"/>
  <c r="E16" i="28"/>
  <c r="E17" i="27"/>
  <c r="E18" i="25"/>
  <c r="E17" i="26"/>
  <c r="E17" i="24"/>
  <c r="I17" i="23"/>
  <c r="I16" i="28"/>
  <c r="I17" i="27"/>
  <c r="I18" i="25"/>
  <c r="I17" i="26"/>
  <c r="I17" i="24"/>
  <c r="F17" i="28"/>
  <c r="F18" i="27"/>
  <c r="F19" i="25"/>
  <c r="F18" i="26"/>
  <c r="F18" i="24"/>
  <c r="G18" i="28"/>
  <c r="G19" i="27"/>
  <c r="G20" i="25"/>
  <c r="G19" i="26"/>
  <c r="G19" i="24"/>
  <c r="C20" i="23"/>
  <c r="C19" i="28"/>
  <c r="C20" i="27"/>
  <c r="C21" i="25"/>
  <c r="C20" i="26"/>
  <c r="C20" i="24"/>
  <c r="G19" i="28"/>
  <c r="G20" i="27"/>
  <c r="G21" i="25"/>
  <c r="G20" i="26"/>
  <c r="G20" i="24"/>
  <c r="C20" i="28"/>
  <c r="C21" i="27"/>
  <c r="C22" i="25"/>
  <c r="C21" i="26"/>
  <c r="C21" i="24"/>
  <c r="G20" i="28"/>
  <c r="G21" i="27"/>
  <c r="G22" i="25"/>
  <c r="G21" i="26"/>
  <c r="G21" i="24"/>
  <c r="D21" i="28"/>
  <c r="D22" i="27"/>
  <c r="D22" i="26"/>
  <c r="D22" i="24"/>
  <c r="D23" i="25"/>
  <c r="H21" i="28"/>
  <c r="H22" i="27"/>
  <c r="H22" i="26"/>
  <c r="H23" i="25"/>
  <c r="H22" i="24"/>
  <c r="D22" i="28"/>
  <c r="D23" i="27"/>
  <c r="D24" i="25"/>
  <c r="D23" i="26"/>
  <c r="D23" i="24"/>
  <c r="H22" i="28"/>
  <c r="H23" i="27"/>
  <c r="H24" i="25"/>
  <c r="H23" i="26"/>
  <c r="H23" i="24"/>
  <c r="D23" i="28"/>
  <c r="D24" i="27"/>
  <c r="D24" i="26"/>
  <c r="D24" i="24"/>
  <c r="D25" i="25"/>
  <c r="H24" i="23"/>
  <c r="H23" i="28"/>
  <c r="H24" i="27"/>
  <c r="H24" i="26"/>
  <c r="H25" i="25"/>
  <c r="H24" i="24"/>
  <c r="E25" i="23"/>
  <c r="E24" i="28"/>
  <c r="E25" i="27"/>
  <c r="E26" i="25"/>
  <c r="E25" i="26"/>
  <c r="E25" i="24"/>
  <c r="I25" i="23"/>
  <c r="I24" i="28"/>
  <c r="I25" i="27"/>
  <c r="I26" i="25"/>
  <c r="I25" i="26"/>
  <c r="I25" i="24"/>
  <c r="F26" i="23"/>
  <c r="F25" i="28"/>
  <c r="F26" i="27"/>
  <c r="F27" i="25"/>
  <c r="F26" i="26"/>
  <c r="F26" i="24"/>
  <c r="C26" i="28"/>
  <c r="C27" i="27"/>
  <c r="C28" i="25"/>
  <c r="C27" i="26"/>
  <c r="C27" i="24"/>
  <c r="G27" i="23"/>
  <c r="G26" i="28"/>
  <c r="G27" i="27"/>
  <c r="G28" i="25"/>
  <c r="G27" i="26"/>
  <c r="G27" i="24"/>
  <c r="D28" i="23"/>
  <c r="D27" i="28"/>
  <c r="D28" i="27"/>
  <c r="D28" i="26"/>
  <c r="D28" i="24"/>
  <c r="D29" i="25"/>
  <c r="H28" i="23"/>
  <c r="H27" i="28"/>
  <c r="H28" i="27"/>
  <c r="H28" i="26"/>
  <c r="H29" i="25"/>
  <c r="H28" i="24"/>
  <c r="F29" i="23"/>
  <c r="F28" i="28"/>
  <c r="F29" i="27"/>
  <c r="F29" i="26"/>
  <c r="F29" i="24"/>
  <c r="F30" i="25"/>
  <c r="F30" i="23"/>
  <c r="F29" i="28"/>
  <c r="F30" i="27"/>
  <c r="F31" i="25"/>
  <c r="F30" i="26"/>
  <c r="F30" i="24"/>
  <c r="G31" i="23"/>
  <c r="G30" i="28"/>
  <c r="G31" i="27"/>
  <c r="G32" i="25"/>
  <c r="G31" i="26"/>
  <c r="G31" i="24"/>
  <c r="D32" i="28"/>
  <c r="D33" i="27"/>
  <c r="D34" i="25"/>
  <c r="D33" i="26"/>
  <c r="D33" i="24"/>
  <c r="D33" i="23"/>
  <c r="H32" i="28"/>
  <c r="H33" i="27"/>
  <c r="H34" i="25"/>
  <c r="H33" i="26"/>
  <c r="H33" i="24"/>
  <c r="H33" i="23"/>
  <c r="E33" i="28"/>
  <c r="E34" i="27"/>
  <c r="E34" i="26"/>
  <c r="E34" i="24"/>
  <c r="E35" i="25"/>
  <c r="E34" i="23"/>
  <c r="I33" i="28"/>
  <c r="I34" i="27"/>
  <c r="I34" i="26"/>
  <c r="I34" i="24"/>
  <c r="I35" i="25"/>
  <c r="I34" i="23"/>
  <c r="F34" i="11"/>
  <c r="F34" i="28"/>
  <c r="F35" i="27"/>
  <c r="F36" i="25"/>
  <c r="F35" i="26"/>
  <c r="F35" i="24"/>
  <c r="F35" i="23"/>
  <c r="H37" i="20"/>
  <c r="G35" i="28"/>
  <c r="G36" i="27"/>
  <c r="G37" i="25"/>
  <c r="G36" i="26"/>
  <c r="G36" i="24"/>
  <c r="G36" i="23"/>
  <c r="E38" i="20"/>
  <c r="D36" i="28"/>
  <c r="D37" i="27"/>
  <c r="D38" i="25"/>
  <c r="D37" i="26"/>
  <c r="D37" i="24"/>
  <c r="D37" i="23"/>
  <c r="H36" i="28"/>
  <c r="H37" i="27"/>
  <c r="H38" i="25"/>
  <c r="H37" i="26"/>
  <c r="H37" i="24"/>
  <c r="H37" i="23"/>
  <c r="E38" i="28"/>
  <c r="E39" i="27"/>
  <c r="E40" i="25"/>
  <c r="E39" i="26"/>
  <c r="E39" i="24"/>
  <c r="E39" i="23"/>
  <c r="I38" i="28"/>
  <c r="I39" i="27"/>
  <c r="I39" i="26"/>
  <c r="I40" i="25"/>
  <c r="I39" i="24"/>
  <c r="I39" i="23"/>
  <c r="F39" i="28"/>
  <c r="F40" i="27"/>
  <c r="F40" i="26"/>
  <c r="F41" i="25"/>
  <c r="F40" i="24"/>
  <c r="F40" i="23"/>
  <c r="G40" i="28"/>
  <c r="G41" i="27"/>
  <c r="G41" i="26"/>
  <c r="G42" i="25"/>
  <c r="G41" i="24"/>
  <c r="G41" i="23"/>
  <c r="D41" i="28"/>
  <c r="D42" i="27"/>
  <c r="D42" i="26"/>
  <c r="D42" i="24"/>
  <c r="D43" i="25"/>
  <c r="D42" i="23"/>
  <c r="H41" i="28"/>
  <c r="H42" i="27"/>
  <c r="H42" i="26"/>
  <c r="H42" i="24"/>
  <c r="H43" i="25"/>
  <c r="H42" i="23"/>
  <c r="F42" i="28"/>
  <c r="F43" i="27"/>
  <c r="F43" i="24"/>
  <c r="F43" i="26"/>
  <c r="F44" i="25"/>
  <c r="F43" i="23"/>
  <c r="G45" i="11"/>
  <c r="G45" i="28"/>
  <c r="G46" i="27"/>
  <c r="G47" i="25"/>
  <c r="G46" i="26"/>
  <c r="G46" i="24"/>
  <c r="G46" i="23"/>
  <c r="D46" i="28"/>
  <c r="D47" i="27"/>
  <c r="D47" i="26"/>
  <c r="D48" i="25"/>
  <c r="D47" i="24"/>
  <c r="D47" i="23"/>
  <c r="H46" i="28"/>
  <c r="H47" i="27"/>
  <c r="H47" i="26"/>
  <c r="H48" i="25"/>
  <c r="H47" i="24"/>
  <c r="H47" i="23"/>
  <c r="E47" i="28"/>
  <c r="E48" i="27"/>
  <c r="E48" i="26"/>
  <c r="E49" i="25"/>
  <c r="E48" i="24"/>
  <c r="E48" i="23"/>
  <c r="I47" i="28"/>
  <c r="I48" i="27"/>
  <c r="I48" i="26"/>
  <c r="I49" i="25"/>
  <c r="I48" i="24"/>
  <c r="I48" i="23"/>
  <c r="F49" i="28"/>
  <c r="F50" i="27"/>
  <c r="F50" i="26"/>
  <c r="F51" i="25"/>
  <c r="F50" i="24"/>
  <c r="F50" i="23"/>
  <c r="H52" i="20"/>
  <c r="G50" i="28"/>
  <c r="G51" i="27"/>
  <c r="G51" i="26"/>
  <c r="G52" i="25"/>
  <c r="G51" i="24"/>
  <c r="G51" i="23"/>
  <c r="C51" i="28"/>
  <c r="C52" i="27"/>
  <c r="C52" i="26"/>
  <c r="C53" i="25"/>
  <c r="C52" i="24"/>
  <c r="C52" i="23"/>
  <c r="H53" i="20"/>
  <c r="G51" i="28"/>
  <c r="G52" i="27"/>
  <c r="G52" i="26"/>
  <c r="G53" i="25"/>
  <c r="G52" i="24"/>
  <c r="G52" i="23"/>
  <c r="E54" i="20"/>
  <c r="D52" i="28"/>
  <c r="D53" i="27"/>
  <c r="D53" i="26"/>
  <c r="D54" i="25"/>
  <c r="D53" i="24"/>
  <c r="D53" i="23"/>
  <c r="H52" i="28"/>
  <c r="H53" i="27"/>
  <c r="H53" i="26"/>
  <c r="H54" i="25"/>
  <c r="H53" i="24"/>
  <c r="H53" i="23"/>
  <c r="E53" i="28"/>
  <c r="E54" i="27"/>
  <c r="E54" i="26"/>
  <c r="E55" i="25"/>
  <c r="E54" i="24"/>
  <c r="E54" i="23"/>
  <c r="J55" i="20"/>
  <c r="I53" i="28"/>
  <c r="I54" i="27"/>
  <c r="I54" i="26"/>
  <c r="I55" i="25"/>
  <c r="I54" i="24"/>
  <c r="I54" i="23"/>
  <c r="E55" i="11"/>
  <c r="E55" i="28"/>
  <c r="E56" i="27"/>
  <c r="E57" i="25"/>
  <c r="E56" i="26"/>
  <c r="E56" i="24"/>
  <c r="E56" i="23"/>
  <c r="I55" i="11"/>
  <c r="I55" i="28"/>
  <c r="I56" i="27"/>
  <c r="I57" i="25"/>
  <c r="I56" i="26"/>
  <c r="I56" i="24"/>
  <c r="I56" i="23"/>
  <c r="K57" i="27"/>
  <c r="J56" i="28" s="1"/>
  <c r="J59" i="28"/>
  <c r="L59" i="28" s="1"/>
  <c r="L56" i="28" s="1"/>
  <c r="F61" i="28"/>
  <c r="F62" i="27"/>
  <c r="F62" i="26"/>
  <c r="F63" i="25"/>
  <c r="F62" i="24"/>
  <c r="F62" i="23"/>
  <c r="G62" i="28"/>
  <c r="G63" i="27"/>
  <c r="G63" i="26"/>
  <c r="G63" i="24"/>
  <c r="G64" i="25"/>
  <c r="G63" i="23"/>
  <c r="D63" i="28"/>
  <c r="D64" i="27"/>
  <c r="D65" i="25"/>
  <c r="D64" i="26"/>
  <c r="D64" i="24"/>
  <c r="D64" i="23"/>
  <c r="H63" i="28"/>
  <c r="H64" i="27"/>
  <c r="H64" i="26"/>
  <c r="H65" i="25"/>
  <c r="H64" i="24"/>
  <c r="H64" i="23"/>
  <c r="F64" i="28"/>
  <c r="F65" i="27"/>
  <c r="F65" i="26"/>
  <c r="F65" i="24"/>
  <c r="F66" i="25"/>
  <c r="F65" i="23"/>
  <c r="G68" i="20"/>
  <c r="F66" i="28"/>
  <c r="F67" i="27"/>
  <c r="F67" i="26"/>
  <c r="F68" i="25"/>
  <c r="F67" i="24"/>
  <c r="F67" i="23"/>
  <c r="G67" i="28"/>
  <c r="G68" i="27"/>
  <c r="G68" i="26"/>
  <c r="G68" i="24"/>
  <c r="G69" i="25"/>
  <c r="G68" i="23"/>
  <c r="D68" i="28"/>
  <c r="D69" i="27"/>
  <c r="D69" i="26"/>
  <c r="D70" i="25"/>
  <c r="D69" i="24"/>
  <c r="D69" i="23"/>
  <c r="H68" i="28"/>
  <c r="H69" i="27"/>
  <c r="H69" i="26"/>
  <c r="H70" i="25"/>
  <c r="H69" i="24"/>
  <c r="H69" i="23"/>
  <c r="F71" i="20"/>
  <c r="E69" i="28"/>
  <c r="E70" i="27"/>
  <c r="E70" i="26"/>
  <c r="E71" i="25"/>
  <c r="E70" i="24"/>
  <c r="E70" i="23"/>
  <c r="I69" i="28"/>
  <c r="I70" i="27"/>
  <c r="I70" i="26"/>
  <c r="I71" i="25"/>
  <c r="I70" i="24"/>
  <c r="I70" i="23"/>
  <c r="F72" i="20"/>
  <c r="E70" i="28"/>
  <c r="E71" i="27"/>
  <c r="E71" i="26"/>
  <c r="E72" i="25"/>
  <c r="E71" i="24"/>
  <c r="E71" i="23"/>
  <c r="J72" i="20"/>
  <c r="I70" i="28"/>
  <c r="I71" i="27"/>
  <c r="I71" i="26"/>
  <c r="I72" i="25"/>
  <c r="I71" i="24"/>
  <c r="I71" i="23"/>
  <c r="F74" i="27"/>
  <c r="F74" i="26"/>
  <c r="F74" i="24"/>
  <c r="G73" i="11"/>
  <c r="G73" i="28"/>
  <c r="G75" i="27"/>
  <c r="G75" i="26"/>
  <c r="G75" i="24"/>
  <c r="G75" i="25"/>
  <c r="G74" i="23"/>
  <c r="D74" i="28"/>
  <c r="D76" i="27"/>
  <c r="D76" i="26"/>
  <c r="D76" i="25"/>
  <c r="D76" i="24"/>
  <c r="D75" i="23"/>
  <c r="H74" i="28"/>
  <c r="H76" i="27"/>
  <c r="H76" i="26"/>
  <c r="H76" i="25"/>
  <c r="H76" i="24"/>
  <c r="H75" i="23"/>
  <c r="F77" i="20"/>
  <c r="E75" i="28"/>
  <c r="E77" i="27"/>
  <c r="E77" i="26"/>
  <c r="E77" i="25"/>
  <c r="E77" i="24"/>
  <c r="E76" i="23"/>
  <c r="I75" i="28"/>
  <c r="I77" i="26"/>
  <c r="I77" i="27"/>
  <c r="I77" i="25"/>
  <c r="I77" i="24"/>
  <c r="I76" i="23"/>
  <c r="F76" i="28"/>
  <c r="F78" i="27"/>
  <c r="F78" i="26"/>
  <c r="F78" i="25"/>
  <c r="F78" i="24"/>
  <c r="F77" i="23"/>
  <c r="G78" i="28"/>
  <c r="G80" i="27"/>
  <c r="G80" i="26"/>
  <c r="G80" i="25"/>
  <c r="G80" i="24"/>
  <c r="D79" i="11"/>
  <c r="D79" i="28"/>
  <c r="D81" i="27"/>
  <c r="D81" i="26"/>
  <c r="D81" i="25"/>
  <c r="D81" i="24"/>
  <c r="D80" i="23"/>
  <c r="H79" i="11"/>
  <c r="H79" i="28"/>
  <c r="H81" i="27"/>
  <c r="H81" i="26"/>
  <c r="H81" i="25"/>
  <c r="H81" i="24"/>
  <c r="H80" i="23"/>
  <c r="E80" i="11"/>
  <c r="E80" i="28"/>
  <c r="E82" i="27"/>
  <c r="E82" i="26"/>
  <c r="E82" i="25"/>
  <c r="E82" i="24"/>
  <c r="E81" i="23"/>
  <c r="I80" i="28"/>
  <c r="I82" i="27"/>
  <c r="I82" i="26"/>
  <c r="I82" i="25"/>
  <c r="I82" i="24"/>
  <c r="I81" i="23"/>
  <c r="G83" i="20"/>
  <c r="F81" i="28"/>
  <c r="F83" i="27"/>
  <c r="F83" i="26"/>
  <c r="F83" i="25"/>
  <c r="F83" i="24"/>
  <c r="F82" i="23"/>
  <c r="G85" i="28"/>
  <c r="G87" i="27"/>
  <c r="G87" i="26"/>
  <c r="G87" i="25"/>
  <c r="G87" i="24"/>
  <c r="G86" i="23"/>
  <c r="D86" i="11"/>
  <c r="D86" i="28"/>
  <c r="D88" i="27"/>
  <c r="D88" i="26"/>
  <c r="D88" i="25"/>
  <c r="D88" i="24"/>
  <c r="D87" i="23"/>
  <c r="H86" i="11"/>
  <c r="H86" i="28"/>
  <c r="H88" i="27"/>
  <c r="H88" i="26"/>
  <c r="H88" i="25"/>
  <c r="H88" i="24"/>
  <c r="H87" i="23"/>
  <c r="E87" i="28"/>
  <c r="E89" i="27"/>
  <c r="E89" i="26"/>
  <c r="E89" i="24"/>
  <c r="E89" i="25"/>
  <c r="E88" i="23"/>
  <c r="I87" i="28"/>
  <c r="I89" i="27"/>
  <c r="I89" i="26"/>
  <c r="I89" i="24"/>
  <c r="I89" i="25"/>
  <c r="I88" i="23"/>
  <c r="F88" i="28"/>
  <c r="F90" i="27"/>
  <c r="F90" i="26"/>
  <c r="F90" i="25"/>
  <c r="F90" i="24"/>
  <c r="F89" i="23"/>
  <c r="G89" i="28"/>
  <c r="G91" i="27"/>
  <c r="G91" i="26"/>
  <c r="G91" i="25"/>
  <c r="G91" i="24"/>
  <c r="G90" i="23"/>
  <c r="E93" i="20"/>
  <c r="D91" i="28"/>
  <c r="D93" i="27"/>
  <c r="D93" i="26"/>
  <c r="D93" i="24"/>
  <c r="D93" i="25"/>
  <c r="D92" i="23"/>
  <c r="H91" i="28"/>
  <c r="H93" i="27"/>
  <c r="H93" i="26"/>
  <c r="H93" i="24"/>
  <c r="H93" i="25"/>
  <c r="H92" i="23"/>
  <c r="E92" i="11"/>
  <c r="E92" i="28"/>
  <c r="E94" i="27"/>
  <c r="E94" i="26"/>
  <c r="E94" i="25"/>
  <c r="E94" i="24"/>
  <c r="E93" i="23"/>
  <c r="I92" i="28"/>
  <c r="I94" i="26"/>
  <c r="I94" i="27"/>
  <c r="I94" i="25"/>
  <c r="I94" i="24"/>
  <c r="I93" i="23"/>
  <c r="F93" i="11"/>
  <c r="F93" i="28"/>
  <c r="F95" i="27"/>
  <c r="F95" i="26"/>
  <c r="F95" i="25"/>
  <c r="F95" i="24"/>
  <c r="F94" i="23"/>
  <c r="G94" i="28"/>
  <c r="G96" i="27"/>
  <c r="G96" i="26"/>
  <c r="G96" i="25"/>
  <c r="G96" i="24"/>
  <c r="G95" i="23"/>
  <c r="D95" i="28"/>
  <c r="D97" i="27"/>
  <c r="D97" i="26"/>
  <c r="D97" i="25"/>
  <c r="D97" i="24"/>
  <c r="D96" i="23"/>
  <c r="H95" i="28"/>
  <c r="H97" i="27"/>
  <c r="H97" i="26"/>
  <c r="H97" i="25"/>
  <c r="H97" i="24"/>
  <c r="H96" i="23"/>
  <c r="D96" i="28"/>
  <c r="D98" i="27"/>
  <c r="D98" i="26"/>
  <c r="D98" i="25"/>
  <c r="D98" i="24"/>
  <c r="D97" i="23"/>
  <c r="H96" i="28"/>
  <c r="H98" i="27"/>
  <c r="H98" i="26"/>
  <c r="H98" i="25"/>
  <c r="H98" i="24"/>
  <c r="H97" i="23"/>
  <c r="E101" i="28"/>
  <c r="E103" i="27"/>
  <c r="E103" i="26"/>
  <c r="E103" i="25"/>
  <c r="E103" i="24"/>
  <c r="E102" i="23"/>
  <c r="I101" i="28"/>
  <c r="I103" i="27"/>
  <c r="I103" i="26"/>
  <c r="I103" i="25"/>
  <c r="I103" i="24"/>
  <c r="I102" i="23"/>
  <c r="F102" i="28"/>
  <c r="F104" i="27"/>
  <c r="F104" i="26"/>
  <c r="F104" i="25"/>
  <c r="F104" i="24"/>
  <c r="F103" i="23"/>
  <c r="G103" i="28"/>
  <c r="G105" i="27"/>
  <c r="G105" i="26"/>
  <c r="G105" i="25"/>
  <c r="G105" i="24"/>
  <c r="G104" i="23"/>
  <c r="D104" i="28"/>
  <c r="D106" i="27"/>
  <c r="D106" i="26"/>
  <c r="D106" i="25"/>
  <c r="D106" i="24"/>
  <c r="D105" i="23"/>
  <c r="H104" i="28"/>
  <c r="H106" i="27"/>
  <c r="H106" i="26"/>
  <c r="H106" i="25"/>
  <c r="H106" i="24"/>
  <c r="H105" i="23"/>
  <c r="E105" i="28"/>
  <c r="E107" i="27"/>
  <c r="E107" i="25"/>
  <c r="E107" i="26"/>
  <c r="E107" i="24"/>
  <c r="E106" i="23"/>
  <c r="I105" i="28"/>
  <c r="I107" i="27"/>
  <c r="I107" i="26"/>
  <c r="I107" i="25"/>
  <c r="I107" i="24"/>
  <c r="I106" i="23"/>
  <c r="F107" i="28"/>
  <c r="F109" i="27"/>
  <c r="F109" i="26"/>
  <c r="F109" i="25"/>
  <c r="F109" i="24"/>
  <c r="F108" i="23"/>
  <c r="E110" i="20"/>
  <c r="D108" i="28"/>
  <c r="D110" i="27"/>
  <c r="D110" i="26"/>
  <c r="D110" i="25"/>
  <c r="D110" i="24"/>
  <c r="D109" i="23"/>
  <c r="H108" i="28"/>
  <c r="H110" i="27"/>
  <c r="H110" i="26"/>
  <c r="H110" i="25"/>
  <c r="H110" i="24"/>
  <c r="H109" i="23"/>
  <c r="F109" i="28"/>
  <c r="F111" i="27"/>
  <c r="F111" i="26"/>
  <c r="F111" i="25"/>
  <c r="F111" i="24"/>
  <c r="F110" i="23"/>
  <c r="D110" i="28"/>
  <c r="D112" i="27"/>
  <c r="D112" i="26"/>
  <c r="D112" i="25"/>
  <c r="D112" i="24"/>
  <c r="D111" i="23"/>
  <c r="H110" i="28"/>
  <c r="H112" i="27"/>
  <c r="H112" i="26"/>
  <c r="H112" i="25"/>
  <c r="H112" i="24"/>
  <c r="H111" i="23"/>
  <c r="F111" i="28"/>
  <c r="F113" i="27"/>
  <c r="F113" i="26"/>
  <c r="F113" i="25"/>
  <c r="F113" i="24"/>
  <c r="F112" i="23"/>
  <c r="D113" i="28"/>
  <c r="D115" i="27"/>
  <c r="D115" i="26"/>
  <c r="D115" i="25"/>
  <c r="D115" i="24"/>
  <c r="D114" i="23"/>
  <c r="H113" i="28"/>
  <c r="H115" i="27"/>
  <c r="H115" i="26"/>
  <c r="H115" i="25"/>
  <c r="H115" i="24"/>
  <c r="H114" i="23"/>
  <c r="E114" i="11"/>
  <c r="E114" i="28"/>
  <c r="E116" i="27"/>
  <c r="E116" i="25"/>
  <c r="E116" i="26"/>
  <c r="E116" i="24"/>
  <c r="E115" i="23"/>
  <c r="I114" i="28"/>
  <c r="I116" i="27"/>
  <c r="I116" i="26"/>
  <c r="I116" i="25"/>
  <c r="I116" i="24"/>
  <c r="I115" i="23"/>
  <c r="F115" i="11"/>
  <c r="F115" i="28"/>
  <c r="F117" i="27"/>
  <c r="F117" i="26"/>
  <c r="F117" i="25"/>
  <c r="F117" i="24"/>
  <c r="F116" i="23"/>
  <c r="G116" i="28"/>
  <c r="G118" i="27"/>
  <c r="G118" i="26"/>
  <c r="G118" i="25"/>
  <c r="G118" i="24"/>
  <c r="G117" i="23"/>
  <c r="D117" i="28"/>
  <c r="D119" i="27"/>
  <c r="D119" i="26"/>
  <c r="D119" i="25"/>
  <c r="D119" i="24"/>
  <c r="D118" i="23"/>
  <c r="H117" i="28"/>
  <c r="H119" i="27"/>
  <c r="H119" i="26"/>
  <c r="H119" i="25"/>
  <c r="H119" i="24"/>
  <c r="H118" i="23"/>
  <c r="E120" i="28"/>
  <c r="E122" i="26"/>
  <c r="E122" i="25"/>
  <c r="E122" i="27"/>
  <c r="E122" i="24"/>
  <c r="E121" i="23"/>
  <c r="I120" i="28"/>
  <c r="I122" i="27"/>
  <c r="I122" i="26"/>
  <c r="I122" i="25"/>
  <c r="I122" i="24"/>
  <c r="I121" i="23"/>
  <c r="F121" i="28"/>
  <c r="F123" i="27"/>
  <c r="F123" i="26"/>
  <c r="F123" i="25"/>
  <c r="F123" i="24"/>
  <c r="F122" i="23"/>
  <c r="G122" i="28"/>
  <c r="G124" i="27"/>
  <c r="G124" i="26"/>
  <c r="G124" i="25"/>
  <c r="G124" i="24"/>
  <c r="G123" i="23"/>
  <c r="D126" i="28"/>
  <c r="D128" i="27"/>
  <c r="D128" i="26"/>
  <c r="D128" i="25"/>
  <c r="D128" i="24"/>
  <c r="D127" i="23"/>
  <c r="H126" i="28"/>
  <c r="H128" i="27"/>
  <c r="H128" i="26"/>
  <c r="H128" i="25"/>
  <c r="H128" i="24"/>
  <c r="H127" i="23"/>
  <c r="E127" i="28"/>
  <c r="E129" i="27"/>
  <c r="E129" i="26"/>
  <c r="E129" i="25"/>
  <c r="E129" i="24"/>
  <c r="E128" i="23"/>
  <c r="I127" i="28"/>
  <c r="I129" i="27"/>
  <c r="I129" i="26"/>
  <c r="I129" i="25"/>
  <c r="I129" i="24"/>
  <c r="I128" i="23"/>
  <c r="E123" i="28"/>
  <c r="E125" i="27"/>
  <c r="E125" i="26"/>
  <c r="E125" i="25"/>
  <c r="E125" i="24"/>
  <c r="E124" i="23"/>
  <c r="I123" i="28"/>
  <c r="I125" i="27"/>
  <c r="I125" i="26"/>
  <c r="I125" i="25"/>
  <c r="I125" i="24"/>
  <c r="I124" i="23"/>
  <c r="E124" i="11"/>
  <c r="E124" i="28"/>
  <c r="E126" i="26"/>
  <c r="E126" i="27"/>
  <c r="E126" i="25"/>
  <c r="E126" i="24"/>
  <c r="E125" i="23"/>
  <c r="I124" i="11"/>
  <c r="I124" i="28"/>
  <c r="I126" i="26"/>
  <c r="I126" i="27"/>
  <c r="I126" i="25"/>
  <c r="I126" i="24"/>
  <c r="I125" i="23"/>
  <c r="E125" i="28"/>
  <c r="E127" i="27"/>
  <c r="E127" i="26"/>
  <c r="E127" i="25"/>
  <c r="E127" i="24"/>
  <c r="E126" i="23"/>
  <c r="I125" i="28"/>
  <c r="I127" i="26"/>
  <c r="I127" i="27"/>
  <c r="I127" i="25"/>
  <c r="I127" i="24"/>
  <c r="I126" i="23"/>
  <c r="F133" i="28"/>
  <c r="F135" i="27"/>
  <c r="F135" i="26"/>
  <c r="F135" i="25"/>
  <c r="F135" i="24"/>
  <c r="F134" i="23"/>
  <c r="G134" i="28"/>
  <c r="G136" i="27"/>
  <c r="G136" i="26"/>
  <c r="G136" i="25"/>
  <c r="G136" i="24"/>
  <c r="G135" i="23"/>
  <c r="D135" i="28"/>
  <c r="D137" i="27"/>
  <c r="D137" i="26"/>
  <c r="D137" i="25"/>
  <c r="D137" i="24"/>
  <c r="D136" i="23"/>
  <c r="H135" i="28"/>
  <c r="H137" i="27"/>
  <c r="H137" i="26"/>
  <c r="H137" i="25"/>
  <c r="H137" i="24"/>
  <c r="H136" i="23"/>
  <c r="E136" i="28"/>
  <c r="E138" i="27"/>
  <c r="E138" i="26"/>
  <c r="E138" i="25"/>
  <c r="E138" i="24"/>
  <c r="E137" i="23"/>
  <c r="I136" i="28"/>
  <c r="I138" i="27"/>
  <c r="I138" i="26"/>
  <c r="I138" i="25"/>
  <c r="I138" i="24"/>
  <c r="I137" i="23"/>
  <c r="F137" i="28"/>
  <c r="F139" i="27"/>
  <c r="F139" i="26"/>
  <c r="F139" i="25"/>
  <c r="F139" i="24"/>
  <c r="F138" i="23"/>
  <c r="E146" i="28"/>
  <c r="E148" i="27"/>
  <c r="E148" i="26"/>
  <c r="E148" i="25"/>
  <c r="E148" i="24"/>
  <c r="E147" i="23"/>
  <c r="I146" i="28"/>
  <c r="I148" i="27"/>
  <c r="I148" i="26"/>
  <c r="I148" i="25"/>
  <c r="I148" i="24"/>
  <c r="I147" i="23"/>
  <c r="F148" i="11"/>
  <c r="F147" i="28"/>
  <c r="F149" i="27"/>
  <c r="F149" i="25"/>
  <c r="F149" i="24"/>
  <c r="F149" i="26"/>
  <c r="F148" i="23"/>
  <c r="G149" i="28"/>
  <c r="G151" i="27"/>
  <c r="G151" i="25"/>
  <c r="G151" i="26"/>
  <c r="G151" i="24"/>
  <c r="G150" i="23"/>
  <c r="D150" i="28"/>
  <c r="D152" i="27"/>
  <c r="D152" i="26"/>
  <c r="D152" i="25"/>
  <c r="D152" i="24"/>
  <c r="D151" i="23"/>
  <c r="H150" i="28"/>
  <c r="H152" i="27"/>
  <c r="H152" i="25"/>
  <c r="H152" i="26"/>
  <c r="H152" i="24"/>
  <c r="H151" i="23"/>
  <c r="D148" i="28"/>
  <c r="D150" i="27"/>
  <c r="D150" i="26"/>
  <c r="D150" i="25"/>
  <c r="D150" i="24"/>
  <c r="D149" i="23"/>
  <c r="I151" i="20"/>
  <c r="H148" i="28"/>
  <c r="H150" i="27"/>
  <c r="H150" i="26"/>
  <c r="H150" i="25"/>
  <c r="H150" i="24"/>
  <c r="H149" i="23"/>
  <c r="E152" i="28"/>
  <c r="E154" i="26"/>
  <c r="E154" i="27"/>
  <c r="E154" i="25"/>
  <c r="E154" i="24"/>
  <c r="E153" i="23"/>
  <c r="I152" i="28"/>
  <c r="I154" i="26"/>
  <c r="I154" i="27"/>
  <c r="I154" i="25"/>
  <c r="I154" i="24"/>
  <c r="I153" i="23"/>
  <c r="G156" i="20"/>
  <c r="F153" i="28"/>
  <c r="F155" i="27"/>
  <c r="F155" i="26"/>
  <c r="F155" i="25"/>
  <c r="F155" i="24"/>
  <c r="F154" i="23"/>
  <c r="G155" i="28"/>
  <c r="G157" i="27"/>
  <c r="G157" i="26"/>
  <c r="G157" i="25"/>
  <c r="G157" i="24"/>
  <c r="G156" i="23"/>
  <c r="E159" i="20"/>
  <c r="D156" i="28"/>
  <c r="D158" i="27"/>
  <c r="D158" i="26"/>
  <c r="D158" i="25"/>
  <c r="D158" i="24"/>
  <c r="D157" i="23"/>
  <c r="H156" i="28"/>
  <c r="H158" i="27"/>
  <c r="H158" i="26"/>
  <c r="H158" i="25"/>
  <c r="H158" i="24"/>
  <c r="H157" i="23"/>
  <c r="D154" i="28"/>
  <c r="D156" i="27"/>
  <c r="D156" i="26"/>
  <c r="D156" i="25"/>
  <c r="D156" i="24"/>
  <c r="D155" i="23"/>
  <c r="H154" i="28"/>
  <c r="H156" i="27"/>
  <c r="H156" i="26"/>
  <c r="H156" i="25"/>
  <c r="H156" i="24"/>
  <c r="H155" i="23"/>
  <c r="E159" i="28"/>
  <c r="E161" i="27"/>
  <c r="E161" i="26"/>
  <c r="E161" i="25"/>
  <c r="E161" i="24"/>
  <c r="E160" i="23"/>
  <c r="I159" i="28"/>
  <c r="I161" i="26"/>
  <c r="I161" i="25"/>
  <c r="I161" i="27"/>
  <c r="I161" i="24"/>
  <c r="I160" i="23"/>
  <c r="F161" i="11"/>
  <c r="F160" i="28"/>
  <c r="F162" i="27"/>
  <c r="F162" i="25"/>
  <c r="F162" i="26"/>
  <c r="F162" i="24"/>
  <c r="F161" i="23"/>
  <c r="G161" i="28"/>
  <c r="G163" i="27"/>
  <c r="G163" i="26"/>
  <c r="G163" i="25"/>
  <c r="G163" i="24"/>
  <c r="G162" i="23"/>
  <c r="D162" i="28"/>
  <c r="D164" i="27"/>
  <c r="D164" i="26"/>
  <c r="D164" i="25"/>
  <c r="D164" i="24"/>
  <c r="D163" i="23"/>
  <c r="H162" i="28"/>
  <c r="H164" i="27"/>
  <c r="H164" i="26"/>
  <c r="H164" i="25"/>
  <c r="H164" i="24"/>
  <c r="H163" i="23"/>
  <c r="E163" i="28"/>
  <c r="E165" i="27"/>
  <c r="E165" i="26"/>
  <c r="E165" i="25"/>
  <c r="E165" i="24"/>
  <c r="E164" i="23"/>
  <c r="J166" i="20"/>
  <c r="I163" i="28"/>
  <c r="I165" i="26"/>
  <c r="I165" i="27"/>
  <c r="I165" i="25"/>
  <c r="I165" i="24"/>
  <c r="I164" i="23"/>
  <c r="F171" i="28"/>
  <c r="F173" i="27"/>
  <c r="F173" i="26"/>
  <c r="F173" i="24"/>
  <c r="F173" i="25"/>
  <c r="F172" i="23"/>
  <c r="G172" i="28"/>
  <c r="G174" i="27"/>
  <c r="G174" i="26"/>
  <c r="G174" i="25"/>
  <c r="G174" i="24"/>
  <c r="G173" i="23"/>
  <c r="E176" i="20"/>
  <c r="D173" i="28"/>
  <c r="D175" i="27"/>
  <c r="D175" i="26"/>
  <c r="D175" i="25"/>
  <c r="D175" i="24"/>
  <c r="D174" i="23"/>
  <c r="H173" i="28"/>
  <c r="H175" i="27"/>
  <c r="H175" i="25"/>
  <c r="H175" i="26"/>
  <c r="H175" i="24"/>
  <c r="H174" i="23"/>
  <c r="F177" i="20"/>
  <c r="E174" i="28"/>
  <c r="E176" i="27"/>
  <c r="E176" i="26"/>
  <c r="E176" i="24"/>
  <c r="E176" i="25"/>
  <c r="E175" i="23"/>
  <c r="I174" i="28"/>
  <c r="I176" i="26"/>
  <c r="I176" i="24"/>
  <c r="I176" i="27"/>
  <c r="I176" i="25"/>
  <c r="I175" i="23"/>
  <c r="G178" i="20"/>
  <c r="F175" i="28"/>
  <c r="F177" i="27"/>
  <c r="F177" i="26"/>
  <c r="F177" i="25"/>
  <c r="F177" i="24"/>
  <c r="F176" i="23"/>
  <c r="G176" i="28"/>
  <c r="G178" i="27"/>
  <c r="G178" i="26"/>
  <c r="G178" i="24"/>
  <c r="G178" i="25"/>
  <c r="G177" i="23"/>
  <c r="D178" i="11"/>
  <c r="D177" i="28"/>
  <c r="D179" i="27"/>
  <c r="D179" i="26"/>
  <c r="D179" i="24"/>
  <c r="D179" i="25"/>
  <c r="D178" i="23"/>
  <c r="H177" i="28"/>
  <c r="H179" i="27"/>
  <c r="H179" i="26"/>
  <c r="H179" i="24"/>
  <c r="H179" i="25"/>
  <c r="H178" i="23"/>
  <c r="E178" i="28"/>
  <c r="E180" i="27"/>
  <c r="E180" i="26"/>
  <c r="E180" i="25"/>
  <c r="E180" i="24"/>
  <c r="E179" i="23"/>
  <c r="I178" i="28"/>
  <c r="I180" i="26"/>
  <c r="I180" i="27"/>
  <c r="I180" i="25"/>
  <c r="I180" i="24"/>
  <c r="I179" i="23"/>
  <c r="H61" i="20"/>
  <c r="G59" i="28"/>
  <c r="G60" i="27"/>
  <c r="G60" i="26"/>
  <c r="G61" i="25"/>
  <c r="G60" i="24"/>
  <c r="G60" i="23"/>
  <c r="G58" i="28"/>
  <c r="G59" i="27"/>
  <c r="G59" i="26"/>
  <c r="G60" i="25"/>
  <c r="G59" i="24"/>
  <c r="G59" i="23"/>
  <c r="H59" i="20"/>
  <c r="G57" i="28"/>
  <c r="G58" i="27"/>
  <c r="G58" i="24"/>
  <c r="G58" i="26"/>
  <c r="G59" i="25"/>
  <c r="G58" i="23"/>
  <c r="G78" i="11"/>
  <c r="G79" i="23"/>
  <c r="H81" i="20"/>
  <c r="G80" i="23"/>
  <c r="D10" i="20"/>
  <c r="C9" i="23"/>
  <c r="E10" i="20"/>
  <c r="D9" i="23"/>
  <c r="F11" i="20"/>
  <c r="E10" i="23"/>
  <c r="H13" i="20"/>
  <c r="G12" i="23"/>
  <c r="E14" i="20"/>
  <c r="D13" i="23"/>
  <c r="F16" i="20"/>
  <c r="E15" i="23"/>
  <c r="F17" i="20"/>
  <c r="E16" i="23"/>
  <c r="D31" i="20"/>
  <c r="C30" i="23"/>
  <c r="C9" i="11"/>
  <c r="C10" i="23"/>
  <c r="D13" i="20"/>
  <c r="C12" i="23"/>
  <c r="C18" i="11"/>
  <c r="C19" i="23"/>
  <c r="C21" i="11"/>
  <c r="C22" i="23"/>
  <c r="D32" i="20"/>
  <c r="C31" i="23"/>
  <c r="D21" i="20"/>
  <c r="F10" i="20"/>
  <c r="E9" i="23"/>
  <c r="J10" i="20"/>
  <c r="I9" i="23"/>
  <c r="G11" i="20"/>
  <c r="F10" i="23"/>
  <c r="E13" i="20"/>
  <c r="D12" i="23"/>
  <c r="F14" i="20"/>
  <c r="E13" i="23"/>
  <c r="J14" i="20"/>
  <c r="I13" i="23"/>
  <c r="G16" i="20"/>
  <c r="F15" i="23"/>
  <c r="G17" i="20"/>
  <c r="F16" i="23"/>
  <c r="H18" i="20"/>
  <c r="G17" i="23"/>
  <c r="E19" i="20"/>
  <c r="D18" i="23"/>
  <c r="E19" i="11"/>
  <c r="E20" i="23"/>
  <c r="E20" i="11"/>
  <c r="E21" i="23"/>
  <c r="G25" i="20"/>
  <c r="F24" i="23"/>
  <c r="H26" i="20"/>
  <c r="G25" i="23"/>
  <c r="E27" i="20"/>
  <c r="D26" i="23"/>
  <c r="F28" i="20"/>
  <c r="E27" i="23"/>
  <c r="J28" i="20"/>
  <c r="I27" i="23"/>
  <c r="G29" i="20"/>
  <c r="F28" i="23"/>
  <c r="E31" i="20"/>
  <c r="D30" i="23"/>
  <c r="D29" i="20"/>
  <c r="C28" i="23"/>
  <c r="J11" i="20"/>
  <c r="I10" i="23"/>
  <c r="F24" i="20"/>
  <c r="E23" i="23"/>
  <c r="F25" i="20"/>
  <c r="E24" i="23"/>
  <c r="H30" i="20"/>
  <c r="G29" i="23"/>
  <c r="C10" i="11"/>
  <c r="C11" i="23"/>
  <c r="C13" i="11"/>
  <c r="C14" i="23"/>
  <c r="C28" i="11"/>
  <c r="C29" i="23"/>
  <c r="C24" i="11"/>
  <c r="C25" i="23"/>
  <c r="D10" i="11"/>
  <c r="D11" i="23"/>
  <c r="H15" i="20"/>
  <c r="G14" i="23"/>
  <c r="C15" i="11"/>
  <c r="C16" i="23"/>
  <c r="E18" i="20"/>
  <c r="D17" i="23"/>
  <c r="F19" i="20"/>
  <c r="E18" i="23"/>
  <c r="G21" i="20"/>
  <c r="F20" i="23"/>
  <c r="H23" i="20"/>
  <c r="G22" i="23"/>
  <c r="H24" i="20"/>
  <c r="G23" i="23"/>
  <c r="H25" i="20"/>
  <c r="G24" i="23"/>
  <c r="E26" i="20"/>
  <c r="D25" i="23"/>
  <c r="F27" i="20"/>
  <c r="E26" i="23"/>
  <c r="J27" i="20"/>
  <c r="I26" i="23"/>
  <c r="J31" i="20"/>
  <c r="I30" i="23"/>
  <c r="G32" i="20"/>
  <c r="F31" i="23"/>
  <c r="D19" i="20"/>
  <c r="C18" i="23"/>
  <c r="G12" i="20"/>
  <c r="F11" i="23"/>
  <c r="J17" i="20"/>
  <c r="I16" i="23"/>
  <c r="D19" i="11"/>
  <c r="D20" i="23"/>
  <c r="E28" i="20"/>
  <c r="D27" i="23"/>
  <c r="I12" i="20"/>
  <c r="H11" i="23"/>
  <c r="G14" i="20"/>
  <c r="F13" i="23"/>
  <c r="C14" i="11"/>
  <c r="C15" i="23"/>
  <c r="H16" i="20"/>
  <c r="G15" i="23"/>
  <c r="I18" i="20"/>
  <c r="H17" i="23"/>
  <c r="J19" i="20"/>
  <c r="I18" i="23"/>
  <c r="G20" i="20"/>
  <c r="F19" i="23"/>
  <c r="F20" i="11"/>
  <c r="F21" i="23"/>
  <c r="D24" i="20"/>
  <c r="C23" i="23"/>
  <c r="C23" i="11"/>
  <c r="C24" i="23"/>
  <c r="I26" i="20"/>
  <c r="H25" i="23"/>
  <c r="C12" i="11"/>
  <c r="C13" i="23"/>
  <c r="C16" i="11"/>
  <c r="C17" i="23"/>
  <c r="D27" i="20"/>
  <c r="C26" i="23"/>
  <c r="I11" i="20"/>
  <c r="H10" i="23"/>
  <c r="E10" i="11"/>
  <c r="E11" i="23"/>
  <c r="J12" i="20"/>
  <c r="I11" i="23"/>
  <c r="G13" i="20"/>
  <c r="F12" i="23"/>
  <c r="E15" i="20"/>
  <c r="D14" i="23"/>
  <c r="I15" i="20"/>
  <c r="H14" i="23"/>
  <c r="E16" i="20"/>
  <c r="D15" i="23"/>
  <c r="D15" i="11"/>
  <c r="D16" i="23"/>
  <c r="G19" i="20"/>
  <c r="F18" i="23"/>
  <c r="H20" i="20"/>
  <c r="G19" i="23"/>
  <c r="H21" i="20"/>
  <c r="G20" i="23"/>
  <c r="D22" i="20"/>
  <c r="C21" i="23"/>
  <c r="H22" i="20"/>
  <c r="G21" i="23"/>
  <c r="E23" i="20"/>
  <c r="D22" i="23"/>
  <c r="I23" i="20"/>
  <c r="H22" i="23"/>
  <c r="E24" i="20"/>
  <c r="D23" i="23"/>
  <c r="I24" i="20"/>
  <c r="H23" i="23"/>
  <c r="D23" i="11"/>
  <c r="D24" i="23"/>
  <c r="C26" i="11"/>
  <c r="C27" i="23"/>
  <c r="C20" i="11"/>
  <c r="D28" i="20"/>
  <c r="C153" i="11"/>
  <c r="C22" i="11"/>
  <c r="C123" i="11"/>
  <c r="D72" i="20"/>
  <c r="H177" i="11"/>
  <c r="C64" i="11"/>
  <c r="C135" i="11"/>
  <c r="D14" i="20"/>
  <c r="D93" i="20"/>
  <c r="D123" i="20"/>
  <c r="D136" i="20"/>
  <c r="K11" i="20"/>
  <c r="J9" i="11"/>
  <c r="H12" i="20"/>
  <c r="G10" i="11"/>
  <c r="I13" i="20"/>
  <c r="H11" i="11"/>
  <c r="G15" i="20"/>
  <c r="F13" i="11"/>
  <c r="K15" i="20"/>
  <c r="J13" i="11"/>
  <c r="I19" i="20"/>
  <c r="H17" i="11"/>
  <c r="F20" i="20"/>
  <c r="E18" i="11"/>
  <c r="J20" i="20"/>
  <c r="I18" i="11"/>
  <c r="J21" i="20"/>
  <c r="I19" i="11"/>
  <c r="J22" i="20"/>
  <c r="I20" i="11"/>
  <c r="G23" i="20"/>
  <c r="F21" i="11"/>
  <c r="K23" i="20"/>
  <c r="J21" i="11"/>
  <c r="F22" i="11"/>
  <c r="G24" i="20"/>
  <c r="K24" i="20"/>
  <c r="J22" i="11"/>
  <c r="I27" i="20"/>
  <c r="H25" i="11"/>
  <c r="E30" i="20"/>
  <c r="D28" i="11"/>
  <c r="I30" i="20"/>
  <c r="H28" i="11"/>
  <c r="I31" i="20"/>
  <c r="H29" i="11"/>
  <c r="F32" i="20"/>
  <c r="E30" i="11"/>
  <c r="J32" i="20"/>
  <c r="I30" i="11"/>
  <c r="G34" i="20"/>
  <c r="F32" i="11"/>
  <c r="K34" i="20"/>
  <c r="J32" i="11"/>
  <c r="H35" i="20"/>
  <c r="G33" i="11"/>
  <c r="E36" i="20"/>
  <c r="D34" i="11"/>
  <c r="I36" i="20"/>
  <c r="H34" i="11"/>
  <c r="J37" i="20"/>
  <c r="I35" i="11"/>
  <c r="K38" i="20"/>
  <c r="J36" i="11"/>
  <c r="G38" i="11"/>
  <c r="H39" i="11"/>
  <c r="F41" i="11"/>
  <c r="D42" i="11"/>
  <c r="H42" i="11"/>
  <c r="J47" i="20"/>
  <c r="I45" i="11"/>
  <c r="H55" i="20"/>
  <c r="G53" i="11"/>
  <c r="I60" i="20"/>
  <c r="H58" i="11"/>
  <c r="H59" i="11"/>
  <c r="I61" i="20"/>
  <c r="H61" i="11"/>
  <c r="D64" i="11"/>
  <c r="H64" i="11"/>
  <c r="J69" i="20"/>
  <c r="I67" i="11"/>
  <c r="G70" i="20"/>
  <c r="F68" i="11"/>
  <c r="K70" i="20"/>
  <c r="J68" i="11"/>
  <c r="H72" i="20"/>
  <c r="G70" i="11"/>
  <c r="H77" i="20"/>
  <c r="G75" i="11"/>
  <c r="E78" i="20"/>
  <c r="D76" i="11"/>
  <c r="I78" i="20"/>
  <c r="H76" i="11"/>
  <c r="H82" i="20"/>
  <c r="G80" i="11"/>
  <c r="I83" i="20"/>
  <c r="H81" i="11"/>
  <c r="H89" i="20"/>
  <c r="G87" i="11"/>
  <c r="I90" i="20"/>
  <c r="H88" i="11"/>
  <c r="J91" i="20"/>
  <c r="I89" i="11"/>
  <c r="G93" i="20"/>
  <c r="F91" i="11"/>
  <c r="K93" i="20"/>
  <c r="J91" i="11"/>
  <c r="F96" i="20"/>
  <c r="E94" i="11"/>
  <c r="J96" i="20"/>
  <c r="I94" i="11"/>
  <c r="G97" i="20"/>
  <c r="F95" i="11"/>
  <c r="K97" i="20"/>
  <c r="J95" i="11"/>
  <c r="G98" i="20"/>
  <c r="F96" i="11"/>
  <c r="K98" i="20"/>
  <c r="J96" i="11"/>
  <c r="H103" i="20"/>
  <c r="G101" i="11"/>
  <c r="I104" i="20"/>
  <c r="H102" i="11"/>
  <c r="F104" i="11"/>
  <c r="G106" i="20"/>
  <c r="K106" i="20"/>
  <c r="J104" i="11"/>
  <c r="H107" i="20"/>
  <c r="G105" i="11"/>
  <c r="I109" i="20"/>
  <c r="H107" i="11"/>
  <c r="G110" i="20"/>
  <c r="F108" i="11"/>
  <c r="G112" i="20"/>
  <c r="F110" i="11"/>
  <c r="E113" i="20"/>
  <c r="D111" i="11"/>
  <c r="I113" i="20"/>
  <c r="H111" i="11"/>
  <c r="G115" i="20"/>
  <c r="F113" i="11"/>
  <c r="K115" i="20"/>
  <c r="J113" i="11"/>
  <c r="H116" i="20"/>
  <c r="G114" i="11"/>
  <c r="F118" i="20"/>
  <c r="E116" i="11"/>
  <c r="J118" i="20"/>
  <c r="I116" i="11"/>
  <c r="G119" i="20"/>
  <c r="F117" i="11"/>
  <c r="K119" i="20"/>
  <c r="J117" i="11"/>
  <c r="H122" i="20"/>
  <c r="G120" i="11"/>
  <c r="E123" i="20"/>
  <c r="D121" i="11"/>
  <c r="I123" i="20"/>
  <c r="H121" i="11"/>
  <c r="F124" i="20"/>
  <c r="E122" i="11"/>
  <c r="J124" i="20"/>
  <c r="I122" i="11"/>
  <c r="G128" i="20"/>
  <c r="F126" i="11"/>
  <c r="K128" i="20"/>
  <c r="J126" i="11"/>
  <c r="H129" i="20"/>
  <c r="G127" i="11"/>
  <c r="H126" i="20"/>
  <c r="G124" i="11"/>
  <c r="E136" i="20"/>
  <c r="D134" i="11"/>
  <c r="I136" i="20"/>
  <c r="H134" i="11"/>
  <c r="F137" i="20"/>
  <c r="E135" i="11"/>
  <c r="J137" i="20"/>
  <c r="I135" i="11"/>
  <c r="K138" i="20"/>
  <c r="J136" i="11"/>
  <c r="H149" i="20"/>
  <c r="G147" i="11"/>
  <c r="I150" i="20"/>
  <c r="H148" i="11"/>
  <c r="F152" i="20"/>
  <c r="E150" i="11"/>
  <c r="J152" i="20"/>
  <c r="I150" i="11"/>
  <c r="G153" i="20"/>
  <c r="F151" i="11"/>
  <c r="K153" i="20"/>
  <c r="J151" i="11"/>
  <c r="H155" i="20"/>
  <c r="G153" i="11"/>
  <c r="I156" i="20"/>
  <c r="H154" i="11"/>
  <c r="F158" i="20"/>
  <c r="E156" i="11"/>
  <c r="J158" i="20"/>
  <c r="I156" i="11"/>
  <c r="G159" i="20"/>
  <c r="F157" i="11"/>
  <c r="K159" i="20"/>
  <c r="J157" i="11"/>
  <c r="H162" i="20"/>
  <c r="G160" i="11"/>
  <c r="I163" i="20"/>
  <c r="H161" i="11"/>
  <c r="F164" i="20"/>
  <c r="E162" i="11"/>
  <c r="J164" i="20"/>
  <c r="I162" i="11"/>
  <c r="H166" i="20"/>
  <c r="G164" i="11"/>
  <c r="I174" i="20"/>
  <c r="H172" i="11"/>
  <c r="F175" i="20"/>
  <c r="E173" i="11"/>
  <c r="I173" i="11"/>
  <c r="J175" i="20"/>
  <c r="K176" i="20"/>
  <c r="J174" i="11"/>
  <c r="E178" i="20"/>
  <c r="D176" i="11"/>
  <c r="I178" i="20"/>
  <c r="H176" i="11"/>
  <c r="F179" i="20"/>
  <c r="E177" i="11"/>
  <c r="J179" i="20"/>
  <c r="I177" i="11"/>
  <c r="G180" i="20"/>
  <c r="F178" i="11"/>
  <c r="K180" i="20"/>
  <c r="J178" i="11"/>
  <c r="H181" i="20"/>
  <c r="G179" i="11"/>
  <c r="D8" i="11"/>
  <c r="H9" i="11"/>
  <c r="F11" i="11"/>
  <c r="I12" i="11"/>
  <c r="F14" i="11"/>
  <c r="I15" i="11"/>
  <c r="E17" i="11"/>
  <c r="F18" i="11"/>
  <c r="J19" i="11"/>
  <c r="G21" i="11"/>
  <c r="E23" i="11"/>
  <c r="G24" i="11"/>
  <c r="I25" i="11"/>
  <c r="F30" i="11"/>
  <c r="H33" i="11"/>
  <c r="E38" i="11"/>
  <c r="I40" i="11"/>
  <c r="I42" i="11"/>
  <c r="D49" i="11"/>
  <c r="I53" i="11"/>
  <c r="J58" i="11"/>
  <c r="G59" i="11"/>
  <c r="G68" i="11"/>
  <c r="G76" i="11"/>
  <c r="I85" i="11"/>
  <c r="C11" i="11"/>
  <c r="C67" i="11"/>
  <c r="D15" i="20"/>
  <c r="D30" i="20"/>
  <c r="D48" i="20"/>
  <c r="D77" i="20"/>
  <c r="D106" i="20"/>
  <c r="F8" i="11"/>
  <c r="G10" i="20"/>
  <c r="H11" i="20"/>
  <c r="G9" i="11"/>
  <c r="F13" i="20"/>
  <c r="E11" i="11"/>
  <c r="J13" i="20"/>
  <c r="I11" i="11"/>
  <c r="G15" i="11"/>
  <c r="H17" i="20"/>
  <c r="F26" i="11"/>
  <c r="G28" i="20"/>
  <c r="K28" i="20"/>
  <c r="J26" i="11"/>
  <c r="H29" i="20"/>
  <c r="G27" i="11"/>
  <c r="F30" i="20"/>
  <c r="E28" i="11"/>
  <c r="J30" i="20"/>
  <c r="I28" i="11"/>
  <c r="F31" i="20"/>
  <c r="E29" i="11"/>
  <c r="J36" i="20"/>
  <c r="I34" i="11"/>
  <c r="K37" i="20"/>
  <c r="J35" i="11"/>
  <c r="H38" i="11"/>
  <c r="E39" i="11"/>
  <c r="I39" i="11"/>
  <c r="F40" i="11"/>
  <c r="J40" i="11"/>
  <c r="H48" i="20"/>
  <c r="G46" i="11"/>
  <c r="E49" i="20"/>
  <c r="D47" i="11"/>
  <c r="I49" i="20"/>
  <c r="H47" i="11"/>
  <c r="F51" i="20"/>
  <c r="E49" i="11"/>
  <c r="J51" i="20"/>
  <c r="I49" i="11"/>
  <c r="K52" i="20"/>
  <c r="J50" i="11"/>
  <c r="H54" i="20"/>
  <c r="G52" i="11"/>
  <c r="I55" i="20"/>
  <c r="H53" i="11"/>
  <c r="J60" i="20"/>
  <c r="I58" i="11"/>
  <c r="J61" i="20"/>
  <c r="I59" i="11"/>
  <c r="G63" i="11"/>
  <c r="E64" i="11"/>
  <c r="I64" i="11"/>
  <c r="I71" i="20"/>
  <c r="H69" i="11"/>
  <c r="I72" i="20"/>
  <c r="H70" i="11"/>
  <c r="H76" i="20"/>
  <c r="G74" i="11"/>
  <c r="I77" i="20"/>
  <c r="H75" i="11"/>
  <c r="F78" i="20"/>
  <c r="E76" i="11"/>
  <c r="J78" i="20"/>
  <c r="I76" i="11"/>
  <c r="D80" i="11"/>
  <c r="E82" i="20"/>
  <c r="I82" i="20"/>
  <c r="H80" i="11"/>
  <c r="J83" i="20"/>
  <c r="I81" i="11"/>
  <c r="G87" i="20"/>
  <c r="F85" i="11"/>
  <c r="K87" i="20"/>
  <c r="J85" i="11"/>
  <c r="E89" i="20"/>
  <c r="D87" i="11"/>
  <c r="I89" i="20"/>
  <c r="H87" i="11"/>
  <c r="F90" i="20"/>
  <c r="E88" i="11"/>
  <c r="J90" i="20"/>
  <c r="I88" i="11"/>
  <c r="G91" i="20"/>
  <c r="F89" i="11"/>
  <c r="K91" i="20"/>
  <c r="J89" i="11"/>
  <c r="H93" i="20"/>
  <c r="G91" i="11"/>
  <c r="K96" i="20"/>
  <c r="J94" i="11"/>
  <c r="H97" i="20"/>
  <c r="G95" i="11"/>
  <c r="H98" i="20"/>
  <c r="G96" i="11"/>
  <c r="D101" i="11"/>
  <c r="E103" i="20"/>
  <c r="I103" i="20"/>
  <c r="H101" i="11"/>
  <c r="E102" i="11"/>
  <c r="F104" i="20"/>
  <c r="J104" i="20"/>
  <c r="I102" i="11"/>
  <c r="H106" i="20"/>
  <c r="G104" i="11"/>
  <c r="E107" i="20"/>
  <c r="D105" i="11"/>
  <c r="I107" i="20"/>
  <c r="H105" i="11"/>
  <c r="F109" i="20"/>
  <c r="E107" i="11"/>
  <c r="J109" i="20"/>
  <c r="I107" i="11"/>
  <c r="H110" i="20"/>
  <c r="G108" i="11"/>
  <c r="H112" i="20"/>
  <c r="G110" i="11"/>
  <c r="F113" i="20"/>
  <c r="E111" i="11"/>
  <c r="J113" i="20"/>
  <c r="I111" i="11"/>
  <c r="H115" i="20"/>
  <c r="G113" i="11"/>
  <c r="D114" i="11"/>
  <c r="E116" i="20"/>
  <c r="I116" i="20"/>
  <c r="H114" i="11"/>
  <c r="G118" i="20"/>
  <c r="F116" i="11"/>
  <c r="K118" i="20"/>
  <c r="J116" i="11"/>
  <c r="H119" i="20"/>
  <c r="G117" i="11"/>
  <c r="E122" i="20"/>
  <c r="I122" i="20"/>
  <c r="H120" i="11"/>
  <c r="F123" i="20"/>
  <c r="E121" i="11"/>
  <c r="J123" i="20"/>
  <c r="I121" i="11"/>
  <c r="G124" i="20"/>
  <c r="F122" i="11"/>
  <c r="K124" i="20"/>
  <c r="J122" i="11"/>
  <c r="H128" i="20"/>
  <c r="G126" i="11"/>
  <c r="I129" i="20"/>
  <c r="H127" i="11"/>
  <c r="F136" i="20"/>
  <c r="E134" i="11"/>
  <c r="J136" i="20"/>
  <c r="I134" i="11"/>
  <c r="G137" i="20"/>
  <c r="F135" i="11"/>
  <c r="K137" i="20"/>
  <c r="J135" i="11"/>
  <c r="G136" i="11"/>
  <c r="H138" i="20"/>
  <c r="I149" i="20"/>
  <c r="H147" i="11"/>
  <c r="E148" i="11"/>
  <c r="F150" i="20"/>
  <c r="J150" i="20"/>
  <c r="I148" i="11"/>
  <c r="G152" i="20"/>
  <c r="F150" i="11"/>
  <c r="K152" i="20"/>
  <c r="J150" i="11"/>
  <c r="H153" i="20"/>
  <c r="G151" i="11"/>
  <c r="I155" i="20"/>
  <c r="H153" i="11"/>
  <c r="E154" i="11"/>
  <c r="F156" i="20"/>
  <c r="J156" i="20"/>
  <c r="I154" i="11"/>
  <c r="G158" i="20"/>
  <c r="F156" i="11"/>
  <c r="K158" i="20"/>
  <c r="J156" i="11"/>
  <c r="H159" i="20"/>
  <c r="G157" i="11"/>
  <c r="I162" i="20"/>
  <c r="H160" i="11"/>
  <c r="E161" i="11"/>
  <c r="F163" i="20"/>
  <c r="J163" i="20"/>
  <c r="I161" i="11"/>
  <c r="G164" i="20"/>
  <c r="F162" i="11"/>
  <c r="K164" i="20"/>
  <c r="J162" i="11"/>
  <c r="E166" i="20"/>
  <c r="D164" i="11"/>
  <c r="I166" i="20"/>
  <c r="H164" i="11"/>
  <c r="F174" i="20"/>
  <c r="E172" i="11"/>
  <c r="J174" i="20"/>
  <c r="I172" i="11"/>
  <c r="G175" i="20"/>
  <c r="F173" i="11"/>
  <c r="K175" i="20"/>
  <c r="J173" i="11"/>
  <c r="H176" i="20"/>
  <c r="G174" i="11"/>
  <c r="F178" i="20"/>
  <c r="E176" i="11"/>
  <c r="J178" i="20"/>
  <c r="I176" i="11"/>
  <c r="G179" i="20"/>
  <c r="F177" i="11"/>
  <c r="K179" i="20"/>
  <c r="J177" i="11"/>
  <c r="H180" i="20"/>
  <c r="G178" i="11"/>
  <c r="E181" i="20"/>
  <c r="D179" i="11"/>
  <c r="I181" i="20"/>
  <c r="H179" i="11"/>
  <c r="E8" i="11"/>
  <c r="I9" i="11"/>
  <c r="G11" i="11"/>
  <c r="J12" i="11"/>
  <c r="G14" i="11"/>
  <c r="J15" i="11"/>
  <c r="F17" i="11"/>
  <c r="G18" i="11"/>
  <c r="G20" i="11"/>
  <c r="H21" i="11"/>
  <c r="G23" i="11"/>
  <c r="H24" i="11"/>
  <c r="G28" i="11"/>
  <c r="J30" i="11"/>
  <c r="G34" i="11"/>
  <c r="I38" i="11"/>
  <c r="G41" i="11"/>
  <c r="F46" i="11"/>
  <c r="H49" i="11"/>
  <c r="E61" i="11"/>
  <c r="F64" i="11"/>
  <c r="G69" i="11"/>
  <c r="I78" i="11"/>
  <c r="F87" i="11"/>
  <c r="C47" i="11"/>
  <c r="D12" i="20"/>
  <c r="D38" i="20"/>
  <c r="D83" i="20"/>
  <c r="D107" i="20"/>
  <c r="H10" i="20"/>
  <c r="G8" i="11"/>
  <c r="E11" i="20"/>
  <c r="D9" i="11"/>
  <c r="H14" i="20"/>
  <c r="G12" i="11"/>
  <c r="I16" i="20"/>
  <c r="H14" i="11"/>
  <c r="I17" i="20"/>
  <c r="H15" i="11"/>
  <c r="F18" i="20"/>
  <c r="E16" i="11"/>
  <c r="J18" i="20"/>
  <c r="I16" i="11"/>
  <c r="I25" i="20"/>
  <c r="H23" i="11"/>
  <c r="F26" i="20"/>
  <c r="E24" i="11"/>
  <c r="J26" i="20"/>
  <c r="I24" i="11"/>
  <c r="G27" i="20"/>
  <c r="F25" i="11"/>
  <c r="H28" i="20"/>
  <c r="G26" i="11"/>
  <c r="E29" i="20"/>
  <c r="D27" i="11"/>
  <c r="I29" i="20"/>
  <c r="H27" i="11"/>
  <c r="G30" i="20"/>
  <c r="F28" i="11"/>
  <c r="K30" i="20"/>
  <c r="J28" i="11"/>
  <c r="F29" i="11"/>
  <c r="G31" i="20"/>
  <c r="K31" i="20"/>
  <c r="J29" i="11"/>
  <c r="H32" i="20"/>
  <c r="G30" i="11"/>
  <c r="E34" i="20"/>
  <c r="D32" i="11"/>
  <c r="I34" i="20"/>
  <c r="H32" i="11"/>
  <c r="F35" i="20"/>
  <c r="E33" i="11"/>
  <c r="J35" i="20"/>
  <c r="I33" i="11"/>
  <c r="K36" i="20"/>
  <c r="J34" i="11"/>
  <c r="I38" i="20"/>
  <c r="H36" i="11"/>
  <c r="F39" i="11"/>
  <c r="J39" i="11"/>
  <c r="G40" i="11"/>
  <c r="D41" i="11"/>
  <c r="H41" i="11"/>
  <c r="F42" i="11"/>
  <c r="J42" i="11"/>
  <c r="E48" i="20"/>
  <c r="D46" i="11"/>
  <c r="I48" i="20"/>
  <c r="H46" i="11"/>
  <c r="F49" i="20"/>
  <c r="E47" i="11"/>
  <c r="J49" i="20"/>
  <c r="I47" i="11"/>
  <c r="G51" i="20"/>
  <c r="F49" i="11"/>
  <c r="K51" i="20"/>
  <c r="J49" i="11"/>
  <c r="I54" i="20"/>
  <c r="H52" i="11"/>
  <c r="F55" i="20"/>
  <c r="E53" i="11"/>
  <c r="K61" i="20"/>
  <c r="J59" i="11"/>
  <c r="F61" i="11"/>
  <c r="J61" i="11"/>
  <c r="H63" i="11"/>
  <c r="H69" i="20"/>
  <c r="G67" i="11"/>
  <c r="E70" i="20"/>
  <c r="D68" i="11"/>
  <c r="I70" i="20"/>
  <c r="H68" i="11"/>
  <c r="J71" i="20"/>
  <c r="I69" i="11"/>
  <c r="D74" i="11"/>
  <c r="E76" i="20"/>
  <c r="I76" i="20"/>
  <c r="H74" i="11"/>
  <c r="J77" i="20"/>
  <c r="I75" i="11"/>
  <c r="G78" i="20"/>
  <c r="F76" i="11"/>
  <c r="K78" i="20"/>
  <c r="J76" i="11"/>
  <c r="J82" i="20"/>
  <c r="I80" i="11"/>
  <c r="H87" i="20"/>
  <c r="G85" i="11"/>
  <c r="F89" i="20"/>
  <c r="E87" i="11"/>
  <c r="J89" i="20"/>
  <c r="I87" i="11"/>
  <c r="G90" i="20"/>
  <c r="F88" i="11"/>
  <c r="K90" i="20"/>
  <c r="J88" i="11"/>
  <c r="H91" i="20"/>
  <c r="G89" i="11"/>
  <c r="I93" i="20"/>
  <c r="H91" i="11"/>
  <c r="I92" i="11"/>
  <c r="J94" i="20"/>
  <c r="H96" i="20"/>
  <c r="G94" i="11"/>
  <c r="D95" i="11"/>
  <c r="E97" i="20"/>
  <c r="I97" i="20"/>
  <c r="H95" i="11"/>
  <c r="E98" i="20"/>
  <c r="D96" i="11"/>
  <c r="I98" i="20"/>
  <c r="H96" i="11"/>
  <c r="F103" i="20"/>
  <c r="E101" i="11"/>
  <c r="J103" i="20"/>
  <c r="I101" i="11"/>
  <c r="F102" i="11"/>
  <c r="G104" i="20"/>
  <c r="K104" i="20"/>
  <c r="J102" i="11"/>
  <c r="E106" i="20"/>
  <c r="D104" i="11"/>
  <c r="I106" i="20"/>
  <c r="H104" i="11"/>
  <c r="F107" i="20"/>
  <c r="E105" i="11"/>
  <c r="J107" i="20"/>
  <c r="I105" i="11"/>
  <c r="G109" i="20"/>
  <c r="F107" i="11"/>
  <c r="I110" i="20"/>
  <c r="H108" i="11"/>
  <c r="E112" i="20"/>
  <c r="D110" i="11"/>
  <c r="I112" i="20"/>
  <c r="H110" i="11"/>
  <c r="G113" i="20"/>
  <c r="F111" i="11"/>
  <c r="D113" i="11"/>
  <c r="E115" i="20"/>
  <c r="I115" i="20"/>
  <c r="H113" i="11"/>
  <c r="J116" i="20"/>
  <c r="I114" i="11"/>
  <c r="J115" i="11"/>
  <c r="K117" i="20"/>
  <c r="H118" i="20"/>
  <c r="G116" i="11"/>
  <c r="E119" i="20"/>
  <c r="D117" i="11"/>
  <c r="I119" i="20"/>
  <c r="H117" i="11"/>
  <c r="F122" i="20"/>
  <c r="E120" i="11"/>
  <c r="J122" i="20"/>
  <c r="I120" i="11"/>
  <c r="G123" i="20"/>
  <c r="F121" i="11"/>
  <c r="K123" i="20"/>
  <c r="J121" i="11"/>
  <c r="H124" i="20"/>
  <c r="G122" i="11"/>
  <c r="E128" i="20"/>
  <c r="D126" i="11"/>
  <c r="I128" i="20"/>
  <c r="H126" i="11"/>
  <c r="F129" i="20"/>
  <c r="E127" i="11"/>
  <c r="J129" i="20"/>
  <c r="I127" i="11"/>
  <c r="G136" i="20"/>
  <c r="F134" i="11"/>
  <c r="K136" i="20"/>
  <c r="J134" i="11"/>
  <c r="H137" i="20"/>
  <c r="G135" i="11"/>
  <c r="E138" i="20"/>
  <c r="D136" i="11"/>
  <c r="I138" i="20"/>
  <c r="H136" i="11"/>
  <c r="F149" i="20"/>
  <c r="E147" i="11"/>
  <c r="J149" i="20"/>
  <c r="I147" i="11"/>
  <c r="K150" i="20"/>
  <c r="J148" i="11"/>
  <c r="H152" i="20"/>
  <c r="G150" i="11"/>
  <c r="E153" i="20"/>
  <c r="D151" i="11"/>
  <c r="I153" i="20"/>
  <c r="H151" i="11"/>
  <c r="E151" i="20"/>
  <c r="D149" i="11"/>
  <c r="F155" i="20"/>
  <c r="E153" i="11"/>
  <c r="J155" i="20"/>
  <c r="I153" i="11"/>
  <c r="K156" i="20"/>
  <c r="J154" i="11"/>
  <c r="H158" i="20"/>
  <c r="G156" i="11"/>
  <c r="I159" i="20"/>
  <c r="H157" i="11"/>
  <c r="F162" i="20"/>
  <c r="E160" i="11"/>
  <c r="J162" i="20"/>
  <c r="I160" i="11"/>
  <c r="K163" i="20"/>
  <c r="J161" i="11"/>
  <c r="G162" i="11"/>
  <c r="H164" i="20"/>
  <c r="F166" i="20"/>
  <c r="E164" i="11"/>
  <c r="I8" i="11"/>
  <c r="H10" i="11"/>
  <c r="J11" i="11"/>
  <c r="G13" i="11"/>
  <c r="J14" i="11"/>
  <c r="G16" i="11"/>
  <c r="I17" i="11"/>
  <c r="J18" i="11"/>
  <c r="J20" i="11"/>
  <c r="G22" i="11"/>
  <c r="J23" i="11"/>
  <c r="D25" i="11"/>
  <c r="I26" i="11"/>
  <c r="D29" i="11"/>
  <c r="G32" i="11"/>
  <c r="G35" i="11"/>
  <c r="G39" i="11"/>
  <c r="J46" i="11"/>
  <c r="G51" i="11"/>
  <c r="I61" i="11"/>
  <c r="J64" i="11"/>
  <c r="E70" i="11"/>
  <c r="J74" i="11"/>
  <c r="E81" i="11"/>
  <c r="C63" i="11"/>
  <c r="C89" i="11"/>
  <c r="C162" i="11"/>
  <c r="D26" i="20"/>
  <c r="D51" i="20"/>
  <c r="D119" i="20"/>
  <c r="I10" i="20"/>
  <c r="H8" i="11"/>
  <c r="K12" i="20"/>
  <c r="J10" i="11"/>
  <c r="I14" i="20"/>
  <c r="H12" i="11"/>
  <c r="F15" i="20"/>
  <c r="E13" i="11"/>
  <c r="J15" i="20"/>
  <c r="I13" i="11"/>
  <c r="J16" i="20"/>
  <c r="I14" i="11"/>
  <c r="G18" i="20"/>
  <c r="F16" i="11"/>
  <c r="K18" i="20"/>
  <c r="J16" i="11"/>
  <c r="H19" i="20"/>
  <c r="G17" i="11"/>
  <c r="D18" i="11"/>
  <c r="E20" i="20"/>
  <c r="I20" i="20"/>
  <c r="H18" i="11"/>
  <c r="I21" i="20"/>
  <c r="H19" i="11"/>
  <c r="D20" i="11"/>
  <c r="E22" i="20"/>
  <c r="I22" i="20"/>
  <c r="H20" i="11"/>
  <c r="F23" i="20"/>
  <c r="E21" i="11"/>
  <c r="J23" i="20"/>
  <c r="I21" i="11"/>
  <c r="J24" i="20"/>
  <c r="I22" i="11"/>
  <c r="J25" i="20"/>
  <c r="I23" i="11"/>
  <c r="G26" i="20"/>
  <c r="F24" i="11"/>
  <c r="K26" i="20"/>
  <c r="J24" i="11"/>
  <c r="H27" i="20"/>
  <c r="G25" i="11"/>
  <c r="I28" i="20"/>
  <c r="H26" i="11"/>
  <c r="F29" i="20"/>
  <c r="E27" i="11"/>
  <c r="J29" i="20"/>
  <c r="I27" i="11"/>
  <c r="H31" i="20"/>
  <c r="G29" i="11"/>
  <c r="E32" i="20"/>
  <c r="D30" i="11"/>
  <c r="I32" i="20"/>
  <c r="H30" i="11"/>
  <c r="F34" i="20"/>
  <c r="E32" i="11"/>
  <c r="J34" i="20"/>
  <c r="I32" i="11"/>
  <c r="G35" i="20"/>
  <c r="F33" i="11"/>
  <c r="K35" i="20"/>
  <c r="J33" i="11"/>
  <c r="D35" i="11"/>
  <c r="E37" i="20"/>
  <c r="I37" i="20"/>
  <c r="H35" i="11"/>
  <c r="E36" i="11"/>
  <c r="F38" i="20"/>
  <c r="J38" i="20"/>
  <c r="I36" i="11"/>
  <c r="F38" i="11"/>
  <c r="J38" i="11"/>
  <c r="H40" i="11"/>
  <c r="E41" i="11"/>
  <c r="I41" i="11"/>
  <c r="G42" i="11"/>
  <c r="J48" i="20"/>
  <c r="I46" i="11"/>
  <c r="G49" i="20"/>
  <c r="F47" i="11"/>
  <c r="K49" i="20"/>
  <c r="J47" i="11"/>
  <c r="H51" i="20"/>
  <c r="G49" i="11"/>
  <c r="J54" i="20"/>
  <c r="I52" i="11"/>
  <c r="J53" i="11"/>
  <c r="K55" i="20"/>
  <c r="G58" i="11"/>
  <c r="H60" i="20"/>
  <c r="G61" i="11"/>
  <c r="E63" i="11"/>
  <c r="G64" i="11"/>
  <c r="I69" i="20"/>
  <c r="H67" i="11"/>
  <c r="F70" i="20"/>
  <c r="E68" i="11"/>
  <c r="J70" i="20"/>
  <c r="I68" i="11"/>
  <c r="K71" i="20"/>
  <c r="J69" i="11"/>
  <c r="G72" i="20"/>
  <c r="F70" i="11"/>
  <c r="K72" i="20"/>
  <c r="J70" i="11"/>
  <c r="J76" i="20"/>
  <c r="I74" i="11"/>
  <c r="F75" i="11"/>
  <c r="G77" i="20"/>
  <c r="H83" i="20"/>
  <c r="G81" i="11"/>
  <c r="I87" i="20"/>
  <c r="H85" i="11"/>
  <c r="K89" i="20"/>
  <c r="J87" i="11"/>
  <c r="H90" i="20"/>
  <c r="G88" i="11"/>
  <c r="I91" i="20"/>
  <c r="H89" i="11"/>
  <c r="F93" i="20"/>
  <c r="E91" i="11"/>
  <c r="J93" i="20"/>
  <c r="I91" i="11"/>
  <c r="I96" i="20"/>
  <c r="H94" i="11"/>
  <c r="J97" i="20"/>
  <c r="I95" i="11"/>
  <c r="F98" i="20"/>
  <c r="E96" i="11"/>
  <c r="I96" i="11"/>
  <c r="J98" i="20"/>
  <c r="G103" i="20"/>
  <c r="F101" i="11"/>
  <c r="K103" i="20"/>
  <c r="J101" i="11"/>
  <c r="H104" i="20"/>
  <c r="G102" i="11"/>
  <c r="E104" i="11"/>
  <c r="F106" i="20"/>
  <c r="J106" i="20"/>
  <c r="I104" i="11"/>
  <c r="G107" i="20"/>
  <c r="F105" i="11"/>
  <c r="K107" i="20"/>
  <c r="J105" i="11"/>
  <c r="H109" i="20"/>
  <c r="G107" i="11"/>
  <c r="J110" i="20"/>
  <c r="I108" i="11"/>
  <c r="F112" i="20"/>
  <c r="E110" i="11"/>
  <c r="J112" i="20"/>
  <c r="I110" i="11"/>
  <c r="H113" i="20"/>
  <c r="G111" i="11"/>
  <c r="F115" i="20"/>
  <c r="E113" i="11"/>
  <c r="J115" i="20"/>
  <c r="I113" i="11"/>
  <c r="G116" i="20"/>
  <c r="F114" i="11"/>
  <c r="J114" i="11"/>
  <c r="K116" i="20"/>
  <c r="E118" i="20"/>
  <c r="D116" i="11"/>
  <c r="I118" i="20"/>
  <c r="H116" i="11"/>
  <c r="F119" i="20"/>
  <c r="E117" i="11"/>
  <c r="J119" i="20"/>
  <c r="I117" i="11"/>
  <c r="G122" i="20"/>
  <c r="F120" i="11"/>
  <c r="K122" i="20"/>
  <c r="J120" i="11"/>
  <c r="H123" i="20"/>
  <c r="G121" i="11"/>
  <c r="D122" i="11"/>
  <c r="E124" i="20"/>
  <c r="I124" i="20"/>
  <c r="H122" i="11"/>
  <c r="F128" i="20"/>
  <c r="E126" i="11"/>
  <c r="J128" i="20"/>
  <c r="I126" i="11"/>
  <c r="G129" i="20"/>
  <c r="F127" i="11"/>
  <c r="J127" i="11"/>
  <c r="K129" i="20"/>
  <c r="H136" i="20"/>
  <c r="G134" i="11"/>
  <c r="E137" i="20"/>
  <c r="D135" i="11"/>
  <c r="I137" i="20"/>
  <c r="H135" i="11"/>
  <c r="E136" i="11"/>
  <c r="F138" i="20"/>
  <c r="J138" i="20"/>
  <c r="I136" i="11"/>
  <c r="H140" i="20"/>
  <c r="G138" i="11"/>
  <c r="G149" i="20"/>
  <c r="F147" i="11"/>
  <c r="K149" i="20"/>
  <c r="J147" i="11"/>
  <c r="H150" i="20"/>
  <c r="G148" i="11"/>
  <c r="E152" i="20"/>
  <c r="D150" i="11"/>
  <c r="I152" i="20"/>
  <c r="H150" i="11"/>
  <c r="F153" i="20"/>
  <c r="E151" i="11"/>
  <c r="J153" i="20"/>
  <c r="I151" i="11"/>
  <c r="G155" i="20"/>
  <c r="F153" i="11"/>
  <c r="K155" i="20"/>
  <c r="J153" i="11"/>
  <c r="H156" i="20"/>
  <c r="G154" i="11"/>
  <c r="E158" i="20"/>
  <c r="D156" i="11"/>
  <c r="I158" i="20"/>
  <c r="H156" i="11"/>
  <c r="F159" i="20"/>
  <c r="E157" i="11"/>
  <c r="J159" i="20"/>
  <c r="I157" i="11"/>
  <c r="G162" i="20"/>
  <c r="F160" i="11"/>
  <c r="K162" i="20"/>
  <c r="J160" i="11"/>
  <c r="H163" i="20"/>
  <c r="G161" i="11"/>
  <c r="E164" i="20"/>
  <c r="D162" i="11"/>
  <c r="I164" i="20"/>
  <c r="H162" i="11"/>
  <c r="J8" i="11"/>
  <c r="I10" i="11"/>
  <c r="E12" i="11"/>
  <c r="H13" i="11"/>
  <c r="E15" i="11"/>
  <c r="H16" i="11"/>
  <c r="J17" i="11"/>
  <c r="G19" i="11"/>
  <c r="D21" i="11"/>
  <c r="H22" i="11"/>
  <c r="D24" i="11"/>
  <c r="E25" i="11"/>
  <c r="F27" i="11"/>
  <c r="I29" i="11"/>
  <c r="D33" i="11"/>
  <c r="G36" i="11"/>
  <c r="E40" i="11"/>
  <c r="E42" i="11"/>
  <c r="G47" i="11"/>
  <c r="J52" i="11"/>
  <c r="I63" i="11"/>
  <c r="J67" i="11"/>
  <c r="I70" i="11"/>
  <c r="J75" i="11"/>
  <c r="E85" i="11"/>
  <c r="J176" i="11"/>
  <c r="G174" i="20"/>
  <c r="F172" i="11"/>
  <c r="K174" i="20"/>
  <c r="J172" i="11"/>
  <c r="H175" i="20"/>
  <c r="G173" i="11"/>
  <c r="I176" i="20"/>
  <c r="H174" i="11"/>
  <c r="J177" i="20"/>
  <c r="I175" i="11"/>
  <c r="H179" i="20"/>
  <c r="G177" i="11"/>
  <c r="I180" i="20"/>
  <c r="H178" i="11"/>
  <c r="F181" i="20"/>
  <c r="E179" i="11"/>
  <c r="J181" i="20"/>
  <c r="I179" i="11"/>
  <c r="G166" i="20"/>
  <c r="F164" i="11"/>
  <c r="K166" i="20"/>
  <c r="J164" i="11"/>
  <c r="H174" i="20"/>
  <c r="G172" i="11"/>
  <c r="I175" i="20"/>
  <c r="H173" i="11"/>
  <c r="J176" i="20"/>
  <c r="I174" i="11"/>
  <c r="H178" i="20"/>
  <c r="G176" i="11"/>
  <c r="F180" i="20"/>
  <c r="E178" i="11"/>
  <c r="J180" i="20"/>
  <c r="I178" i="11"/>
  <c r="G181" i="20"/>
  <c r="F179" i="11"/>
  <c r="K181" i="20"/>
  <c r="J179" i="11"/>
  <c r="I164" i="11"/>
  <c r="F176" i="11"/>
  <c r="D175" i="20"/>
  <c r="D173" i="11"/>
  <c r="D172" i="11"/>
  <c r="D160" i="11"/>
  <c r="D174" i="20"/>
  <c r="D162" i="20"/>
  <c r="E155" i="20"/>
  <c r="D147" i="11"/>
  <c r="C147" i="11"/>
  <c r="C120" i="11"/>
  <c r="D115" i="20"/>
  <c r="D107" i="11"/>
  <c r="D91" i="11"/>
  <c r="D85" i="11"/>
  <c r="C101" i="11"/>
  <c r="C107" i="11"/>
  <c r="D87" i="20"/>
  <c r="D70" i="11"/>
  <c r="C61" i="11"/>
  <c r="D39" i="11"/>
  <c r="D38" i="11"/>
  <c r="C40" i="11"/>
  <c r="C38" i="11"/>
  <c r="C33" i="11"/>
  <c r="C32" i="11"/>
  <c r="C27" i="11"/>
  <c r="D23" i="20"/>
  <c r="C177" i="11"/>
  <c r="D177" i="11"/>
  <c r="C178" i="11"/>
  <c r="E180" i="20"/>
  <c r="D159" i="20"/>
  <c r="D157" i="11"/>
  <c r="C151" i="11"/>
  <c r="C127" i="11"/>
  <c r="D127" i="11"/>
  <c r="D113" i="20"/>
  <c r="D98" i="20"/>
  <c r="C87" i="11"/>
  <c r="C76" i="11"/>
  <c r="C68" i="11"/>
  <c r="D20" i="20"/>
  <c r="D17" i="11"/>
  <c r="C17" i="11"/>
  <c r="D18" i="20"/>
  <c r="D16" i="11"/>
  <c r="D13" i="11"/>
  <c r="D11" i="11"/>
  <c r="D178" i="20"/>
  <c r="C164" i="11"/>
  <c r="D158" i="20"/>
  <c r="D152" i="20"/>
  <c r="C126" i="11"/>
  <c r="D118" i="20"/>
  <c r="D112" i="20"/>
  <c r="C95" i="11"/>
  <c r="F97" i="20"/>
  <c r="E91" i="20"/>
  <c r="F91" i="20"/>
  <c r="F81" i="11"/>
  <c r="F82" i="20"/>
  <c r="C80" i="11"/>
  <c r="G82" i="20"/>
  <c r="D81" i="11"/>
  <c r="D75" i="11"/>
  <c r="E75" i="11"/>
  <c r="D67" i="11"/>
  <c r="E67" i="11"/>
  <c r="F67" i="11"/>
  <c r="D63" i="11"/>
  <c r="D52" i="11"/>
  <c r="C52" i="11"/>
  <c r="E52" i="11"/>
  <c r="G54" i="20"/>
  <c r="E46" i="11"/>
  <c r="F35" i="11"/>
  <c r="C35" i="11"/>
  <c r="D36" i="11"/>
  <c r="F37" i="20"/>
  <c r="G38" i="20"/>
  <c r="F12" i="11"/>
  <c r="D12" i="11"/>
  <c r="E12" i="20"/>
  <c r="F10" i="11"/>
  <c r="F12" i="20"/>
  <c r="E9" i="11"/>
  <c r="D11" i="20"/>
  <c r="F9" i="11"/>
  <c r="C8" i="11"/>
  <c r="D174" i="11"/>
  <c r="E174" i="11"/>
  <c r="F174" i="11"/>
  <c r="D161" i="11"/>
  <c r="G163" i="20"/>
  <c r="F154" i="11"/>
  <c r="D154" i="11"/>
  <c r="G150" i="20"/>
  <c r="D148" i="11"/>
  <c r="G138" i="20"/>
  <c r="F116" i="20"/>
  <c r="F110" i="20"/>
  <c r="D108" i="11"/>
  <c r="D102" i="11"/>
  <c r="F94" i="11"/>
  <c r="D94" i="11"/>
  <c r="E90" i="20"/>
  <c r="F76" i="20"/>
  <c r="G76" i="20"/>
  <c r="D69" i="11"/>
  <c r="G71" i="20"/>
  <c r="E69" i="11"/>
  <c r="F53" i="11"/>
  <c r="D53" i="11"/>
  <c r="F36" i="20"/>
  <c r="G36" i="20"/>
  <c r="C29" i="11"/>
  <c r="D26" i="11"/>
  <c r="E26" i="11"/>
  <c r="D22" i="11"/>
  <c r="E22" i="11"/>
  <c r="F23" i="11"/>
  <c r="E25" i="20"/>
  <c r="E21" i="20"/>
  <c r="F22" i="20"/>
  <c r="F19" i="11"/>
  <c r="F21" i="20"/>
  <c r="G22" i="20"/>
  <c r="F15" i="11"/>
  <c r="E17" i="20"/>
  <c r="D14" i="11"/>
  <c r="E14" i="11"/>
  <c r="G151" i="20"/>
  <c r="G127" i="20"/>
  <c r="D93" i="11"/>
  <c r="E73" i="11"/>
  <c r="F66" i="11"/>
  <c r="J66" i="11"/>
  <c r="G62" i="11"/>
  <c r="D59" i="20"/>
  <c r="K59" i="20"/>
  <c r="K75" i="20"/>
  <c r="J73" i="11"/>
  <c r="E94" i="20"/>
  <c r="D92" i="11"/>
  <c r="J117" i="20"/>
  <c r="I115" i="11"/>
  <c r="H175" i="11"/>
  <c r="I177" i="20"/>
  <c r="J55" i="11"/>
  <c r="G57" i="11"/>
  <c r="H105" i="20"/>
  <c r="G103" i="11"/>
  <c r="F109" i="11"/>
  <c r="G111" i="20"/>
  <c r="E123" i="11"/>
  <c r="F125" i="20"/>
  <c r="I123" i="11"/>
  <c r="J125" i="20"/>
  <c r="F127" i="20"/>
  <c r="E125" i="11"/>
  <c r="J127" i="20"/>
  <c r="I125" i="11"/>
  <c r="E137" i="11"/>
  <c r="F139" i="20"/>
  <c r="I137" i="11"/>
  <c r="J139" i="20"/>
  <c r="F138" i="11"/>
  <c r="G140" i="20"/>
  <c r="J138" i="11"/>
  <c r="K140" i="20"/>
  <c r="D155" i="11"/>
  <c r="E157" i="20"/>
  <c r="H155" i="11"/>
  <c r="I157" i="20"/>
  <c r="E165" i="20"/>
  <c r="D163" i="11"/>
  <c r="I165" i="20"/>
  <c r="H163" i="11"/>
  <c r="J45" i="11"/>
  <c r="D51" i="11"/>
  <c r="H51" i="11"/>
  <c r="G55" i="11"/>
  <c r="D57" i="11"/>
  <c r="H57" i="11"/>
  <c r="D62" i="11"/>
  <c r="H62" i="11"/>
  <c r="G66" i="11"/>
  <c r="I73" i="11"/>
  <c r="G79" i="11"/>
  <c r="F86" i="11"/>
  <c r="H93" i="11"/>
  <c r="F103" i="11"/>
  <c r="D115" i="11"/>
  <c r="D125" i="11"/>
  <c r="H149" i="11"/>
  <c r="G53" i="20"/>
  <c r="H80" i="20"/>
  <c r="E88" i="20"/>
  <c r="G95" i="20"/>
  <c r="J111" i="20"/>
  <c r="I125" i="20"/>
  <c r="K127" i="20"/>
  <c r="E139" i="20"/>
  <c r="K151" i="20"/>
  <c r="G75" i="20"/>
  <c r="F73" i="11"/>
  <c r="F95" i="20"/>
  <c r="E93" i="11"/>
  <c r="I126" i="20"/>
  <c r="H124" i="11"/>
  <c r="D175" i="11"/>
  <c r="E177" i="20"/>
  <c r="F55" i="11"/>
  <c r="F111" i="20"/>
  <c r="E125" i="20"/>
  <c r="J140" i="20"/>
  <c r="D151" i="20"/>
  <c r="D73" i="11"/>
  <c r="E75" i="20"/>
  <c r="H73" i="11"/>
  <c r="I75" i="20"/>
  <c r="D78" i="11"/>
  <c r="E80" i="20"/>
  <c r="H78" i="11"/>
  <c r="I80" i="20"/>
  <c r="E79" i="11"/>
  <c r="F81" i="20"/>
  <c r="I79" i="11"/>
  <c r="J81" i="20"/>
  <c r="E86" i="11"/>
  <c r="F88" i="20"/>
  <c r="I86" i="11"/>
  <c r="J88" i="20"/>
  <c r="F92" i="11"/>
  <c r="G94" i="20"/>
  <c r="J92" i="11"/>
  <c r="K94" i="20"/>
  <c r="G93" i="11"/>
  <c r="H95" i="20"/>
  <c r="G115" i="11"/>
  <c r="H117" i="20"/>
  <c r="F124" i="11"/>
  <c r="G126" i="20"/>
  <c r="J124" i="11"/>
  <c r="K126" i="20"/>
  <c r="F151" i="20"/>
  <c r="E149" i="11"/>
  <c r="J151" i="20"/>
  <c r="I149" i="11"/>
  <c r="G177" i="20"/>
  <c r="F175" i="11"/>
  <c r="K177" i="20"/>
  <c r="J175" i="11"/>
  <c r="E45" i="11"/>
  <c r="E51" i="11"/>
  <c r="I51" i="11"/>
  <c r="D55" i="11"/>
  <c r="H55" i="11"/>
  <c r="E57" i="11"/>
  <c r="I57" i="11"/>
  <c r="E62" i="11"/>
  <c r="I62" i="11"/>
  <c r="D66" i="11"/>
  <c r="H66" i="11"/>
  <c r="J86" i="11"/>
  <c r="J103" i="11"/>
  <c r="H115" i="11"/>
  <c r="F123" i="11"/>
  <c r="H125" i="11"/>
  <c r="F137" i="11"/>
  <c r="E155" i="11"/>
  <c r="K53" i="20"/>
  <c r="F68" i="20"/>
  <c r="E81" i="20"/>
  <c r="I88" i="20"/>
  <c r="K95" i="20"/>
  <c r="E105" i="20"/>
  <c r="F126" i="20"/>
  <c r="I139" i="20"/>
  <c r="H157" i="20"/>
  <c r="F165" i="20"/>
  <c r="G80" i="20"/>
  <c r="F78" i="11"/>
  <c r="H88" i="20"/>
  <c r="G86" i="11"/>
  <c r="I94" i="20"/>
  <c r="H92" i="11"/>
  <c r="J95" i="20"/>
  <c r="I93" i="11"/>
  <c r="F117" i="20"/>
  <c r="E115" i="11"/>
  <c r="E126" i="20"/>
  <c r="D124" i="11"/>
  <c r="G149" i="11"/>
  <c r="H151" i="20"/>
  <c r="F79" i="11"/>
  <c r="G81" i="20"/>
  <c r="E103" i="11"/>
  <c r="F105" i="20"/>
  <c r="I103" i="11"/>
  <c r="J105" i="20"/>
  <c r="E111" i="20"/>
  <c r="D109" i="11"/>
  <c r="I111" i="20"/>
  <c r="H109" i="11"/>
  <c r="H125" i="20"/>
  <c r="G123" i="11"/>
  <c r="G125" i="11"/>
  <c r="H127" i="20"/>
  <c r="H139" i="20"/>
  <c r="G137" i="11"/>
  <c r="E140" i="20"/>
  <c r="D138" i="11"/>
  <c r="I140" i="20"/>
  <c r="H138" i="11"/>
  <c r="G157" i="20"/>
  <c r="F155" i="11"/>
  <c r="K157" i="20"/>
  <c r="J155" i="11"/>
  <c r="F163" i="11"/>
  <c r="G165" i="20"/>
  <c r="J163" i="11"/>
  <c r="K165" i="20"/>
  <c r="F45" i="11"/>
  <c r="F50" i="11"/>
  <c r="F57" i="11"/>
  <c r="J62" i="11"/>
  <c r="I66" i="11"/>
  <c r="E78" i="11"/>
  <c r="G92" i="11"/>
  <c r="G109" i="11"/>
  <c r="J123" i="11"/>
  <c r="J137" i="11"/>
  <c r="I155" i="11"/>
  <c r="G163" i="11"/>
  <c r="E175" i="11"/>
  <c r="H47" i="20"/>
  <c r="H75" i="20"/>
  <c r="I81" i="20"/>
  <c r="F94" i="20"/>
  <c r="I105" i="20"/>
  <c r="G117" i="20"/>
  <c r="J126" i="20"/>
  <c r="F140" i="20"/>
  <c r="J165" i="20"/>
  <c r="H177" i="20"/>
  <c r="F52" i="20"/>
  <c r="G50" i="11"/>
  <c r="J52" i="20"/>
  <c r="D50" i="11"/>
  <c r="H50" i="11"/>
  <c r="D45" i="11"/>
  <c r="H45" i="11"/>
  <c r="C66" i="11"/>
  <c r="D16" i="20"/>
  <c r="K33" i="7"/>
  <c r="V45" i="7"/>
  <c r="K72" i="7"/>
  <c r="L72" i="7"/>
  <c r="M72" i="7"/>
  <c r="N72" i="7"/>
  <c r="O72" i="7"/>
  <c r="P72" i="7"/>
  <c r="X72" i="7" s="1"/>
  <c r="W72" i="7"/>
  <c r="L65" i="7"/>
  <c r="M65" i="7"/>
  <c r="N65" i="7"/>
  <c r="O65" i="7"/>
  <c r="P65" i="7"/>
  <c r="X65" i="7" s="1"/>
  <c r="W65" i="7"/>
  <c r="AJ181" i="2"/>
  <c r="AH181" i="2"/>
  <c r="AG181" i="2"/>
  <c r="AF181" i="2"/>
  <c r="P179" i="23" s="1"/>
  <c r="S179" i="23" s="1"/>
  <c r="AJ176" i="2"/>
  <c r="AH176" i="2"/>
  <c r="AG176" i="2"/>
  <c r="AF176" i="2"/>
  <c r="P174" i="23" s="1"/>
  <c r="S174" i="23" s="1"/>
  <c r="D176" i="2"/>
  <c r="D181" i="2"/>
  <c r="A72" i="6"/>
  <c r="A71" i="6"/>
  <c r="A68" i="6"/>
  <c r="AH163" i="2"/>
  <c r="AG163" i="2"/>
  <c r="AF163" i="2"/>
  <c r="P161" i="23" s="1"/>
  <c r="S161" i="23" s="1"/>
  <c r="D163" i="2"/>
  <c r="A64" i="6"/>
  <c r="AH156" i="2"/>
  <c r="AG156" i="2"/>
  <c r="AF156" i="2"/>
  <c r="P154" i="23" s="1"/>
  <c r="S154" i="23" s="1"/>
  <c r="D156" i="2"/>
  <c r="A61" i="6"/>
  <c r="AJ150" i="2"/>
  <c r="AH150" i="2"/>
  <c r="AG150" i="2"/>
  <c r="AF150" i="2"/>
  <c r="P148" i="23" s="1"/>
  <c r="S148" i="23" s="1"/>
  <c r="D150" i="2"/>
  <c r="A59" i="6"/>
  <c r="L58" i="6"/>
  <c r="M58" i="6"/>
  <c r="N58" i="6"/>
  <c r="O58" i="6"/>
  <c r="P58" i="6"/>
  <c r="U65" i="10" l="1"/>
  <c r="AF43" i="10"/>
  <c r="AG65" i="10"/>
  <c r="AG61" i="10" s="1"/>
  <c r="R148" i="24"/>
  <c r="R157" i="24"/>
  <c r="Z41" i="10"/>
  <c r="DD176" i="20"/>
  <c r="DC176" i="20"/>
  <c r="DF176" i="20"/>
  <c r="DE176" i="20"/>
  <c r="DG176" i="20"/>
  <c r="DA176" i="20"/>
  <c r="DB176" i="20"/>
  <c r="DF181" i="20"/>
  <c r="DB181" i="20"/>
  <c r="DE181" i="20"/>
  <c r="DA181" i="20"/>
  <c r="DD181" i="20"/>
  <c r="DG181" i="20"/>
  <c r="DC181" i="20"/>
  <c r="DA9" i="20"/>
  <c r="DG150" i="20"/>
  <c r="DE150" i="20"/>
  <c r="DA150" i="20"/>
  <c r="DC150" i="20"/>
  <c r="DF150" i="20"/>
  <c r="DD150" i="20"/>
  <c r="DB150" i="20"/>
  <c r="R22" i="24"/>
  <c r="AF41" i="10"/>
  <c r="R50" i="24"/>
  <c r="R158" i="24"/>
  <c r="R52" i="24"/>
  <c r="R83" i="24"/>
  <c r="R178" i="24"/>
  <c r="R152" i="24"/>
  <c r="R177" i="24"/>
  <c r="R25" i="24"/>
  <c r="R151" i="24"/>
  <c r="R64" i="24"/>
  <c r="R109" i="24"/>
  <c r="CJ181" i="20"/>
  <c r="BS181" i="20"/>
  <c r="BO181" i="20"/>
  <c r="AX181" i="20"/>
  <c r="AT181" i="20"/>
  <c r="AC181" i="20"/>
  <c r="Y181" i="20"/>
  <c r="CK181" i="20"/>
  <c r="BP181" i="20"/>
  <c r="AD181" i="20"/>
  <c r="CM181" i="20"/>
  <c r="CI181" i="20"/>
  <c r="BR181" i="20"/>
  <c r="BN181" i="20"/>
  <c r="AW181" i="20"/>
  <c r="AS181" i="20"/>
  <c r="AB181" i="20"/>
  <c r="AY181" i="20"/>
  <c r="Z181" i="20"/>
  <c r="CL181" i="20"/>
  <c r="CH181" i="20"/>
  <c r="BQ181" i="20"/>
  <c r="BM181" i="20"/>
  <c r="AV181" i="20"/>
  <c r="AE181" i="20"/>
  <c r="AA181" i="20"/>
  <c r="CG181" i="20"/>
  <c r="AU181" i="20"/>
  <c r="CM150" i="20"/>
  <c r="CI150" i="20"/>
  <c r="CL150" i="20"/>
  <c r="CH150" i="20"/>
  <c r="CJ150" i="20"/>
  <c r="CK150" i="20"/>
  <c r="CG150" i="20"/>
  <c r="R154" i="24"/>
  <c r="R26" i="24"/>
  <c r="R113" i="24"/>
  <c r="R29" i="24"/>
  <c r="CK176" i="20"/>
  <c r="CG176" i="20"/>
  <c r="BS176" i="20"/>
  <c r="BO176" i="20"/>
  <c r="AW176" i="20"/>
  <c r="AS176" i="20"/>
  <c r="AE176" i="20"/>
  <c r="AA176" i="20"/>
  <c r="CJ176" i="20"/>
  <c r="BR176" i="20"/>
  <c r="BN176" i="20"/>
  <c r="AV176" i="20"/>
  <c r="AD176" i="20"/>
  <c r="Z176" i="20"/>
  <c r="CM176" i="20"/>
  <c r="CI176" i="20"/>
  <c r="BQ176" i="20"/>
  <c r="BM176" i="20"/>
  <c r="AY176" i="20"/>
  <c r="AU176" i="20"/>
  <c r="AC176" i="20"/>
  <c r="Y176" i="20"/>
  <c r="CL176" i="20"/>
  <c r="CH176" i="20"/>
  <c r="BP176" i="20"/>
  <c r="AX176" i="20"/>
  <c r="AT176" i="20"/>
  <c r="AB176" i="20"/>
  <c r="AT46" i="20"/>
  <c r="R106" i="24"/>
  <c r="R103" i="24"/>
  <c r="M58" i="2"/>
  <c r="R28" i="24"/>
  <c r="S28" i="24"/>
  <c r="R48" i="24"/>
  <c r="R53" i="24"/>
  <c r="R46" i="24"/>
  <c r="S119" i="24"/>
  <c r="R119" i="24"/>
  <c r="S87" i="24"/>
  <c r="R87" i="24"/>
  <c r="S115" i="24"/>
  <c r="R115" i="24"/>
  <c r="R89" i="24"/>
  <c r="S89" i="24"/>
  <c r="R40" i="24"/>
  <c r="R107" i="24"/>
  <c r="R59" i="24"/>
  <c r="S59" i="24"/>
  <c r="S65" i="24"/>
  <c r="R65" i="24"/>
  <c r="R118" i="24"/>
  <c r="S118" i="24"/>
  <c r="R93" i="24"/>
  <c r="S93" i="24"/>
  <c r="R34" i="24"/>
  <c r="R42" i="24"/>
  <c r="AY150" i="20"/>
  <c r="AY141" i="20" s="1"/>
  <c r="AU150" i="20"/>
  <c r="AU141" i="20" s="1"/>
  <c r="AC150" i="20"/>
  <c r="Y150" i="20"/>
  <c r="AX150" i="20"/>
  <c r="AX141" i="20" s="1"/>
  <c r="AT150" i="20"/>
  <c r="AT141" i="20" s="1"/>
  <c r="AB150" i="20"/>
  <c r="AW150" i="20"/>
  <c r="AW141" i="20" s="1"/>
  <c r="AS150" i="20"/>
  <c r="AS141" i="20" s="1"/>
  <c r="AE150" i="20"/>
  <c r="AA150" i="20"/>
  <c r="AD150" i="20"/>
  <c r="AV150" i="20"/>
  <c r="AV141" i="20" s="1"/>
  <c r="Z150" i="20"/>
  <c r="P149" i="24"/>
  <c r="P175" i="24"/>
  <c r="W93" i="25"/>
  <c r="S30" i="38"/>
  <c r="S54" i="38"/>
  <c r="S14" i="38"/>
  <c r="S26" i="38"/>
  <c r="S51" i="38"/>
  <c r="S27" i="38"/>
  <c r="R19" i="24"/>
  <c r="S13" i="38"/>
  <c r="CH9" i="20"/>
  <c r="CJ9" i="20"/>
  <c r="R31" i="24"/>
  <c r="S65" i="38"/>
  <c r="B162" i="10"/>
  <c r="C162" i="38"/>
  <c r="W41" i="25"/>
  <c r="R173" i="24"/>
  <c r="R112" i="24"/>
  <c r="S15" i="38"/>
  <c r="R13" i="24"/>
  <c r="S53" i="38"/>
  <c r="R12" i="24"/>
  <c r="CL9" i="20"/>
  <c r="S19" i="38"/>
  <c r="B155" i="10"/>
  <c r="C155" i="38"/>
  <c r="P162" i="24"/>
  <c r="S162" i="24" s="1"/>
  <c r="P180" i="24"/>
  <c r="S180" i="24" s="1"/>
  <c r="B149" i="10"/>
  <c r="C149" i="38"/>
  <c r="P155" i="24"/>
  <c r="B181" i="10"/>
  <c r="C180" i="38"/>
  <c r="B176" i="10"/>
  <c r="C175" i="38"/>
  <c r="S10" i="38"/>
  <c r="R14" i="24"/>
  <c r="S12" i="38"/>
  <c r="CG9" i="20"/>
  <c r="CI9" i="20"/>
  <c r="R18" i="24"/>
  <c r="S23" i="38"/>
  <c r="S11" i="38"/>
  <c r="S18" i="38"/>
  <c r="S60" i="38"/>
  <c r="R9" i="24"/>
  <c r="S29" i="38"/>
  <c r="R11" i="24"/>
  <c r="S20" i="38"/>
  <c r="CK9" i="20"/>
  <c r="CM9" i="20"/>
  <c r="S32" i="38"/>
  <c r="R10" i="24"/>
  <c r="R17" i="24"/>
  <c r="AC9" i="20"/>
  <c r="AD9" i="20"/>
  <c r="DG9" i="20"/>
  <c r="Z9" i="20"/>
  <c r="AB9" i="20"/>
  <c r="DB9" i="20"/>
  <c r="DD9" i="20"/>
  <c r="AA9" i="20"/>
  <c r="DE9" i="20"/>
  <c r="DF9" i="20"/>
  <c r="AE9" i="20"/>
  <c r="Y9" i="20"/>
  <c r="DC9" i="20"/>
  <c r="Y39" i="20"/>
  <c r="AO39" i="2"/>
  <c r="AB39" i="20"/>
  <c r="AS39" i="20"/>
  <c r="AU39" i="20"/>
  <c r="AC39" i="20"/>
  <c r="AW39" i="20"/>
  <c r="AA39" i="20"/>
  <c r="AX39" i="20"/>
  <c r="AV39" i="20"/>
  <c r="Z39" i="20"/>
  <c r="AY39" i="20"/>
  <c r="AE39" i="20"/>
  <c r="AD39" i="20"/>
  <c r="AT39" i="20"/>
  <c r="P162" i="26"/>
  <c r="R162" i="26" s="1"/>
  <c r="P155" i="26"/>
  <c r="R155" i="26" s="1"/>
  <c r="P149" i="26"/>
  <c r="R149" i="26" s="1"/>
  <c r="BR150" i="20"/>
  <c r="BN150" i="20"/>
  <c r="BS150" i="20"/>
  <c r="BQ150" i="20"/>
  <c r="BM150" i="20"/>
  <c r="BP150" i="20"/>
  <c r="BO150" i="20"/>
  <c r="P175" i="26"/>
  <c r="R175" i="26" s="1"/>
  <c r="P180" i="26"/>
  <c r="R180" i="26" s="1"/>
  <c r="W40" i="25"/>
  <c r="W53" i="25"/>
  <c r="W157" i="25"/>
  <c r="W51" i="25"/>
  <c r="W178" i="25"/>
  <c r="AM150" i="2"/>
  <c r="AO150" i="2"/>
  <c r="AK150" i="2"/>
  <c r="AN150" i="2"/>
  <c r="U149" i="25"/>
  <c r="X149" i="25" s="1"/>
  <c r="AI150" i="2"/>
  <c r="AI163" i="2"/>
  <c r="AO163" i="2"/>
  <c r="AK163" i="2"/>
  <c r="AN163" i="2"/>
  <c r="AL163" i="2"/>
  <c r="U162" i="25"/>
  <c r="X162" i="25" s="1"/>
  <c r="R148" i="23"/>
  <c r="AI156" i="2"/>
  <c r="AL156" i="2"/>
  <c r="AO156" i="2"/>
  <c r="AN156" i="2"/>
  <c r="AM156" i="2"/>
  <c r="U155" i="25"/>
  <c r="X155" i="25" s="1"/>
  <c r="C173" i="28"/>
  <c r="C175" i="27"/>
  <c r="C175" i="26"/>
  <c r="C175" i="25"/>
  <c r="C175" i="24"/>
  <c r="C174" i="23"/>
  <c r="C153" i="28"/>
  <c r="C155" i="27"/>
  <c r="C155" i="26"/>
  <c r="C155" i="25"/>
  <c r="C155" i="24"/>
  <c r="C154" i="23"/>
  <c r="R174" i="23"/>
  <c r="W54" i="25"/>
  <c r="W158" i="25"/>
  <c r="W60" i="25"/>
  <c r="W177" i="25"/>
  <c r="W49" i="25"/>
  <c r="W47" i="25"/>
  <c r="R154" i="23"/>
  <c r="C147" i="28"/>
  <c r="C149" i="27"/>
  <c r="C149" i="26"/>
  <c r="C149" i="25"/>
  <c r="C149" i="24"/>
  <c r="C148" i="23"/>
  <c r="C160" i="28"/>
  <c r="C162" i="27"/>
  <c r="C162" i="26"/>
  <c r="C162" i="25"/>
  <c r="C162" i="24"/>
  <c r="C161" i="23"/>
  <c r="C178" i="28"/>
  <c r="C180" i="27"/>
  <c r="C180" i="26"/>
  <c r="C180" i="24"/>
  <c r="C180" i="25"/>
  <c r="C179" i="23"/>
  <c r="AI176" i="2"/>
  <c r="AO176" i="2"/>
  <c r="AK176" i="2"/>
  <c r="AN176" i="2"/>
  <c r="AM176" i="2"/>
  <c r="U175" i="25"/>
  <c r="X175" i="25" s="1"/>
  <c r="AO181" i="2"/>
  <c r="AK181" i="2"/>
  <c r="AN181" i="2"/>
  <c r="AL181" i="2"/>
  <c r="U180" i="25"/>
  <c r="X180" i="25" s="1"/>
  <c r="AI181" i="2"/>
  <c r="W154" i="25"/>
  <c r="W152" i="25"/>
  <c r="W151" i="25"/>
  <c r="W65" i="25"/>
  <c r="W173" i="25"/>
  <c r="W148" i="25"/>
  <c r="W83" i="25"/>
  <c r="W48" i="25"/>
  <c r="AK9" i="2"/>
  <c r="D4" i="19" s="1"/>
  <c r="H4" i="19"/>
  <c r="AO9" i="2"/>
  <c r="G4" i="19"/>
  <c r="AN9" i="2"/>
  <c r="D181" i="20"/>
  <c r="C179" i="11"/>
  <c r="C174" i="11"/>
  <c r="D176" i="20"/>
  <c r="D163" i="20"/>
  <c r="C161" i="11"/>
  <c r="D156" i="20"/>
  <c r="C154" i="11"/>
  <c r="C148" i="11"/>
  <c r="D150" i="20"/>
  <c r="AJ116" i="2"/>
  <c r="AH116" i="2"/>
  <c r="AG116" i="2"/>
  <c r="AF116" i="2"/>
  <c r="P115" i="23" s="1"/>
  <c r="S115" i="23" s="1"/>
  <c r="A48" i="6"/>
  <c r="AJ110" i="2"/>
  <c r="AH110" i="2"/>
  <c r="AG110" i="2"/>
  <c r="AF110" i="2"/>
  <c r="P109" i="23" s="1"/>
  <c r="S109" i="23" s="1"/>
  <c r="D110" i="2"/>
  <c r="A46" i="6"/>
  <c r="AJ104" i="2"/>
  <c r="AH104" i="2"/>
  <c r="AG104" i="2"/>
  <c r="AF104" i="2"/>
  <c r="P103" i="23" s="1"/>
  <c r="S103" i="23" s="1"/>
  <c r="D104" i="2"/>
  <c r="A44" i="6"/>
  <c r="AJ96" i="2"/>
  <c r="AH96" i="2"/>
  <c r="AG96" i="2"/>
  <c r="AF96" i="2"/>
  <c r="P95" i="23" s="1"/>
  <c r="S95" i="23" s="1"/>
  <c r="D96" i="2"/>
  <c r="A40" i="6"/>
  <c r="AJ90" i="2"/>
  <c r="AG90" i="2"/>
  <c r="AF90" i="2"/>
  <c r="P89" i="23" s="1"/>
  <c r="S89" i="23" s="1"/>
  <c r="D90" i="2"/>
  <c r="A38" i="6"/>
  <c r="P35" i="6"/>
  <c r="O35" i="6"/>
  <c r="N35" i="6"/>
  <c r="M35" i="6"/>
  <c r="L35" i="6"/>
  <c r="K35" i="6"/>
  <c r="AJ76" i="2"/>
  <c r="AH76" i="2"/>
  <c r="CG75" i="10" s="1"/>
  <c r="CI75" i="10" s="1"/>
  <c r="AG76" i="2"/>
  <c r="AF76" i="2"/>
  <c r="P75" i="23" s="1"/>
  <c r="S75" i="23" s="1"/>
  <c r="D76" i="2"/>
  <c r="A34" i="6"/>
  <c r="P70" i="23"/>
  <c r="S70" i="23" s="1"/>
  <c r="D71" i="2"/>
  <c r="A31" i="6"/>
  <c r="P28" i="6"/>
  <c r="O28" i="6"/>
  <c r="N28" i="6"/>
  <c r="M28" i="6"/>
  <c r="L28" i="6"/>
  <c r="K28" i="6"/>
  <c r="AH55" i="2"/>
  <c r="CG54" i="10" s="1"/>
  <c r="AG55" i="2"/>
  <c r="AF55" i="2"/>
  <c r="P54" i="23" s="1"/>
  <c r="S54" i="23" s="1"/>
  <c r="D55" i="2"/>
  <c r="A23" i="6"/>
  <c r="P20" i="6"/>
  <c r="O20" i="6"/>
  <c r="N20" i="6"/>
  <c r="M20" i="6"/>
  <c r="L20" i="6"/>
  <c r="K20" i="6"/>
  <c r="AJ36" i="2"/>
  <c r="AH36" i="2"/>
  <c r="CG35" i="10" s="1"/>
  <c r="AG36" i="2"/>
  <c r="AF36" i="2"/>
  <c r="P35" i="23" s="1"/>
  <c r="S35" i="23" s="1"/>
  <c r="D36" i="2"/>
  <c r="A17" i="6"/>
  <c r="K48" i="6"/>
  <c r="L63" i="6"/>
  <c r="M63" i="6"/>
  <c r="N63" i="6"/>
  <c r="O63" i="6"/>
  <c r="P63" i="6"/>
  <c r="X63" i="6" s="1"/>
  <c r="W63" i="6"/>
  <c r="A15" i="6"/>
  <c r="A14" i="6"/>
  <c r="A13" i="6"/>
  <c r="A12" i="6"/>
  <c r="A11" i="6"/>
  <c r="A10" i="6"/>
  <c r="A9" i="6"/>
  <c r="A8" i="6"/>
  <c r="DG90" i="20" l="1"/>
  <c r="DE90" i="20"/>
  <c r="DA90" i="20"/>
  <c r="DD90" i="20"/>
  <c r="DC90" i="20"/>
  <c r="DB90" i="20"/>
  <c r="DF90" i="20"/>
  <c r="DC104" i="20"/>
  <c r="DG104" i="20"/>
  <c r="DF104" i="20"/>
  <c r="DB104" i="20"/>
  <c r="DE104" i="20"/>
  <c r="DA104" i="20"/>
  <c r="DD104" i="20"/>
  <c r="CH35" i="10"/>
  <c r="DG36" i="20"/>
  <c r="DF36" i="20"/>
  <c r="DB36" i="20"/>
  <c r="DC36" i="20"/>
  <c r="DE36" i="20"/>
  <c r="DA36" i="20"/>
  <c r="DD36" i="20"/>
  <c r="DG116" i="20"/>
  <c r="DE116" i="20"/>
  <c r="DA116" i="20"/>
  <c r="DC116" i="20"/>
  <c r="DF116" i="20"/>
  <c r="DB116" i="20"/>
  <c r="DD116" i="20"/>
  <c r="DC110" i="20"/>
  <c r="DE110" i="20"/>
  <c r="DD110" i="20"/>
  <c r="DF110" i="20"/>
  <c r="DB110" i="20"/>
  <c r="DA110" i="20"/>
  <c r="DG110" i="20"/>
  <c r="CH75" i="10"/>
  <c r="CJ75" i="10" s="1"/>
  <c r="DF76" i="20"/>
  <c r="DB76" i="20"/>
  <c r="DE76" i="20"/>
  <c r="DD76" i="20"/>
  <c r="DC76" i="20"/>
  <c r="DA76" i="20"/>
  <c r="DG76" i="20"/>
  <c r="DD96" i="20"/>
  <c r="DC96" i="20"/>
  <c r="DE96" i="20"/>
  <c r="DG96" i="20"/>
  <c r="DF96" i="20"/>
  <c r="DB96" i="20"/>
  <c r="DA96" i="20"/>
  <c r="CK36" i="20"/>
  <c r="CG36" i="20"/>
  <c r="CH36" i="20"/>
  <c r="CJ36" i="20"/>
  <c r="CM36" i="20"/>
  <c r="CI36" i="20"/>
  <c r="CL36" i="20"/>
  <c r="CK96" i="20"/>
  <c r="CG96" i="20"/>
  <c r="CL96" i="20"/>
  <c r="CJ96" i="20"/>
  <c r="CH96" i="20"/>
  <c r="CM96" i="20"/>
  <c r="CI96" i="20"/>
  <c r="BS96" i="20"/>
  <c r="BO96" i="20"/>
  <c r="AX96" i="20"/>
  <c r="AT96" i="20"/>
  <c r="AC96" i="20"/>
  <c r="Y96" i="20"/>
  <c r="AD96" i="20"/>
  <c r="BR96" i="20"/>
  <c r="BN96" i="20"/>
  <c r="AW96" i="20"/>
  <c r="AS96" i="20"/>
  <c r="AB96" i="20"/>
  <c r="BP96" i="20"/>
  <c r="AY96" i="20"/>
  <c r="Z96" i="20"/>
  <c r="BQ96" i="20"/>
  <c r="BM96" i="20"/>
  <c r="AV96" i="20"/>
  <c r="AE96" i="20"/>
  <c r="AA96" i="20"/>
  <c r="AU96" i="20"/>
  <c r="CJ110" i="20"/>
  <c r="Y110" i="20"/>
  <c r="AC110" i="20"/>
  <c r="AT110" i="20"/>
  <c r="AX110" i="20"/>
  <c r="CG110" i="20"/>
  <c r="AB110" i="20"/>
  <c r="CM110" i="20"/>
  <c r="CI110" i="20"/>
  <c r="Z110" i="20"/>
  <c r="AD110" i="20"/>
  <c r="AU110" i="20"/>
  <c r="AY110" i="20"/>
  <c r="AS110" i="20"/>
  <c r="CL110" i="20"/>
  <c r="CH110" i="20"/>
  <c r="AA110" i="20"/>
  <c r="AE110" i="20"/>
  <c r="AV110" i="20"/>
  <c r="CK110" i="20"/>
  <c r="AW110" i="20"/>
  <c r="CL90" i="20"/>
  <c r="CH90" i="20"/>
  <c r="CK90" i="20"/>
  <c r="CG90" i="20"/>
  <c r="CM90" i="20"/>
  <c r="CJ90" i="20"/>
  <c r="CI90" i="20"/>
  <c r="BP90" i="20"/>
  <c r="AY90" i="20"/>
  <c r="AU90" i="20"/>
  <c r="AD90" i="20"/>
  <c r="Z90" i="20"/>
  <c r="BM90" i="20"/>
  <c r="AE90" i="20"/>
  <c r="BS90" i="20"/>
  <c r="BO90" i="20"/>
  <c r="AX90" i="20"/>
  <c r="AT90" i="20"/>
  <c r="AC90" i="20"/>
  <c r="Y90" i="20"/>
  <c r="AV90" i="20"/>
  <c r="BR90" i="20"/>
  <c r="BN90" i="20"/>
  <c r="AW90" i="20"/>
  <c r="AS90" i="20"/>
  <c r="AB90" i="20"/>
  <c r="BQ90" i="20"/>
  <c r="AA90" i="20"/>
  <c r="CM116" i="20"/>
  <c r="CI116" i="20"/>
  <c r="BO116" i="20"/>
  <c r="BS116" i="20"/>
  <c r="BN116" i="20"/>
  <c r="CL116" i="20"/>
  <c r="CH116" i="20"/>
  <c r="BP116" i="20"/>
  <c r="CJ116" i="20"/>
  <c r="BR116" i="20"/>
  <c r="CK116" i="20"/>
  <c r="CG116" i="20"/>
  <c r="BM116" i="20"/>
  <c r="BQ116" i="20"/>
  <c r="CM76" i="20"/>
  <c r="CI76" i="20"/>
  <c r="CJ76" i="20"/>
  <c r="CL76" i="20"/>
  <c r="CH76" i="20"/>
  <c r="CK76" i="20"/>
  <c r="CG76" i="20"/>
  <c r="BQ76" i="20"/>
  <c r="BM76" i="20"/>
  <c r="AV76" i="20"/>
  <c r="AE76" i="20"/>
  <c r="AA76" i="20"/>
  <c r="BN76" i="20"/>
  <c r="AB76" i="20"/>
  <c r="BP76" i="20"/>
  <c r="AY76" i="20"/>
  <c r="AU76" i="20"/>
  <c r="AD76" i="20"/>
  <c r="Z76" i="20"/>
  <c r="BR76" i="20"/>
  <c r="AS76" i="20"/>
  <c r="BS76" i="20"/>
  <c r="BO76" i="20"/>
  <c r="AX76" i="20"/>
  <c r="AT76" i="20"/>
  <c r="AC76" i="20"/>
  <c r="Y76" i="20"/>
  <c r="AW76" i="20"/>
  <c r="CJ104" i="20"/>
  <c r="BS104" i="20"/>
  <c r="BO104" i="20"/>
  <c r="AX104" i="20"/>
  <c r="AT104" i="20"/>
  <c r="AC104" i="20"/>
  <c r="Y104" i="20"/>
  <c r="CG104" i="20"/>
  <c r="AY104" i="20"/>
  <c r="Z104" i="20"/>
  <c r="CM104" i="20"/>
  <c r="CI104" i="20"/>
  <c r="BR104" i="20"/>
  <c r="BN104" i="20"/>
  <c r="AW104" i="20"/>
  <c r="AS104" i="20"/>
  <c r="AB104" i="20"/>
  <c r="BP104" i="20"/>
  <c r="AD104" i="20"/>
  <c r="CL104" i="20"/>
  <c r="CH104" i="20"/>
  <c r="BQ104" i="20"/>
  <c r="BM104" i="20"/>
  <c r="AV104" i="20"/>
  <c r="AE104" i="20"/>
  <c r="AA104" i="20"/>
  <c r="CK104" i="20"/>
  <c r="AU104" i="20"/>
  <c r="BS55" i="20"/>
  <c r="BO55" i="20"/>
  <c r="AY55" i="20"/>
  <c r="AU55" i="20"/>
  <c r="AE55" i="20"/>
  <c r="AA55" i="20"/>
  <c r="BR55" i="20"/>
  <c r="BN55" i="20"/>
  <c r="AX55" i="20"/>
  <c r="AT55" i="20"/>
  <c r="AD55" i="20"/>
  <c r="Z55" i="20"/>
  <c r="BP55" i="20"/>
  <c r="AV55" i="20"/>
  <c r="BQ55" i="20"/>
  <c r="BM55" i="20"/>
  <c r="AW55" i="20"/>
  <c r="AS55" i="20"/>
  <c r="AC55" i="20"/>
  <c r="Y55" i="20"/>
  <c r="AB55" i="20"/>
  <c r="AC36" i="20"/>
  <c r="Y36" i="20"/>
  <c r="AX36" i="20"/>
  <c r="AT36" i="20"/>
  <c r="BS36" i="20"/>
  <c r="BO36" i="20"/>
  <c r="AB36" i="20"/>
  <c r="AW36" i="20"/>
  <c r="AS36" i="20"/>
  <c r="BR36" i="20"/>
  <c r="BN36" i="20"/>
  <c r="AD36" i="20"/>
  <c r="AU36" i="20"/>
  <c r="BP36" i="20"/>
  <c r="AE36" i="20"/>
  <c r="AA36" i="20"/>
  <c r="AV36" i="20"/>
  <c r="BQ36" i="20"/>
  <c r="BM36" i="20"/>
  <c r="Z36" i="20"/>
  <c r="AY36" i="20"/>
  <c r="R175" i="24"/>
  <c r="S175" i="24"/>
  <c r="R155" i="24"/>
  <c r="S155" i="24"/>
  <c r="R149" i="24"/>
  <c r="S149" i="24"/>
  <c r="BR110" i="20"/>
  <c r="BN110" i="20"/>
  <c r="BQ110" i="20"/>
  <c r="BM110" i="20"/>
  <c r="BP110" i="20"/>
  <c r="BS110" i="20"/>
  <c r="BO110" i="20"/>
  <c r="AW116" i="20"/>
  <c r="AS116" i="20"/>
  <c r="AC116" i="20"/>
  <c r="Y116" i="20"/>
  <c r="Z116" i="20"/>
  <c r="AV116" i="20"/>
  <c r="AB116" i="20"/>
  <c r="AT116" i="20"/>
  <c r="AY116" i="20"/>
  <c r="AU116" i="20"/>
  <c r="AE116" i="20"/>
  <c r="AA116" i="20"/>
  <c r="AX116" i="20"/>
  <c r="AD116" i="20"/>
  <c r="B109" i="10"/>
  <c r="C108" i="38"/>
  <c r="P35" i="24"/>
  <c r="S35" i="24" s="1"/>
  <c r="P54" i="24"/>
  <c r="S54" i="24" s="1"/>
  <c r="P70" i="24"/>
  <c r="S70" i="24" s="1"/>
  <c r="B75" i="10"/>
  <c r="C77" i="38"/>
  <c r="B89" i="10"/>
  <c r="C89" i="38"/>
  <c r="P116" i="24"/>
  <c r="B123" i="10"/>
  <c r="C122" i="38"/>
  <c r="P104" i="24"/>
  <c r="B35" i="10"/>
  <c r="C36" i="38"/>
  <c r="B54" i="10"/>
  <c r="C55" i="38"/>
  <c r="B70" i="10"/>
  <c r="C71" i="38"/>
  <c r="P76" i="24"/>
  <c r="S76" i="24" s="1"/>
  <c r="P90" i="24"/>
  <c r="S90" i="24" s="1"/>
  <c r="B137" i="10"/>
  <c r="C131" i="38"/>
  <c r="B95" i="10"/>
  <c r="C95" i="38"/>
  <c r="P96" i="24"/>
  <c r="S96" i="24" s="1"/>
  <c r="B103" i="10"/>
  <c r="C102" i="38"/>
  <c r="P110" i="24"/>
  <c r="W175" i="25"/>
  <c r="P76" i="26"/>
  <c r="R76" i="26" s="1"/>
  <c r="P90" i="26"/>
  <c r="R90" i="26" s="1"/>
  <c r="P104" i="26"/>
  <c r="R104" i="26" s="1"/>
  <c r="P116" i="26"/>
  <c r="R116" i="26" s="1"/>
  <c r="P96" i="26"/>
  <c r="R96" i="26" s="1"/>
  <c r="P110" i="26"/>
  <c r="R110" i="26" s="1"/>
  <c r="P35" i="26"/>
  <c r="R35" i="26" s="1"/>
  <c r="P54" i="26"/>
  <c r="R54" i="26" s="1"/>
  <c r="P70" i="26"/>
  <c r="R70" i="26" s="1"/>
  <c r="C88" i="28"/>
  <c r="C90" i="27"/>
  <c r="C90" i="26"/>
  <c r="C90" i="24"/>
  <c r="C90" i="25"/>
  <c r="C89" i="23"/>
  <c r="AI55" i="2"/>
  <c r="AO55" i="2"/>
  <c r="AK55" i="2"/>
  <c r="AN55" i="2"/>
  <c r="AM55" i="2"/>
  <c r="U55" i="25"/>
  <c r="X55" i="25" s="1"/>
  <c r="AI71" i="2"/>
  <c r="AN71" i="2"/>
  <c r="AK71" i="2"/>
  <c r="AO71" i="2"/>
  <c r="U71" i="25"/>
  <c r="X71" i="25" s="1"/>
  <c r="R89" i="23"/>
  <c r="AI96" i="2"/>
  <c r="AO96" i="2"/>
  <c r="AK96" i="2"/>
  <c r="AN96" i="2"/>
  <c r="U96" i="25"/>
  <c r="X96" i="25" s="1"/>
  <c r="R103" i="23"/>
  <c r="AI110" i="2"/>
  <c r="AN110" i="2"/>
  <c r="AM110" i="2"/>
  <c r="AO110" i="2"/>
  <c r="AK110" i="2"/>
  <c r="U110" i="25"/>
  <c r="X110" i="25" s="1"/>
  <c r="AI36" i="2"/>
  <c r="AO36" i="2"/>
  <c r="AK36" i="2"/>
  <c r="AN36" i="2"/>
  <c r="AL36" i="2"/>
  <c r="U36" i="25"/>
  <c r="X36" i="25" s="1"/>
  <c r="C34" i="28"/>
  <c r="C35" i="27"/>
  <c r="C35" i="26"/>
  <c r="C35" i="24"/>
  <c r="C36" i="25"/>
  <c r="C35" i="23"/>
  <c r="C53" i="28"/>
  <c r="C54" i="27"/>
  <c r="C54" i="26"/>
  <c r="C55" i="25"/>
  <c r="C54" i="24"/>
  <c r="C54" i="23"/>
  <c r="C69" i="28"/>
  <c r="C70" i="27"/>
  <c r="C70" i="26"/>
  <c r="C70" i="24"/>
  <c r="C71" i="25"/>
  <c r="C70" i="23"/>
  <c r="C94" i="28"/>
  <c r="C96" i="27"/>
  <c r="C96" i="26"/>
  <c r="C96" i="25"/>
  <c r="C96" i="24"/>
  <c r="C95" i="23"/>
  <c r="C108" i="28"/>
  <c r="C110" i="27"/>
  <c r="C110" i="26"/>
  <c r="C110" i="25"/>
  <c r="C110" i="24"/>
  <c r="C109" i="23"/>
  <c r="C122" i="28"/>
  <c r="C124" i="27"/>
  <c r="C124" i="26"/>
  <c r="C124" i="25"/>
  <c r="C124" i="24"/>
  <c r="C123" i="23"/>
  <c r="W149" i="25"/>
  <c r="R54" i="24"/>
  <c r="C74" i="28"/>
  <c r="C76" i="27"/>
  <c r="C76" i="26"/>
  <c r="C76" i="25"/>
  <c r="C76" i="24"/>
  <c r="C75" i="23"/>
  <c r="C102" i="28"/>
  <c r="C104" i="27"/>
  <c r="C104" i="26"/>
  <c r="C104" i="25"/>
  <c r="C104" i="24"/>
  <c r="C103" i="23"/>
  <c r="C135" i="28"/>
  <c r="C137" i="27"/>
  <c r="C137" i="26"/>
  <c r="C137" i="25"/>
  <c r="C137" i="24"/>
  <c r="C136" i="23"/>
  <c r="R54" i="23"/>
  <c r="R70" i="23"/>
  <c r="AO76" i="2"/>
  <c r="AK76" i="2"/>
  <c r="AL76" i="2"/>
  <c r="U76" i="25"/>
  <c r="X76" i="25" s="1"/>
  <c r="AI76" i="2"/>
  <c r="AI90" i="2"/>
  <c r="AO90" i="2"/>
  <c r="AK90" i="2"/>
  <c r="AN90" i="2"/>
  <c r="U90" i="25"/>
  <c r="X90" i="25" s="1"/>
  <c r="R95" i="23"/>
  <c r="AI104" i="2"/>
  <c r="AO104" i="2"/>
  <c r="AK104" i="2"/>
  <c r="AN104" i="2"/>
  <c r="AM104" i="2"/>
  <c r="U104" i="25"/>
  <c r="X104" i="25" s="1"/>
  <c r="R109" i="23"/>
  <c r="AL116" i="2"/>
  <c r="AO116" i="2"/>
  <c r="AN116" i="2"/>
  <c r="AK116" i="2"/>
  <c r="U116" i="25"/>
  <c r="X116" i="25" s="1"/>
  <c r="AI116" i="2"/>
  <c r="W155" i="25"/>
  <c r="D138" i="20"/>
  <c r="C136" i="11"/>
  <c r="C122" i="11"/>
  <c r="D124" i="20"/>
  <c r="C108" i="11"/>
  <c r="D110" i="20"/>
  <c r="D104" i="20"/>
  <c r="C102" i="11"/>
  <c r="D96" i="20"/>
  <c r="C94" i="11"/>
  <c r="D90" i="20"/>
  <c r="C88" i="11"/>
  <c r="D76" i="20"/>
  <c r="C74" i="11"/>
  <c r="D71" i="20"/>
  <c r="C69" i="11"/>
  <c r="D55" i="20"/>
  <c r="C53" i="11"/>
  <c r="C34" i="11"/>
  <c r="D36" i="20"/>
  <c r="AJ177" i="2"/>
  <c r="AH177" i="2"/>
  <c r="AG177" i="2"/>
  <c r="AF177" i="2"/>
  <c r="P175" i="23" s="1"/>
  <c r="S175" i="23" s="1"/>
  <c r="D177" i="2"/>
  <c r="A75" i="3"/>
  <c r="A72" i="3"/>
  <c r="AJ165" i="2"/>
  <c r="AH165" i="2"/>
  <c r="AG165" i="2"/>
  <c r="AF165" i="2"/>
  <c r="P163" i="23" s="1"/>
  <c r="S163" i="23" s="1"/>
  <c r="D165" i="2"/>
  <c r="AH157" i="2"/>
  <c r="AG157" i="2"/>
  <c r="AF157" i="2"/>
  <c r="P155" i="23" s="1"/>
  <c r="S155" i="23" s="1"/>
  <c r="AH151" i="2"/>
  <c r="AG151" i="2"/>
  <c r="AF151" i="2"/>
  <c r="P149" i="23" s="1"/>
  <c r="S149" i="23" s="1"/>
  <c r="AJ117" i="2"/>
  <c r="AH117" i="2"/>
  <c r="AG117" i="2"/>
  <c r="AF117" i="2"/>
  <c r="P116" i="23" s="1"/>
  <c r="S116" i="23" s="1"/>
  <c r="AJ111" i="2"/>
  <c r="AH111" i="2"/>
  <c r="AG111" i="2"/>
  <c r="AF111" i="2"/>
  <c r="P110" i="23" s="1"/>
  <c r="S110" i="23" s="1"/>
  <c r="D117" i="2"/>
  <c r="D111" i="2"/>
  <c r="W73" i="3"/>
  <c r="W70" i="3"/>
  <c r="AJ105" i="2"/>
  <c r="AH105" i="2"/>
  <c r="AG105" i="2"/>
  <c r="AF105" i="2"/>
  <c r="P104" i="23" s="1"/>
  <c r="S104" i="23" s="1"/>
  <c r="D105" i="2"/>
  <c r="AJ95" i="2"/>
  <c r="AH95" i="2"/>
  <c r="AG95" i="2"/>
  <c r="AF95" i="2"/>
  <c r="P94" i="23" s="1"/>
  <c r="S94" i="23" s="1"/>
  <c r="AJ94" i="2"/>
  <c r="AH94" i="2"/>
  <c r="AG94" i="2"/>
  <c r="AF94" i="2"/>
  <c r="P93" i="23" s="1"/>
  <c r="S93" i="23" s="1"/>
  <c r="D95" i="2"/>
  <c r="D94" i="2"/>
  <c r="AJ88" i="2"/>
  <c r="AH88" i="2"/>
  <c r="AG88" i="2"/>
  <c r="AF88" i="2"/>
  <c r="P87" i="23" s="1"/>
  <c r="S87" i="23" s="1"/>
  <c r="D88" i="2"/>
  <c r="A33" i="3"/>
  <c r="AJ81" i="2"/>
  <c r="AH81" i="2"/>
  <c r="CG80" i="10" s="1"/>
  <c r="AG81" i="2"/>
  <c r="AF81" i="2"/>
  <c r="P80" i="23" s="1"/>
  <c r="S80" i="23" s="1"/>
  <c r="AJ80" i="2"/>
  <c r="AH80" i="2"/>
  <c r="CG79" i="10" s="1"/>
  <c r="CJ79" i="10" s="1"/>
  <c r="AG80" i="2"/>
  <c r="AF80" i="2"/>
  <c r="P79" i="23" s="1"/>
  <c r="S79" i="23" s="1"/>
  <c r="D81" i="2"/>
  <c r="D80" i="2"/>
  <c r="A31" i="3"/>
  <c r="AJ75" i="2"/>
  <c r="AH75" i="2"/>
  <c r="CG74" i="10" s="1"/>
  <c r="CI74" i="10" s="1"/>
  <c r="AG75" i="2"/>
  <c r="AF75" i="2"/>
  <c r="P74" i="23" s="1"/>
  <c r="S74" i="23" s="1"/>
  <c r="D75" i="2"/>
  <c r="N27" i="3"/>
  <c r="O27" i="3"/>
  <c r="P27" i="3"/>
  <c r="Q27" i="3"/>
  <c r="AJ68" i="2"/>
  <c r="AH68" i="2"/>
  <c r="CG67" i="10" s="1"/>
  <c r="AG68" i="2"/>
  <c r="AF68" i="2"/>
  <c r="P67" i="23" s="1"/>
  <c r="S67" i="23" s="1"/>
  <c r="AJ64" i="2"/>
  <c r="AH64" i="2"/>
  <c r="CG63" i="10" s="1"/>
  <c r="AG64" i="2"/>
  <c r="AF64" i="2"/>
  <c r="P63" i="23" s="1"/>
  <c r="S63" i="23" s="1"/>
  <c r="D64" i="2"/>
  <c r="AJ59" i="2"/>
  <c r="AH59" i="2"/>
  <c r="CG58" i="10" s="1"/>
  <c r="AG59" i="2"/>
  <c r="AF59" i="2"/>
  <c r="P58" i="23" s="1"/>
  <c r="S58" i="23" s="1"/>
  <c r="AJ57" i="2"/>
  <c r="AH57" i="2"/>
  <c r="CG56" i="10" s="1"/>
  <c r="AG57" i="2"/>
  <c r="AF57" i="2"/>
  <c r="P56" i="23" s="1"/>
  <c r="S56" i="23" s="1"/>
  <c r="D52" i="2"/>
  <c r="D47" i="2"/>
  <c r="M19" i="3"/>
  <c r="N19" i="3"/>
  <c r="O19" i="3"/>
  <c r="P19" i="3"/>
  <c r="Q19" i="3"/>
  <c r="CH56" i="10" l="1"/>
  <c r="DG57" i="20"/>
  <c r="DF57" i="20"/>
  <c r="DB57" i="20"/>
  <c r="DE57" i="20"/>
  <c r="DC57" i="20"/>
  <c r="DA57" i="20"/>
  <c r="DD57" i="20"/>
  <c r="CH58" i="10"/>
  <c r="DG59" i="20"/>
  <c r="DD59" i="20"/>
  <c r="DE59" i="20"/>
  <c r="DF59" i="20"/>
  <c r="DC59" i="20"/>
  <c r="DB59" i="20"/>
  <c r="DA59" i="20"/>
  <c r="DF177" i="20"/>
  <c r="DF173" i="20" s="1"/>
  <c r="DB177" i="20"/>
  <c r="DB173" i="20" s="1"/>
  <c r="DG177" i="20"/>
  <c r="DG173" i="20" s="1"/>
  <c r="DE177" i="20"/>
  <c r="DE173" i="20" s="1"/>
  <c r="DA177" i="20"/>
  <c r="DA173" i="20" s="1"/>
  <c r="DD177" i="20"/>
  <c r="DD173" i="20" s="1"/>
  <c r="DC177" i="20"/>
  <c r="DC173" i="20" s="1"/>
  <c r="CH63" i="10"/>
  <c r="U63" i="10" s="1"/>
  <c r="DG64" i="20"/>
  <c r="DD64" i="20"/>
  <c r="DB64" i="20"/>
  <c r="DE64" i="20"/>
  <c r="DC64" i="20"/>
  <c r="DF64" i="20"/>
  <c r="DA64" i="20"/>
  <c r="CH67" i="10"/>
  <c r="DG68" i="20"/>
  <c r="DC68" i="20"/>
  <c r="DF68" i="20"/>
  <c r="DB68" i="20"/>
  <c r="DD68" i="20"/>
  <c r="DA68" i="20"/>
  <c r="DE68" i="20"/>
  <c r="CH79" i="10"/>
  <c r="CK79" i="10" s="1"/>
  <c r="CL79" i="10" s="1"/>
  <c r="DG80" i="20"/>
  <c r="DC80" i="20"/>
  <c r="DF80" i="20"/>
  <c r="DB80" i="20"/>
  <c r="DE80" i="20"/>
  <c r="DD80" i="20"/>
  <c r="DA80" i="20"/>
  <c r="CH80" i="10"/>
  <c r="DE81" i="20"/>
  <c r="DA81" i="20"/>
  <c r="DD81" i="20"/>
  <c r="DF81" i="20"/>
  <c r="DG81" i="20"/>
  <c r="DB81" i="20"/>
  <c r="DC81" i="20"/>
  <c r="DG94" i="20"/>
  <c r="DE94" i="20"/>
  <c r="DA94" i="20"/>
  <c r="DD94" i="20"/>
  <c r="DF94" i="20"/>
  <c r="DC94" i="20"/>
  <c r="DB94" i="20"/>
  <c r="DG95" i="20"/>
  <c r="DC95" i="20"/>
  <c r="DF95" i="20"/>
  <c r="DB95" i="20"/>
  <c r="DE95" i="20"/>
  <c r="DD95" i="20"/>
  <c r="DA95" i="20"/>
  <c r="DF165" i="20"/>
  <c r="DB165" i="20"/>
  <c r="DE165" i="20"/>
  <c r="DA165" i="20"/>
  <c r="DD165" i="20"/>
  <c r="DG165" i="20"/>
  <c r="DC165" i="20"/>
  <c r="DE88" i="20"/>
  <c r="DA88" i="20"/>
  <c r="DD88" i="20"/>
  <c r="DF88" i="20"/>
  <c r="DB88" i="20"/>
  <c r="DG88" i="20"/>
  <c r="DC88" i="20"/>
  <c r="CH74" i="10"/>
  <c r="CJ74" i="10" s="1"/>
  <c r="DG75" i="20"/>
  <c r="DC75" i="20"/>
  <c r="DF75" i="20"/>
  <c r="DB75" i="20"/>
  <c r="DA75" i="20"/>
  <c r="DE75" i="20"/>
  <c r="DD75" i="20"/>
  <c r="DC105" i="20"/>
  <c r="DE105" i="20"/>
  <c r="DD105" i="20"/>
  <c r="DF105" i="20"/>
  <c r="DB105" i="20"/>
  <c r="DG105" i="20"/>
  <c r="DA105" i="20"/>
  <c r="DE111" i="20"/>
  <c r="DA111" i="20"/>
  <c r="DG111" i="20"/>
  <c r="DD111" i="20"/>
  <c r="DC111" i="20"/>
  <c r="DF111" i="20"/>
  <c r="DB111" i="20"/>
  <c r="DC117" i="20"/>
  <c r="DE117" i="20"/>
  <c r="DG117" i="20"/>
  <c r="DF117" i="20"/>
  <c r="DB117" i="20"/>
  <c r="DA117" i="20"/>
  <c r="DD117" i="20"/>
  <c r="R74" i="10"/>
  <c r="U79" i="10"/>
  <c r="T79" i="10"/>
  <c r="S79" i="10"/>
  <c r="Q74" i="10"/>
  <c r="V79" i="10"/>
  <c r="U58" i="10"/>
  <c r="AA58" i="10"/>
  <c r="Q79" i="10"/>
  <c r="R79" i="10"/>
  <c r="CK88" i="20"/>
  <c r="CG88" i="20"/>
  <c r="CJ88" i="20"/>
  <c r="CM88" i="20"/>
  <c r="CI88" i="20"/>
  <c r="CH88" i="20"/>
  <c r="CL88" i="20"/>
  <c r="BR88" i="20"/>
  <c r="BN88" i="20"/>
  <c r="AX88" i="20"/>
  <c r="AT88" i="20"/>
  <c r="AD88" i="20"/>
  <c r="Z88" i="20"/>
  <c r="BO88" i="20"/>
  <c r="AE88" i="20"/>
  <c r="BQ88" i="20"/>
  <c r="BM88" i="20"/>
  <c r="AW88" i="20"/>
  <c r="AS88" i="20"/>
  <c r="AC88" i="20"/>
  <c r="Y88" i="20"/>
  <c r="Y86" i="20" s="1"/>
  <c r="AY88" i="20"/>
  <c r="BP88" i="20"/>
  <c r="AV88" i="20"/>
  <c r="AB88" i="20"/>
  <c r="BS88" i="20"/>
  <c r="AU88" i="20"/>
  <c r="AA88" i="20"/>
  <c r="CJ177" i="20"/>
  <c r="CJ173" i="20" s="1"/>
  <c r="BQ177" i="20"/>
  <c r="BQ173" i="20" s="1"/>
  <c r="BM177" i="20"/>
  <c r="BM173" i="20" s="1"/>
  <c r="AX177" i="20"/>
  <c r="AX173" i="20" s="1"/>
  <c r="AT177" i="20"/>
  <c r="AT173" i="20" s="1"/>
  <c r="AE177" i="20"/>
  <c r="AE173" i="20" s="1"/>
  <c r="AA177" i="20"/>
  <c r="AA173" i="20" s="1"/>
  <c r="CM177" i="20"/>
  <c r="CM173" i="20" s="1"/>
  <c r="CI177" i="20"/>
  <c r="CI173" i="20" s="1"/>
  <c r="BP177" i="20"/>
  <c r="BP173" i="20" s="1"/>
  <c r="AW177" i="20"/>
  <c r="AW173" i="20" s="1"/>
  <c r="AS177" i="20"/>
  <c r="AS173" i="20" s="1"/>
  <c r="AD177" i="20"/>
  <c r="AD173" i="20" s="1"/>
  <c r="Z177" i="20"/>
  <c r="Z173" i="20" s="1"/>
  <c r="CL177" i="20"/>
  <c r="CL173" i="20" s="1"/>
  <c r="CH177" i="20"/>
  <c r="CH173" i="20" s="1"/>
  <c r="BS177" i="20"/>
  <c r="BS173" i="20" s="1"/>
  <c r="BO177" i="20"/>
  <c r="BO173" i="20" s="1"/>
  <c r="AV177" i="20"/>
  <c r="AV173" i="20" s="1"/>
  <c r="AC177" i="20"/>
  <c r="AC173" i="20" s="1"/>
  <c r="Y177" i="20"/>
  <c r="Y173" i="20" s="1"/>
  <c r="CK177" i="20"/>
  <c r="CK173" i="20" s="1"/>
  <c r="BR177" i="20"/>
  <c r="BR173" i="20" s="1"/>
  <c r="AY177" i="20"/>
  <c r="AY173" i="20" s="1"/>
  <c r="AB177" i="20"/>
  <c r="AB173" i="20" s="1"/>
  <c r="CG177" i="20"/>
  <c r="CG173" i="20" s="1"/>
  <c r="BN177" i="20"/>
  <c r="BN173" i="20" s="1"/>
  <c r="AU177" i="20"/>
  <c r="AU173" i="20" s="1"/>
  <c r="CM57" i="20"/>
  <c r="CI57" i="20"/>
  <c r="CL57" i="20"/>
  <c r="CH57" i="20"/>
  <c r="CK57" i="20"/>
  <c r="CG57" i="20"/>
  <c r="CJ57" i="20"/>
  <c r="CJ59" i="20"/>
  <c r="CM59" i="20"/>
  <c r="CI59" i="20"/>
  <c r="CL59" i="20"/>
  <c r="CH59" i="20"/>
  <c r="CK59" i="20"/>
  <c r="CG59" i="20"/>
  <c r="BR59" i="20"/>
  <c r="BN59" i="20"/>
  <c r="AY59" i="20"/>
  <c r="AU59" i="20"/>
  <c r="AB59" i="20"/>
  <c r="BO59" i="20"/>
  <c r="AC59" i="20"/>
  <c r="BQ59" i="20"/>
  <c r="BM59" i="20"/>
  <c r="AX59" i="20"/>
  <c r="AT59" i="20"/>
  <c r="AE59" i="20"/>
  <c r="AA59" i="20"/>
  <c r="AV59" i="20"/>
  <c r="BP59" i="20"/>
  <c r="AW59" i="20"/>
  <c r="AS59" i="20"/>
  <c r="AD59" i="20"/>
  <c r="Z59" i="20"/>
  <c r="BS59" i="20"/>
  <c r="Y59" i="20"/>
  <c r="CL165" i="20"/>
  <c r="CH165" i="20"/>
  <c r="BS165" i="20"/>
  <c r="BS161" i="20" s="1"/>
  <c r="BO165" i="20"/>
  <c r="AX165" i="20"/>
  <c r="AX161" i="20" s="1"/>
  <c r="AT165" i="20"/>
  <c r="AT161" i="20" s="1"/>
  <c r="AC165" i="20"/>
  <c r="AC161" i="20" s="1"/>
  <c r="Y165" i="20"/>
  <c r="Y161" i="20" s="1"/>
  <c r="CK165" i="20"/>
  <c r="CG165" i="20"/>
  <c r="BR165" i="20"/>
  <c r="BR161" i="20" s="1"/>
  <c r="BN165" i="20"/>
  <c r="BN161" i="20" s="1"/>
  <c r="AW165" i="20"/>
  <c r="AW161" i="20" s="1"/>
  <c r="AS165" i="20"/>
  <c r="AS161" i="20" s="1"/>
  <c r="AB165" i="20"/>
  <c r="AB161" i="20" s="1"/>
  <c r="CJ165" i="20"/>
  <c r="BQ165" i="20"/>
  <c r="BQ161" i="20" s="1"/>
  <c r="BM165" i="20"/>
  <c r="BM161" i="20" s="1"/>
  <c r="AV165" i="20"/>
  <c r="AV161" i="20" s="1"/>
  <c r="AE165" i="20"/>
  <c r="AE161" i="20" s="1"/>
  <c r="AA165" i="20"/>
  <c r="AA161" i="20" s="1"/>
  <c r="CI165" i="20"/>
  <c r="Z165" i="20"/>
  <c r="Z161" i="20" s="1"/>
  <c r="CM165" i="20"/>
  <c r="AD165" i="20"/>
  <c r="AD161" i="20" s="1"/>
  <c r="AY165" i="20"/>
  <c r="AY161" i="20" s="1"/>
  <c r="BP165" i="20"/>
  <c r="BP161" i="20" s="1"/>
  <c r="AU165" i="20"/>
  <c r="CK64" i="20"/>
  <c r="CG64" i="20"/>
  <c r="BP64" i="20"/>
  <c r="AY64" i="20"/>
  <c r="AU64" i="20"/>
  <c r="AD64" i="20"/>
  <c r="Z64" i="20"/>
  <c r="CH64" i="20"/>
  <c r="AV64" i="20"/>
  <c r="CJ64" i="20"/>
  <c r="BS64" i="20"/>
  <c r="BO64" i="20"/>
  <c r="AX64" i="20"/>
  <c r="AT64" i="20"/>
  <c r="AC64" i="20"/>
  <c r="Y64" i="20"/>
  <c r="CL64" i="20"/>
  <c r="BQ64" i="20"/>
  <c r="AE64" i="20"/>
  <c r="CM64" i="20"/>
  <c r="CI64" i="20"/>
  <c r="BR64" i="20"/>
  <c r="BN64" i="20"/>
  <c r="AW64" i="20"/>
  <c r="AS64" i="20"/>
  <c r="AB64" i="20"/>
  <c r="BM64" i="20"/>
  <c r="AA64" i="20"/>
  <c r="CL68" i="20"/>
  <c r="CH68" i="20"/>
  <c r="CK68" i="20"/>
  <c r="CG68" i="20"/>
  <c r="CJ68" i="20"/>
  <c r="CM68" i="20"/>
  <c r="CI68" i="20"/>
  <c r="BR68" i="20"/>
  <c r="BN68" i="20"/>
  <c r="AX68" i="20"/>
  <c r="AT68" i="20"/>
  <c r="AD68" i="20"/>
  <c r="Z68" i="20"/>
  <c r="AY68" i="20"/>
  <c r="AE68" i="20"/>
  <c r="BQ68" i="20"/>
  <c r="BM68" i="20"/>
  <c r="AW68" i="20"/>
  <c r="AS68" i="20"/>
  <c r="AC68" i="20"/>
  <c r="Y68" i="20"/>
  <c r="BS68" i="20"/>
  <c r="BP68" i="20"/>
  <c r="AV68" i="20"/>
  <c r="AB68" i="20"/>
  <c r="BO68" i="20"/>
  <c r="AU68" i="20"/>
  <c r="AA68" i="20"/>
  <c r="CK80" i="20"/>
  <c r="CG80" i="20"/>
  <c r="CJ80" i="20"/>
  <c r="CM80" i="20"/>
  <c r="CI80" i="20"/>
  <c r="CL80" i="20"/>
  <c r="CH80" i="20"/>
  <c r="BS80" i="20"/>
  <c r="BO80" i="20"/>
  <c r="AW80" i="20"/>
  <c r="AS80" i="20"/>
  <c r="AE80" i="20"/>
  <c r="AA80" i="20"/>
  <c r="AT80" i="20"/>
  <c r="AB80" i="20"/>
  <c r="BR80" i="20"/>
  <c r="BN80" i="20"/>
  <c r="AV80" i="20"/>
  <c r="AD80" i="20"/>
  <c r="Z80" i="20"/>
  <c r="BQ80" i="20"/>
  <c r="BM80" i="20"/>
  <c r="AY80" i="20"/>
  <c r="AU80" i="20"/>
  <c r="AC80" i="20"/>
  <c r="Y80" i="20"/>
  <c r="BP80" i="20"/>
  <c r="AX80" i="20"/>
  <c r="CL81" i="20"/>
  <c r="CH81" i="20"/>
  <c r="CK81" i="20"/>
  <c r="CG81" i="20"/>
  <c r="CJ81" i="20"/>
  <c r="CM81" i="20"/>
  <c r="CI81" i="20"/>
  <c r="BP81" i="20"/>
  <c r="AX81" i="20"/>
  <c r="AT81" i="20"/>
  <c r="AB81" i="20"/>
  <c r="BQ81" i="20"/>
  <c r="AY81" i="20"/>
  <c r="BS81" i="20"/>
  <c r="BO81" i="20"/>
  <c r="AW81" i="20"/>
  <c r="AS81" i="20"/>
  <c r="AE81" i="20"/>
  <c r="AA81" i="20"/>
  <c r="BM81" i="20"/>
  <c r="AU81" i="20"/>
  <c r="Y81" i="20"/>
  <c r="BR81" i="20"/>
  <c r="BN81" i="20"/>
  <c r="AV81" i="20"/>
  <c r="AD81" i="20"/>
  <c r="Z81" i="20"/>
  <c r="AC81" i="20"/>
  <c r="CJ94" i="20"/>
  <c r="CM94" i="20"/>
  <c r="CI94" i="20"/>
  <c r="CL94" i="20"/>
  <c r="CH94" i="20"/>
  <c r="CK94" i="20"/>
  <c r="CG94" i="20"/>
  <c r="BP94" i="20"/>
  <c r="AY94" i="20"/>
  <c r="AU94" i="20"/>
  <c r="AD94" i="20"/>
  <c r="Z94" i="20"/>
  <c r="BM94" i="20"/>
  <c r="BS94" i="20"/>
  <c r="BO94" i="20"/>
  <c r="AX94" i="20"/>
  <c r="AT94" i="20"/>
  <c r="AC94" i="20"/>
  <c r="Y94" i="20"/>
  <c r="BQ94" i="20"/>
  <c r="AV94" i="20"/>
  <c r="AA94" i="20"/>
  <c r="BR94" i="20"/>
  <c r="BN94" i="20"/>
  <c r="AW94" i="20"/>
  <c r="AS94" i="20"/>
  <c r="AB94" i="20"/>
  <c r="AE94" i="20"/>
  <c r="CK95" i="20"/>
  <c r="CG95" i="20"/>
  <c r="CJ95" i="20"/>
  <c r="CM95" i="20"/>
  <c r="CI95" i="20"/>
  <c r="CL95" i="20"/>
  <c r="CH95" i="20"/>
  <c r="BQ95" i="20"/>
  <c r="BM95" i="20"/>
  <c r="AV95" i="20"/>
  <c r="AE95" i="20"/>
  <c r="AA95" i="20"/>
  <c r="BN95" i="20"/>
  <c r="AW95" i="20"/>
  <c r="AB95" i="20"/>
  <c r="BP95" i="20"/>
  <c r="AY95" i="20"/>
  <c r="AU95" i="20"/>
  <c r="AD95" i="20"/>
  <c r="Z95" i="20"/>
  <c r="BS95" i="20"/>
  <c r="BO95" i="20"/>
  <c r="AX95" i="20"/>
  <c r="AT95" i="20"/>
  <c r="AC95" i="20"/>
  <c r="Y95" i="20"/>
  <c r="BR95" i="20"/>
  <c r="AS95" i="20"/>
  <c r="CM75" i="20"/>
  <c r="CI75" i="20"/>
  <c r="CL75" i="20"/>
  <c r="CH75" i="20"/>
  <c r="CK75" i="20"/>
  <c r="CG75" i="20"/>
  <c r="CJ75" i="20"/>
  <c r="BP75" i="20"/>
  <c r="AW75" i="20"/>
  <c r="AS75" i="20"/>
  <c r="AD75" i="20"/>
  <c r="Z75" i="20"/>
  <c r="BQ75" i="20"/>
  <c r="AT75" i="20"/>
  <c r="AA75" i="20"/>
  <c r="BS75" i="20"/>
  <c r="BO75" i="20"/>
  <c r="AV75" i="20"/>
  <c r="AC75" i="20"/>
  <c r="Y75" i="20"/>
  <c r="BM75" i="20"/>
  <c r="BR75" i="20"/>
  <c r="BN75" i="20"/>
  <c r="AY75" i="20"/>
  <c r="AU75" i="20"/>
  <c r="AB75" i="20"/>
  <c r="AX75" i="20"/>
  <c r="AE75" i="20"/>
  <c r="CM105" i="20"/>
  <c r="CI105" i="20"/>
  <c r="CL105" i="20"/>
  <c r="CH105" i="20"/>
  <c r="CK105" i="20"/>
  <c r="CG105" i="20"/>
  <c r="BP105" i="20"/>
  <c r="AV105" i="20"/>
  <c r="AB105" i="20"/>
  <c r="BS105" i="20"/>
  <c r="AY105" i="20"/>
  <c r="AE105" i="20"/>
  <c r="BQ105" i="20"/>
  <c r="AS105" i="20"/>
  <c r="AC105" i="20"/>
  <c r="BO105" i="20"/>
  <c r="AU105" i="20"/>
  <c r="AA105" i="20"/>
  <c r="AW105" i="20"/>
  <c r="Y105" i="20"/>
  <c r="CJ105" i="20"/>
  <c r="BR105" i="20"/>
  <c r="BN105" i="20"/>
  <c r="AX105" i="20"/>
  <c r="AT105" i="20"/>
  <c r="AD105" i="20"/>
  <c r="Z105" i="20"/>
  <c r="BM105" i="20"/>
  <c r="CL111" i="20"/>
  <c r="CH111" i="20"/>
  <c r="CK111" i="20"/>
  <c r="CG111" i="20"/>
  <c r="CJ111" i="20"/>
  <c r="CI111" i="20"/>
  <c r="AB111" i="20"/>
  <c r="AV111" i="20"/>
  <c r="AC111" i="20"/>
  <c r="AS111" i="20"/>
  <c r="AE111" i="20"/>
  <c r="Y111" i="20"/>
  <c r="AW111" i="20"/>
  <c r="AU111" i="20"/>
  <c r="Z111" i="20"/>
  <c r="AD111" i="20"/>
  <c r="AT111" i="20"/>
  <c r="AX111" i="20"/>
  <c r="CM111" i="20"/>
  <c r="AA111" i="20"/>
  <c r="AY111" i="20"/>
  <c r="CL117" i="20"/>
  <c r="CL114" i="20" s="1"/>
  <c r="J49" i="21" s="1"/>
  <c r="CH117" i="20"/>
  <c r="CH114" i="20" s="1"/>
  <c r="F49" i="21" s="1"/>
  <c r="CK117" i="20"/>
  <c r="CK114" i="20" s="1"/>
  <c r="I49" i="21" s="1"/>
  <c r="CG117" i="20"/>
  <c r="CG114" i="20" s="1"/>
  <c r="E49" i="21" s="1"/>
  <c r="E102" i="21" s="1"/>
  <c r="CJ117" i="20"/>
  <c r="CJ114" i="20" s="1"/>
  <c r="H49" i="21" s="1"/>
  <c r="BP117" i="20"/>
  <c r="BM117" i="20"/>
  <c r="BQ117" i="20"/>
  <c r="BO117" i="20"/>
  <c r="CM117" i="20"/>
  <c r="CM114" i="20" s="1"/>
  <c r="K49" i="21" s="1"/>
  <c r="BN117" i="20"/>
  <c r="BR117" i="20"/>
  <c r="CI117" i="20"/>
  <c r="CI114" i="20" s="1"/>
  <c r="G49" i="21" s="1"/>
  <c r="BS117" i="20"/>
  <c r="BR57" i="20"/>
  <c r="BN57" i="20"/>
  <c r="AW57" i="20"/>
  <c r="AS57" i="20"/>
  <c r="AB57" i="20"/>
  <c r="BS57" i="20"/>
  <c r="AC57" i="20"/>
  <c r="BQ57" i="20"/>
  <c r="BM57" i="20"/>
  <c r="AV57" i="20"/>
  <c r="AE57" i="20"/>
  <c r="AA57" i="20"/>
  <c r="BO57" i="20"/>
  <c r="BP57" i="20"/>
  <c r="AY57" i="20"/>
  <c r="AU57" i="20"/>
  <c r="AD57" i="20"/>
  <c r="Z57" i="20"/>
  <c r="AX57" i="20"/>
  <c r="AT57" i="20"/>
  <c r="Y57" i="20"/>
  <c r="R110" i="24"/>
  <c r="S110" i="24"/>
  <c r="R104" i="24"/>
  <c r="S104" i="24"/>
  <c r="S116" i="24"/>
  <c r="R116" i="24"/>
  <c r="BS111" i="20"/>
  <c r="BO111" i="20"/>
  <c r="BR111" i="20"/>
  <c r="BN111" i="20"/>
  <c r="BQ111" i="20"/>
  <c r="BM111" i="20"/>
  <c r="BP111" i="20"/>
  <c r="AV117" i="20"/>
  <c r="AE117" i="20"/>
  <c r="AA117" i="20"/>
  <c r="AC117" i="20"/>
  <c r="AW117" i="20"/>
  <c r="AY117" i="20"/>
  <c r="AU117" i="20"/>
  <c r="AD117" i="20"/>
  <c r="Z117" i="20"/>
  <c r="AX117" i="20"/>
  <c r="AT117" i="20"/>
  <c r="Y117" i="20"/>
  <c r="AS117" i="20"/>
  <c r="AB117" i="20"/>
  <c r="P56" i="24"/>
  <c r="S56" i="24" s="1"/>
  <c r="P95" i="24"/>
  <c r="S95" i="24" s="1"/>
  <c r="P117" i="24"/>
  <c r="B51" i="10"/>
  <c r="C52" i="38"/>
  <c r="P58" i="24"/>
  <c r="B63" i="10"/>
  <c r="C64" i="38"/>
  <c r="D64" i="20"/>
  <c r="B93" i="10"/>
  <c r="C93" i="38"/>
  <c r="B110" i="10"/>
  <c r="C109" i="38"/>
  <c r="B139" i="10"/>
  <c r="C133" i="38"/>
  <c r="C137" i="38"/>
  <c r="P150" i="24"/>
  <c r="S150" i="24" s="1"/>
  <c r="P156" i="24"/>
  <c r="B164" i="10"/>
  <c r="C164" i="38"/>
  <c r="B74" i="10"/>
  <c r="C76" i="38"/>
  <c r="P88" i="24"/>
  <c r="S88" i="24" s="1"/>
  <c r="C136" i="38"/>
  <c r="B177" i="10"/>
  <c r="C176" i="38"/>
  <c r="B46" i="10"/>
  <c r="C47" i="38"/>
  <c r="P75" i="24"/>
  <c r="S75" i="24" s="1"/>
  <c r="B87" i="10"/>
  <c r="C87" i="38"/>
  <c r="P105" i="24"/>
  <c r="S105" i="24" s="1"/>
  <c r="C134" i="38"/>
  <c r="S55" i="38"/>
  <c r="B80" i="10"/>
  <c r="C82" i="38"/>
  <c r="B104" i="10"/>
  <c r="C103" i="38"/>
  <c r="P111" i="24"/>
  <c r="B138" i="10"/>
  <c r="C132" i="38"/>
  <c r="P80" i="24"/>
  <c r="S80" i="24" s="1"/>
  <c r="P81" i="24"/>
  <c r="S81" i="24" s="1"/>
  <c r="B94" i="10"/>
  <c r="C94" i="38"/>
  <c r="B116" i="10"/>
  <c r="C115" i="38"/>
  <c r="P176" i="24"/>
  <c r="S176" i="24" s="1"/>
  <c r="P63" i="24"/>
  <c r="S63" i="24" s="1"/>
  <c r="B79" i="10"/>
  <c r="C81" i="38"/>
  <c r="C135" i="38"/>
  <c r="P164" i="24"/>
  <c r="S164" i="24" s="1"/>
  <c r="P67" i="24"/>
  <c r="S67" i="24" s="1"/>
  <c r="P94" i="24"/>
  <c r="S94" i="24" s="1"/>
  <c r="R104" i="23"/>
  <c r="P56" i="26"/>
  <c r="R56" i="26" s="1"/>
  <c r="P67" i="26"/>
  <c r="R67" i="26" s="1"/>
  <c r="P88" i="26"/>
  <c r="R88" i="26" s="1"/>
  <c r="P94" i="26"/>
  <c r="R94" i="26" s="1"/>
  <c r="P95" i="26"/>
  <c r="R95" i="26" s="1"/>
  <c r="P111" i="26"/>
  <c r="R111" i="26" s="1"/>
  <c r="P117" i="26"/>
  <c r="R117" i="26" s="1"/>
  <c r="P164" i="26"/>
  <c r="R164" i="26" s="1"/>
  <c r="AU161" i="20"/>
  <c r="BO161" i="20"/>
  <c r="P58" i="26"/>
  <c r="R58" i="26" s="1"/>
  <c r="P150" i="26"/>
  <c r="R150" i="26" s="1"/>
  <c r="CJ141" i="20"/>
  <c r="CM141" i="20"/>
  <c r="CI141" i="20"/>
  <c r="CL141" i="20"/>
  <c r="CH141" i="20"/>
  <c r="BS151" i="20"/>
  <c r="BO151" i="20"/>
  <c r="CG141" i="20"/>
  <c r="BR151" i="20"/>
  <c r="BN151" i="20"/>
  <c r="BP151" i="20"/>
  <c r="CK141" i="20"/>
  <c r="BQ151" i="20"/>
  <c r="BM151" i="20"/>
  <c r="P156" i="26"/>
  <c r="R156" i="26" s="1"/>
  <c r="P63" i="26"/>
  <c r="R63" i="26" s="1"/>
  <c r="P75" i="26"/>
  <c r="R75" i="26" s="1"/>
  <c r="P81" i="26"/>
  <c r="R81" i="26" s="1"/>
  <c r="P105" i="26"/>
  <c r="R105" i="26" s="1"/>
  <c r="P176" i="26"/>
  <c r="R176" i="26" s="1"/>
  <c r="R80" i="23"/>
  <c r="AI88" i="2"/>
  <c r="AN88" i="2"/>
  <c r="AM88" i="2"/>
  <c r="AO88" i="2"/>
  <c r="AK88" i="2"/>
  <c r="U88" i="25"/>
  <c r="X88" i="25" s="1"/>
  <c r="C92" i="28"/>
  <c r="C94" i="27"/>
  <c r="C94" i="26"/>
  <c r="C94" i="25"/>
  <c r="C94" i="24"/>
  <c r="C93" i="23"/>
  <c r="AI94" i="2"/>
  <c r="AM94" i="2"/>
  <c r="AO94" i="2"/>
  <c r="AN94" i="2"/>
  <c r="AK94" i="2"/>
  <c r="U94" i="25"/>
  <c r="X94" i="25" s="1"/>
  <c r="AL95" i="2"/>
  <c r="AO95" i="2"/>
  <c r="AK95" i="2"/>
  <c r="AN95" i="2"/>
  <c r="U95" i="25"/>
  <c r="X95" i="25" s="1"/>
  <c r="AI95" i="2"/>
  <c r="C109" i="28"/>
  <c r="C111" i="27"/>
  <c r="C111" i="26"/>
  <c r="C111" i="25"/>
  <c r="C111" i="24"/>
  <c r="C110" i="23"/>
  <c r="AI111" i="2"/>
  <c r="AM111" i="2"/>
  <c r="AK111" i="2"/>
  <c r="AN111" i="2"/>
  <c r="AO111" i="2"/>
  <c r="U111" i="25"/>
  <c r="X111" i="25" s="1"/>
  <c r="AL117" i="2"/>
  <c r="AL114" i="2" s="1"/>
  <c r="E21" i="19" s="1"/>
  <c r="AO117" i="2"/>
  <c r="AO114" i="2" s="1"/>
  <c r="H21" i="19" s="1"/>
  <c r="AK117" i="2"/>
  <c r="AK114" i="2" s="1"/>
  <c r="D21" i="19" s="1"/>
  <c r="AN117" i="2"/>
  <c r="AN114" i="2" s="1"/>
  <c r="G21" i="19" s="1"/>
  <c r="U117" i="25"/>
  <c r="X117" i="25" s="1"/>
  <c r="AI117" i="2"/>
  <c r="C137" i="28"/>
  <c r="C139" i="27"/>
  <c r="C139" i="26"/>
  <c r="C139" i="25"/>
  <c r="C139" i="24"/>
  <c r="C138" i="23"/>
  <c r="C162" i="28"/>
  <c r="C164" i="27"/>
  <c r="C164" i="26"/>
  <c r="C164" i="25"/>
  <c r="C164" i="24"/>
  <c r="C163" i="23"/>
  <c r="R175" i="23"/>
  <c r="C50" i="28"/>
  <c r="C51" i="27"/>
  <c r="C51" i="26"/>
  <c r="C52" i="25"/>
  <c r="C51" i="24"/>
  <c r="C51" i="23"/>
  <c r="C45" i="28"/>
  <c r="C46" i="27"/>
  <c r="C46" i="26"/>
  <c r="C47" i="25"/>
  <c r="C46" i="24"/>
  <c r="C46" i="23"/>
  <c r="R63" i="23"/>
  <c r="C93" i="28"/>
  <c r="C95" i="27"/>
  <c r="C95" i="26"/>
  <c r="C95" i="25"/>
  <c r="C95" i="24"/>
  <c r="C94" i="23"/>
  <c r="AO151" i="2"/>
  <c r="AK151" i="2"/>
  <c r="AM151" i="2"/>
  <c r="AN151" i="2"/>
  <c r="U150" i="25"/>
  <c r="X150" i="25" s="1"/>
  <c r="AI151" i="2"/>
  <c r="AI157" i="2"/>
  <c r="AO157" i="2"/>
  <c r="AN157" i="2"/>
  <c r="AL157" i="2"/>
  <c r="AM157" i="2"/>
  <c r="U156" i="25"/>
  <c r="X156" i="25" s="1"/>
  <c r="AI57" i="2"/>
  <c r="AO57" i="2"/>
  <c r="AN57" i="2"/>
  <c r="U57" i="25"/>
  <c r="X57" i="25" s="1"/>
  <c r="AI59" i="2"/>
  <c r="AN59" i="2"/>
  <c r="AM59" i="2"/>
  <c r="AO59" i="2"/>
  <c r="AK59" i="2"/>
  <c r="U59" i="25"/>
  <c r="X59" i="25" s="1"/>
  <c r="C86" i="28"/>
  <c r="C88" i="27"/>
  <c r="C88" i="26"/>
  <c r="C88" i="25"/>
  <c r="C88" i="24"/>
  <c r="C87" i="23"/>
  <c r="R56" i="23"/>
  <c r="R67" i="23"/>
  <c r="AI75" i="2"/>
  <c r="AO75" i="2"/>
  <c r="AK75" i="2"/>
  <c r="AL75" i="2"/>
  <c r="U75" i="25"/>
  <c r="X75" i="25" s="1"/>
  <c r="C78" i="28"/>
  <c r="C80" i="27"/>
  <c r="C80" i="26"/>
  <c r="C80" i="25"/>
  <c r="C80" i="24"/>
  <c r="C79" i="23"/>
  <c r="AO80" i="2"/>
  <c r="H15" i="19" s="1"/>
  <c r="AK80" i="2"/>
  <c r="AL80" i="2"/>
  <c r="E15" i="19" s="1"/>
  <c r="U80" i="25"/>
  <c r="X80" i="25" s="1"/>
  <c r="AI80" i="2"/>
  <c r="AI81" i="2"/>
  <c r="AN81" i="2"/>
  <c r="AM81" i="2"/>
  <c r="AK81" i="2"/>
  <c r="AO81" i="2"/>
  <c r="U81" i="25"/>
  <c r="X81" i="25" s="1"/>
  <c r="R87" i="23"/>
  <c r="R93" i="23"/>
  <c r="R94" i="23"/>
  <c r="AI105" i="2"/>
  <c r="AN105" i="2"/>
  <c r="AM105" i="2"/>
  <c r="AK105" i="2"/>
  <c r="AO105" i="2"/>
  <c r="U105" i="25"/>
  <c r="X105" i="25" s="1"/>
  <c r="R110" i="23"/>
  <c r="AO177" i="2"/>
  <c r="AO173" i="2" s="1"/>
  <c r="AK177" i="2"/>
  <c r="AK173" i="2" s="1"/>
  <c r="AN177" i="2"/>
  <c r="AM177" i="2"/>
  <c r="U176" i="25"/>
  <c r="X176" i="25" s="1"/>
  <c r="AI177" i="2"/>
  <c r="C62" i="28"/>
  <c r="C63" i="27"/>
  <c r="C63" i="26"/>
  <c r="C64" i="25"/>
  <c r="C63" i="24"/>
  <c r="C63" i="23"/>
  <c r="AL68" i="2"/>
  <c r="AO68" i="2"/>
  <c r="AN68" i="2"/>
  <c r="AK68" i="2"/>
  <c r="U68" i="25"/>
  <c r="X68" i="25" s="1"/>
  <c r="AI68" i="2"/>
  <c r="R58" i="23"/>
  <c r="AO64" i="2"/>
  <c r="AN64" i="2"/>
  <c r="AM64" i="2"/>
  <c r="AK64" i="2"/>
  <c r="U64" i="25"/>
  <c r="X64" i="25" s="1"/>
  <c r="AI64" i="2"/>
  <c r="C73" i="28"/>
  <c r="C75" i="27"/>
  <c r="C75" i="26"/>
  <c r="C75" i="25"/>
  <c r="C75" i="24"/>
  <c r="C74" i="23"/>
  <c r="C79" i="28"/>
  <c r="C81" i="27"/>
  <c r="C81" i="26"/>
  <c r="C81" i="25"/>
  <c r="C81" i="24"/>
  <c r="C80" i="23"/>
  <c r="P80" i="26"/>
  <c r="R80" i="26" s="1"/>
  <c r="C103" i="28"/>
  <c r="C105" i="27"/>
  <c r="C105" i="26"/>
  <c r="C105" i="25"/>
  <c r="C105" i="24"/>
  <c r="C104" i="23"/>
  <c r="C136" i="28"/>
  <c r="C138" i="27"/>
  <c r="C138" i="26"/>
  <c r="C138" i="25"/>
  <c r="C138" i="24"/>
  <c r="C137" i="23"/>
  <c r="R149" i="23"/>
  <c r="R155" i="23"/>
  <c r="AL165" i="2"/>
  <c r="AN165" i="2"/>
  <c r="AK165" i="2"/>
  <c r="AK161" i="2" s="1"/>
  <c r="AO165" i="2"/>
  <c r="U164" i="25"/>
  <c r="X164" i="25" s="1"/>
  <c r="AI165" i="2"/>
  <c r="C174" i="28"/>
  <c r="C176" i="27"/>
  <c r="C176" i="26"/>
  <c r="C176" i="24"/>
  <c r="C176" i="25"/>
  <c r="C175" i="23"/>
  <c r="W55" i="25"/>
  <c r="C115" i="28"/>
  <c r="C117" i="26"/>
  <c r="C117" i="25"/>
  <c r="C117" i="24"/>
  <c r="C117" i="27"/>
  <c r="C116" i="23"/>
  <c r="C62" i="11"/>
  <c r="C92" i="11"/>
  <c r="D94" i="20"/>
  <c r="C109" i="11"/>
  <c r="D111" i="20"/>
  <c r="C138" i="11"/>
  <c r="D140" i="20"/>
  <c r="C163" i="11"/>
  <c r="D165" i="20"/>
  <c r="D88" i="20"/>
  <c r="C86" i="11"/>
  <c r="C93" i="11"/>
  <c r="D95" i="20"/>
  <c r="C115" i="11"/>
  <c r="D117" i="20"/>
  <c r="D80" i="20"/>
  <c r="C78" i="11"/>
  <c r="D75" i="20"/>
  <c r="C73" i="11"/>
  <c r="D81" i="20"/>
  <c r="C79" i="11"/>
  <c r="D105" i="20"/>
  <c r="C103" i="11"/>
  <c r="D139" i="20"/>
  <c r="C137" i="11"/>
  <c r="D177" i="20"/>
  <c r="C175" i="11"/>
  <c r="D52" i="20"/>
  <c r="C50" i="11"/>
  <c r="D47" i="20"/>
  <c r="C45" i="11"/>
  <c r="AS79" i="20" l="1"/>
  <c r="E22" i="21" s="1"/>
  <c r="E75" i="21" s="1"/>
  <c r="AY79" i="20"/>
  <c r="K22" i="21" s="1"/>
  <c r="CI79" i="10"/>
  <c r="AU79" i="20"/>
  <c r="G22" i="21" s="1"/>
  <c r="BM79" i="20"/>
  <c r="E35" i="21" s="1"/>
  <c r="E88" i="21" s="1"/>
  <c r="AV79" i="20"/>
  <c r="H22" i="21" s="1"/>
  <c r="AW79" i="20"/>
  <c r="I22" i="21" s="1"/>
  <c r="AC79" i="20"/>
  <c r="AA79" i="20"/>
  <c r="Y79" i="20"/>
  <c r="Z79" i="20"/>
  <c r="AE79" i="20"/>
  <c r="AT79" i="20"/>
  <c r="F22" i="21" s="1"/>
  <c r="F75" i="21" s="1"/>
  <c r="AD79" i="20"/>
  <c r="AB79" i="20"/>
  <c r="BQ79" i="20"/>
  <c r="I35" i="21" s="1"/>
  <c r="BN79" i="20"/>
  <c r="F35" i="21" s="1"/>
  <c r="F88" i="21" s="1"/>
  <c r="BO79" i="20"/>
  <c r="G35" i="21" s="1"/>
  <c r="BR79" i="20"/>
  <c r="J35" i="21" s="1"/>
  <c r="BS79" i="20"/>
  <c r="K35" i="21" s="1"/>
  <c r="BP79" i="20"/>
  <c r="H35" i="21" s="1"/>
  <c r="AN92" i="2"/>
  <c r="AE92" i="20"/>
  <c r="AW92" i="20"/>
  <c r="AV92" i="20"/>
  <c r="AT92" i="20"/>
  <c r="BM92" i="20"/>
  <c r="AY92" i="20"/>
  <c r="CH92" i="20"/>
  <c r="CJ92" i="20"/>
  <c r="AX79" i="20"/>
  <c r="J22" i="21" s="1"/>
  <c r="BN92" i="20"/>
  <c r="BQ92" i="20"/>
  <c r="AX92" i="20"/>
  <c r="Z92" i="20"/>
  <c r="BP92" i="20"/>
  <c r="CL92" i="20"/>
  <c r="AB92" i="20"/>
  <c r="BR92" i="20"/>
  <c r="Y92" i="20"/>
  <c r="BO92" i="20"/>
  <c r="AD92" i="20"/>
  <c r="CG92" i="20"/>
  <c r="CI92" i="20"/>
  <c r="AS92" i="20"/>
  <c r="AA92" i="20"/>
  <c r="AC92" i="20"/>
  <c r="BS92" i="20"/>
  <c r="AU92" i="20"/>
  <c r="CK92" i="20"/>
  <c r="CM92" i="20"/>
  <c r="AO92" i="2"/>
  <c r="AK92" i="2"/>
  <c r="R56" i="24"/>
  <c r="R63" i="24"/>
  <c r="R150" i="24"/>
  <c r="AV67" i="20"/>
  <c r="H7" i="21"/>
  <c r="G7" i="21"/>
  <c r="AU67" i="20"/>
  <c r="AS67" i="20"/>
  <c r="E7" i="21"/>
  <c r="E60" i="21" s="1"/>
  <c r="F7" i="21"/>
  <c r="AT67" i="20"/>
  <c r="AW67" i="20"/>
  <c r="I7" i="21"/>
  <c r="AY67" i="20"/>
  <c r="K7" i="21"/>
  <c r="J7" i="21"/>
  <c r="AX67" i="20"/>
  <c r="R94" i="24"/>
  <c r="R156" i="24"/>
  <c r="S156" i="24"/>
  <c r="R58" i="24"/>
  <c r="S58" i="24"/>
  <c r="R111" i="24"/>
  <c r="S111" i="24"/>
  <c r="R117" i="24"/>
  <c r="S117" i="24"/>
  <c r="R176" i="24"/>
  <c r="R88" i="24"/>
  <c r="R81" i="24"/>
  <c r="R105" i="24"/>
  <c r="AN161" i="2"/>
  <c r="G27" i="19"/>
  <c r="S64" i="38"/>
  <c r="S59" i="38"/>
  <c r="AO161" i="2"/>
  <c r="H27" i="19"/>
  <c r="S87" i="38"/>
  <c r="W176" i="25"/>
  <c r="W81" i="25"/>
  <c r="W88" i="25"/>
  <c r="F102" i="21"/>
  <c r="G102" i="21" s="1"/>
  <c r="H102" i="21" s="1"/>
  <c r="I102" i="21" s="1"/>
  <c r="J102" i="21" s="1"/>
  <c r="K102" i="21" s="1"/>
  <c r="W150" i="25"/>
  <c r="W94" i="25"/>
  <c r="W156" i="25"/>
  <c r="W64" i="25"/>
  <c r="W57" i="25"/>
  <c r="W59" i="25"/>
  <c r="V170" i="20"/>
  <c r="Y170" i="20"/>
  <c r="Z170" i="20"/>
  <c r="AA170" i="20"/>
  <c r="AB170" i="20"/>
  <c r="AC170" i="20"/>
  <c r="AD170" i="20"/>
  <c r="AE170" i="20"/>
  <c r="V58" i="20"/>
  <c r="Y58" i="20"/>
  <c r="Z58" i="20"/>
  <c r="AA58" i="20"/>
  <c r="AB58" i="20"/>
  <c r="AC58" i="20"/>
  <c r="AD58" i="20"/>
  <c r="AE58" i="20"/>
  <c r="V56" i="20"/>
  <c r="Y56" i="20"/>
  <c r="Z56" i="20"/>
  <c r="AA56" i="20"/>
  <c r="AB56" i="20"/>
  <c r="AC56" i="20"/>
  <c r="AD56" i="20"/>
  <c r="AE56" i="20"/>
  <c r="AP56" i="20"/>
  <c r="AS56" i="20"/>
  <c r="AT56" i="20"/>
  <c r="AU56" i="20"/>
  <c r="AV56" i="20"/>
  <c r="AW56" i="20"/>
  <c r="AX56" i="20"/>
  <c r="AY56" i="20"/>
  <c r="V33" i="20"/>
  <c r="AP33" i="20"/>
  <c r="AE33" i="20"/>
  <c r="K46" i="21" s="1"/>
  <c r="AD33" i="20"/>
  <c r="J46" i="21" s="1"/>
  <c r="AC33" i="20"/>
  <c r="I46" i="21" s="1"/>
  <c r="Z33" i="20"/>
  <c r="F46" i="21" s="1"/>
  <c r="Y33" i="20"/>
  <c r="E46" i="21" s="1"/>
  <c r="G88" i="21" l="1"/>
  <c r="H88" i="21" s="1"/>
  <c r="I88" i="21" s="1"/>
  <c r="J88" i="21" s="1"/>
  <c r="K88" i="21" s="1"/>
  <c r="G75" i="21"/>
  <c r="H75" i="21" s="1"/>
  <c r="I75" i="21" s="1"/>
  <c r="J75" i="21" s="1"/>
  <c r="K75" i="21" s="1"/>
  <c r="F60" i="21"/>
  <c r="G60" i="21" s="1"/>
  <c r="H60" i="21" s="1"/>
  <c r="I60" i="21" s="1"/>
  <c r="J60" i="21" s="1"/>
  <c r="K60" i="21" s="1"/>
  <c r="C47" i="22"/>
  <c r="L47" i="21"/>
  <c r="C46" i="22"/>
  <c r="L46" i="21"/>
  <c r="C29" i="12"/>
  <c r="X181" i="2" l="1"/>
  <c r="U181" i="2"/>
  <c r="M180" i="24" s="1"/>
  <c r="R181" i="2"/>
  <c r="L180" i="24" s="1"/>
  <c r="O181" i="2"/>
  <c r="L181" i="2"/>
  <c r="J180" i="24" s="1"/>
  <c r="AA181" i="2"/>
  <c r="O180" i="24" s="1"/>
  <c r="P70" i="6"/>
  <c r="O70" i="6"/>
  <c r="N70" i="6"/>
  <c r="M70" i="6"/>
  <c r="L70" i="6"/>
  <c r="K70" i="6"/>
  <c r="N180" i="38" l="1"/>
  <c r="N180" i="24"/>
  <c r="K180" i="38"/>
  <c r="K180" i="24"/>
  <c r="R180" i="27"/>
  <c r="T180" i="27" s="1"/>
  <c r="L180" i="38"/>
  <c r="V180" i="27"/>
  <c r="X180" i="27" s="1"/>
  <c r="M180" i="38"/>
  <c r="AS181" i="10"/>
  <c r="O180" i="38"/>
  <c r="AI181" i="10"/>
  <c r="W181" i="10" s="1"/>
  <c r="J180" i="38"/>
  <c r="AQ181" i="10"/>
  <c r="AA181" i="10" s="1"/>
  <c r="Z180" i="27"/>
  <c r="AK181" i="10"/>
  <c r="N180" i="27"/>
  <c r="P180" i="27" s="1"/>
  <c r="AM181" i="10"/>
  <c r="M181" i="10" s="1"/>
  <c r="AO181" i="10"/>
  <c r="AF181" i="10" s="1"/>
  <c r="AD180" i="27"/>
  <c r="AF180" i="27" s="1"/>
  <c r="AM181" i="2"/>
  <c r="AM173" i="2" s="1"/>
  <c r="J180" i="27"/>
  <c r="L180" i="27" s="1"/>
  <c r="V179" i="11"/>
  <c r="W179" i="11"/>
  <c r="O155" i="2"/>
  <c r="R155" i="2"/>
  <c r="U155" i="2"/>
  <c r="X155" i="2"/>
  <c r="AA155" i="2"/>
  <c r="O156" i="2"/>
  <c r="R156" i="2"/>
  <c r="U156" i="2"/>
  <c r="X156" i="2"/>
  <c r="AA156" i="2"/>
  <c r="O157" i="2"/>
  <c r="R157" i="2"/>
  <c r="U157" i="2"/>
  <c r="X157" i="2"/>
  <c r="AA157" i="2"/>
  <c r="O158" i="2"/>
  <c r="R158" i="2"/>
  <c r="U158" i="2"/>
  <c r="X158" i="2"/>
  <c r="AA158" i="2"/>
  <c r="O159" i="2"/>
  <c r="R159" i="2"/>
  <c r="U159" i="2"/>
  <c r="X159" i="2"/>
  <c r="AA159" i="2"/>
  <c r="C17" i="12"/>
  <c r="D17" i="12"/>
  <c r="C9" i="12"/>
  <c r="O59" i="2"/>
  <c r="R59" i="2"/>
  <c r="U59" i="2"/>
  <c r="X59" i="2"/>
  <c r="AA59" i="2"/>
  <c r="R60" i="2"/>
  <c r="U60" i="2"/>
  <c r="X60" i="2"/>
  <c r="AA60" i="2"/>
  <c r="R61" i="2"/>
  <c r="U61" i="2"/>
  <c r="X61" i="2"/>
  <c r="N61" i="38" s="1"/>
  <c r="AA61" i="2"/>
  <c r="AN61" i="2" s="1"/>
  <c r="O51" i="2"/>
  <c r="R51" i="2"/>
  <c r="U51" i="2"/>
  <c r="X51" i="2"/>
  <c r="AA51" i="2"/>
  <c r="O52" i="2"/>
  <c r="R52" i="2"/>
  <c r="U52" i="2"/>
  <c r="X52" i="2"/>
  <c r="AA52" i="2"/>
  <c r="O53" i="2"/>
  <c r="R53" i="2"/>
  <c r="U53" i="2"/>
  <c r="X53" i="2"/>
  <c r="AA53" i="2"/>
  <c r="O54" i="2"/>
  <c r="R54" i="2"/>
  <c r="U54" i="2"/>
  <c r="X54" i="2"/>
  <c r="AA54" i="2"/>
  <c r="L53" i="9"/>
  <c r="L48" i="8"/>
  <c r="L47" i="8" s="1"/>
  <c r="K51" i="7"/>
  <c r="L44" i="3"/>
  <c r="L181" i="10" l="1"/>
  <c r="AL181" i="10" s="1"/>
  <c r="D181" i="10"/>
  <c r="R181" i="10"/>
  <c r="N54" i="38"/>
  <c r="N53" i="23"/>
  <c r="N54" i="25"/>
  <c r="N53" i="24"/>
  <c r="O53" i="38"/>
  <c r="O52" i="23"/>
  <c r="O53" i="25"/>
  <c r="Q53" i="25" s="1"/>
  <c r="O52" i="24"/>
  <c r="K53" i="38"/>
  <c r="K52" i="23"/>
  <c r="K53" i="25"/>
  <c r="K52" i="24"/>
  <c r="L51" i="23"/>
  <c r="L52" i="25"/>
  <c r="L51" i="24"/>
  <c r="M51" i="38"/>
  <c r="M50" i="23"/>
  <c r="M51" i="25"/>
  <c r="M50" i="24"/>
  <c r="N60" i="38"/>
  <c r="N59" i="23"/>
  <c r="N59" i="24"/>
  <c r="N60" i="25"/>
  <c r="N59" i="38"/>
  <c r="N58" i="23"/>
  <c r="N57" i="23" s="1"/>
  <c r="N59" i="25"/>
  <c r="N58" i="24"/>
  <c r="M157" i="23"/>
  <c r="M158" i="25"/>
  <c r="M158" i="24"/>
  <c r="N157" i="38"/>
  <c r="N156" i="23"/>
  <c r="N157" i="25"/>
  <c r="N157" i="24"/>
  <c r="O156" i="38"/>
  <c r="O155" i="23"/>
  <c r="O156" i="25"/>
  <c r="P156" i="25" s="1"/>
  <c r="O156" i="24"/>
  <c r="K155" i="23"/>
  <c r="K156" i="25"/>
  <c r="K156" i="24"/>
  <c r="L154" i="23"/>
  <c r="L155" i="24"/>
  <c r="L155" i="25"/>
  <c r="M153" i="23"/>
  <c r="M154" i="25"/>
  <c r="M154" i="24"/>
  <c r="M54" i="38"/>
  <c r="M53" i="23"/>
  <c r="M54" i="25"/>
  <c r="M53" i="24"/>
  <c r="N53" i="38"/>
  <c r="N52" i="23"/>
  <c r="N53" i="25"/>
  <c r="N52" i="24"/>
  <c r="O52" i="38"/>
  <c r="O51" i="23"/>
  <c r="O52" i="25"/>
  <c r="P52" i="25" s="1"/>
  <c r="P50" i="25" s="1"/>
  <c r="G9" i="30" s="1"/>
  <c r="O51" i="24"/>
  <c r="K52" i="38"/>
  <c r="K51" i="23"/>
  <c r="K52" i="25"/>
  <c r="K51" i="24"/>
  <c r="L50" i="23"/>
  <c r="L51" i="25"/>
  <c r="L50" i="24"/>
  <c r="M59" i="23"/>
  <c r="M60" i="25"/>
  <c r="M59" i="24"/>
  <c r="M58" i="23"/>
  <c r="M59" i="25"/>
  <c r="M58" i="24"/>
  <c r="L157" i="23"/>
  <c r="L158" i="25"/>
  <c r="L158" i="24"/>
  <c r="M156" i="23"/>
  <c r="M157" i="25"/>
  <c r="M157" i="24"/>
  <c r="N156" i="38"/>
  <c r="N155" i="23"/>
  <c r="N156" i="24"/>
  <c r="N156" i="25"/>
  <c r="O155" i="38"/>
  <c r="O154" i="23"/>
  <c r="O155" i="25"/>
  <c r="O155" i="24"/>
  <c r="K154" i="23"/>
  <c r="K155" i="25"/>
  <c r="K155" i="24"/>
  <c r="L153" i="23"/>
  <c r="L154" i="25"/>
  <c r="L154" i="24"/>
  <c r="L53" i="23"/>
  <c r="L54" i="25"/>
  <c r="L53" i="24"/>
  <c r="M53" i="38"/>
  <c r="M52" i="23"/>
  <c r="M53" i="25"/>
  <c r="M52" i="24"/>
  <c r="N52" i="38"/>
  <c r="N51" i="23"/>
  <c r="N52" i="25"/>
  <c r="N51" i="24"/>
  <c r="O51" i="38"/>
  <c r="O50" i="23"/>
  <c r="O50" i="24"/>
  <c r="O51" i="25"/>
  <c r="Q51" i="25" s="1"/>
  <c r="K51" i="38"/>
  <c r="K50" i="23"/>
  <c r="K51" i="25"/>
  <c r="K50" i="24"/>
  <c r="L59" i="23"/>
  <c r="L60" i="25"/>
  <c r="L59" i="24"/>
  <c r="L58" i="23"/>
  <c r="L58" i="24"/>
  <c r="L59" i="25"/>
  <c r="L58" i="25" s="1"/>
  <c r="O158" i="38"/>
  <c r="O157" i="23"/>
  <c r="O158" i="25"/>
  <c r="P158" i="25" s="1"/>
  <c r="O158" i="24"/>
  <c r="K157" i="23"/>
  <c r="K158" i="25"/>
  <c r="K158" i="24"/>
  <c r="L156" i="23"/>
  <c r="L157" i="25"/>
  <c r="L157" i="24"/>
  <c r="M155" i="23"/>
  <c r="M156" i="25"/>
  <c r="M156" i="24"/>
  <c r="N155" i="38"/>
  <c r="N154" i="23"/>
  <c r="N155" i="25"/>
  <c r="N155" i="24"/>
  <c r="O154" i="38"/>
  <c r="O153" i="23"/>
  <c r="O154" i="25"/>
  <c r="P154" i="25" s="1"/>
  <c r="O154" i="24"/>
  <c r="K153" i="23"/>
  <c r="K154" i="25"/>
  <c r="K154" i="24"/>
  <c r="O54" i="38"/>
  <c r="O53" i="23"/>
  <c r="O54" i="25"/>
  <c r="Q54" i="25" s="1"/>
  <c r="O53" i="24"/>
  <c r="K54" i="38"/>
  <c r="K53" i="23"/>
  <c r="K54" i="25"/>
  <c r="K53" i="24"/>
  <c r="L52" i="23"/>
  <c r="L53" i="25"/>
  <c r="L52" i="24"/>
  <c r="M52" i="38"/>
  <c r="M51" i="23"/>
  <c r="M52" i="25"/>
  <c r="M51" i="24"/>
  <c r="N51" i="38"/>
  <c r="N50" i="23"/>
  <c r="N51" i="25"/>
  <c r="N50" i="24"/>
  <c r="O60" i="38"/>
  <c r="O59" i="23"/>
  <c r="O60" i="25"/>
  <c r="Q60" i="25" s="1"/>
  <c r="O59" i="24"/>
  <c r="O59" i="38"/>
  <c r="O58" i="23"/>
  <c r="O57" i="23" s="1"/>
  <c r="O59" i="25"/>
  <c r="Q59" i="25" s="1"/>
  <c r="O58" i="24"/>
  <c r="O57" i="24" s="1"/>
  <c r="K58" i="23"/>
  <c r="K59" i="25"/>
  <c r="K58" i="24"/>
  <c r="N158" i="38"/>
  <c r="N157" i="23"/>
  <c r="N158" i="25"/>
  <c r="N158" i="24"/>
  <c r="O157" i="38"/>
  <c r="O156" i="23"/>
  <c r="O157" i="25"/>
  <c r="O157" i="24"/>
  <c r="K156" i="23"/>
  <c r="K157" i="25"/>
  <c r="K157" i="24"/>
  <c r="L155" i="23"/>
  <c r="L156" i="25"/>
  <c r="L156" i="24"/>
  <c r="M154" i="23"/>
  <c r="M155" i="25"/>
  <c r="M155" i="24"/>
  <c r="N154" i="38"/>
  <c r="N153" i="23"/>
  <c r="N154" i="25"/>
  <c r="N154" i="24"/>
  <c r="AH181" i="10"/>
  <c r="K181" i="10"/>
  <c r="AB181" i="10"/>
  <c r="Q181" i="10"/>
  <c r="AC181" i="10"/>
  <c r="P181" i="10"/>
  <c r="V181" i="10"/>
  <c r="R50" i="27"/>
  <c r="T50" i="27" s="1"/>
  <c r="L51" i="38"/>
  <c r="V59" i="27"/>
  <c r="X59" i="27" s="1"/>
  <c r="M60" i="38"/>
  <c r="R154" i="27"/>
  <c r="T154" i="27" s="1"/>
  <c r="L154" i="38"/>
  <c r="R53" i="27"/>
  <c r="T53" i="27" s="1"/>
  <c r="L54" i="38"/>
  <c r="R60" i="27"/>
  <c r="T60" i="27" s="1"/>
  <c r="L61" i="38"/>
  <c r="R59" i="27"/>
  <c r="T59" i="27" s="1"/>
  <c r="L60" i="38"/>
  <c r="R58" i="27"/>
  <c r="T58" i="27" s="1"/>
  <c r="L59" i="38"/>
  <c r="N158" i="27"/>
  <c r="Q158" i="27" s="1"/>
  <c r="K158" i="38"/>
  <c r="R157" i="27"/>
  <c r="T157" i="27" s="1"/>
  <c r="L157" i="38"/>
  <c r="V156" i="27"/>
  <c r="X156" i="27" s="1"/>
  <c r="M156" i="38"/>
  <c r="N154" i="27"/>
  <c r="Q154" i="27" s="1"/>
  <c r="K154" i="38"/>
  <c r="E181" i="10"/>
  <c r="C181" i="10"/>
  <c r="V60" i="27"/>
  <c r="X60" i="27" s="1"/>
  <c r="M61" i="38"/>
  <c r="R158" i="27"/>
  <c r="L158" i="38"/>
  <c r="R52" i="27"/>
  <c r="T52" i="27" s="1"/>
  <c r="L53" i="38"/>
  <c r="AS60" i="10"/>
  <c r="AT60" i="10" s="1"/>
  <c r="O61" i="38"/>
  <c r="N58" i="27"/>
  <c r="Q58" i="27" s="1"/>
  <c r="K59" i="38"/>
  <c r="N157" i="27"/>
  <c r="Q157" i="27" s="1"/>
  <c r="K157" i="38"/>
  <c r="R156" i="27"/>
  <c r="T156" i="27" s="1"/>
  <c r="L156" i="38"/>
  <c r="V155" i="27"/>
  <c r="X155" i="27" s="1"/>
  <c r="M155" i="38"/>
  <c r="V58" i="27"/>
  <c r="X58" i="27" s="1"/>
  <c r="M59" i="38"/>
  <c r="V157" i="27"/>
  <c r="X157" i="27" s="1"/>
  <c r="M157" i="38"/>
  <c r="N155" i="27"/>
  <c r="Q155" i="27" s="1"/>
  <c r="K155" i="38"/>
  <c r="R51" i="27"/>
  <c r="L52" i="38"/>
  <c r="V158" i="27"/>
  <c r="X158" i="27" s="1"/>
  <c r="M158" i="38"/>
  <c r="N156" i="27"/>
  <c r="Q156" i="27" s="1"/>
  <c r="K156" i="38"/>
  <c r="R155" i="27"/>
  <c r="T155" i="27" s="1"/>
  <c r="L155" i="38"/>
  <c r="V154" i="27"/>
  <c r="X154" i="27" s="1"/>
  <c r="M154" i="38"/>
  <c r="AG181" i="10"/>
  <c r="O181" i="10"/>
  <c r="U181" i="10"/>
  <c r="S181" i="10"/>
  <c r="V51" i="27"/>
  <c r="V50" i="27"/>
  <c r="Y50" i="27" s="1"/>
  <c r="V53" i="27"/>
  <c r="Y53" i="27" s="1"/>
  <c r="V52" i="27"/>
  <c r="X52" i="27" s="1"/>
  <c r="AQ53" i="10"/>
  <c r="Z53" i="27"/>
  <c r="AQ60" i="10"/>
  <c r="Z60" i="27"/>
  <c r="AQ59" i="10"/>
  <c r="Z59" i="27"/>
  <c r="AQ58" i="10"/>
  <c r="Z58" i="27"/>
  <c r="AQ157" i="10"/>
  <c r="Z157" i="27"/>
  <c r="AQ52" i="10"/>
  <c r="Z52" i="27"/>
  <c r="AQ156" i="10"/>
  <c r="Z156" i="27"/>
  <c r="AQ51" i="10"/>
  <c r="Z51" i="27"/>
  <c r="AQ155" i="10"/>
  <c r="Z155" i="27"/>
  <c r="AQ50" i="10"/>
  <c r="I49" i="10" s="1"/>
  <c r="Z50" i="27"/>
  <c r="AQ158" i="10"/>
  <c r="Z158" i="27"/>
  <c r="AQ154" i="10"/>
  <c r="Z154" i="27"/>
  <c r="Z181" i="10"/>
  <c r="AE181" i="10"/>
  <c r="X181" i="10"/>
  <c r="T181" i="10"/>
  <c r="AK52" i="10"/>
  <c r="N52" i="27"/>
  <c r="P52" i="27" s="1"/>
  <c r="AM51" i="10"/>
  <c r="AK51" i="10"/>
  <c r="N51" i="27"/>
  <c r="P51" i="27" s="1"/>
  <c r="AM50" i="10"/>
  <c r="AO60" i="10"/>
  <c r="AP60" i="10" s="1"/>
  <c r="AO59" i="10"/>
  <c r="AP59" i="10" s="1"/>
  <c r="AO58" i="10"/>
  <c r="AP58" i="10" s="1"/>
  <c r="AM158" i="10"/>
  <c r="AO157" i="10"/>
  <c r="AM154" i="10"/>
  <c r="N181" i="10"/>
  <c r="Y181" i="10"/>
  <c r="AD181" i="10"/>
  <c r="AM53" i="10"/>
  <c r="AK50" i="10"/>
  <c r="N50" i="27"/>
  <c r="P50" i="27" s="1"/>
  <c r="AM60" i="10"/>
  <c r="AN60" i="10" s="1"/>
  <c r="AM59" i="10"/>
  <c r="AN59" i="10" s="1"/>
  <c r="AM58" i="10"/>
  <c r="AN58" i="10" s="1"/>
  <c r="AM157" i="10"/>
  <c r="AO156" i="10"/>
  <c r="AK53" i="10"/>
  <c r="N53" i="27"/>
  <c r="P53" i="27" s="1"/>
  <c r="AM52" i="10"/>
  <c r="AM156" i="10"/>
  <c r="AO155" i="10"/>
  <c r="AO158" i="10"/>
  <c r="AM155" i="10"/>
  <c r="AO154" i="10"/>
  <c r="AB180" i="27"/>
  <c r="Q157" i="2"/>
  <c r="AK156" i="10"/>
  <c r="AL156" i="10" s="1"/>
  <c r="W54" i="2"/>
  <c r="AO53" i="10"/>
  <c r="AP53" i="10" s="1"/>
  <c r="CO53" i="10" s="1"/>
  <c r="AD52" i="2"/>
  <c r="AS51" i="10"/>
  <c r="AD156" i="2"/>
  <c r="AS155" i="10"/>
  <c r="Q156" i="2"/>
  <c r="AK155" i="10"/>
  <c r="AL155" i="10" s="1"/>
  <c r="W53" i="2"/>
  <c r="AO52" i="10"/>
  <c r="AP52" i="10" s="1"/>
  <c r="AD51" i="2"/>
  <c r="AS50" i="10"/>
  <c r="AT50" i="10" s="1"/>
  <c r="AD159" i="2"/>
  <c r="AS158" i="10"/>
  <c r="AT158" i="10" s="1"/>
  <c r="Q159" i="2"/>
  <c r="AK158" i="10"/>
  <c r="AL158" i="10" s="1"/>
  <c r="AD155" i="2"/>
  <c r="AS154" i="10"/>
  <c r="Q155" i="2"/>
  <c r="AK154" i="10"/>
  <c r="AL154" i="10" s="1"/>
  <c r="AD53" i="2"/>
  <c r="AS52" i="10"/>
  <c r="AT52" i="10" s="1"/>
  <c r="W51" i="2"/>
  <c r="AO50" i="10"/>
  <c r="AP50" i="10" s="1"/>
  <c r="AD157" i="2"/>
  <c r="AS156" i="10"/>
  <c r="AT156" i="10" s="1"/>
  <c r="V156" i="10" s="1"/>
  <c r="AD54" i="2"/>
  <c r="AS53" i="10"/>
  <c r="AO51" i="10"/>
  <c r="AP51" i="10" s="1"/>
  <c r="AD60" i="2"/>
  <c r="AS59" i="10"/>
  <c r="AT59" i="10" s="1"/>
  <c r="AD59" i="2"/>
  <c r="AS58" i="10"/>
  <c r="AT58" i="10" s="1"/>
  <c r="Q59" i="2"/>
  <c r="AK58" i="10"/>
  <c r="AL58" i="10" s="1"/>
  <c r="AD158" i="2"/>
  <c r="AS157" i="10"/>
  <c r="AT157" i="10" s="1"/>
  <c r="V157" i="10" s="1"/>
  <c r="Q158" i="2"/>
  <c r="AK157" i="10"/>
  <c r="AL157" i="10" s="1"/>
  <c r="AM61" i="2"/>
  <c r="AD60" i="27"/>
  <c r="AF60" i="27" s="1"/>
  <c r="AD58" i="27"/>
  <c r="AL59" i="2"/>
  <c r="AD157" i="27"/>
  <c r="P157" i="25"/>
  <c r="AK158" i="2"/>
  <c r="AD52" i="27"/>
  <c r="AL53" i="2"/>
  <c r="T51" i="27"/>
  <c r="AD156" i="27"/>
  <c r="AK157" i="2"/>
  <c r="AD53" i="27"/>
  <c r="AL54" i="2"/>
  <c r="AD59" i="27"/>
  <c r="AL60" i="2"/>
  <c r="AL52" i="2"/>
  <c r="AD51" i="27"/>
  <c r="T158" i="27"/>
  <c r="AD155" i="27"/>
  <c r="P155" i="25"/>
  <c r="AK156" i="2"/>
  <c r="AD50" i="27"/>
  <c r="AL51" i="2"/>
  <c r="O60" i="27"/>
  <c r="Q60" i="27" s="1"/>
  <c r="AD158" i="27"/>
  <c r="AK159" i="2"/>
  <c r="AD154" i="27"/>
  <c r="AK155" i="2"/>
  <c r="R156" i="10" l="1"/>
  <c r="Q156" i="10" s="1"/>
  <c r="CQ156" i="10" s="1"/>
  <c r="CR156" i="10"/>
  <c r="R157" i="10"/>
  <c r="Q157" i="10" s="1"/>
  <c r="CQ157" i="10" s="1"/>
  <c r="CR157" i="10"/>
  <c r="T53" i="10"/>
  <c r="AF53" i="10"/>
  <c r="Z53" i="10"/>
  <c r="AJ181" i="10"/>
  <c r="CQ181" i="10"/>
  <c r="AT181" i="10"/>
  <c r="CR181" i="10"/>
  <c r="Y59" i="10"/>
  <c r="S59" i="10"/>
  <c r="T59" i="10"/>
  <c r="Z59" i="10"/>
  <c r="R58" i="10"/>
  <c r="X58" i="10"/>
  <c r="Y58" i="10"/>
  <c r="S58" i="10"/>
  <c r="AB58" i="10"/>
  <c r="V58" i="10"/>
  <c r="AE60" i="10"/>
  <c r="Y60" i="10"/>
  <c r="Z60" i="10"/>
  <c r="AF60" i="10"/>
  <c r="AB60" i="10"/>
  <c r="CL60" i="10"/>
  <c r="CR60" i="10" s="1"/>
  <c r="AH60" i="10"/>
  <c r="AH57" i="10" s="1"/>
  <c r="AB59" i="10"/>
  <c r="V59" i="10"/>
  <c r="T58" i="10"/>
  <c r="Z58" i="10"/>
  <c r="V52" i="10"/>
  <c r="AB52" i="10"/>
  <c r="T50" i="10"/>
  <c r="AF50" i="10"/>
  <c r="Z50" i="10"/>
  <c r="V50" i="10"/>
  <c r="AH50" i="10"/>
  <c r="AB50" i="10"/>
  <c r="T52" i="10"/>
  <c r="Z52" i="10"/>
  <c r="Z51" i="10"/>
  <c r="AF51" i="10"/>
  <c r="T51" i="10"/>
  <c r="P158" i="27"/>
  <c r="P157" i="27"/>
  <c r="P155" i="27"/>
  <c r="P154" i="27"/>
  <c r="P58" i="27"/>
  <c r="R154" i="10"/>
  <c r="X154" i="10"/>
  <c r="AT154" i="10"/>
  <c r="V158" i="10"/>
  <c r="AB158" i="10"/>
  <c r="X158" i="10" s="1"/>
  <c r="W158" i="10" s="1"/>
  <c r="AT155" i="10"/>
  <c r="N153" i="25"/>
  <c r="L57" i="23"/>
  <c r="M58" i="25"/>
  <c r="N57" i="24"/>
  <c r="K153" i="24"/>
  <c r="L153" i="25"/>
  <c r="M153" i="24"/>
  <c r="AT53" i="10"/>
  <c r="CP53" i="10" s="1"/>
  <c r="AT51" i="10"/>
  <c r="N153" i="24"/>
  <c r="L57" i="24"/>
  <c r="L153" i="24"/>
  <c r="K153" i="25"/>
  <c r="M57" i="24"/>
  <c r="O58" i="25"/>
  <c r="O153" i="24"/>
  <c r="M57" i="23"/>
  <c r="M153" i="25"/>
  <c r="N58" i="25"/>
  <c r="O153" i="25"/>
  <c r="P156" i="27"/>
  <c r="Q153" i="27"/>
  <c r="X53" i="27"/>
  <c r="H153" i="10"/>
  <c r="I153" i="10"/>
  <c r="Y52" i="27"/>
  <c r="F49" i="10"/>
  <c r="AD58" i="2"/>
  <c r="Z11" i="30" s="1"/>
  <c r="G49" i="10"/>
  <c r="P61" i="2"/>
  <c r="P58" i="2" s="1"/>
  <c r="AF158" i="27"/>
  <c r="AG158" i="27"/>
  <c r="Z52" i="2"/>
  <c r="AB158" i="27"/>
  <c r="AB157" i="27"/>
  <c r="Z53" i="2"/>
  <c r="AF52" i="27"/>
  <c r="AG52" i="27"/>
  <c r="AF157" i="27"/>
  <c r="AG157" i="27"/>
  <c r="AF154" i="27"/>
  <c r="AG154" i="27"/>
  <c r="AF155" i="27"/>
  <c r="AG155" i="27"/>
  <c r="AF59" i="27"/>
  <c r="AG59" i="27"/>
  <c r="AF53" i="27"/>
  <c r="AG53" i="27"/>
  <c r="Z54" i="2"/>
  <c r="AD154" i="2"/>
  <c r="Z26" i="30" s="1"/>
  <c r="Q154" i="2"/>
  <c r="AB155" i="27"/>
  <c r="AF50" i="27"/>
  <c r="AG50" i="27"/>
  <c r="AB154" i="27"/>
  <c r="AB156" i="27"/>
  <c r="AF51" i="27"/>
  <c r="AG51" i="27"/>
  <c r="Z51" i="2"/>
  <c r="AF156" i="27"/>
  <c r="AG156" i="27"/>
  <c r="AF58" i="27"/>
  <c r="AG58" i="27"/>
  <c r="AS57" i="10"/>
  <c r="H49" i="10"/>
  <c r="AS153" i="10"/>
  <c r="AH153" i="10"/>
  <c r="AB58" i="27"/>
  <c r="Z59" i="2"/>
  <c r="AB59" i="27"/>
  <c r="Z60" i="2"/>
  <c r="AB60" i="27"/>
  <c r="Z61" i="2"/>
  <c r="P153" i="25"/>
  <c r="G26" i="30" s="1"/>
  <c r="J26" i="30" s="1"/>
  <c r="M26" i="30" s="1"/>
  <c r="P26" i="30" s="1"/>
  <c r="S26" i="30" s="1"/>
  <c r="V26" i="30" s="1"/>
  <c r="T153" i="27"/>
  <c r="X153" i="27"/>
  <c r="T57" i="27"/>
  <c r="O57" i="27"/>
  <c r="M59" i="28"/>
  <c r="O59" i="28" s="1"/>
  <c r="O56" i="28" s="1"/>
  <c r="X57" i="27"/>
  <c r="Q58" i="25"/>
  <c r="J11" i="30" s="1"/>
  <c r="M11" i="30" s="1"/>
  <c r="P11" i="30" s="1"/>
  <c r="S11" i="30" s="1"/>
  <c r="V11" i="30" s="1"/>
  <c r="V135" i="20"/>
  <c r="C48" i="22" s="1"/>
  <c r="CI135" i="20"/>
  <c r="CJ135" i="20"/>
  <c r="CM135" i="20"/>
  <c r="CL135" i="20"/>
  <c r="CK135" i="20"/>
  <c r="CH135" i="20"/>
  <c r="CG135" i="20"/>
  <c r="L13" i="21"/>
  <c r="R158" i="10" l="1"/>
  <c r="Q158" i="10" s="1"/>
  <c r="CQ158" i="10" s="1"/>
  <c r="CR158" i="10"/>
  <c r="AB53" i="10"/>
  <c r="AH53" i="10"/>
  <c r="V53" i="10"/>
  <c r="CR50" i="10"/>
  <c r="CR52" i="10"/>
  <c r="CI58" i="10"/>
  <c r="CJ58" i="10" s="1"/>
  <c r="CI59" i="10"/>
  <c r="CJ59" i="10" s="1"/>
  <c r="CI60" i="10"/>
  <c r="CJ60" i="10" s="1"/>
  <c r="AB51" i="10"/>
  <c r="V51" i="10"/>
  <c r="AH51" i="10"/>
  <c r="CI52" i="10"/>
  <c r="CJ52" i="10" s="1"/>
  <c r="P153" i="27"/>
  <c r="V155" i="10"/>
  <c r="AB155" i="10"/>
  <c r="X155" i="10" s="1"/>
  <c r="W155" i="10" s="1"/>
  <c r="AB154" i="10"/>
  <c r="V154" i="10"/>
  <c r="O57" i="10"/>
  <c r="M57" i="10"/>
  <c r="CI158" i="10"/>
  <c r="CJ158" i="10" s="1"/>
  <c r="G153" i="10"/>
  <c r="Q61" i="2"/>
  <c r="N57" i="10"/>
  <c r="AF57" i="27"/>
  <c r="AF153" i="27"/>
  <c r="AB153" i="27"/>
  <c r="AG57" i="27"/>
  <c r="L11" i="19" s="1"/>
  <c r="AG153" i="27"/>
  <c r="F153" i="10"/>
  <c r="Z58" i="2"/>
  <c r="M56" i="28"/>
  <c r="O7" i="27"/>
  <c r="C52" i="22"/>
  <c r="C25" i="22"/>
  <c r="J41" i="21"/>
  <c r="I41" i="21"/>
  <c r="H41" i="21"/>
  <c r="G41" i="21"/>
  <c r="E41" i="21"/>
  <c r="K20" i="21"/>
  <c r="J20" i="21"/>
  <c r="I20" i="21"/>
  <c r="H20" i="21"/>
  <c r="G20" i="21"/>
  <c r="E20" i="21"/>
  <c r="K19" i="21"/>
  <c r="J19" i="21"/>
  <c r="I19" i="21"/>
  <c r="H19" i="21"/>
  <c r="E19" i="21"/>
  <c r="J18" i="21"/>
  <c r="I18" i="21"/>
  <c r="H18" i="21"/>
  <c r="G18" i="21"/>
  <c r="E18" i="21"/>
  <c r="J52" i="21"/>
  <c r="I52" i="21"/>
  <c r="H52" i="21"/>
  <c r="K18" i="21"/>
  <c r="K38" i="21"/>
  <c r="J38" i="21"/>
  <c r="I38" i="21"/>
  <c r="H38" i="21"/>
  <c r="F38" i="21"/>
  <c r="E38" i="21"/>
  <c r="K31" i="21"/>
  <c r="J31" i="21"/>
  <c r="I31" i="21"/>
  <c r="H31" i="21"/>
  <c r="G31" i="21"/>
  <c r="F31" i="21"/>
  <c r="E31" i="21"/>
  <c r="K51" i="21"/>
  <c r="J51" i="21"/>
  <c r="I51" i="21"/>
  <c r="H51" i="21"/>
  <c r="G51" i="21"/>
  <c r="F51" i="21"/>
  <c r="E51" i="21"/>
  <c r="K50" i="21"/>
  <c r="J50" i="21"/>
  <c r="I50" i="21"/>
  <c r="H50" i="21"/>
  <c r="G50" i="21"/>
  <c r="F50" i="21"/>
  <c r="E50" i="21"/>
  <c r="AE154" i="20"/>
  <c r="K44" i="21" s="1"/>
  <c r="AD154" i="20"/>
  <c r="J44" i="21" s="1"/>
  <c r="AC154" i="20"/>
  <c r="I44" i="21" s="1"/>
  <c r="AB154" i="20"/>
  <c r="H44" i="21" s="1"/>
  <c r="AA154" i="20"/>
  <c r="G44" i="21" s="1"/>
  <c r="AE148" i="20"/>
  <c r="AD148" i="20"/>
  <c r="AC148" i="20"/>
  <c r="Z148" i="20"/>
  <c r="Y148" i="20"/>
  <c r="V148" i="20"/>
  <c r="AY135" i="20"/>
  <c r="K25" i="21" s="1"/>
  <c r="AX135" i="20"/>
  <c r="J25" i="21" s="1"/>
  <c r="AW135" i="20"/>
  <c r="I25" i="21" s="1"/>
  <c r="AV135" i="20"/>
  <c r="H25" i="21" s="1"/>
  <c r="AU135" i="20"/>
  <c r="G25" i="21" s="1"/>
  <c r="AT135" i="20"/>
  <c r="F25" i="21" s="1"/>
  <c r="AS135" i="20"/>
  <c r="E25" i="21" s="1"/>
  <c r="E78" i="21" s="1"/>
  <c r="AP135" i="20"/>
  <c r="L25" i="21" s="1"/>
  <c r="L78" i="21" s="1"/>
  <c r="AE135" i="20"/>
  <c r="K48" i="21" s="1"/>
  <c r="AD135" i="20"/>
  <c r="J48" i="21" s="1"/>
  <c r="AC135" i="20"/>
  <c r="I48" i="21" s="1"/>
  <c r="AB135" i="20"/>
  <c r="H48" i="21" s="1"/>
  <c r="AA135" i="20"/>
  <c r="G48" i="21" s="1"/>
  <c r="Z135" i="20"/>
  <c r="F48" i="21" s="1"/>
  <c r="Y135" i="20"/>
  <c r="E48" i="21" s="1"/>
  <c r="BS121" i="20"/>
  <c r="BR121" i="20"/>
  <c r="BQ121" i="20"/>
  <c r="BP121" i="20"/>
  <c r="BO121" i="20"/>
  <c r="BN121" i="20"/>
  <c r="BM121" i="20"/>
  <c r="K10" i="21"/>
  <c r="J10" i="21"/>
  <c r="H10" i="21"/>
  <c r="F10" i="21"/>
  <c r="E10" i="21"/>
  <c r="BS114" i="20"/>
  <c r="K29" i="21" s="1"/>
  <c r="BR114" i="20"/>
  <c r="J29" i="21" s="1"/>
  <c r="BQ114" i="20"/>
  <c r="I29" i="21" s="1"/>
  <c r="BP114" i="20"/>
  <c r="H29" i="21" s="1"/>
  <c r="BO114" i="20"/>
  <c r="G29" i="21" s="1"/>
  <c r="BN114" i="20"/>
  <c r="F29" i="21" s="1"/>
  <c r="BM114" i="20"/>
  <c r="E29" i="21" s="1"/>
  <c r="E82" i="21" s="1"/>
  <c r="BJ114" i="20"/>
  <c r="AY114" i="20"/>
  <c r="AX114" i="20"/>
  <c r="AW114" i="20"/>
  <c r="AV114" i="20"/>
  <c r="AU114" i="20"/>
  <c r="AT114" i="20"/>
  <c r="AS114" i="20"/>
  <c r="AP114" i="20"/>
  <c r="AE114" i="20"/>
  <c r="K26" i="21" s="1"/>
  <c r="AD114" i="20"/>
  <c r="J26" i="21" s="1"/>
  <c r="AC114" i="20"/>
  <c r="I26" i="21" s="1"/>
  <c r="AB114" i="20"/>
  <c r="H26" i="21" s="1"/>
  <c r="AA114" i="20"/>
  <c r="G26" i="21" s="1"/>
  <c r="Z114" i="20"/>
  <c r="F26" i="21" s="1"/>
  <c r="Y114" i="20"/>
  <c r="E26" i="21" s="1"/>
  <c r="V114" i="20"/>
  <c r="L26" i="21" s="1"/>
  <c r="AY108" i="20"/>
  <c r="AX108" i="20"/>
  <c r="AW108" i="20"/>
  <c r="AU108" i="20"/>
  <c r="AT108" i="20"/>
  <c r="AS108" i="20"/>
  <c r="AP108" i="20"/>
  <c r="AE108" i="20"/>
  <c r="K28" i="21" s="1"/>
  <c r="AD108" i="20"/>
  <c r="J28" i="21" s="1"/>
  <c r="AC108" i="20"/>
  <c r="I28" i="21" s="1"/>
  <c r="AA108" i="20"/>
  <c r="G28" i="21" s="1"/>
  <c r="Z108" i="20"/>
  <c r="F28" i="21" s="1"/>
  <c r="Y108" i="20"/>
  <c r="E28" i="21" s="1"/>
  <c r="V108" i="20"/>
  <c r="AY102" i="20"/>
  <c r="AX102" i="20"/>
  <c r="AU102" i="20"/>
  <c r="AT102" i="20"/>
  <c r="AS102" i="20"/>
  <c r="AP102" i="20"/>
  <c r="AE102" i="20"/>
  <c r="K27" i="21" s="1"/>
  <c r="AD102" i="20"/>
  <c r="J27" i="21" s="1"/>
  <c r="AA102" i="20"/>
  <c r="G27" i="21" s="1"/>
  <c r="Z102" i="20"/>
  <c r="F27" i="21" s="1"/>
  <c r="Y102" i="20"/>
  <c r="E27" i="21" s="1"/>
  <c r="V102" i="20"/>
  <c r="L27" i="21" s="1"/>
  <c r="K23" i="21"/>
  <c r="J23" i="21"/>
  <c r="I23" i="21"/>
  <c r="H23" i="21"/>
  <c r="F23" i="21"/>
  <c r="E23" i="21"/>
  <c r="K42" i="21"/>
  <c r="J42" i="21"/>
  <c r="I42" i="21"/>
  <c r="H42" i="21"/>
  <c r="F42" i="21"/>
  <c r="E42" i="21"/>
  <c r="K8" i="21"/>
  <c r="J8" i="21"/>
  <c r="I8" i="21"/>
  <c r="H8" i="21"/>
  <c r="F8" i="21"/>
  <c r="E8" i="21"/>
  <c r="G23" i="21"/>
  <c r="AY86" i="20"/>
  <c r="K33" i="21" s="1"/>
  <c r="AX86" i="20"/>
  <c r="J33" i="21" s="1"/>
  <c r="AW86" i="20"/>
  <c r="I33" i="21" s="1"/>
  <c r="AV86" i="20"/>
  <c r="H33" i="21" s="1"/>
  <c r="AU86" i="20"/>
  <c r="G33" i="21" s="1"/>
  <c r="AS86" i="20"/>
  <c r="E33" i="21" s="1"/>
  <c r="AP86" i="20"/>
  <c r="AE86" i="20"/>
  <c r="K32" i="21" s="1"/>
  <c r="AD86" i="20"/>
  <c r="J32" i="21" s="1"/>
  <c r="AC86" i="20"/>
  <c r="I32" i="21" s="1"/>
  <c r="AB86" i="20"/>
  <c r="H32" i="21" s="1"/>
  <c r="E32" i="21"/>
  <c r="K34" i="21"/>
  <c r="J34" i="21"/>
  <c r="I34" i="21"/>
  <c r="G34" i="21"/>
  <c r="AE74" i="20"/>
  <c r="K36" i="21" s="1"/>
  <c r="AD74" i="20"/>
  <c r="J36" i="21" s="1"/>
  <c r="AC74" i="20"/>
  <c r="I36" i="21" s="1"/>
  <c r="Z74" i="20"/>
  <c r="F36" i="21" s="1"/>
  <c r="Y74" i="20"/>
  <c r="E36" i="21" s="1"/>
  <c r="V74" i="20"/>
  <c r="C36" i="22" s="1"/>
  <c r="AE67" i="20"/>
  <c r="K40" i="21" s="1"/>
  <c r="AD67" i="20"/>
  <c r="J40" i="21" s="1"/>
  <c r="AC67" i="20"/>
  <c r="I40" i="21" s="1"/>
  <c r="Z67" i="20"/>
  <c r="F40" i="21" s="1"/>
  <c r="Y67" i="20"/>
  <c r="E40" i="21" s="1"/>
  <c r="V67" i="20"/>
  <c r="AY62" i="20"/>
  <c r="AX62" i="20"/>
  <c r="AW62" i="20"/>
  <c r="AV62" i="20"/>
  <c r="AU62" i="20"/>
  <c r="AT62" i="20"/>
  <c r="AS62" i="20"/>
  <c r="AE62" i="20"/>
  <c r="K21" i="21" s="1"/>
  <c r="AD62" i="20"/>
  <c r="J21" i="21" s="1"/>
  <c r="AC62" i="20"/>
  <c r="I21" i="21" s="1"/>
  <c r="Y62" i="20"/>
  <c r="E21" i="21" s="1"/>
  <c r="V62" i="20"/>
  <c r="K30" i="21"/>
  <c r="J30" i="21"/>
  <c r="I30" i="21"/>
  <c r="H30" i="21"/>
  <c r="E30" i="21"/>
  <c r="K13" i="21"/>
  <c r="J13" i="21"/>
  <c r="I13" i="21"/>
  <c r="H13" i="21"/>
  <c r="G13" i="21"/>
  <c r="E13" i="21"/>
  <c r="C12" i="22"/>
  <c r="K37" i="21"/>
  <c r="J37" i="21"/>
  <c r="I37" i="21"/>
  <c r="H37" i="21"/>
  <c r="G37" i="21"/>
  <c r="E37" i="21"/>
  <c r="DG50" i="20"/>
  <c r="K39" i="21" s="1"/>
  <c r="DF50" i="20"/>
  <c r="J39" i="21" s="1"/>
  <c r="DE50" i="20"/>
  <c r="I39" i="21" s="1"/>
  <c r="DD50" i="20"/>
  <c r="H39" i="21" s="1"/>
  <c r="DA50" i="20"/>
  <c r="E39" i="21" s="1"/>
  <c r="CX50" i="20"/>
  <c r="CM50" i="20"/>
  <c r="K17" i="21" s="1"/>
  <c r="CL50" i="20"/>
  <c r="J17" i="21" s="1"/>
  <c r="CK50" i="20"/>
  <c r="I17" i="21" s="1"/>
  <c r="CJ50" i="20"/>
  <c r="H17" i="21" s="1"/>
  <c r="CH50" i="20"/>
  <c r="F17" i="21" s="1"/>
  <c r="CG50" i="20"/>
  <c r="E17" i="21" s="1"/>
  <c r="CD50" i="20"/>
  <c r="BS50" i="20"/>
  <c r="K16" i="21" s="1"/>
  <c r="BR50" i="20"/>
  <c r="J16" i="21" s="1"/>
  <c r="BQ50" i="20"/>
  <c r="I16" i="21" s="1"/>
  <c r="BP50" i="20"/>
  <c r="H16" i="21" s="1"/>
  <c r="BN50" i="20"/>
  <c r="F16" i="21" s="1"/>
  <c r="BM50" i="20"/>
  <c r="E16" i="21" s="1"/>
  <c r="BJ50" i="20"/>
  <c r="AY50" i="20"/>
  <c r="K15" i="21" s="1"/>
  <c r="AX50" i="20"/>
  <c r="J15" i="21" s="1"/>
  <c r="AW50" i="20"/>
  <c r="I15" i="21" s="1"/>
  <c r="AV50" i="20"/>
  <c r="H15" i="21" s="1"/>
  <c r="AS50" i="20"/>
  <c r="E15" i="21" s="1"/>
  <c r="AP50" i="20"/>
  <c r="BS46" i="20"/>
  <c r="BR46" i="20"/>
  <c r="BQ46" i="20"/>
  <c r="BP46" i="20"/>
  <c r="BO46" i="20"/>
  <c r="BN46" i="20"/>
  <c r="BM46" i="20"/>
  <c r="BJ46" i="20"/>
  <c r="DB50" i="20"/>
  <c r="F39" i="21" s="1"/>
  <c r="AE50" i="20"/>
  <c r="K14" i="21" s="1"/>
  <c r="AD50" i="20"/>
  <c r="J14" i="21" s="1"/>
  <c r="AC50" i="20"/>
  <c r="I14" i="21" s="1"/>
  <c r="AB50" i="20"/>
  <c r="H14" i="21" s="1"/>
  <c r="Z50" i="20"/>
  <c r="F14" i="21" s="1"/>
  <c r="Y50" i="20"/>
  <c r="E14" i="21" s="1"/>
  <c r="V50" i="20"/>
  <c r="AY46" i="20"/>
  <c r="K12" i="21" s="1"/>
  <c r="AX46" i="20"/>
  <c r="J12" i="21" s="1"/>
  <c r="AW46" i="20"/>
  <c r="I12" i="21" s="1"/>
  <c r="AV46" i="20"/>
  <c r="H12" i="21" s="1"/>
  <c r="AU46" i="20"/>
  <c r="G12" i="21" s="1"/>
  <c r="AS46" i="20"/>
  <c r="E12" i="21" s="1"/>
  <c r="AP46" i="20"/>
  <c r="AE46" i="20"/>
  <c r="AD46" i="20"/>
  <c r="AC46" i="20"/>
  <c r="AB46" i="20"/>
  <c r="H11" i="21" s="1"/>
  <c r="AA46" i="20"/>
  <c r="V46" i="20"/>
  <c r="C10" i="22" s="1"/>
  <c r="R155" i="10" l="1"/>
  <c r="Q155" i="10" s="1"/>
  <c r="CQ155" i="10" s="1"/>
  <c r="CR155" i="10"/>
  <c r="CR154" i="10"/>
  <c r="CR53" i="10"/>
  <c r="CR51" i="10"/>
  <c r="CI51" i="10"/>
  <c r="CJ51" i="10" s="1"/>
  <c r="F78" i="21"/>
  <c r="G78" i="21" s="1"/>
  <c r="H78" i="21" s="1"/>
  <c r="I78" i="21" s="1"/>
  <c r="J78" i="21" s="1"/>
  <c r="K78" i="21" s="1"/>
  <c r="CI155" i="10"/>
  <c r="CJ155" i="10" s="1"/>
  <c r="I43" i="21"/>
  <c r="J43" i="21"/>
  <c r="E43" i="21"/>
  <c r="K43" i="21"/>
  <c r="F43" i="21"/>
  <c r="C8" i="22"/>
  <c r="L12" i="21"/>
  <c r="L65" i="21" s="1"/>
  <c r="C11" i="22"/>
  <c r="E9" i="21"/>
  <c r="F9" i="21"/>
  <c r="L29" i="21"/>
  <c r="L82" i="21" s="1"/>
  <c r="C29" i="22"/>
  <c r="F82" i="21"/>
  <c r="G82" i="21" s="1"/>
  <c r="H82" i="21" s="1"/>
  <c r="I82" i="21" s="1"/>
  <c r="J82" i="21" s="1"/>
  <c r="K82" i="21" s="1"/>
  <c r="K9" i="21"/>
  <c r="F41" i="21"/>
  <c r="K41" i="21"/>
  <c r="J9" i="21"/>
  <c r="G9" i="21"/>
  <c r="O6" i="27"/>
  <c r="M6" i="28"/>
  <c r="O6" i="28" s="1"/>
  <c r="AS33" i="20"/>
  <c r="E47" i="21" s="1"/>
  <c r="AT33" i="20"/>
  <c r="F47" i="21" s="1"/>
  <c r="L50" i="21"/>
  <c r="L103" i="21" s="1"/>
  <c r="C50" i="22"/>
  <c r="L51" i="21"/>
  <c r="L104" i="21" s="1"/>
  <c r="C51" i="22"/>
  <c r="L52" i="21"/>
  <c r="L105" i="21" s="1"/>
  <c r="C53" i="22"/>
  <c r="AX33" i="20"/>
  <c r="J47" i="21" s="1"/>
  <c r="AY33" i="20"/>
  <c r="K47" i="21" s="1"/>
  <c r="L100" i="21"/>
  <c r="L99" i="21"/>
  <c r="L40" i="21"/>
  <c r="L93" i="21" s="1"/>
  <c r="C40" i="22"/>
  <c r="L34" i="21"/>
  <c r="L87" i="21" s="1"/>
  <c r="C34" i="22"/>
  <c r="L15" i="21"/>
  <c r="L68" i="21" s="1"/>
  <c r="C14" i="22"/>
  <c r="L39" i="21"/>
  <c r="L92" i="21" s="1"/>
  <c r="C39" i="22"/>
  <c r="L30" i="21"/>
  <c r="L83" i="21" s="1"/>
  <c r="C30" i="22"/>
  <c r="L32" i="21"/>
  <c r="L85" i="21" s="1"/>
  <c r="C32" i="22"/>
  <c r="L23" i="21"/>
  <c r="L76" i="21" s="1"/>
  <c r="C22" i="22"/>
  <c r="L19" i="21"/>
  <c r="L72" i="21" s="1"/>
  <c r="C18" i="22"/>
  <c r="L80" i="21"/>
  <c r="C27" i="22"/>
  <c r="L17" i="21"/>
  <c r="L70" i="21" s="1"/>
  <c r="C16" i="22"/>
  <c r="L36" i="21"/>
  <c r="L89" i="21" s="1"/>
  <c r="L42" i="21"/>
  <c r="L95" i="21" s="1"/>
  <c r="C42" i="22"/>
  <c r="L79" i="21"/>
  <c r="C26" i="22"/>
  <c r="L84" i="21"/>
  <c r="C31" i="22"/>
  <c r="L38" i="21"/>
  <c r="L91" i="21" s="1"/>
  <c r="C38" i="22"/>
  <c r="L41" i="21"/>
  <c r="L94" i="21" s="1"/>
  <c r="C41" i="22"/>
  <c r="L14" i="21"/>
  <c r="L67" i="21" s="1"/>
  <c r="C13" i="22"/>
  <c r="L28" i="21"/>
  <c r="L81" i="21" s="1"/>
  <c r="C28" i="22"/>
  <c r="L16" i="21"/>
  <c r="L69" i="21" s="1"/>
  <c r="C15" i="22"/>
  <c r="L37" i="21"/>
  <c r="L90" i="21" s="1"/>
  <c r="C37" i="22"/>
  <c r="L21" i="21"/>
  <c r="L74" i="21" s="1"/>
  <c r="C20" i="22"/>
  <c r="L33" i="21"/>
  <c r="L86" i="21" s="1"/>
  <c r="C33" i="22"/>
  <c r="C24" i="22"/>
  <c r="L43" i="21"/>
  <c r="L96" i="21" s="1"/>
  <c r="C43" i="22"/>
  <c r="L18" i="21"/>
  <c r="L71" i="21" s="1"/>
  <c r="C17" i="22"/>
  <c r="L20" i="21"/>
  <c r="L73" i="21" s="1"/>
  <c r="C19" i="22"/>
  <c r="L10" i="21"/>
  <c r="L63" i="21" s="1"/>
  <c r="C9" i="22"/>
  <c r="L9" i="21"/>
  <c r="L62" i="21" s="1"/>
  <c r="L8" i="21"/>
  <c r="L61" i="21" s="1"/>
  <c r="C7" i="22"/>
  <c r="I10" i="21"/>
  <c r="G10" i="21"/>
  <c r="J11" i="21"/>
  <c r="L11" i="21"/>
  <c r="L64" i="21" s="1"/>
  <c r="F12" i="21"/>
  <c r="K11" i="21"/>
  <c r="DC50" i="20"/>
  <c r="G39" i="21" s="1"/>
  <c r="G42" i="21"/>
  <c r="BS9" i="20"/>
  <c r="K6" i="21" s="1"/>
  <c r="BR9" i="20"/>
  <c r="J6" i="21" s="1"/>
  <c r="BQ9" i="20"/>
  <c r="I6" i="21" s="1"/>
  <c r="BP9" i="20"/>
  <c r="H6" i="21" s="1"/>
  <c r="BO9" i="20"/>
  <c r="G6" i="21" s="1"/>
  <c r="BN9" i="20"/>
  <c r="F6" i="21" s="1"/>
  <c r="BM9" i="20"/>
  <c r="E6" i="21" s="1"/>
  <c r="BJ9" i="20"/>
  <c r="AY9" i="20"/>
  <c r="K5" i="21" s="1"/>
  <c r="AX9" i="20"/>
  <c r="J5" i="21" s="1"/>
  <c r="AW9" i="20"/>
  <c r="I5" i="21" s="1"/>
  <c r="AV9" i="20"/>
  <c r="H5" i="21" s="1"/>
  <c r="AU9" i="20"/>
  <c r="G5" i="21" s="1"/>
  <c r="AT9" i="20"/>
  <c r="F5" i="21" s="1"/>
  <c r="AS9" i="20"/>
  <c r="E5" i="21" s="1"/>
  <c r="AP9" i="20"/>
  <c r="K4" i="21"/>
  <c r="J4" i="21"/>
  <c r="I4" i="21"/>
  <c r="H4" i="21"/>
  <c r="F4" i="21"/>
  <c r="E4" i="21"/>
  <c r="C104" i="21"/>
  <c r="D104" i="21" s="1"/>
  <c r="C103" i="21"/>
  <c r="D103" i="21" s="1"/>
  <c r="C101" i="21"/>
  <c r="D101" i="21" s="1"/>
  <c r="E101" i="21" s="1"/>
  <c r="F101" i="21" s="1"/>
  <c r="G101" i="21" s="1"/>
  <c r="H101" i="21" s="1"/>
  <c r="I101" i="21" s="1"/>
  <c r="J101" i="21" s="1"/>
  <c r="K101" i="21" s="1"/>
  <c r="C100" i="21"/>
  <c r="D100" i="21" s="1"/>
  <c r="C99" i="21"/>
  <c r="D99" i="21" s="1"/>
  <c r="C97" i="21"/>
  <c r="D97" i="21" s="1"/>
  <c r="C96" i="21"/>
  <c r="D96" i="21" s="1"/>
  <c r="C95" i="21"/>
  <c r="D95" i="21" s="1"/>
  <c r="C94" i="21"/>
  <c r="D94" i="21" s="1"/>
  <c r="E94" i="21" s="1"/>
  <c r="C93" i="21"/>
  <c r="D93" i="21" s="1"/>
  <c r="C92" i="21"/>
  <c r="D92" i="21" s="1"/>
  <c r="E92" i="21" s="1"/>
  <c r="C91" i="21"/>
  <c r="D91" i="21" s="1"/>
  <c r="C90" i="21"/>
  <c r="D90" i="21" s="1"/>
  <c r="E90" i="21" s="1"/>
  <c r="C89" i="21"/>
  <c r="D89" i="21" s="1"/>
  <c r="C87" i="21"/>
  <c r="D87" i="21" s="1"/>
  <c r="C86" i="21"/>
  <c r="D86" i="21" s="1"/>
  <c r="C85" i="21"/>
  <c r="D85" i="21" s="1"/>
  <c r="E85" i="21" s="1"/>
  <c r="C84" i="21"/>
  <c r="D84" i="21" s="1"/>
  <c r="C83" i="21"/>
  <c r="D83" i="21" s="1"/>
  <c r="C81" i="21"/>
  <c r="D81" i="21" s="1"/>
  <c r="C80" i="21"/>
  <c r="D80" i="21" s="1"/>
  <c r="E80" i="21" s="1"/>
  <c r="C79" i="21"/>
  <c r="D79" i="21" s="1"/>
  <c r="E79" i="21" s="1"/>
  <c r="F79" i="21" s="1"/>
  <c r="G79" i="21" s="1"/>
  <c r="H79" i="21" s="1"/>
  <c r="I79" i="21" s="1"/>
  <c r="J79" i="21" s="1"/>
  <c r="K79" i="21" s="1"/>
  <c r="C76" i="21"/>
  <c r="D76" i="21" s="1"/>
  <c r="E76" i="21" s="1"/>
  <c r="C74" i="21"/>
  <c r="D74" i="21" s="1"/>
  <c r="C73" i="21"/>
  <c r="D73" i="21" s="1"/>
  <c r="C72" i="21"/>
  <c r="D72" i="21" s="1"/>
  <c r="C71" i="21"/>
  <c r="D71" i="21" s="1"/>
  <c r="C70" i="21"/>
  <c r="D70" i="21" s="1"/>
  <c r="C69" i="21"/>
  <c r="D69" i="21" s="1"/>
  <c r="C68" i="21"/>
  <c r="D68" i="21" s="1"/>
  <c r="C67" i="21"/>
  <c r="D67" i="21" s="1"/>
  <c r="C66" i="21"/>
  <c r="D66" i="21" s="1"/>
  <c r="C65" i="21"/>
  <c r="D65" i="21" s="1"/>
  <c r="C64" i="21"/>
  <c r="D64" i="21" s="1"/>
  <c r="C63" i="21"/>
  <c r="D63" i="21" s="1"/>
  <c r="E63" i="21" s="1"/>
  <c r="F63" i="21" s="1"/>
  <c r="C62" i="21"/>
  <c r="D62" i="21" s="1"/>
  <c r="C61" i="21"/>
  <c r="D61" i="21" s="1"/>
  <c r="E61" i="21" s="1"/>
  <c r="C59" i="21"/>
  <c r="D59" i="21" s="1"/>
  <c r="C58" i="21"/>
  <c r="D58" i="21" s="1"/>
  <c r="C57" i="21"/>
  <c r="D57" i="21" s="1"/>
  <c r="L66" i="21"/>
  <c r="G52" i="21"/>
  <c r="K52" i="21"/>
  <c r="G38" i="21"/>
  <c r="Z154" i="20"/>
  <c r="F44" i="21" s="1"/>
  <c r="V154" i="20"/>
  <c r="AA148" i="20"/>
  <c r="AW102" i="20"/>
  <c r="I9" i="21" s="1"/>
  <c r="AC102" i="20"/>
  <c r="I27" i="21" s="1"/>
  <c r="AA86" i="20"/>
  <c r="G32" i="21" s="1"/>
  <c r="E34" i="21"/>
  <c r="F34" i="21"/>
  <c r="AB74" i="20"/>
  <c r="H36" i="21" s="1"/>
  <c r="AB67" i="20"/>
  <c r="H40" i="21" s="1"/>
  <c r="AB62" i="20"/>
  <c r="H21" i="21" s="1"/>
  <c r="AA62" i="20"/>
  <c r="G21" i="21" s="1"/>
  <c r="F30" i="21"/>
  <c r="F13" i="21"/>
  <c r="F37" i="21"/>
  <c r="AU50" i="20"/>
  <c r="G15" i="21" s="1"/>
  <c r="AT50" i="20"/>
  <c r="F15" i="21" s="1"/>
  <c r="Z46" i="20"/>
  <c r="Y46" i="20"/>
  <c r="E11" i="21" s="1"/>
  <c r="G11" i="21"/>
  <c r="G43" i="21" l="1"/>
  <c r="M5" i="28"/>
  <c r="O181" i="27"/>
  <c r="F19" i="21"/>
  <c r="G19" i="21"/>
  <c r="F20" i="21"/>
  <c r="AW33" i="20"/>
  <c r="I47" i="21" s="1"/>
  <c r="AA33" i="20"/>
  <c r="G46" i="21" s="1"/>
  <c r="AB33" i="20"/>
  <c r="H46" i="21" s="1"/>
  <c r="AV33" i="20"/>
  <c r="H47" i="21" s="1"/>
  <c r="L44" i="21"/>
  <c r="L97" i="21" s="1"/>
  <c r="C44" i="22"/>
  <c r="G63" i="21"/>
  <c r="H63" i="21" s="1"/>
  <c r="I63" i="21" s="1"/>
  <c r="J63" i="21" s="1"/>
  <c r="K63" i="21" s="1"/>
  <c r="L5" i="21"/>
  <c r="L58" i="21" s="1"/>
  <c r="C4" i="22"/>
  <c r="L6" i="21"/>
  <c r="L59" i="21" s="1"/>
  <c r="C5" i="22"/>
  <c r="L4" i="21"/>
  <c r="L57" i="21" s="1"/>
  <c r="C3" i="22"/>
  <c r="E103" i="21"/>
  <c r="F103" i="21" s="1"/>
  <c r="G103" i="21" s="1"/>
  <c r="H103" i="21" s="1"/>
  <c r="I103" i="21" s="1"/>
  <c r="J103" i="21" s="1"/>
  <c r="K103" i="21" s="1"/>
  <c r="F18" i="21"/>
  <c r="F11" i="21"/>
  <c r="E71" i="21"/>
  <c r="CI50" i="20"/>
  <c r="G17" i="21" s="1"/>
  <c r="Z62" i="20"/>
  <c r="F21" i="21" s="1"/>
  <c r="G30" i="21"/>
  <c r="AA67" i="20"/>
  <c r="G40" i="21" s="1"/>
  <c r="AA74" i="20"/>
  <c r="G36" i="21" s="1"/>
  <c r="AB108" i="20"/>
  <c r="H28" i="21" s="1"/>
  <c r="AB148" i="20"/>
  <c r="AT86" i="20"/>
  <c r="F33" i="21" s="1"/>
  <c r="AV108" i="20"/>
  <c r="AB102" i="20"/>
  <c r="H27" i="21" s="1"/>
  <c r="Y154" i="20"/>
  <c r="E44" i="21" s="1"/>
  <c r="E97" i="21" s="1"/>
  <c r="F97" i="21" s="1"/>
  <c r="G97" i="21" s="1"/>
  <c r="H97" i="21" s="1"/>
  <c r="I97" i="21" s="1"/>
  <c r="J97" i="21" s="1"/>
  <c r="K97" i="21" s="1"/>
  <c r="AV102" i="20"/>
  <c r="F52" i="21"/>
  <c r="F105" i="21" s="1"/>
  <c r="G105" i="21" s="1"/>
  <c r="H105" i="21" s="1"/>
  <c r="I105" i="21" s="1"/>
  <c r="J105" i="21" s="1"/>
  <c r="K105" i="21" s="1"/>
  <c r="I11" i="21"/>
  <c r="H34" i="21"/>
  <c r="Z86" i="20"/>
  <c r="F32" i="21" s="1"/>
  <c r="F85" i="21" s="1"/>
  <c r="G85" i="21" s="1"/>
  <c r="H85" i="21" s="1"/>
  <c r="I85" i="21" s="1"/>
  <c r="J85" i="21" s="1"/>
  <c r="K85" i="21" s="1"/>
  <c r="AA50" i="20"/>
  <c r="G14" i="21" s="1"/>
  <c r="BO50" i="20"/>
  <c r="G16" i="21" s="1"/>
  <c r="G8" i="21"/>
  <c r="E68" i="21"/>
  <c r="F68" i="21" s="1"/>
  <c r="G68" i="21" s="1"/>
  <c r="H68" i="21" s="1"/>
  <c r="I68" i="21" s="1"/>
  <c r="J68" i="21" s="1"/>
  <c r="K68" i="21" s="1"/>
  <c r="E73" i="21"/>
  <c r="E96" i="21"/>
  <c r="F96" i="21" s="1"/>
  <c r="G96" i="21" s="1"/>
  <c r="E66" i="21"/>
  <c r="F66" i="21" s="1"/>
  <c r="G66" i="21" s="1"/>
  <c r="H66" i="21" s="1"/>
  <c r="I66" i="21" s="1"/>
  <c r="J66" i="21" s="1"/>
  <c r="K66" i="21" s="1"/>
  <c r="E83" i="21"/>
  <c r="F83" i="21" s="1"/>
  <c r="E64" i="21"/>
  <c r="F61" i="21"/>
  <c r="E89" i="21"/>
  <c r="F89" i="21" s="1"/>
  <c r="E65" i="21"/>
  <c r="F65" i="21" s="1"/>
  <c r="G65" i="21" s="1"/>
  <c r="H65" i="21" s="1"/>
  <c r="I65" i="21" s="1"/>
  <c r="J65" i="21" s="1"/>
  <c r="K65" i="21" s="1"/>
  <c r="E67" i="21"/>
  <c r="F67" i="21" s="1"/>
  <c r="G67" i="21" s="1"/>
  <c r="H67" i="21" s="1"/>
  <c r="I67" i="21" s="1"/>
  <c r="J67" i="21" s="1"/>
  <c r="K67" i="21" s="1"/>
  <c r="E69" i="21"/>
  <c r="F69" i="21" s="1"/>
  <c r="F76" i="21"/>
  <c r="G76" i="21" s="1"/>
  <c r="H76" i="21" s="1"/>
  <c r="I76" i="21" s="1"/>
  <c r="J76" i="21" s="1"/>
  <c r="K76" i="21" s="1"/>
  <c r="F80" i="21"/>
  <c r="G80" i="21" s="1"/>
  <c r="E87" i="21"/>
  <c r="F87" i="21" s="1"/>
  <c r="G87" i="21" s="1"/>
  <c r="F90" i="21"/>
  <c r="G90" i="21" s="1"/>
  <c r="H90" i="21" s="1"/>
  <c r="I90" i="21" s="1"/>
  <c r="J90" i="21" s="1"/>
  <c r="K90" i="21" s="1"/>
  <c r="F94" i="21"/>
  <c r="G94" i="21" s="1"/>
  <c r="H94" i="21" s="1"/>
  <c r="I94" i="21" s="1"/>
  <c r="J94" i="21" s="1"/>
  <c r="K94" i="21" s="1"/>
  <c r="E99" i="21"/>
  <c r="F99" i="21" s="1"/>
  <c r="E59" i="21"/>
  <c r="F59" i="21" s="1"/>
  <c r="G59" i="21" s="1"/>
  <c r="H59" i="21" s="1"/>
  <c r="I59" i="21" s="1"/>
  <c r="J59" i="21" s="1"/>
  <c r="K59" i="21" s="1"/>
  <c r="E62" i="21"/>
  <c r="F62" i="21" s="1"/>
  <c r="G62" i="21" s="1"/>
  <c r="E58" i="21"/>
  <c r="F58" i="21" s="1"/>
  <c r="G58" i="21" s="1"/>
  <c r="H58" i="21" s="1"/>
  <c r="I58" i="21" s="1"/>
  <c r="J58" i="21" s="1"/>
  <c r="K58" i="21" s="1"/>
  <c r="E57" i="21"/>
  <c r="F57" i="21" s="1"/>
  <c r="E70" i="21"/>
  <c r="F70" i="21" s="1"/>
  <c r="E86" i="21"/>
  <c r="E95" i="21"/>
  <c r="F95" i="21" s="1"/>
  <c r="G95" i="21" s="1"/>
  <c r="H95" i="21" s="1"/>
  <c r="I95" i="21" s="1"/>
  <c r="J95" i="21" s="1"/>
  <c r="K95" i="21" s="1"/>
  <c r="F92" i="21"/>
  <c r="G92" i="21" s="1"/>
  <c r="H92" i="21" s="1"/>
  <c r="I92" i="21" s="1"/>
  <c r="J92" i="21" s="1"/>
  <c r="K92" i="21" s="1"/>
  <c r="E74" i="21"/>
  <c r="E84" i="21"/>
  <c r="F84" i="21" s="1"/>
  <c r="G84" i="21" s="1"/>
  <c r="H84" i="21" s="1"/>
  <c r="I84" i="21" s="1"/>
  <c r="J84" i="21" s="1"/>
  <c r="K84" i="21" s="1"/>
  <c r="E93" i="21"/>
  <c r="F93" i="21" s="1"/>
  <c r="E72" i="21"/>
  <c r="E81" i="21"/>
  <c r="F81" i="21" s="1"/>
  <c r="G81" i="21" s="1"/>
  <c r="E91" i="21"/>
  <c r="F91" i="21" s="1"/>
  <c r="G91" i="21" s="1"/>
  <c r="H91" i="21" s="1"/>
  <c r="I91" i="21" s="1"/>
  <c r="J91" i="21" s="1"/>
  <c r="K91" i="21" s="1"/>
  <c r="E100" i="21"/>
  <c r="F100" i="21" s="1"/>
  <c r="E104" i="21"/>
  <c r="F104" i="21" s="1"/>
  <c r="G104" i="21" s="1"/>
  <c r="H104" i="21" s="1"/>
  <c r="I104" i="21" s="1"/>
  <c r="J104" i="21" s="1"/>
  <c r="K104" i="21" s="1"/>
  <c r="H43" i="21" l="1"/>
  <c r="H96" i="21" s="1"/>
  <c r="I96" i="21" s="1"/>
  <c r="J96" i="21" s="1"/>
  <c r="K96" i="21" s="1"/>
  <c r="O5" i="28"/>
  <c r="O179" i="28" s="1"/>
  <c r="M179" i="28"/>
  <c r="F86" i="21"/>
  <c r="G86" i="21" s="1"/>
  <c r="H86" i="21" s="1"/>
  <c r="I86" i="21" s="1"/>
  <c r="J86" i="21" s="1"/>
  <c r="K86" i="21" s="1"/>
  <c r="F73" i="21"/>
  <c r="G73" i="21" s="1"/>
  <c r="H73" i="21" s="1"/>
  <c r="I73" i="21" s="1"/>
  <c r="J73" i="21" s="1"/>
  <c r="K73" i="21" s="1"/>
  <c r="H9" i="21"/>
  <c r="H62" i="21" s="1"/>
  <c r="I62" i="21" s="1"/>
  <c r="J62" i="21" s="1"/>
  <c r="K62" i="21" s="1"/>
  <c r="AU33" i="20"/>
  <c r="G93" i="21"/>
  <c r="H93" i="21" s="1"/>
  <c r="I93" i="21" s="1"/>
  <c r="J93" i="21" s="1"/>
  <c r="K93" i="21" s="1"/>
  <c r="H87" i="21"/>
  <c r="I87" i="21" s="1"/>
  <c r="J87" i="21" s="1"/>
  <c r="K87" i="21" s="1"/>
  <c r="G70" i="21"/>
  <c r="H70" i="21" s="1"/>
  <c r="I70" i="21" s="1"/>
  <c r="J70" i="21" s="1"/>
  <c r="K70" i="21" s="1"/>
  <c r="G89" i="21"/>
  <c r="H89" i="21" s="1"/>
  <c r="I89" i="21" s="1"/>
  <c r="J89" i="21" s="1"/>
  <c r="K89" i="21" s="1"/>
  <c r="G99" i="21"/>
  <c r="H99" i="21" s="1"/>
  <c r="I99" i="21" s="1"/>
  <c r="J99" i="21" s="1"/>
  <c r="K99" i="21" s="1"/>
  <c r="H81" i="21"/>
  <c r="I81" i="21" s="1"/>
  <c r="J81" i="21" s="1"/>
  <c r="K81" i="21" s="1"/>
  <c r="F74" i="21"/>
  <c r="G74" i="21" s="1"/>
  <c r="H74" i="21" s="1"/>
  <c r="I74" i="21" s="1"/>
  <c r="J74" i="21" s="1"/>
  <c r="K74" i="21" s="1"/>
  <c r="G83" i="21"/>
  <c r="H83" i="21" s="1"/>
  <c r="I83" i="21" s="1"/>
  <c r="J83" i="21" s="1"/>
  <c r="K83" i="21" s="1"/>
  <c r="H80" i="21"/>
  <c r="I80" i="21" s="1"/>
  <c r="J80" i="21" s="1"/>
  <c r="K80" i="21" s="1"/>
  <c r="F71" i="21"/>
  <c r="G71" i="21" s="1"/>
  <c r="H71" i="21" s="1"/>
  <c r="I71" i="21" s="1"/>
  <c r="J71" i="21" s="1"/>
  <c r="K71" i="21" s="1"/>
  <c r="F72" i="21"/>
  <c r="G72" i="21" s="1"/>
  <c r="H72" i="21" s="1"/>
  <c r="I72" i="21" s="1"/>
  <c r="J72" i="21" s="1"/>
  <c r="K72" i="21" s="1"/>
  <c r="G69" i="21"/>
  <c r="H69" i="21" s="1"/>
  <c r="I69" i="21" s="1"/>
  <c r="J69" i="21" s="1"/>
  <c r="K69" i="21" s="1"/>
  <c r="F64" i="21"/>
  <c r="G64" i="21" s="1"/>
  <c r="H64" i="21" s="1"/>
  <c r="I64" i="21" s="1"/>
  <c r="J64" i="21" s="1"/>
  <c r="K64" i="21" s="1"/>
  <c r="G61" i="21"/>
  <c r="H61" i="21" s="1"/>
  <c r="I61" i="21" s="1"/>
  <c r="J61" i="21" s="1"/>
  <c r="K61" i="21" s="1"/>
  <c r="G47" i="21" l="1"/>
  <c r="G100" i="21" s="1"/>
  <c r="H100" i="21" s="1"/>
  <c r="I100" i="21" s="1"/>
  <c r="J100" i="21" s="1"/>
  <c r="K100" i="21" s="1"/>
  <c r="D12" i="12"/>
  <c r="C4" i="19" l="1"/>
  <c r="C4" i="12" l="1"/>
  <c r="D26" i="12"/>
  <c r="C26" i="12"/>
  <c r="X32" i="2" l="1"/>
  <c r="U32" i="2"/>
  <c r="R32" i="2"/>
  <c r="O32" i="2"/>
  <c r="AA32" i="2"/>
  <c r="L12" i="9"/>
  <c r="L32" i="2" s="1"/>
  <c r="X31" i="2"/>
  <c r="U31" i="2"/>
  <c r="R31" i="2"/>
  <c r="O31" i="2"/>
  <c r="AA31" i="2"/>
  <c r="K15" i="6"/>
  <c r="L31" i="2" s="1"/>
  <c r="X30" i="2"/>
  <c r="N30" i="25" s="1"/>
  <c r="U30" i="2"/>
  <c r="M30" i="25" s="1"/>
  <c r="R30" i="2"/>
  <c r="O30" i="2"/>
  <c r="AA30" i="2"/>
  <c r="L13" i="8"/>
  <c r="L30" i="2" s="1"/>
  <c r="X29" i="2"/>
  <c r="U29" i="2"/>
  <c r="R29" i="2"/>
  <c r="O29" i="2"/>
  <c r="AA29" i="2"/>
  <c r="L11" i="9"/>
  <c r="L29" i="2" s="1"/>
  <c r="X28" i="2"/>
  <c r="U28" i="2"/>
  <c r="R28" i="2"/>
  <c r="O28" i="2"/>
  <c r="AA28" i="2"/>
  <c r="K14" i="6"/>
  <c r="X27" i="2"/>
  <c r="U27" i="2"/>
  <c r="R27" i="2"/>
  <c r="O27" i="2"/>
  <c r="AA27" i="2"/>
  <c r="L10" i="9"/>
  <c r="L27" i="2" s="1"/>
  <c r="X26" i="2"/>
  <c r="N26" i="25" s="1"/>
  <c r="U26" i="2"/>
  <c r="M26" i="25" s="1"/>
  <c r="R26" i="2"/>
  <c r="O26" i="2"/>
  <c r="AA26" i="2"/>
  <c r="L9" i="9"/>
  <c r="L26" i="2" s="1"/>
  <c r="AA25" i="2"/>
  <c r="X25" i="2"/>
  <c r="U25" i="2"/>
  <c r="R25" i="2"/>
  <c r="O25" i="2"/>
  <c r="K13" i="6"/>
  <c r="L25" i="2" s="1"/>
  <c r="X24" i="2"/>
  <c r="U24" i="2"/>
  <c r="R24" i="2"/>
  <c r="O24" i="2"/>
  <c r="AA24" i="2"/>
  <c r="K12" i="6"/>
  <c r="L24" i="2" s="1"/>
  <c r="X23" i="2"/>
  <c r="U23" i="2"/>
  <c r="R23" i="2"/>
  <c r="O23" i="2"/>
  <c r="AA23" i="2"/>
  <c r="L8" i="9"/>
  <c r="P7" i="9"/>
  <c r="O7" i="9"/>
  <c r="N7" i="9"/>
  <c r="M7" i="9"/>
  <c r="Q7" i="9"/>
  <c r="AA22" i="2"/>
  <c r="X22" i="2"/>
  <c r="U22" i="2"/>
  <c r="R22" i="2"/>
  <c r="O22" i="2"/>
  <c r="K11" i="6"/>
  <c r="L22" i="2" s="1"/>
  <c r="X21" i="2"/>
  <c r="U21" i="2"/>
  <c r="R21" i="2"/>
  <c r="O21" i="2"/>
  <c r="AA21" i="2"/>
  <c r="O7" i="6"/>
  <c r="N7" i="6"/>
  <c r="M7" i="6"/>
  <c r="L7" i="6"/>
  <c r="P7" i="6"/>
  <c r="K10" i="6"/>
  <c r="L21" i="2" s="1"/>
  <c r="AA20" i="2"/>
  <c r="X20" i="2"/>
  <c r="U20" i="2"/>
  <c r="R20" i="2"/>
  <c r="O20" i="2"/>
  <c r="L12" i="8"/>
  <c r="L20" i="2" s="1"/>
  <c r="AA19" i="2"/>
  <c r="X19" i="2"/>
  <c r="U19" i="2"/>
  <c r="R19" i="2"/>
  <c r="O19" i="2"/>
  <c r="L11" i="8"/>
  <c r="L19" i="2" s="1"/>
  <c r="X18" i="2"/>
  <c r="U18" i="2"/>
  <c r="R18" i="2"/>
  <c r="O18" i="2"/>
  <c r="AA18" i="2"/>
  <c r="L10" i="8"/>
  <c r="L18" i="2" s="1"/>
  <c r="X17" i="2"/>
  <c r="N17" i="25" s="1"/>
  <c r="U17" i="2"/>
  <c r="M17" i="25" s="1"/>
  <c r="R17" i="2"/>
  <c r="O17" i="2"/>
  <c r="AA17" i="2"/>
  <c r="K9" i="6"/>
  <c r="L17" i="2" s="1"/>
  <c r="X16" i="2"/>
  <c r="U16" i="2"/>
  <c r="R16" i="2"/>
  <c r="O16" i="2"/>
  <c r="AA16" i="2"/>
  <c r="K8" i="6"/>
  <c r="L16" i="2" s="1"/>
  <c r="X15" i="2"/>
  <c r="U15" i="2"/>
  <c r="R15" i="2"/>
  <c r="O15" i="2"/>
  <c r="AA15" i="2"/>
  <c r="L9" i="8"/>
  <c r="L15" i="2" s="1"/>
  <c r="X13" i="2"/>
  <c r="U13" i="2"/>
  <c r="R13" i="2"/>
  <c r="O13" i="2"/>
  <c r="AA13" i="2"/>
  <c r="L8" i="8"/>
  <c r="L13" i="2" s="1"/>
  <c r="X14" i="2"/>
  <c r="U14" i="2"/>
  <c r="R14" i="2"/>
  <c r="O14" i="2"/>
  <c r="AA14" i="2"/>
  <c r="AA12" i="2"/>
  <c r="X12" i="2"/>
  <c r="U12" i="2"/>
  <c r="R12" i="2"/>
  <c r="O12" i="2"/>
  <c r="K11" i="7"/>
  <c r="L14" i="2" s="1"/>
  <c r="K10" i="7"/>
  <c r="L12" i="2" s="1"/>
  <c r="AA11" i="2"/>
  <c r="X11" i="2"/>
  <c r="U11" i="2"/>
  <c r="R11" i="2"/>
  <c r="O11" i="2"/>
  <c r="K9" i="7"/>
  <c r="L11" i="2" s="1"/>
  <c r="X10" i="2"/>
  <c r="U10" i="2"/>
  <c r="R10" i="2"/>
  <c r="O10" i="2"/>
  <c r="AA10" i="2"/>
  <c r="K8" i="7"/>
  <c r="L10" i="2" s="1"/>
  <c r="J17" i="25" l="1"/>
  <c r="N17" i="2"/>
  <c r="J26" i="25"/>
  <c r="N26" i="2"/>
  <c r="J30" i="25"/>
  <c r="N30" i="2"/>
  <c r="K26" i="25"/>
  <c r="Q26" i="2"/>
  <c r="K17" i="25"/>
  <c r="Q17" i="2"/>
  <c r="K30" i="25"/>
  <c r="Q30" i="2"/>
  <c r="L17" i="25"/>
  <c r="T17" i="2"/>
  <c r="L26" i="25"/>
  <c r="T26" i="2"/>
  <c r="L30" i="25"/>
  <c r="T30" i="2"/>
  <c r="O26" i="25"/>
  <c r="Q26" i="25" s="1"/>
  <c r="AD26" i="2"/>
  <c r="O30" i="25"/>
  <c r="Q30" i="25" s="1"/>
  <c r="AD30" i="2"/>
  <c r="R26" i="25"/>
  <c r="R30" i="25"/>
  <c r="O17" i="25"/>
  <c r="AD17" i="2"/>
  <c r="J9" i="23"/>
  <c r="J9" i="24"/>
  <c r="M9" i="23"/>
  <c r="M9" i="24"/>
  <c r="L10" i="23"/>
  <c r="L10" i="24"/>
  <c r="J11" i="23"/>
  <c r="J11" i="24"/>
  <c r="M11" i="23"/>
  <c r="M11" i="24"/>
  <c r="K14" i="38"/>
  <c r="K13" i="23"/>
  <c r="K13" i="24"/>
  <c r="J12" i="23"/>
  <c r="J12" i="24"/>
  <c r="M12" i="23"/>
  <c r="M12" i="24"/>
  <c r="K15" i="38"/>
  <c r="K14" i="23"/>
  <c r="K14" i="24"/>
  <c r="J15" i="23"/>
  <c r="J15" i="24"/>
  <c r="M15" i="23"/>
  <c r="M15" i="24"/>
  <c r="K17" i="38"/>
  <c r="K16" i="23"/>
  <c r="K16" i="24"/>
  <c r="J17" i="23"/>
  <c r="J17" i="24"/>
  <c r="M17" i="23"/>
  <c r="M17" i="24"/>
  <c r="L18" i="23"/>
  <c r="L18" i="24"/>
  <c r="J19" i="23"/>
  <c r="J19" i="24"/>
  <c r="N20" i="38"/>
  <c r="N19" i="23"/>
  <c r="N19" i="24"/>
  <c r="O21" i="38"/>
  <c r="O20" i="23"/>
  <c r="O20" i="24"/>
  <c r="N21" i="38"/>
  <c r="N20" i="23"/>
  <c r="N20" i="24"/>
  <c r="M21" i="23"/>
  <c r="M21" i="24"/>
  <c r="M22" i="23"/>
  <c r="M22" i="24"/>
  <c r="K24" i="38"/>
  <c r="K23" i="23"/>
  <c r="K23" i="24"/>
  <c r="J24" i="23"/>
  <c r="J24" i="24"/>
  <c r="N25" i="38"/>
  <c r="N24" i="23"/>
  <c r="N24" i="24"/>
  <c r="K26" i="38"/>
  <c r="K25" i="23"/>
  <c r="K25" i="24"/>
  <c r="J26" i="23"/>
  <c r="J26" i="24"/>
  <c r="M26" i="23"/>
  <c r="M26" i="24"/>
  <c r="K28" i="38"/>
  <c r="K27" i="23"/>
  <c r="K27" i="24"/>
  <c r="J28" i="23"/>
  <c r="J28" i="24"/>
  <c r="M28" i="23"/>
  <c r="M28" i="24"/>
  <c r="K30" i="38"/>
  <c r="K29" i="23"/>
  <c r="K29" i="24"/>
  <c r="J30" i="23"/>
  <c r="J30" i="24"/>
  <c r="M30" i="23"/>
  <c r="M30" i="24"/>
  <c r="K31" i="23"/>
  <c r="K31" i="24"/>
  <c r="O9" i="23"/>
  <c r="O9" i="24"/>
  <c r="N10" i="38"/>
  <c r="N9" i="23"/>
  <c r="N9" i="24"/>
  <c r="M10" i="23"/>
  <c r="M10" i="24"/>
  <c r="J13" i="23"/>
  <c r="J13" i="24"/>
  <c r="N12" i="38"/>
  <c r="N11" i="23"/>
  <c r="N11" i="24"/>
  <c r="L13" i="23"/>
  <c r="L13" i="24"/>
  <c r="O12" i="23"/>
  <c r="O12" i="24"/>
  <c r="N13" i="38"/>
  <c r="N12" i="23"/>
  <c r="N12" i="24"/>
  <c r="L14" i="23"/>
  <c r="L14" i="24"/>
  <c r="O16" i="38"/>
  <c r="O15" i="23"/>
  <c r="O15" i="24"/>
  <c r="N16" i="38"/>
  <c r="N15" i="23"/>
  <c r="N15" i="24"/>
  <c r="L16" i="23"/>
  <c r="L16" i="24"/>
  <c r="O17" i="23"/>
  <c r="O17" i="24"/>
  <c r="N18" i="38"/>
  <c r="N17" i="23"/>
  <c r="N17" i="24"/>
  <c r="M18" i="23"/>
  <c r="M18" i="24"/>
  <c r="K20" i="38"/>
  <c r="K19" i="23"/>
  <c r="K19" i="24"/>
  <c r="O19" i="23"/>
  <c r="O19" i="24"/>
  <c r="K21" i="38"/>
  <c r="K20" i="23"/>
  <c r="K20" i="24"/>
  <c r="J21" i="23"/>
  <c r="J21" i="24"/>
  <c r="N22" i="38"/>
  <c r="N21" i="23"/>
  <c r="N21" i="24"/>
  <c r="O23" i="38"/>
  <c r="O22" i="23"/>
  <c r="O22" i="24"/>
  <c r="N23" i="38"/>
  <c r="N22" i="23"/>
  <c r="N22" i="24"/>
  <c r="L23" i="23"/>
  <c r="L23" i="24"/>
  <c r="K25" i="38"/>
  <c r="K24" i="23"/>
  <c r="K24" i="24"/>
  <c r="O25" i="38"/>
  <c r="O24" i="23"/>
  <c r="O24" i="24"/>
  <c r="L25" i="23"/>
  <c r="L25" i="24"/>
  <c r="O27" i="38"/>
  <c r="O26" i="23"/>
  <c r="O26" i="24"/>
  <c r="N27" i="38"/>
  <c r="N26" i="23"/>
  <c r="N26" i="24"/>
  <c r="L27" i="23"/>
  <c r="L27" i="24"/>
  <c r="O29" i="38"/>
  <c r="O28" i="23"/>
  <c r="O28" i="24"/>
  <c r="N29" i="38"/>
  <c r="N28" i="23"/>
  <c r="N28" i="24"/>
  <c r="L29" i="23"/>
  <c r="L29" i="24"/>
  <c r="O31" i="38"/>
  <c r="O30" i="23"/>
  <c r="O30" i="24"/>
  <c r="N31" i="38"/>
  <c r="N30" i="23"/>
  <c r="N30" i="24"/>
  <c r="L31" i="23"/>
  <c r="L31" i="24"/>
  <c r="K10" i="38"/>
  <c r="K9" i="23"/>
  <c r="K9" i="24"/>
  <c r="J10" i="23"/>
  <c r="J10" i="24"/>
  <c r="N11" i="38"/>
  <c r="N10" i="23"/>
  <c r="N10" i="24"/>
  <c r="K12" i="38"/>
  <c r="K11" i="23"/>
  <c r="K11" i="24"/>
  <c r="O11" i="23"/>
  <c r="O11" i="24"/>
  <c r="M13" i="23"/>
  <c r="M13" i="24"/>
  <c r="K13" i="38"/>
  <c r="K12" i="23"/>
  <c r="K12" i="24"/>
  <c r="J14" i="23"/>
  <c r="J14" i="24"/>
  <c r="M14" i="23"/>
  <c r="M14" i="24"/>
  <c r="K16" i="38"/>
  <c r="K15" i="23"/>
  <c r="K15" i="24"/>
  <c r="J16" i="23"/>
  <c r="J16" i="24"/>
  <c r="M16" i="23"/>
  <c r="M16" i="24"/>
  <c r="K18" i="38"/>
  <c r="K17" i="23"/>
  <c r="K17" i="24"/>
  <c r="J18" i="23"/>
  <c r="J18" i="24"/>
  <c r="N19" i="38"/>
  <c r="N18" i="23"/>
  <c r="N18" i="24"/>
  <c r="L19" i="23"/>
  <c r="L19" i="24"/>
  <c r="J20" i="23"/>
  <c r="J20" i="24"/>
  <c r="L20" i="23"/>
  <c r="L20" i="24"/>
  <c r="K22" i="38"/>
  <c r="K21" i="23"/>
  <c r="K21" i="24"/>
  <c r="O22" i="38"/>
  <c r="O21" i="23"/>
  <c r="O21" i="24"/>
  <c r="K23" i="38"/>
  <c r="K22" i="23"/>
  <c r="K22" i="24"/>
  <c r="J23" i="23"/>
  <c r="J23" i="24"/>
  <c r="M23" i="23"/>
  <c r="M23" i="24"/>
  <c r="L24" i="23"/>
  <c r="L24" i="24"/>
  <c r="J25" i="23"/>
  <c r="J25" i="24"/>
  <c r="M25" i="23"/>
  <c r="M25" i="24"/>
  <c r="K27" i="38"/>
  <c r="K26" i="23"/>
  <c r="K26" i="24"/>
  <c r="M27" i="23"/>
  <c r="M27" i="24"/>
  <c r="K29" i="38"/>
  <c r="K28" i="23"/>
  <c r="K28" i="24"/>
  <c r="J29" i="23"/>
  <c r="J29" i="24"/>
  <c r="M29" i="23"/>
  <c r="M29" i="24"/>
  <c r="K31" i="38"/>
  <c r="K30" i="23"/>
  <c r="K30" i="24"/>
  <c r="J32" i="38"/>
  <c r="J31" i="23"/>
  <c r="J31" i="24"/>
  <c r="M31" i="23"/>
  <c r="M31" i="24"/>
  <c r="L9" i="23"/>
  <c r="L9" i="24"/>
  <c r="K11" i="38"/>
  <c r="K10" i="23"/>
  <c r="K10" i="24"/>
  <c r="O10" i="23"/>
  <c r="O10" i="24"/>
  <c r="L11" i="23"/>
  <c r="L11" i="24"/>
  <c r="O13" i="23"/>
  <c r="O13" i="24"/>
  <c r="N14" i="38"/>
  <c r="N13" i="23"/>
  <c r="N13" i="24"/>
  <c r="L12" i="23"/>
  <c r="L12" i="24"/>
  <c r="O14" i="23"/>
  <c r="O14" i="24"/>
  <c r="N15" i="38"/>
  <c r="N14" i="23"/>
  <c r="N14" i="24"/>
  <c r="L15" i="23"/>
  <c r="L15" i="24"/>
  <c r="O17" i="38"/>
  <c r="O16" i="23"/>
  <c r="O16" i="24"/>
  <c r="N17" i="38"/>
  <c r="N16" i="23"/>
  <c r="N16" i="24"/>
  <c r="L17" i="23"/>
  <c r="L17" i="24"/>
  <c r="K19" i="38"/>
  <c r="K18" i="23"/>
  <c r="K18" i="24"/>
  <c r="O18" i="23"/>
  <c r="O18" i="24"/>
  <c r="M19" i="23"/>
  <c r="M19" i="24"/>
  <c r="M20" i="23"/>
  <c r="M20" i="24"/>
  <c r="L21" i="23"/>
  <c r="L21" i="24"/>
  <c r="L22" i="23"/>
  <c r="L22" i="24"/>
  <c r="O24" i="38"/>
  <c r="O23" i="23"/>
  <c r="O23" i="24"/>
  <c r="N24" i="38"/>
  <c r="N23" i="23"/>
  <c r="N23" i="24"/>
  <c r="M24" i="23"/>
  <c r="M24" i="24"/>
  <c r="O26" i="38"/>
  <c r="O25" i="23"/>
  <c r="O25" i="24"/>
  <c r="N26" i="38"/>
  <c r="N25" i="23"/>
  <c r="N25" i="24"/>
  <c r="L26" i="23"/>
  <c r="L26" i="24"/>
  <c r="O28" i="38"/>
  <c r="O27" i="23"/>
  <c r="O27" i="24"/>
  <c r="N28" i="38"/>
  <c r="N27" i="23"/>
  <c r="N27" i="24"/>
  <c r="L28" i="23"/>
  <c r="L28" i="24"/>
  <c r="O30" i="38"/>
  <c r="O29" i="23"/>
  <c r="O29" i="24"/>
  <c r="N30" i="38"/>
  <c r="N29" i="23"/>
  <c r="N29" i="24"/>
  <c r="L30" i="23"/>
  <c r="L30" i="24"/>
  <c r="O31" i="23"/>
  <c r="O31" i="24"/>
  <c r="N31" i="23"/>
  <c r="N31" i="24"/>
  <c r="AI9" i="10"/>
  <c r="AJ9" i="10" s="1"/>
  <c r="Q9" i="10" s="1"/>
  <c r="CQ9" i="10" s="1"/>
  <c r="J10" i="38"/>
  <c r="V9" i="27"/>
  <c r="X9" i="27" s="1"/>
  <c r="M10" i="38"/>
  <c r="R10" i="27"/>
  <c r="T10" i="27" s="1"/>
  <c r="L11" i="38"/>
  <c r="AI11" i="10"/>
  <c r="AJ11" i="10" s="1"/>
  <c r="Q11" i="10" s="1"/>
  <c r="CQ11" i="10" s="1"/>
  <c r="J12" i="38"/>
  <c r="V11" i="27"/>
  <c r="X11" i="27" s="1"/>
  <c r="M12" i="38"/>
  <c r="AI12" i="10"/>
  <c r="AJ12" i="10" s="1"/>
  <c r="J13" i="38"/>
  <c r="V12" i="27"/>
  <c r="X12" i="27" s="1"/>
  <c r="M13" i="38"/>
  <c r="AI15" i="10"/>
  <c r="AJ15" i="10" s="1"/>
  <c r="J16" i="38"/>
  <c r="V15" i="27"/>
  <c r="X15" i="27" s="1"/>
  <c r="M16" i="38"/>
  <c r="AI17" i="10"/>
  <c r="AJ17" i="10" s="1"/>
  <c r="J18" i="38"/>
  <c r="V17" i="27"/>
  <c r="X17" i="27" s="1"/>
  <c r="M18" i="38"/>
  <c r="R18" i="27"/>
  <c r="T18" i="27" s="1"/>
  <c r="L19" i="38"/>
  <c r="AI19" i="10"/>
  <c r="AJ19" i="10" s="1"/>
  <c r="J20" i="38"/>
  <c r="V21" i="27"/>
  <c r="X21" i="27" s="1"/>
  <c r="M22" i="38"/>
  <c r="V22" i="27"/>
  <c r="X22" i="27" s="1"/>
  <c r="M23" i="38"/>
  <c r="AI24" i="10"/>
  <c r="AJ24" i="10" s="1"/>
  <c r="Q24" i="10" s="1"/>
  <c r="CQ24" i="10" s="1"/>
  <c r="J25" i="38"/>
  <c r="AI26" i="10"/>
  <c r="AJ26" i="10" s="1"/>
  <c r="Q26" i="10" s="1"/>
  <c r="J27" i="38"/>
  <c r="V26" i="27"/>
  <c r="X26" i="27" s="1"/>
  <c r="M27" i="38"/>
  <c r="AI28" i="10"/>
  <c r="AJ28" i="10" s="1"/>
  <c r="Q28" i="10" s="1"/>
  <c r="J29" i="38"/>
  <c r="V28" i="27"/>
  <c r="X28" i="27" s="1"/>
  <c r="M29" i="38"/>
  <c r="AI30" i="10"/>
  <c r="AJ30" i="10" s="1"/>
  <c r="Q30" i="10" s="1"/>
  <c r="CQ30" i="10" s="1"/>
  <c r="J31" i="38"/>
  <c r="V30" i="27"/>
  <c r="X30" i="27" s="1"/>
  <c r="M31" i="38"/>
  <c r="N31" i="27"/>
  <c r="P31" i="27" s="1"/>
  <c r="K32" i="38"/>
  <c r="V10" i="27"/>
  <c r="X10" i="27" s="1"/>
  <c r="M11" i="38"/>
  <c r="AI13" i="10"/>
  <c r="AJ13" i="10" s="1"/>
  <c r="Q13" i="10" s="1"/>
  <c r="CQ13" i="10" s="1"/>
  <c r="J14" i="38"/>
  <c r="R13" i="27"/>
  <c r="T13" i="27" s="1"/>
  <c r="L14" i="38"/>
  <c r="AS12" i="10"/>
  <c r="O13" i="38"/>
  <c r="AM13" i="2"/>
  <c r="R14" i="27"/>
  <c r="T14" i="27" s="1"/>
  <c r="L15" i="38"/>
  <c r="R16" i="27"/>
  <c r="L17" i="38"/>
  <c r="AS17" i="10"/>
  <c r="O18" i="38"/>
  <c r="AM18" i="2"/>
  <c r="V18" i="27"/>
  <c r="X18" i="27" s="1"/>
  <c r="M19" i="38"/>
  <c r="AS19" i="10"/>
  <c r="O20" i="38"/>
  <c r="AM20" i="2"/>
  <c r="AI21" i="10"/>
  <c r="AJ21" i="10" s="1"/>
  <c r="J22" i="38"/>
  <c r="R23" i="27"/>
  <c r="T23" i="27" s="1"/>
  <c r="L24" i="38"/>
  <c r="R25" i="27"/>
  <c r="L26" i="38"/>
  <c r="R27" i="27"/>
  <c r="T27" i="27" s="1"/>
  <c r="L28" i="38"/>
  <c r="R29" i="27"/>
  <c r="L30" i="38"/>
  <c r="R31" i="27"/>
  <c r="T31" i="27" s="1"/>
  <c r="L32" i="38"/>
  <c r="AS9" i="10"/>
  <c r="AT9" i="10" s="1"/>
  <c r="V9" i="10" s="1"/>
  <c r="CR9" i="10" s="1"/>
  <c r="O10" i="38"/>
  <c r="AM10" i="2"/>
  <c r="AI10" i="10"/>
  <c r="AJ10" i="10" s="1"/>
  <c r="Q10" i="10" s="1"/>
  <c r="CQ10" i="10" s="1"/>
  <c r="J11" i="38"/>
  <c r="AS11" i="10"/>
  <c r="AT11" i="10" s="1"/>
  <c r="V11" i="10" s="1"/>
  <c r="CR11" i="10" s="1"/>
  <c r="O12" i="38"/>
  <c r="AM12" i="2"/>
  <c r="V13" i="27"/>
  <c r="X13" i="27" s="1"/>
  <c r="M14" i="38"/>
  <c r="AI14" i="10"/>
  <c r="AJ14" i="10" s="1"/>
  <c r="J15" i="38"/>
  <c r="V14" i="27"/>
  <c r="X14" i="27" s="1"/>
  <c r="M15" i="38"/>
  <c r="AI16" i="10"/>
  <c r="AJ16" i="10" s="1"/>
  <c r="Q16" i="10" s="1"/>
  <c r="CQ16" i="10" s="1"/>
  <c r="J17" i="38"/>
  <c r="V16" i="27"/>
  <c r="X16" i="27" s="1"/>
  <c r="M17" i="38"/>
  <c r="AI18" i="10"/>
  <c r="AJ18" i="10" s="1"/>
  <c r="J19" i="38"/>
  <c r="R19" i="27"/>
  <c r="T19" i="27" s="1"/>
  <c r="L20" i="38"/>
  <c r="AI20" i="10"/>
  <c r="AJ20" i="10" s="1"/>
  <c r="Q20" i="10" s="1"/>
  <c r="CQ20" i="10" s="1"/>
  <c r="J21" i="38"/>
  <c r="R20" i="27"/>
  <c r="T20" i="27" s="1"/>
  <c r="L21" i="38"/>
  <c r="AI23" i="10"/>
  <c r="AJ23" i="10" s="1"/>
  <c r="Q23" i="10" s="1"/>
  <c r="CQ23" i="10" s="1"/>
  <c r="J24" i="38"/>
  <c r="V23" i="27"/>
  <c r="X23" i="27" s="1"/>
  <c r="M24" i="38"/>
  <c r="R24" i="27"/>
  <c r="T24" i="27" s="1"/>
  <c r="L25" i="38"/>
  <c r="AI25" i="10"/>
  <c r="AJ25" i="10" s="1"/>
  <c r="Q25" i="10" s="1"/>
  <c r="J26" i="38"/>
  <c r="V25" i="27"/>
  <c r="X25" i="27" s="1"/>
  <c r="M26" i="38"/>
  <c r="V27" i="27"/>
  <c r="X27" i="27" s="1"/>
  <c r="M28" i="38"/>
  <c r="AI29" i="10"/>
  <c r="AJ29" i="10" s="1"/>
  <c r="Q29" i="10" s="1"/>
  <c r="CQ29" i="10" s="1"/>
  <c r="J30" i="38"/>
  <c r="V29" i="27"/>
  <c r="X29" i="27" s="1"/>
  <c r="M30" i="38"/>
  <c r="V31" i="27"/>
  <c r="X31" i="27" s="1"/>
  <c r="M32" i="38"/>
  <c r="R9" i="27"/>
  <c r="T9" i="27" s="1"/>
  <c r="L10" i="38"/>
  <c r="AS10" i="10"/>
  <c r="AT10" i="10" s="1"/>
  <c r="V10" i="10" s="1"/>
  <c r="CR10" i="10" s="1"/>
  <c r="O11" i="38"/>
  <c r="AM11" i="2"/>
  <c r="R11" i="27"/>
  <c r="T11" i="27" s="1"/>
  <c r="L12" i="38"/>
  <c r="AS13" i="10"/>
  <c r="AT13" i="10" s="1"/>
  <c r="V13" i="10" s="1"/>
  <c r="CR13" i="10" s="1"/>
  <c r="O14" i="38"/>
  <c r="AM14" i="2"/>
  <c r="R12" i="27"/>
  <c r="T12" i="27" s="1"/>
  <c r="L13" i="38"/>
  <c r="AS14" i="10"/>
  <c r="O15" i="38"/>
  <c r="AM15" i="2"/>
  <c r="R15" i="27"/>
  <c r="T15" i="27" s="1"/>
  <c r="L16" i="38"/>
  <c r="R17" i="27"/>
  <c r="T17" i="27" s="1"/>
  <c r="L18" i="38"/>
  <c r="AS18" i="10"/>
  <c r="O19" i="38"/>
  <c r="AM19" i="2"/>
  <c r="V19" i="27"/>
  <c r="X19" i="27" s="1"/>
  <c r="M20" i="38"/>
  <c r="V20" i="27"/>
  <c r="X20" i="27" s="1"/>
  <c r="M21" i="38"/>
  <c r="R21" i="27"/>
  <c r="T21" i="27" s="1"/>
  <c r="L22" i="38"/>
  <c r="R22" i="27"/>
  <c r="T22" i="27" s="1"/>
  <c r="L23" i="38"/>
  <c r="V24" i="27"/>
  <c r="X24" i="27" s="1"/>
  <c r="M25" i="38"/>
  <c r="R26" i="27"/>
  <c r="T26" i="27" s="1"/>
  <c r="L27" i="38"/>
  <c r="R28" i="27"/>
  <c r="T28" i="27" s="1"/>
  <c r="L29" i="38"/>
  <c r="R30" i="27"/>
  <c r="T30" i="27" s="1"/>
  <c r="L31" i="38"/>
  <c r="O32" i="38"/>
  <c r="AM32" i="2"/>
  <c r="Z31" i="27"/>
  <c r="N32" i="38"/>
  <c r="AS16" i="10"/>
  <c r="AT16" i="10" s="1"/>
  <c r="V16" i="10" s="1"/>
  <c r="CR16" i="10" s="1"/>
  <c r="AM17" i="2"/>
  <c r="AS20" i="10"/>
  <c r="AT20" i="10" s="1"/>
  <c r="V20" i="10" s="1"/>
  <c r="CR20" i="10" s="1"/>
  <c r="AM21" i="2"/>
  <c r="AS22" i="10"/>
  <c r="AT22" i="10" s="1"/>
  <c r="V22" i="10" s="1"/>
  <c r="AM23" i="2"/>
  <c r="AS24" i="10"/>
  <c r="AT24" i="10" s="1"/>
  <c r="V24" i="10" s="1"/>
  <c r="CR24" i="10" s="1"/>
  <c r="AM25" i="2"/>
  <c r="AS26" i="10"/>
  <c r="AT26" i="10" s="1"/>
  <c r="V26" i="10" s="1"/>
  <c r="AM27" i="2"/>
  <c r="AS28" i="10"/>
  <c r="AT28" i="10" s="1"/>
  <c r="V28" i="10" s="1"/>
  <c r="AM29" i="2"/>
  <c r="AS30" i="10"/>
  <c r="AT30" i="10" s="1"/>
  <c r="V30" i="10" s="1"/>
  <c r="CR30" i="10" s="1"/>
  <c r="AM31" i="2"/>
  <c r="AS15" i="10"/>
  <c r="AM16" i="2"/>
  <c r="AS21" i="10"/>
  <c r="AM22" i="2"/>
  <c r="AS23" i="10"/>
  <c r="AT23" i="10" s="1"/>
  <c r="V23" i="10" s="1"/>
  <c r="CR23" i="10" s="1"/>
  <c r="AM24" i="2"/>
  <c r="AS25" i="10"/>
  <c r="AT25" i="10" s="1"/>
  <c r="V25" i="10" s="1"/>
  <c r="AM26" i="2"/>
  <c r="AS27" i="10"/>
  <c r="AT27" i="10" s="1"/>
  <c r="V27" i="10" s="1"/>
  <c r="CR27" i="10" s="1"/>
  <c r="AM28" i="2"/>
  <c r="AS29" i="10"/>
  <c r="AT29" i="10" s="1"/>
  <c r="V29" i="10" s="1"/>
  <c r="CR29" i="10" s="1"/>
  <c r="AM30" i="2"/>
  <c r="AQ14" i="10"/>
  <c r="AR14" i="10" s="1"/>
  <c r="Z14" i="27"/>
  <c r="AQ19" i="10"/>
  <c r="AR19" i="10" s="1"/>
  <c r="Z19" i="27"/>
  <c r="AQ20" i="10"/>
  <c r="AR20" i="10" s="1"/>
  <c r="U20" i="10" s="1"/>
  <c r="Z20" i="27"/>
  <c r="AQ24" i="10"/>
  <c r="AR24" i="10" s="1"/>
  <c r="U24" i="10" s="1"/>
  <c r="Z24" i="27"/>
  <c r="AQ9" i="10"/>
  <c r="AR9" i="10" s="1"/>
  <c r="U9" i="10" s="1"/>
  <c r="Z9" i="27"/>
  <c r="AQ17" i="10"/>
  <c r="AR17" i="10" s="1"/>
  <c r="Z17" i="27"/>
  <c r="AQ21" i="10"/>
  <c r="AR21" i="10" s="1"/>
  <c r="Z21" i="27"/>
  <c r="AQ22" i="10"/>
  <c r="AR22" i="10" s="1"/>
  <c r="U22" i="10" s="1"/>
  <c r="Z22" i="27"/>
  <c r="AQ26" i="10"/>
  <c r="AR26" i="10" s="1"/>
  <c r="U26" i="10" s="1"/>
  <c r="Z26" i="27"/>
  <c r="AQ28" i="10"/>
  <c r="AR28" i="10" s="1"/>
  <c r="U28" i="10" s="1"/>
  <c r="Z28" i="27"/>
  <c r="AQ30" i="10"/>
  <c r="AR30" i="10" s="1"/>
  <c r="U30" i="10" s="1"/>
  <c r="Z30" i="27"/>
  <c r="AQ11" i="10"/>
  <c r="AR11" i="10" s="1"/>
  <c r="U11" i="10" s="1"/>
  <c r="Z11" i="27"/>
  <c r="AQ12" i="10"/>
  <c r="AR12" i="10" s="1"/>
  <c r="U12" i="10" s="1"/>
  <c r="Z12" i="27"/>
  <c r="AQ15" i="10"/>
  <c r="AR15" i="10" s="1"/>
  <c r="Z15" i="27"/>
  <c r="AQ10" i="10"/>
  <c r="AR10" i="10" s="1"/>
  <c r="U10" i="10" s="1"/>
  <c r="Z10" i="27"/>
  <c r="AQ18" i="10"/>
  <c r="AR18" i="10" s="1"/>
  <c r="Z18" i="27"/>
  <c r="AQ13" i="10"/>
  <c r="AR13" i="10" s="1"/>
  <c r="U13" i="10" s="1"/>
  <c r="Z13" i="27"/>
  <c r="AQ16" i="10"/>
  <c r="AR16" i="10" s="1"/>
  <c r="U16" i="10" s="1"/>
  <c r="Z16" i="27"/>
  <c r="AQ23" i="10"/>
  <c r="AR23" i="10" s="1"/>
  <c r="U23" i="10" s="1"/>
  <c r="Z23" i="27"/>
  <c r="AQ25" i="10"/>
  <c r="AR25" i="10" s="1"/>
  <c r="U25" i="10" s="1"/>
  <c r="Z25" i="27"/>
  <c r="AQ27" i="10"/>
  <c r="AR27" i="10" s="1"/>
  <c r="U27" i="10" s="1"/>
  <c r="Z27" i="27"/>
  <c r="AQ29" i="10"/>
  <c r="AR29" i="10" s="1"/>
  <c r="U29" i="10" s="1"/>
  <c r="Z29" i="27"/>
  <c r="AM11" i="10"/>
  <c r="AN11" i="10" s="1"/>
  <c r="S11" i="10" s="1"/>
  <c r="AO9" i="10"/>
  <c r="AP9" i="10" s="1"/>
  <c r="T9" i="10" s="1"/>
  <c r="AM10" i="10"/>
  <c r="AN10" i="10" s="1"/>
  <c r="S10" i="10" s="1"/>
  <c r="AO11" i="10"/>
  <c r="AP11" i="10" s="1"/>
  <c r="T11" i="10" s="1"/>
  <c r="AK13" i="10"/>
  <c r="AL13" i="10" s="1"/>
  <c r="R13" i="10" s="1"/>
  <c r="N13" i="27"/>
  <c r="P13" i="27" s="1"/>
  <c r="AO12" i="10"/>
  <c r="AP12" i="10" s="1"/>
  <c r="T12" i="10" s="1"/>
  <c r="AK14" i="10"/>
  <c r="N14" i="27"/>
  <c r="P14" i="27" s="1"/>
  <c r="AO15" i="10"/>
  <c r="AP15" i="10" s="1"/>
  <c r="AK16" i="10"/>
  <c r="AL16" i="10" s="1"/>
  <c r="R16" i="10" s="1"/>
  <c r="N16" i="27"/>
  <c r="AO17" i="10"/>
  <c r="AP17" i="10" s="1"/>
  <c r="AM18" i="10"/>
  <c r="AO21" i="10"/>
  <c r="AP21" i="10" s="1"/>
  <c r="AO22" i="10"/>
  <c r="AP22" i="10" s="1"/>
  <c r="T22" i="10" s="1"/>
  <c r="AK23" i="10"/>
  <c r="AL23" i="10" s="1"/>
  <c r="R23" i="10" s="1"/>
  <c r="N23" i="27"/>
  <c r="P23" i="27" s="1"/>
  <c r="AK25" i="10"/>
  <c r="AL25" i="10" s="1"/>
  <c r="R25" i="10" s="1"/>
  <c r="N25" i="27"/>
  <c r="AO26" i="10"/>
  <c r="AP26" i="10" s="1"/>
  <c r="T26" i="10" s="1"/>
  <c r="AK27" i="10"/>
  <c r="AL27" i="10" s="1"/>
  <c r="R27" i="10" s="1"/>
  <c r="N27" i="27"/>
  <c r="P27" i="27" s="1"/>
  <c r="AO28" i="10"/>
  <c r="AP28" i="10" s="1"/>
  <c r="T28" i="10" s="1"/>
  <c r="AK29" i="10"/>
  <c r="AL29" i="10" s="1"/>
  <c r="R29" i="10" s="1"/>
  <c r="N29" i="27"/>
  <c r="AO30" i="10"/>
  <c r="AP30" i="10" s="1"/>
  <c r="T30" i="10" s="1"/>
  <c r="AO18" i="10"/>
  <c r="AP18" i="10" s="1"/>
  <c r="AK19" i="10"/>
  <c r="N19" i="27"/>
  <c r="P19" i="27" s="1"/>
  <c r="AK20" i="10"/>
  <c r="AL20" i="10" s="1"/>
  <c r="R20" i="10" s="1"/>
  <c r="N20" i="27"/>
  <c r="P20" i="27" s="1"/>
  <c r="AM23" i="10"/>
  <c r="AN23" i="10" s="1"/>
  <c r="S23" i="10" s="1"/>
  <c r="AK24" i="10"/>
  <c r="AL24" i="10" s="1"/>
  <c r="R24" i="10" s="1"/>
  <c r="N24" i="27"/>
  <c r="P24" i="27" s="1"/>
  <c r="AM25" i="10"/>
  <c r="AN25" i="10" s="1"/>
  <c r="S25" i="10" s="1"/>
  <c r="AM27" i="10"/>
  <c r="AN27" i="10" s="1"/>
  <c r="S27" i="10" s="1"/>
  <c r="AM29" i="10"/>
  <c r="AN29" i="10" s="1"/>
  <c r="S29" i="10" s="1"/>
  <c r="AO10" i="10"/>
  <c r="AP10" i="10" s="1"/>
  <c r="T10" i="10" s="1"/>
  <c r="AM13" i="10"/>
  <c r="AN13" i="10" s="1"/>
  <c r="S13" i="10" s="1"/>
  <c r="AM14" i="10"/>
  <c r="AM16" i="10"/>
  <c r="AN16" i="10" s="1"/>
  <c r="S16" i="10" s="1"/>
  <c r="AK9" i="10"/>
  <c r="AL9" i="10" s="1"/>
  <c r="R9" i="10" s="1"/>
  <c r="N9" i="27"/>
  <c r="P9" i="27" s="1"/>
  <c r="AK11" i="10"/>
  <c r="AL11" i="10" s="1"/>
  <c r="R11" i="10" s="1"/>
  <c r="N11" i="27"/>
  <c r="P11" i="27" s="1"/>
  <c r="AO13" i="10"/>
  <c r="AP13" i="10" s="1"/>
  <c r="T13" i="10" s="1"/>
  <c r="AK12" i="10"/>
  <c r="N12" i="27"/>
  <c r="P12" i="27" s="1"/>
  <c r="AO14" i="10"/>
  <c r="AP14" i="10" s="1"/>
  <c r="AK15" i="10"/>
  <c r="N15" i="27"/>
  <c r="P15" i="27" s="1"/>
  <c r="AO16" i="10"/>
  <c r="AP16" i="10" s="1"/>
  <c r="T16" i="10" s="1"/>
  <c r="AK17" i="10"/>
  <c r="N17" i="27"/>
  <c r="P17" i="27" s="1"/>
  <c r="AM19" i="10"/>
  <c r="AM20" i="10"/>
  <c r="AN20" i="10" s="1"/>
  <c r="S20" i="10" s="1"/>
  <c r="AK21" i="10"/>
  <c r="N21" i="27"/>
  <c r="P21" i="27" s="1"/>
  <c r="AK22" i="10"/>
  <c r="AL22" i="10" s="1"/>
  <c r="R22" i="10" s="1"/>
  <c r="N22" i="27"/>
  <c r="P22" i="27" s="1"/>
  <c r="AO23" i="10"/>
  <c r="AP23" i="10" s="1"/>
  <c r="T23" i="10" s="1"/>
  <c r="AM24" i="10"/>
  <c r="AN24" i="10" s="1"/>
  <c r="S24" i="10" s="1"/>
  <c r="AO25" i="10"/>
  <c r="AP25" i="10" s="1"/>
  <c r="T25" i="10" s="1"/>
  <c r="AK26" i="10"/>
  <c r="AL26" i="10" s="1"/>
  <c r="R26" i="10" s="1"/>
  <c r="N26" i="27"/>
  <c r="P26" i="27" s="1"/>
  <c r="AO27" i="10"/>
  <c r="AP27" i="10" s="1"/>
  <c r="T27" i="10" s="1"/>
  <c r="AK28" i="10"/>
  <c r="AL28" i="10" s="1"/>
  <c r="R28" i="10" s="1"/>
  <c r="N28" i="27"/>
  <c r="P28" i="27" s="1"/>
  <c r="AO29" i="10"/>
  <c r="AP29" i="10" s="1"/>
  <c r="T29" i="10" s="1"/>
  <c r="AK30" i="10"/>
  <c r="AL30" i="10" s="1"/>
  <c r="R30" i="10" s="1"/>
  <c r="N30" i="27"/>
  <c r="P30" i="27" s="1"/>
  <c r="AM9" i="10"/>
  <c r="AN9" i="10" s="1"/>
  <c r="S9" i="10" s="1"/>
  <c r="AK10" i="10"/>
  <c r="AL10" i="10" s="1"/>
  <c r="R10" i="10" s="1"/>
  <c r="N10" i="27"/>
  <c r="P10" i="27" s="1"/>
  <c r="AM12" i="10"/>
  <c r="AM15" i="10"/>
  <c r="AM17" i="10"/>
  <c r="AK18" i="10"/>
  <c r="N18" i="27"/>
  <c r="P18" i="27" s="1"/>
  <c r="AO19" i="10"/>
  <c r="AP19" i="10" s="1"/>
  <c r="AO20" i="10"/>
  <c r="AP20" i="10" s="1"/>
  <c r="T20" i="10" s="1"/>
  <c r="AM21" i="10"/>
  <c r="AM22" i="10"/>
  <c r="AN22" i="10" s="1"/>
  <c r="S22" i="10" s="1"/>
  <c r="AO24" i="10"/>
  <c r="AP24" i="10" s="1"/>
  <c r="T24" i="10" s="1"/>
  <c r="AM26" i="10"/>
  <c r="AN26" i="10" s="1"/>
  <c r="S26" i="10" s="1"/>
  <c r="AM28" i="10"/>
  <c r="AN28" i="10" s="1"/>
  <c r="S28" i="10" s="1"/>
  <c r="AM30" i="10"/>
  <c r="AN30" i="10" s="1"/>
  <c r="S30" i="10" s="1"/>
  <c r="Y7" i="9"/>
  <c r="J9" i="27"/>
  <c r="L9" i="27" s="1"/>
  <c r="J11" i="27"/>
  <c r="L11" i="27" s="1"/>
  <c r="J17" i="27"/>
  <c r="L17" i="27" s="1"/>
  <c r="J19" i="27"/>
  <c r="L19" i="27" s="1"/>
  <c r="J24" i="27"/>
  <c r="L24" i="27" s="1"/>
  <c r="J26" i="27"/>
  <c r="L26" i="27" s="1"/>
  <c r="J28" i="27"/>
  <c r="L28" i="27" s="1"/>
  <c r="J30" i="27"/>
  <c r="L30" i="27" s="1"/>
  <c r="AD9" i="27"/>
  <c r="AF9" i="27" s="1"/>
  <c r="AL10" i="2"/>
  <c r="J13" i="27"/>
  <c r="L13" i="27" s="1"/>
  <c r="AD12" i="27"/>
  <c r="AF12" i="27" s="1"/>
  <c r="AL13" i="2"/>
  <c r="AL16" i="2"/>
  <c r="AD15" i="27"/>
  <c r="AF15" i="27" s="1"/>
  <c r="AD17" i="27"/>
  <c r="AF17" i="27" s="1"/>
  <c r="AL18" i="2"/>
  <c r="AD19" i="27"/>
  <c r="AF19" i="27" s="1"/>
  <c r="AL20" i="2"/>
  <c r="J21" i="27"/>
  <c r="L21" i="27" s="1"/>
  <c r="AD22" i="27"/>
  <c r="AF22" i="27" s="1"/>
  <c r="AL23" i="2"/>
  <c r="AL25" i="2"/>
  <c r="AD24" i="27"/>
  <c r="AF24" i="27" s="1"/>
  <c r="AD26" i="27"/>
  <c r="AF26" i="27" s="1"/>
  <c r="AL27" i="2"/>
  <c r="AD28" i="27"/>
  <c r="AF28" i="27" s="1"/>
  <c r="AL29" i="2"/>
  <c r="AL31" i="2"/>
  <c r="AD30" i="27"/>
  <c r="AF30" i="27" s="1"/>
  <c r="J12" i="27"/>
  <c r="L12" i="27" s="1"/>
  <c r="J15" i="27"/>
  <c r="L15" i="27" s="1"/>
  <c r="J10" i="27"/>
  <c r="L10" i="27" s="1"/>
  <c r="AD11" i="27"/>
  <c r="AF11" i="27" s="1"/>
  <c r="AL12" i="2"/>
  <c r="J14" i="27"/>
  <c r="L14" i="27" s="1"/>
  <c r="J16" i="27"/>
  <c r="J18" i="27"/>
  <c r="L18" i="27" s="1"/>
  <c r="J20" i="27"/>
  <c r="L20" i="27" s="1"/>
  <c r="AL22" i="2"/>
  <c r="AD21" i="27"/>
  <c r="AF21" i="27" s="1"/>
  <c r="J23" i="27"/>
  <c r="L23" i="27" s="1"/>
  <c r="J25" i="27"/>
  <c r="J29" i="27"/>
  <c r="J31" i="27"/>
  <c r="L31" i="27" s="1"/>
  <c r="AL21" i="2"/>
  <c r="AD20" i="27"/>
  <c r="AF20" i="27" s="1"/>
  <c r="AD10" i="27"/>
  <c r="AF10" i="27" s="1"/>
  <c r="AL11" i="2"/>
  <c r="AD13" i="27"/>
  <c r="AF13" i="27" s="1"/>
  <c r="AL14" i="2"/>
  <c r="AD14" i="27"/>
  <c r="AF14" i="27" s="1"/>
  <c r="AL15" i="2"/>
  <c r="AL17" i="2"/>
  <c r="AD16" i="27"/>
  <c r="AD18" i="27"/>
  <c r="AF18" i="27" s="1"/>
  <c r="AL19" i="2"/>
  <c r="AL24" i="2"/>
  <c r="AD23" i="27"/>
  <c r="AF23" i="27" s="1"/>
  <c r="AD25" i="27"/>
  <c r="AL26" i="2"/>
  <c r="AL28" i="2"/>
  <c r="AD27" i="27"/>
  <c r="AF27" i="27" s="1"/>
  <c r="AD29" i="27"/>
  <c r="AL30" i="2"/>
  <c r="AD31" i="27"/>
  <c r="AF31" i="27" s="1"/>
  <c r="AL32" i="2"/>
  <c r="V10" i="11"/>
  <c r="V25" i="11"/>
  <c r="V12" i="11"/>
  <c r="V20" i="11"/>
  <c r="W25" i="11"/>
  <c r="W29" i="11"/>
  <c r="V8" i="11"/>
  <c r="V14" i="11"/>
  <c r="V23" i="11"/>
  <c r="V27" i="11"/>
  <c r="V13" i="11"/>
  <c r="V15" i="11"/>
  <c r="V22" i="11"/>
  <c r="V24" i="11"/>
  <c r="V28" i="11"/>
  <c r="V30" i="11"/>
  <c r="V11" i="11"/>
  <c r="V16" i="11"/>
  <c r="V18" i="11"/>
  <c r="E25" i="12" s="1"/>
  <c r="V29" i="11"/>
  <c r="W26" i="11"/>
  <c r="W28" i="11"/>
  <c r="L7" i="9"/>
  <c r="K7" i="6"/>
  <c r="L28" i="2"/>
  <c r="V19" i="11"/>
  <c r="W21" i="11"/>
  <c r="W30" i="11"/>
  <c r="V9" i="11"/>
  <c r="W13" i="11"/>
  <c r="V17" i="11"/>
  <c r="W18" i="11"/>
  <c r="W24" i="11"/>
  <c r="W8" i="11"/>
  <c r="W9" i="11"/>
  <c r="W10" i="11"/>
  <c r="W11" i="11"/>
  <c r="W16" i="11"/>
  <c r="W17" i="11"/>
  <c r="W12" i="11"/>
  <c r="W15" i="11"/>
  <c r="W22" i="11"/>
  <c r="W23" i="11"/>
  <c r="W27" i="11"/>
  <c r="W14" i="11"/>
  <c r="W19" i="11"/>
  <c r="W20" i="11"/>
  <c r="L23" i="2"/>
  <c r="O9" i="2"/>
  <c r="N8" i="27" s="1"/>
  <c r="AT14" i="10" l="1"/>
  <c r="V14" i="10"/>
  <c r="AT17" i="10"/>
  <c r="V17" i="10"/>
  <c r="CR17" i="10" s="1"/>
  <c r="AN12" i="10"/>
  <c r="S12" i="10"/>
  <c r="AN19" i="10"/>
  <c r="S19" i="10"/>
  <c r="AL12" i="10"/>
  <c r="R12" i="10"/>
  <c r="AL14" i="10"/>
  <c r="R14" i="10"/>
  <c r="AT18" i="10"/>
  <c r="V18" i="10"/>
  <c r="CR18" i="10" s="1"/>
  <c r="AN14" i="10"/>
  <c r="S14" i="10"/>
  <c r="AL19" i="10"/>
  <c r="R19" i="10"/>
  <c r="AT15" i="10"/>
  <c r="V15" i="10"/>
  <c r="CR15" i="10" s="1"/>
  <c r="AN21" i="10"/>
  <c r="S21" i="10"/>
  <c r="AL18" i="10"/>
  <c r="R18" i="10"/>
  <c r="AT21" i="10"/>
  <c r="V21" i="10"/>
  <c r="CR21" i="10" s="1"/>
  <c r="AN15" i="10"/>
  <c r="S15" i="10"/>
  <c r="AL15" i="10"/>
  <c r="R15" i="10"/>
  <c r="AN17" i="10"/>
  <c r="S17" i="10"/>
  <c r="AL21" i="10"/>
  <c r="R21" i="10"/>
  <c r="AL17" i="10"/>
  <c r="R17" i="10"/>
  <c r="Q17" i="10" s="1"/>
  <c r="CQ17" i="10" s="1"/>
  <c r="AN18" i="10"/>
  <c r="S18" i="10"/>
  <c r="AT19" i="10"/>
  <c r="V19" i="10"/>
  <c r="CR19" i="10" s="1"/>
  <c r="AT12" i="10"/>
  <c r="V12" i="10"/>
  <c r="CR12" i="10" s="1"/>
  <c r="E27" i="12"/>
  <c r="Q9" i="2"/>
  <c r="N9" i="2"/>
  <c r="P25" i="27"/>
  <c r="Q25" i="27"/>
  <c r="P16" i="27"/>
  <c r="Q16" i="27"/>
  <c r="AF29" i="27"/>
  <c r="AG29" i="27"/>
  <c r="AF25" i="27"/>
  <c r="AG25" i="27"/>
  <c r="T25" i="27"/>
  <c r="U25" i="27"/>
  <c r="T9" i="2"/>
  <c r="T16" i="27"/>
  <c r="U16" i="27"/>
  <c r="AD9" i="2"/>
  <c r="Z4" i="30" s="1"/>
  <c r="T29" i="27"/>
  <c r="U29" i="27"/>
  <c r="L29" i="27"/>
  <c r="M29" i="27"/>
  <c r="L16" i="27"/>
  <c r="M16" i="27"/>
  <c r="L25" i="27"/>
  <c r="M25" i="27"/>
  <c r="P29" i="27"/>
  <c r="Q29" i="27"/>
  <c r="R17" i="25"/>
  <c r="R9" i="25" s="1"/>
  <c r="Q17" i="25"/>
  <c r="Q9" i="25" s="1"/>
  <c r="J4" i="30" s="1"/>
  <c r="AF16" i="27"/>
  <c r="AG16" i="27"/>
  <c r="K9" i="38"/>
  <c r="N9" i="38"/>
  <c r="J22" i="23"/>
  <c r="J22" i="24"/>
  <c r="J27" i="23"/>
  <c r="J27" i="24"/>
  <c r="X28" i="10"/>
  <c r="Y28" i="10"/>
  <c r="AA28" i="10"/>
  <c r="AB26" i="10"/>
  <c r="CR26" i="10" s="1"/>
  <c r="Z28" i="10"/>
  <c r="AS8" i="10"/>
  <c r="Y26" i="10"/>
  <c r="X26" i="10"/>
  <c r="Z26" i="10"/>
  <c r="AA26" i="10"/>
  <c r="AB28" i="10"/>
  <c r="CR28" i="10" s="1"/>
  <c r="W28" i="10"/>
  <c r="CQ28" i="10" s="1"/>
  <c r="W26" i="10"/>
  <c r="CQ26" i="10" s="1"/>
  <c r="Y22" i="10"/>
  <c r="Z25" i="10"/>
  <c r="X22" i="10"/>
  <c r="Y25" i="10"/>
  <c r="Z22" i="10"/>
  <c r="W25" i="10"/>
  <c r="CQ25" i="10" s="1"/>
  <c r="X25" i="10"/>
  <c r="AA25" i="10"/>
  <c r="AA22" i="10"/>
  <c r="AB25" i="10"/>
  <c r="CR25" i="10" s="1"/>
  <c r="AB22" i="10"/>
  <c r="CR22" i="10" s="1"/>
  <c r="AI27" i="10"/>
  <c r="AJ27" i="10" s="1"/>
  <c r="Q27" i="10" s="1"/>
  <c r="CQ27" i="10" s="1"/>
  <c r="J28" i="38"/>
  <c r="M9" i="38"/>
  <c r="O9" i="38"/>
  <c r="L9" i="38"/>
  <c r="AI22" i="10"/>
  <c r="AJ22" i="10" s="1"/>
  <c r="Q22" i="10" s="1"/>
  <c r="J23" i="38"/>
  <c r="AM9" i="2"/>
  <c r="K8" i="23"/>
  <c r="AB10" i="27"/>
  <c r="Z11" i="2"/>
  <c r="AB20" i="27"/>
  <c r="Z21" i="2"/>
  <c r="AB28" i="27"/>
  <c r="Z29" i="2"/>
  <c r="AB26" i="27"/>
  <c r="Z27" i="2"/>
  <c r="AB17" i="27"/>
  <c r="Z18" i="2"/>
  <c r="AB15" i="27"/>
  <c r="Z16" i="2"/>
  <c r="AB25" i="27"/>
  <c r="Z26" i="2"/>
  <c r="AB23" i="27"/>
  <c r="Z24" i="2"/>
  <c r="AB27" i="27"/>
  <c r="Z28" i="2"/>
  <c r="AB18" i="27"/>
  <c r="Z19" i="2"/>
  <c r="AB19" i="27"/>
  <c r="Z20" i="2"/>
  <c r="AB30" i="27"/>
  <c r="Z31" i="2"/>
  <c r="AB9" i="27"/>
  <c r="Z10" i="2"/>
  <c r="AB31" i="27"/>
  <c r="Z32" i="2"/>
  <c r="AB29" i="27"/>
  <c r="Z30" i="2"/>
  <c r="AB16" i="27"/>
  <c r="Z17" i="2"/>
  <c r="AB14" i="27"/>
  <c r="Z15" i="2"/>
  <c r="AB13" i="27"/>
  <c r="Z14" i="2"/>
  <c r="AB24" i="27"/>
  <c r="Z25" i="2"/>
  <c r="AB21" i="27"/>
  <c r="Z22" i="2"/>
  <c r="AB22" i="27"/>
  <c r="Z23" i="2"/>
  <c r="AB12" i="27"/>
  <c r="Z13" i="2"/>
  <c r="AB11" i="27"/>
  <c r="Z12" i="2"/>
  <c r="M8" i="23"/>
  <c r="L8" i="23"/>
  <c r="N8" i="23"/>
  <c r="J27" i="27"/>
  <c r="L27" i="27" s="1"/>
  <c r="X8" i="27"/>
  <c r="K9" i="25"/>
  <c r="J22" i="27"/>
  <c r="L22" i="27" s="1"/>
  <c r="M8" i="24"/>
  <c r="T8" i="27"/>
  <c r="N9" i="25"/>
  <c r="O9" i="25"/>
  <c r="M9" i="25"/>
  <c r="O8" i="24"/>
  <c r="L8" i="24"/>
  <c r="L9" i="25"/>
  <c r="K8" i="24"/>
  <c r="N8" i="24"/>
  <c r="AL9" i="2"/>
  <c r="E4" i="19" s="1"/>
  <c r="O8" i="23"/>
  <c r="V26" i="11"/>
  <c r="G4" i="21"/>
  <c r="G57" i="21" s="1"/>
  <c r="H57" i="21" s="1"/>
  <c r="I57" i="21" s="1"/>
  <c r="J57" i="21" s="1"/>
  <c r="K57" i="21" s="1"/>
  <c r="V21" i="11"/>
  <c r="H29" i="19"/>
  <c r="F29" i="19"/>
  <c r="D29" i="19"/>
  <c r="AO170" i="2"/>
  <c r="H28" i="19" s="1"/>
  <c r="AN170" i="2"/>
  <c r="G28" i="19" s="1"/>
  <c r="AM170" i="2"/>
  <c r="F28" i="19" s="1"/>
  <c r="AK170" i="2"/>
  <c r="D28" i="19" s="1"/>
  <c r="D27" i="19"/>
  <c r="AO154" i="2"/>
  <c r="H26" i="19" s="1"/>
  <c r="AN154" i="2"/>
  <c r="G26" i="19" s="1"/>
  <c r="AM154" i="2"/>
  <c r="F26" i="19" s="1"/>
  <c r="AL154" i="2"/>
  <c r="E26" i="19" s="1"/>
  <c r="AO148" i="2"/>
  <c r="H25" i="19" s="1"/>
  <c r="AN148" i="2"/>
  <c r="G25" i="19" s="1"/>
  <c r="AM148" i="2"/>
  <c r="F25" i="19" s="1"/>
  <c r="AK148" i="2"/>
  <c r="D25" i="19" s="1"/>
  <c r="AO108" i="2"/>
  <c r="H20" i="19" s="1"/>
  <c r="AN108" i="2"/>
  <c r="G20" i="19" s="1"/>
  <c r="AM108" i="2"/>
  <c r="F20" i="19" s="1"/>
  <c r="AK108" i="2"/>
  <c r="D20" i="19" s="1"/>
  <c r="AO102" i="2"/>
  <c r="H19" i="19" s="1"/>
  <c r="AN102" i="2"/>
  <c r="G19" i="19" s="1"/>
  <c r="AM102" i="2"/>
  <c r="F19" i="19" s="1"/>
  <c r="AK102" i="2"/>
  <c r="D19" i="19" s="1"/>
  <c r="H18" i="19"/>
  <c r="G18" i="19"/>
  <c r="D18" i="19"/>
  <c r="AO86" i="2"/>
  <c r="H17" i="19" s="1"/>
  <c r="AN86" i="2"/>
  <c r="G17" i="19" s="1"/>
  <c r="AK86" i="2"/>
  <c r="D17" i="19" s="1"/>
  <c r="H16" i="19"/>
  <c r="G16" i="19"/>
  <c r="F16" i="19"/>
  <c r="D16" i="19"/>
  <c r="D15" i="19"/>
  <c r="AO74" i="2"/>
  <c r="H14" i="19" s="1"/>
  <c r="AK74" i="2"/>
  <c r="D14" i="19" s="1"/>
  <c r="AO67" i="2"/>
  <c r="H13" i="19" s="1"/>
  <c r="AN67" i="2"/>
  <c r="G13" i="19" s="1"/>
  <c r="AK67" i="2"/>
  <c r="D13" i="19" s="1"/>
  <c r="AO62" i="2"/>
  <c r="H12" i="19" s="1"/>
  <c r="AN62" i="2"/>
  <c r="G12" i="19" s="1"/>
  <c r="AK62" i="2"/>
  <c r="D12" i="19" s="1"/>
  <c r="AO58" i="2"/>
  <c r="H11" i="19" s="1"/>
  <c r="AN58" i="2"/>
  <c r="G11" i="19" s="1"/>
  <c r="AK58" i="2"/>
  <c r="D11" i="19" s="1"/>
  <c r="AO56" i="2"/>
  <c r="H10" i="19" s="1"/>
  <c r="AN56" i="2"/>
  <c r="G10" i="19" s="1"/>
  <c r="AO50" i="2"/>
  <c r="H9" i="19" s="1"/>
  <c r="AN50" i="2"/>
  <c r="G9" i="19" s="1"/>
  <c r="AM50" i="2"/>
  <c r="F9" i="19" s="1"/>
  <c r="AK50" i="2"/>
  <c r="D9" i="19" s="1"/>
  <c r="H7" i="19"/>
  <c r="G7" i="19"/>
  <c r="F7" i="19"/>
  <c r="E7" i="19"/>
  <c r="H8" i="19"/>
  <c r="G8" i="19"/>
  <c r="F8" i="19"/>
  <c r="E8" i="19"/>
  <c r="AO46" i="2"/>
  <c r="AN46" i="2"/>
  <c r="AM46" i="2"/>
  <c r="AL46" i="2"/>
  <c r="AO33" i="2"/>
  <c r="H5" i="19" s="1"/>
  <c r="AN33" i="2"/>
  <c r="G5" i="19" s="1"/>
  <c r="AK33" i="2"/>
  <c r="D5" i="19" s="1"/>
  <c r="H6" i="19"/>
  <c r="Q21" i="10" l="1"/>
  <c r="CQ21" i="10" s="1"/>
  <c r="Q15" i="10"/>
  <c r="CQ15" i="10" s="1"/>
  <c r="Q12" i="10"/>
  <c r="CQ12" i="10" s="1"/>
  <c r="Q14" i="10"/>
  <c r="CQ14" i="10" s="1"/>
  <c r="CR14" i="10"/>
  <c r="Q18" i="10"/>
  <c r="CQ18" i="10" s="1"/>
  <c r="Q19" i="10"/>
  <c r="CQ19" i="10" s="1"/>
  <c r="AH8" i="10"/>
  <c r="P8" i="27"/>
  <c r="M8" i="27"/>
  <c r="AF8" i="27"/>
  <c r="M4" i="30"/>
  <c r="P4" i="30" s="1"/>
  <c r="S4" i="30" s="1"/>
  <c r="V4" i="30" s="1"/>
  <c r="Q8" i="27"/>
  <c r="AG8" i="27"/>
  <c r="CI30" i="10"/>
  <c r="CJ30" i="10" s="1"/>
  <c r="CI13" i="10"/>
  <c r="CJ13" i="10" s="1"/>
  <c r="CI23" i="10"/>
  <c r="CJ23" i="10" s="1"/>
  <c r="CI29" i="10"/>
  <c r="CJ29" i="10" s="1"/>
  <c r="CI24" i="10"/>
  <c r="CJ24" i="10" s="1"/>
  <c r="CI16" i="10"/>
  <c r="CJ16" i="10" s="1"/>
  <c r="CI17" i="10"/>
  <c r="CJ17" i="10" s="1"/>
  <c r="CI27" i="10"/>
  <c r="CJ27" i="10" s="1"/>
  <c r="CI28" i="10"/>
  <c r="CJ28" i="10" s="1"/>
  <c r="CI26" i="10"/>
  <c r="CJ26" i="10" s="1"/>
  <c r="CI14" i="10"/>
  <c r="CJ14" i="10" s="1"/>
  <c r="CI22" i="10"/>
  <c r="CJ22" i="10" s="1"/>
  <c r="CI10" i="10"/>
  <c r="CJ10" i="10" s="1"/>
  <c r="CI11" i="10"/>
  <c r="CJ11" i="10" s="1"/>
  <c r="CI15" i="10"/>
  <c r="CJ15" i="10" s="1"/>
  <c r="J9" i="38"/>
  <c r="W22" i="10"/>
  <c r="CQ22" i="10" s="1"/>
  <c r="CI19" i="10"/>
  <c r="CJ19" i="10" s="1"/>
  <c r="CI21" i="10"/>
  <c r="CJ21" i="10" s="1"/>
  <c r="CI20" i="10"/>
  <c r="CJ20" i="10" s="1"/>
  <c r="CI12" i="10"/>
  <c r="CJ12" i="10" s="1"/>
  <c r="CI25" i="10"/>
  <c r="CJ25" i="10" s="1"/>
  <c r="CI18" i="10"/>
  <c r="CJ18" i="10" s="1"/>
  <c r="AI8" i="10"/>
  <c r="J9" i="25"/>
  <c r="J8" i="24"/>
  <c r="L8" i="27"/>
  <c r="AB8" i="27"/>
  <c r="Z9" i="2"/>
  <c r="J8" i="23"/>
  <c r="L40" i="8" l="1"/>
  <c r="V33" i="6"/>
  <c r="K124" i="38" l="1"/>
  <c r="K121" i="38"/>
  <c r="AK122" i="10" l="1"/>
  <c r="CS122" i="10" s="1"/>
  <c r="N123" i="27"/>
  <c r="P123" i="27" s="1"/>
  <c r="AK125" i="10"/>
  <c r="CS125" i="10" s="1"/>
  <c r="N126" i="27"/>
  <c r="P126" i="27" s="1"/>
  <c r="O151" i="2"/>
  <c r="AD122" i="10" l="1"/>
  <c r="X122" i="10"/>
  <c r="X125" i="10"/>
  <c r="AD125" i="10"/>
  <c r="K149" i="23"/>
  <c r="K150" i="25"/>
  <c r="K150" i="24"/>
  <c r="N150" i="27"/>
  <c r="Q150" i="27" s="1"/>
  <c r="K150" i="38"/>
  <c r="Q151" i="2"/>
  <c r="AK150" i="10"/>
  <c r="AL150" i="10" s="1"/>
  <c r="AA180" i="2"/>
  <c r="X180" i="2"/>
  <c r="N179" i="38" s="1"/>
  <c r="U180" i="2"/>
  <c r="R180" i="2"/>
  <c r="O180" i="2"/>
  <c r="K179" i="38" s="1"/>
  <c r="L71" i="8"/>
  <c r="P69" i="8"/>
  <c r="O69" i="8"/>
  <c r="N69" i="8"/>
  <c r="Q69" i="8"/>
  <c r="M69" i="8"/>
  <c r="X150" i="10" l="1"/>
  <c r="R150" i="10"/>
  <c r="P150" i="27"/>
  <c r="V179" i="27"/>
  <c r="X179" i="27" s="1"/>
  <c r="M179" i="38"/>
  <c r="R179" i="27"/>
  <c r="T179" i="27" s="1"/>
  <c r="L179" i="38"/>
  <c r="AS180" i="10"/>
  <c r="V180" i="10" s="1"/>
  <c r="O179" i="38"/>
  <c r="AQ180" i="10"/>
  <c r="AG180" i="10" s="1"/>
  <c r="AG173" i="10" s="1"/>
  <c r="Z179" i="27"/>
  <c r="AK180" i="10"/>
  <c r="N179" i="27"/>
  <c r="P179" i="27" s="1"/>
  <c r="AM180" i="10"/>
  <c r="AO180" i="10"/>
  <c r="T180" i="10" s="1"/>
  <c r="AD179" i="27"/>
  <c r="AF179" i="27" s="1"/>
  <c r="AN180" i="2"/>
  <c r="L180" i="2"/>
  <c r="W178" i="11"/>
  <c r="L25" i="3"/>
  <c r="L24" i="3" s="1"/>
  <c r="D180" i="10" l="1"/>
  <c r="L180" i="10"/>
  <c r="AL180" i="10" s="1"/>
  <c r="P180" i="10"/>
  <c r="AT180" i="10" s="1"/>
  <c r="AB180" i="10"/>
  <c r="AH180" i="10"/>
  <c r="AH173" i="10" s="1"/>
  <c r="AI180" i="10"/>
  <c r="AC180" i="10" s="1"/>
  <c r="AC173" i="10" s="1"/>
  <c r="J179" i="38"/>
  <c r="AF180" i="10"/>
  <c r="AF173" i="10" s="1"/>
  <c r="U180" i="10"/>
  <c r="M180" i="10"/>
  <c r="AA180" i="10"/>
  <c r="O180" i="10"/>
  <c r="Y180" i="10"/>
  <c r="S180" i="10"/>
  <c r="R180" i="10"/>
  <c r="X180" i="10"/>
  <c r="N180" i="10"/>
  <c r="Z180" i="10"/>
  <c r="AE180" i="10"/>
  <c r="AE173" i="10" s="1"/>
  <c r="AD180" i="10"/>
  <c r="AD173" i="10" s="1"/>
  <c r="AB179" i="27"/>
  <c r="V178" i="11"/>
  <c r="J179" i="27"/>
  <c r="L179" i="27" s="1"/>
  <c r="K180" i="10" l="1"/>
  <c r="W180" i="10"/>
  <c r="Q180" i="10"/>
  <c r="E180" i="10"/>
  <c r="C180" i="10"/>
  <c r="G3" i="13"/>
  <c r="C34" i="12"/>
  <c r="D32" i="12"/>
  <c r="C32" i="12"/>
  <c r="D31" i="12"/>
  <c r="C31" i="12"/>
  <c r="D30" i="12"/>
  <c r="C30" i="12"/>
  <c r="D28" i="12"/>
  <c r="C28" i="12"/>
  <c r="D24" i="12"/>
  <c r="C24" i="12"/>
  <c r="C19" i="12"/>
  <c r="D19" i="12"/>
  <c r="D18" i="12"/>
  <c r="C18" i="12"/>
  <c r="D16" i="12"/>
  <c r="C16" i="12"/>
  <c r="D15" i="12"/>
  <c r="C15" i="12"/>
  <c r="D11" i="12"/>
  <c r="C11" i="12"/>
  <c r="D8" i="12"/>
  <c r="C8" i="12"/>
  <c r="C7" i="12"/>
  <c r="D6" i="12"/>
  <c r="C6" i="12"/>
  <c r="D5" i="12"/>
  <c r="C5" i="12"/>
  <c r="W49" i="11"/>
  <c r="AJ180" i="10" l="1"/>
  <c r="CQ180" i="10"/>
  <c r="M28" i="3"/>
  <c r="O75" i="2" l="1"/>
  <c r="M27" i="3"/>
  <c r="O23" i="7"/>
  <c r="N23" i="7"/>
  <c r="M23" i="7"/>
  <c r="P23" i="7"/>
  <c r="P29" i="9"/>
  <c r="O29" i="9"/>
  <c r="N29" i="9"/>
  <c r="L30" i="9"/>
  <c r="Q29" i="9"/>
  <c r="M32" i="9"/>
  <c r="L32" i="9" s="1"/>
  <c r="M31" i="9"/>
  <c r="L31" i="9" s="1"/>
  <c r="P24" i="8"/>
  <c r="O24" i="8"/>
  <c r="N24" i="8"/>
  <c r="Q24" i="8"/>
  <c r="M27" i="8"/>
  <c r="L27" i="8" s="1"/>
  <c r="L26" i="7"/>
  <c r="L25" i="7"/>
  <c r="M24" i="8" l="1"/>
  <c r="K76" i="38"/>
  <c r="K74" i="23"/>
  <c r="AK74" i="10"/>
  <c r="CM74" i="10" s="1"/>
  <c r="N75" i="27"/>
  <c r="P75" i="27" s="1"/>
  <c r="L29" i="9"/>
  <c r="M29" i="9"/>
  <c r="O61" i="2"/>
  <c r="K61" i="38" s="1"/>
  <c r="L23" i="7"/>
  <c r="O60" i="2"/>
  <c r="K26" i="7"/>
  <c r="L61" i="2" s="1"/>
  <c r="W57" i="11"/>
  <c r="W58" i="11"/>
  <c r="W59" i="11"/>
  <c r="AM58" i="2"/>
  <c r="F11" i="19" s="1"/>
  <c r="AA175" i="2"/>
  <c r="X175" i="2"/>
  <c r="N174" i="38" s="1"/>
  <c r="U175" i="2"/>
  <c r="R175" i="2"/>
  <c r="O175" i="2"/>
  <c r="K174" i="38" s="1"/>
  <c r="X74" i="10" l="1"/>
  <c r="AD74" i="10"/>
  <c r="AL74" i="10"/>
  <c r="K59" i="23"/>
  <c r="K57" i="23" s="1"/>
  <c r="K60" i="25"/>
  <c r="K58" i="25" s="1"/>
  <c r="K59" i="24"/>
  <c r="K57" i="24" s="1"/>
  <c r="R174" i="27"/>
  <c r="T174" i="27" s="1"/>
  <c r="L174" i="38"/>
  <c r="AI60" i="10"/>
  <c r="AJ60" i="10" s="1"/>
  <c r="W60" i="10" s="1"/>
  <c r="J61" i="38"/>
  <c r="V174" i="27"/>
  <c r="X174" i="27" s="1"/>
  <c r="M174" i="38"/>
  <c r="N59" i="27"/>
  <c r="Q59" i="27" s="1"/>
  <c r="Q57" i="27" s="1"/>
  <c r="K60" i="38"/>
  <c r="AS175" i="10"/>
  <c r="O174" i="38"/>
  <c r="AQ175" i="10"/>
  <c r="Z174" i="27"/>
  <c r="AO175" i="10"/>
  <c r="AK175" i="10"/>
  <c r="AL175" i="10" s="1"/>
  <c r="N174" i="27"/>
  <c r="P174" i="27" s="1"/>
  <c r="AK60" i="10"/>
  <c r="AL60" i="10" s="1"/>
  <c r="N60" i="27"/>
  <c r="P60" i="27" s="1"/>
  <c r="AM175" i="10"/>
  <c r="Q60" i="2"/>
  <c r="Q58" i="2" s="1"/>
  <c r="AK59" i="10"/>
  <c r="AL59" i="10" s="1"/>
  <c r="AD174" i="27"/>
  <c r="AF174" i="27" s="1"/>
  <c r="AN175" i="2"/>
  <c r="V59" i="11"/>
  <c r="J60" i="27"/>
  <c r="L60" i="27" s="1"/>
  <c r="AL58" i="2"/>
  <c r="E11" i="19" s="1"/>
  <c r="W173" i="11"/>
  <c r="AP173" i="2"/>
  <c r="W70" i="6"/>
  <c r="L78" i="9"/>
  <c r="L175" i="2" s="1"/>
  <c r="AN173" i="2" l="1"/>
  <c r="G29" i="19" s="1"/>
  <c r="X59" i="10"/>
  <c r="R59" i="10"/>
  <c r="X60" i="10"/>
  <c r="AD60" i="10"/>
  <c r="D175" i="10"/>
  <c r="D173" i="10" s="1"/>
  <c r="AT175" i="10"/>
  <c r="X175" i="10"/>
  <c r="R175" i="10"/>
  <c r="I176" i="10"/>
  <c r="I173" i="10" s="1"/>
  <c r="P59" i="27"/>
  <c r="P57" i="27" s="1"/>
  <c r="H176" i="10"/>
  <c r="H173" i="10" s="1"/>
  <c r="AI175" i="10"/>
  <c r="J174" i="38"/>
  <c r="G176" i="10"/>
  <c r="G173" i="10" s="1"/>
  <c r="F176" i="10"/>
  <c r="F173" i="10" s="1"/>
  <c r="AB174" i="27"/>
  <c r="J174" i="27"/>
  <c r="L174" i="27" s="1"/>
  <c r="V173" i="11"/>
  <c r="O94" i="2"/>
  <c r="AB175" i="10" l="1"/>
  <c r="V175" i="10"/>
  <c r="E175" i="10"/>
  <c r="K93" i="23"/>
  <c r="K94" i="25"/>
  <c r="K94" i="24"/>
  <c r="L57" i="10"/>
  <c r="N94" i="27"/>
  <c r="Q94" i="27" s="1"/>
  <c r="K93" i="38"/>
  <c r="C175" i="10"/>
  <c r="C173" i="10" s="1"/>
  <c r="Q94" i="2"/>
  <c r="AK93" i="10"/>
  <c r="W52" i="11"/>
  <c r="AQ173" i="2"/>
  <c r="AA174" i="2"/>
  <c r="AA176" i="2"/>
  <c r="AA177" i="2"/>
  <c r="AA178" i="2"/>
  <c r="AA179" i="2"/>
  <c r="AA173" i="2" l="1"/>
  <c r="CR175" i="10"/>
  <c r="AJ175" i="10"/>
  <c r="Q175" i="10" s="1"/>
  <c r="E173" i="10"/>
  <c r="CI175" i="10"/>
  <c r="O178" i="38"/>
  <c r="O177" i="23"/>
  <c r="O178" i="25"/>
  <c r="Q178" i="25" s="1"/>
  <c r="O178" i="24"/>
  <c r="O173" i="38"/>
  <c r="O172" i="23"/>
  <c r="O173" i="25"/>
  <c r="Q173" i="25" s="1"/>
  <c r="O173" i="24"/>
  <c r="O176" i="38"/>
  <c r="O175" i="23"/>
  <c r="O176" i="25"/>
  <c r="Q176" i="25" s="1"/>
  <c r="O176" i="24"/>
  <c r="O177" i="38"/>
  <c r="O176" i="23"/>
  <c r="O177" i="25"/>
  <c r="Q177" i="25" s="1"/>
  <c r="O177" i="24"/>
  <c r="O175" i="38"/>
  <c r="O174" i="23"/>
  <c r="O175" i="25"/>
  <c r="Q175" i="25" s="1"/>
  <c r="O175" i="24"/>
  <c r="P94" i="27"/>
  <c r="AL93" i="10"/>
  <c r="AS176" i="10"/>
  <c r="AD176" i="2"/>
  <c r="AD177" i="2"/>
  <c r="AS177" i="10"/>
  <c r="AD179" i="2"/>
  <c r="AS179" i="10"/>
  <c r="AD174" i="2"/>
  <c r="AS174" i="10"/>
  <c r="AD178" i="2"/>
  <c r="AS178" i="10"/>
  <c r="AT178" i="10" s="1"/>
  <c r="AD177" i="27"/>
  <c r="AL178" i="2"/>
  <c r="AD176" i="27"/>
  <c r="AL177" i="2"/>
  <c r="AD175" i="27"/>
  <c r="AL176" i="2"/>
  <c r="AD178" i="27"/>
  <c r="AL179" i="2"/>
  <c r="AD173" i="27"/>
  <c r="AL174" i="2"/>
  <c r="AL173" i="2" s="1"/>
  <c r="W172" i="11"/>
  <c r="W174" i="11"/>
  <c r="W177" i="11"/>
  <c r="W176" i="11"/>
  <c r="W175" i="11"/>
  <c r="W175" i="10" l="1"/>
  <c r="CQ175" i="10" s="1"/>
  <c r="AT174" i="10"/>
  <c r="AB174" i="10" s="1"/>
  <c r="AS173" i="10"/>
  <c r="AS172" i="10" s="1"/>
  <c r="R93" i="10"/>
  <c r="X93" i="10"/>
  <c r="AB178" i="10"/>
  <c r="V178" i="10"/>
  <c r="O172" i="24"/>
  <c r="O171" i="24" s="1"/>
  <c r="O172" i="25"/>
  <c r="O171" i="25" s="1"/>
  <c r="O171" i="23"/>
  <c r="O170" i="23" s="1"/>
  <c r="AB176" i="10"/>
  <c r="P176" i="10"/>
  <c r="V176" i="10"/>
  <c r="V177" i="10"/>
  <c r="AB177" i="10"/>
  <c r="P177" i="10"/>
  <c r="AF175" i="27"/>
  <c r="AG175" i="27"/>
  <c r="AD173" i="2"/>
  <c r="Z29" i="30" s="1"/>
  <c r="AF173" i="27"/>
  <c r="AG173" i="27"/>
  <c r="AF178" i="27"/>
  <c r="AG178" i="27"/>
  <c r="AF176" i="27"/>
  <c r="AG176" i="27"/>
  <c r="AF177" i="27"/>
  <c r="AG177" i="27"/>
  <c r="E29" i="19"/>
  <c r="Q172" i="25"/>
  <c r="J29" i="30" s="1"/>
  <c r="M29" i="30" s="1"/>
  <c r="P29" i="30" s="1"/>
  <c r="S29" i="30" s="1"/>
  <c r="V29" i="30" s="1"/>
  <c r="W171" i="11"/>
  <c r="CR178" i="10" l="1"/>
  <c r="V174" i="10"/>
  <c r="CR177" i="10"/>
  <c r="CR176" i="10"/>
  <c r="CI178" i="10"/>
  <c r="CI177" i="10"/>
  <c r="CI176" i="10"/>
  <c r="AT177" i="10"/>
  <c r="AT176" i="10"/>
  <c r="AF172" i="27"/>
  <c r="AF171" i="27" s="1"/>
  <c r="AG172" i="27"/>
  <c r="AH172" i="10"/>
  <c r="K126" i="38"/>
  <c r="N126" i="38"/>
  <c r="CR174" i="10" l="1"/>
  <c r="CI174" i="10"/>
  <c r="R128" i="27"/>
  <c r="T128" i="27" s="1"/>
  <c r="L126" i="38"/>
  <c r="AI127" i="10"/>
  <c r="J126" i="38"/>
  <c r="V128" i="27"/>
  <c r="X128" i="27" s="1"/>
  <c r="M126" i="38"/>
  <c r="AS127" i="10"/>
  <c r="CM127" i="10" s="1"/>
  <c r="O126" i="38"/>
  <c r="AG171" i="27"/>
  <c r="AQ127" i="10"/>
  <c r="Z128" i="27"/>
  <c r="AK127" i="10"/>
  <c r="CS127" i="10" s="1"/>
  <c r="N128" i="27"/>
  <c r="P128" i="27" s="1"/>
  <c r="AO127" i="10"/>
  <c r="CT127" i="10" s="1"/>
  <c r="AM127" i="10"/>
  <c r="CR127" i="10" s="1"/>
  <c r="W126" i="11"/>
  <c r="AD128" i="27"/>
  <c r="AF128" i="27" s="1"/>
  <c r="V126" i="11"/>
  <c r="J128" i="27"/>
  <c r="L128" i="27" s="1"/>
  <c r="L18" i="9"/>
  <c r="K44" i="6"/>
  <c r="K40" i="6"/>
  <c r="K38" i="6"/>
  <c r="K27" i="6"/>
  <c r="K17" i="6"/>
  <c r="L16" i="3"/>
  <c r="L52" i="2" s="1"/>
  <c r="AD127" i="10" l="1"/>
  <c r="X127" i="10"/>
  <c r="AE127" i="10"/>
  <c r="Y127" i="10"/>
  <c r="AB127" i="10"/>
  <c r="AH127" i="10"/>
  <c r="AF127" i="10"/>
  <c r="Z127" i="10"/>
  <c r="J52" i="38"/>
  <c r="J51" i="23"/>
  <c r="J52" i="25"/>
  <c r="J51" i="24"/>
  <c r="AB128" i="27"/>
  <c r="AI51" i="10"/>
  <c r="AJ51" i="10" s="1"/>
  <c r="J51" i="27"/>
  <c r="O88" i="2"/>
  <c r="AA94" i="2"/>
  <c r="AC127" i="10" l="1"/>
  <c r="W127" i="10"/>
  <c r="AC51" i="10"/>
  <c r="Q51" i="10"/>
  <c r="W51" i="10"/>
  <c r="O93" i="38"/>
  <c r="O93" i="23"/>
  <c r="O94" i="24"/>
  <c r="O94" i="25"/>
  <c r="Q94" i="25" s="1"/>
  <c r="K87" i="23"/>
  <c r="K88" i="25"/>
  <c r="K88" i="24"/>
  <c r="N88" i="27"/>
  <c r="Q88" i="27" s="1"/>
  <c r="Q86" i="27" s="1"/>
  <c r="K87" i="38"/>
  <c r="Q88" i="2"/>
  <c r="Q86" i="2" s="1"/>
  <c r="AK87" i="10"/>
  <c r="AD94" i="2"/>
  <c r="AS93" i="10"/>
  <c r="AD94" i="27"/>
  <c r="AL94" i="2"/>
  <c r="P88" i="27"/>
  <c r="W92" i="11"/>
  <c r="K20" i="7"/>
  <c r="L54" i="2" s="1"/>
  <c r="CQ51" i="10" l="1"/>
  <c r="AL87" i="10"/>
  <c r="R87" i="10"/>
  <c r="J54" i="38"/>
  <c r="J53" i="23"/>
  <c r="J54" i="25"/>
  <c r="J53" i="24"/>
  <c r="AT93" i="10"/>
  <c r="AF94" i="27"/>
  <c r="AG94" i="27"/>
  <c r="AI53" i="10"/>
  <c r="AJ53" i="10" s="1"/>
  <c r="CN53" i="10" s="1"/>
  <c r="N54" i="2"/>
  <c r="J53" i="27"/>
  <c r="M53" i="27" s="1"/>
  <c r="K23" i="6"/>
  <c r="AC53" i="10" l="1"/>
  <c r="W53" i="10"/>
  <c r="Q53" i="10"/>
  <c r="V93" i="10"/>
  <c r="AB93" i="10"/>
  <c r="L53" i="27"/>
  <c r="L26" i="9"/>
  <c r="L51" i="2" s="1"/>
  <c r="CQ53" i="10" l="1"/>
  <c r="CI93" i="10"/>
  <c r="J51" i="38"/>
  <c r="J50" i="23"/>
  <c r="J51" i="25"/>
  <c r="J50" i="24"/>
  <c r="AI50" i="10"/>
  <c r="AJ50" i="10" s="1"/>
  <c r="N51" i="2"/>
  <c r="J50" i="27"/>
  <c r="M50" i="27" s="1"/>
  <c r="E171" i="10"/>
  <c r="J171" i="10"/>
  <c r="K171" i="10"/>
  <c r="P171" i="10"/>
  <c r="Q171" i="10"/>
  <c r="AC50" i="10" l="1"/>
  <c r="W50" i="10"/>
  <c r="Q50" i="10"/>
  <c r="L50" i="27"/>
  <c r="M17" i="3"/>
  <c r="AP62" i="2"/>
  <c r="AA41" i="2"/>
  <c r="X41" i="2"/>
  <c r="U41" i="2"/>
  <c r="R41" i="2"/>
  <c r="O41" i="2"/>
  <c r="L41" i="2"/>
  <c r="CQ50" i="10" l="1"/>
  <c r="J41" i="38"/>
  <c r="J40" i="23"/>
  <c r="J41" i="25"/>
  <c r="J40" i="24"/>
  <c r="N41" i="38"/>
  <c r="N40" i="23"/>
  <c r="N41" i="25"/>
  <c r="N40" i="24"/>
  <c r="K41" i="38"/>
  <c r="K40" i="23"/>
  <c r="K40" i="24"/>
  <c r="K41" i="25"/>
  <c r="O41" i="38"/>
  <c r="O40" i="23"/>
  <c r="O41" i="25"/>
  <c r="Q41" i="25" s="1"/>
  <c r="Q39" i="25" s="1"/>
  <c r="O40" i="24"/>
  <c r="L41" i="38"/>
  <c r="L40" i="23"/>
  <c r="L40" i="24"/>
  <c r="L41" i="25"/>
  <c r="M40" i="23"/>
  <c r="M41" i="25"/>
  <c r="M40" i="24"/>
  <c r="V40" i="27"/>
  <c r="X40" i="27" s="1"/>
  <c r="M41" i="38"/>
  <c r="N40" i="27"/>
  <c r="Q40" i="27" s="1"/>
  <c r="AI40" i="10"/>
  <c r="N41" i="2"/>
  <c r="AQ40" i="10"/>
  <c r="Z40" i="27"/>
  <c r="R40" i="27"/>
  <c r="U40" i="27" s="1"/>
  <c r="AO40" i="10"/>
  <c r="AK40" i="10"/>
  <c r="AL40" i="10" s="1"/>
  <c r="Q41" i="2"/>
  <c r="AM40" i="10"/>
  <c r="AN40" i="10" s="1"/>
  <c r="T41" i="2"/>
  <c r="AD41" i="2"/>
  <c r="AS40" i="10"/>
  <c r="AT40" i="10" s="1"/>
  <c r="J40" i="27"/>
  <c r="M40" i="27" s="1"/>
  <c r="P40" i="27"/>
  <c r="AD40" i="27"/>
  <c r="AL41" i="2"/>
  <c r="W39" i="11"/>
  <c r="V39" i="11"/>
  <c r="T40" i="27" l="1"/>
  <c r="AB40" i="10"/>
  <c r="V40" i="10"/>
  <c r="Y40" i="10"/>
  <c r="S40" i="10"/>
  <c r="X40" i="10"/>
  <c r="R40" i="10"/>
  <c r="AJ40" i="10"/>
  <c r="Z40" i="10"/>
  <c r="T40" i="10"/>
  <c r="AA40" i="10"/>
  <c r="U40" i="10"/>
  <c r="L40" i="27"/>
  <c r="AF40" i="27"/>
  <c r="AG40" i="27"/>
  <c r="AB40" i="27"/>
  <c r="Z41" i="2"/>
  <c r="L21" i="8"/>
  <c r="L53" i="2" s="1"/>
  <c r="L25" i="8"/>
  <c r="L24" i="8" s="1"/>
  <c r="L34" i="8"/>
  <c r="L36" i="8"/>
  <c r="L44" i="8"/>
  <c r="L46" i="8"/>
  <c r="L45" i="8" s="1"/>
  <c r="L70" i="8"/>
  <c r="L69" i="8" s="1"/>
  <c r="L63" i="8"/>
  <c r="L60" i="8"/>
  <c r="L159" i="2" s="1"/>
  <c r="K64" i="6"/>
  <c r="K63" i="6" s="1"/>
  <c r="L58" i="8"/>
  <c r="K61" i="6"/>
  <c r="L156" i="2" s="1"/>
  <c r="K59" i="6"/>
  <c r="K58" i="6" s="1"/>
  <c r="CI40" i="10" l="1"/>
  <c r="CJ40" i="10" s="1"/>
  <c r="J158" i="38"/>
  <c r="J157" i="23"/>
  <c r="J158" i="24"/>
  <c r="J158" i="25"/>
  <c r="J155" i="38"/>
  <c r="J154" i="23"/>
  <c r="J155" i="25"/>
  <c r="J155" i="24"/>
  <c r="J53" i="38"/>
  <c r="J52" i="23"/>
  <c r="J53" i="25"/>
  <c r="J52" i="24"/>
  <c r="W40" i="10"/>
  <c r="Q40" i="10"/>
  <c r="AI158" i="10"/>
  <c r="AJ158" i="10" s="1"/>
  <c r="N159" i="2"/>
  <c r="AI155" i="10"/>
  <c r="AJ155" i="10" s="1"/>
  <c r="N156" i="2"/>
  <c r="AI52" i="10"/>
  <c r="AJ52" i="10" s="1"/>
  <c r="N53" i="2"/>
  <c r="J158" i="27"/>
  <c r="M158" i="27" s="1"/>
  <c r="J155" i="27"/>
  <c r="M155" i="27" s="1"/>
  <c r="J52" i="27"/>
  <c r="M52" i="27" s="1"/>
  <c r="W52" i="10" l="1"/>
  <c r="Q52" i="10"/>
  <c r="L155" i="27"/>
  <c r="L158" i="27"/>
  <c r="L52" i="27"/>
  <c r="V52" i="11"/>
  <c r="V51" i="11"/>
  <c r="Q15" i="3"/>
  <c r="Y15" i="3" s="1"/>
  <c r="P15" i="3"/>
  <c r="O15" i="3"/>
  <c r="N15" i="3"/>
  <c r="M15" i="3"/>
  <c r="L15" i="3"/>
  <c r="X15" i="3"/>
  <c r="Q25" i="9"/>
  <c r="P25" i="9"/>
  <c r="O25" i="9"/>
  <c r="N25" i="9"/>
  <c r="M25" i="9"/>
  <c r="L25" i="9"/>
  <c r="CQ52" i="10" l="1"/>
  <c r="W51" i="11"/>
  <c r="K46" i="6" l="1"/>
  <c r="O16" i="6" l="1"/>
  <c r="N16" i="6"/>
  <c r="M16" i="6"/>
  <c r="L16" i="6"/>
  <c r="P16" i="6"/>
  <c r="X179" i="2"/>
  <c r="U179" i="2"/>
  <c r="R179" i="2"/>
  <c r="O179" i="2"/>
  <c r="L179" i="2"/>
  <c r="X178" i="2"/>
  <c r="U178" i="2"/>
  <c r="R178" i="2"/>
  <c r="O178" i="2"/>
  <c r="X177" i="2"/>
  <c r="U177" i="2"/>
  <c r="R177" i="2"/>
  <c r="O177" i="2"/>
  <c r="X176" i="2"/>
  <c r="U176" i="2"/>
  <c r="R176" i="2"/>
  <c r="O176" i="2"/>
  <c r="X174" i="2"/>
  <c r="X173" i="2" s="1"/>
  <c r="U174" i="2"/>
  <c r="R174" i="2"/>
  <c r="O174" i="2"/>
  <c r="X171" i="2"/>
  <c r="U171" i="2"/>
  <c r="R171" i="2"/>
  <c r="X166" i="2"/>
  <c r="U166" i="2"/>
  <c r="M164" i="23" s="1"/>
  <c r="R166" i="2"/>
  <c r="L164" i="23" s="1"/>
  <c r="O166" i="2"/>
  <c r="X165" i="2"/>
  <c r="U165" i="2"/>
  <c r="M163" i="23" s="1"/>
  <c r="R165" i="2"/>
  <c r="L163" i="23" s="1"/>
  <c r="O165" i="2"/>
  <c r="X164" i="2"/>
  <c r="N162" i="23" s="1"/>
  <c r="U164" i="2"/>
  <c r="R164" i="2"/>
  <c r="O164" i="2"/>
  <c r="K162" i="23" s="1"/>
  <c r="L164" i="2"/>
  <c r="X163" i="2"/>
  <c r="U163" i="2"/>
  <c r="M161" i="23" s="1"/>
  <c r="R163" i="2"/>
  <c r="L161" i="23" s="1"/>
  <c r="O163" i="2"/>
  <c r="X162" i="2"/>
  <c r="N161" i="25" s="1"/>
  <c r="N160" i="25" s="1"/>
  <c r="N159" i="25" s="1"/>
  <c r="U162" i="2"/>
  <c r="R162" i="2"/>
  <c r="O162" i="2"/>
  <c r="X153" i="2"/>
  <c r="U153" i="2"/>
  <c r="R153" i="2"/>
  <c r="O153" i="2"/>
  <c r="L153" i="2"/>
  <c r="X152" i="2"/>
  <c r="U152" i="2"/>
  <c r="R152" i="2"/>
  <c r="O152" i="2"/>
  <c r="X151" i="2"/>
  <c r="U151" i="2"/>
  <c r="R151" i="2"/>
  <c r="X150" i="2"/>
  <c r="U150" i="2"/>
  <c r="R150" i="2"/>
  <c r="O150" i="2"/>
  <c r="X149" i="2"/>
  <c r="U149" i="2"/>
  <c r="R149" i="2"/>
  <c r="O149" i="2"/>
  <c r="N139" i="38"/>
  <c r="K139" i="38"/>
  <c r="N138" i="38"/>
  <c r="K138" i="38"/>
  <c r="N137" i="38"/>
  <c r="K137" i="38"/>
  <c r="N136" i="38"/>
  <c r="K136" i="38"/>
  <c r="N135" i="38"/>
  <c r="K135" i="38"/>
  <c r="N134" i="38"/>
  <c r="K134" i="38"/>
  <c r="N133" i="38"/>
  <c r="K133" i="38"/>
  <c r="N132" i="38"/>
  <c r="K132" i="38"/>
  <c r="N131" i="38"/>
  <c r="K131" i="38"/>
  <c r="N130" i="38"/>
  <c r="K130" i="38"/>
  <c r="N129" i="38"/>
  <c r="K129" i="38"/>
  <c r="N127" i="38"/>
  <c r="K127" i="38"/>
  <c r="N125" i="38"/>
  <c r="K125" i="38"/>
  <c r="N124" i="38"/>
  <c r="N123" i="38"/>
  <c r="K123" i="38"/>
  <c r="N122" i="38"/>
  <c r="K122" i="38"/>
  <c r="N121" i="38"/>
  <c r="N120" i="38"/>
  <c r="K120" i="38"/>
  <c r="X119" i="2"/>
  <c r="N119" i="24" s="1"/>
  <c r="U119" i="2"/>
  <c r="R119" i="2"/>
  <c r="O119" i="2"/>
  <c r="K119" i="24" s="1"/>
  <c r="L119" i="2"/>
  <c r="X118" i="2"/>
  <c r="N118" i="24" s="1"/>
  <c r="U118" i="2"/>
  <c r="R118" i="2"/>
  <c r="O118" i="2"/>
  <c r="K118" i="24" s="1"/>
  <c r="X117" i="2"/>
  <c r="N117" i="24" s="1"/>
  <c r="U117" i="2"/>
  <c r="R117" i="2"/>
  <c r="O117" i="2"/>
  <c r="K117" i="24" s="1"/>
  <c r="X116" i="2"/>
  <c r="U116" i="2"/>
  <c r="R116" i="2"/>
  <c r="O116" i="2"/>
  <c r="X115" i="2"/>
  <c r="U115" i="2"/>
  <c r="R115" i="2"/>
  <c r="O115" i="2"/>
  <c r="X113" i="2"/>
  <c r="N113" i="25" s="1"/>
  <c r="U113" i="2"/>
  <c r="M113" i="25" s="1"/>
  <c r="R113" i="2"/>
  <c r="L113" i="25" s="1"/>
  <c r="O113" i="2"/>
  <c r="L113" i="2"/>
  <c r="X112" i="2"/>
  <c r="N112" i="25" s="1"/>
  <c r="U112" i="2"/>
  <c r="M112" i="25" s="1"/>
  <c r="R112" i="2"/>
  <c r="L112" i="25" s="1"/>
  <c r="O112" i="2"/>
  <c r="X111" i="2"/>
  <c r="N111" i="25" s="1"/>
  <c r="U111" i="2"/>
  <c r="M111" i="25" s="1"/>
  <c r="R111" i="2"/>
  <c r="L111" i="25" s="1"/>
  <c r="O111" i="2"/>
  <c r="X110" i="2"/>
  <c r="N110" i="25" s="1"/>
  <c r="U110" i="2"/>
  <c r="M110" i="25" s="1"/>
  <c r="R110" i="2"/>
  <c r="L110" i="25" s="1"/>
  <c r="O110" i="2"/>
  <c r="L110" i="2"/>
  <c r="X109" i="2"/>
  <c r="N109" i="25" s="1"/>
  <c r="U109" i="2"/>
  <c r="M109" i="25" s="1"/>
  <c r="R109" i="2"/>
  <c r="L109" i="25" s="1"/>
  <c r="O109" i="2"/>
  <c r="X107" i="2"/>
  <c r="U107" i="2"/>
  <c r="R107" i="2"/>
  <c r="O107" i="2"/>
  <c r="L107" i="2"/>
  <c r="X106" i="2"/>
  <c r="N106" i="25" s="1"/>
  <c r="U106" i="2"/>
  <c r="M106" i="25" s="1"/>
  <c r="R106" i="2"/>
  <c r="O106" i="2"/>
  <c r="X105" i="2"/>
  <c r="U105" i="2"/>
  <c r="R105" i="2"/>
  <c r="O105" i="2"/>
  <c r="X104" i="2"/>
  <c r="N104" i="25" s="1"/>
  <c r="U104" i="2"/>
  <c r="M104" i="25" s="1"/>
  <c r="R104" i="2"/>
  <c r="O104" i="2"/>
  <c r="X103" i="2"/>
  <c r="N103" i="25" s="1"/>
  <c r="U103" i="2"/>
  <c r="M103" i="25" s="1"/>
  <c r="R103" i="2"/>
  <c r="O103" i="2"/>
  <c r="X98" i="2"/>
  <c r="U98" i="2"/>
  <c r="M97" i="23" s="1"/>
  <c r="R98" i="2"/>
  <c r="L97" i="23" s="1"/>
  <c r="O98" i="2"/>
  <c r="X97" i="2"/>
  <c r="U97" i="2"/>
  <c r="M96" i="23" s="1"/>
  <c r="R97" i="2"/>
  <c r="L96" i="23" s="1"/>
  <c r="O97" i="2"/>
  <c r="X96" i="2"/>
  <c r="U96" i="2"/>
  <c r="M95" i="23" s="1"/>
  <c r="R96" i="2"/>
  <c r="L95" i="23" s="1"/>
  <c r="O96" i="2"/>
  <c r="X95" i="2"/>
  <c r="U95" i="2"/>
  <c r="M94" i="23" s="1"/>
  <c r="R95" i="2"/>
  <c r="L94" i="23" s="1"/>
  <c r="O95" i="2"/>
  <c r="X94" i="2"/>
  <c r="U94" i="2"/>
  <c r="R94" i="2"/>
  <c r="X93" i="2"/>
  <c r="U93" i="2"/>
  <c r="R93" i="2"/>
  <c r="O93" i="2"/>
  <c r="X91" i="2"/>
  <c r="U91" i="2"/>
  <c r="M90" i="23" s="1"/>
  <c r="R91" i="2"/>
  <c r="L90" i="23" s="1"/>
  <c r="O91" i="2"/>
  <c r="K90" i="23" s="1"/>
  <c r="X90" i="2"/>
  <c r="U90" i="2"/>
  <c r="M89" i="23" s="1"/>
  <c r="R90" i="2"/>
  <c r="L89" i="23" s="1"/>
  <c r="O90" i="2"/>
  <c r="X89" i="2"/>
  <c r="U89" i="2"/>
  <c r="M89" i="25" s="1"/>
  <c r="R89" i="2"/>
  <c r="L89" i="25" s="1"/>
  <c r="O89" i="2"/>
  <c r="X88" i="2"/>
  <c r="U88" i="2"/>
  <c r="R88" i="2"/>
  <c r="X87" i="2"/>
  <c r="N87" i="24" s="1"/>
  <c r="U87" i="2"/>
  <c r="R87" i="2"/>
  <c r="O87" i="2"/>
  <c r="K87" i="24" s="1"/>
  <c r="X83" i="2"/>
  <c r="N83" i="26" s="1"/>
  <c r="U83" i="2"/>
  <c r="M83" i="26" s="1"/>
  <c r="R83" i="2"/>
  <c r="L83" i="26" s="1"/>
  <c r="O83" i="2"/>
  <c r="K83" i="26" s="1"/>
  <c r="X82" i="2"/>
  <c r="N83" i="38" s="1"/>
  <c r="U82" i="2"/>
  <c r="R82" i="2"/>
  <c r="O82" i="2"/>
  <c r="K83" i="38" s="1"/>
  <c r="X81" i="2"/>
  <c r="R81" i="2"/>
  <c r="O81" i="2"/>
  <c r="X80" i="2"/>
  <c r="U80" i="2"/>
  <c r="R80" i="2"/>
  <c r="O80" i="2"/>
  <c r="X78" i="2"/>
  <c r="U78" i="2"/>
  <c r="M77" i="23" s="1"/>
  <c r="R78" i="2"/>
  <c r="L77" i="23" s="1"/>
  <c r="O78" i="2"/>
  <c r="L78" i="2"/>
  <c r="J77" i="23" s="1"/>
  <c r="X77" i="2"/>
  <c r="U77" i="2"/>
  <c r="M76" i="23" s="1"/>
  <c r="R77" i="2"/>
  <c r="L76" i="23" s="1"/>
  <c r="O77" i="2"/>
  <c r="X76" i="2"/>
  <c r="U76" i="2"/>
  <c r="M75" i="23" s="1"/>
  <c r="R76" i="2"/>
  <c r="L75" i="23" s="1"/>
  <c r="O76" i="2"/>
  <c r="X75" i="2"/>
  <c r="U75" i="2"/>
  <c r="M74" i="23" s="1"/>
  <c r="R75" i="2"/>
  <c r="L74" i="23" s="1"/>
  <c r="X72" i="2"/>
  <c r="U72" i="2"/>
  <c r="M71" i="23" s="1"/>
  <c r="R72" i="2"/>
  <c r="L71" i="23" s="1"/>
  <c r="O72" i="2"/>
  <c r="X71" i="2"/>
  <c r="U71" i="2"/>
  <c r="M70" i="23" s="1"/>
  <c r="R71" i="2"/>
  <c r="L70" i="23" s="1"/>
  <c r="O71" i="2"/>
  <c r="X70" i="2"/>
  <c r="U70" i="2"/>
  <c r="M69" i="23" s="1"/>
  <c r="R70" i="2"/>
  <c r="L69" i="23" s="1"/>
  <c r="O70" i="2"/>
  <c r="X69" i="2"/>
  <c r="U69" i="2"/>
  <c r="M68" i="23" s="1"/>
  <c r="R69" i="2"/>
  <c r="L68" i="23" s="1"/>
  <c r="O69" i="2"/>
  <c r="X68" i="2"/>
  <c r="U68" i="2"/>
  <c r="M67" i="23" s="1"/>
  <c r="R68" i="2"/>
  <c r="L67" i="23" s="1"/>
  <c r="O68" i="2"/>
  <c r="X66" i="2"/>
  <c r="N65" i="24" s="1"/>
  <c r="U66" i="2"/>
  <c r="R66" i="2"/>
  <c r="O66" i="2"/>
  <c r="K65" i="24" s="1"/>
  <c r="X65" i="2"/>
  <c r="U65" i="2"/>
  <c r="R65" i="2"/>
  <c r="O65" i="2"/>
  <c r="X64" i="2"/>
  <c r="U64" i="2"/>
  <c r="R64" i="2"/>
  <c r="O64" i="2"/>
  <c r="X63" i="2"/>
  <c r="U63" i="2"/>
  <c r="R63" i="2"/>
  <c r="O63" i="2"/>
  <c r="X57" i="2"/>
  <c r="U57" i="2"/>
  <c r="R57" i="2"/>
  <c r="O57" i="2"/>
  <c r="X49" i="2"/>
  <c r="U49" i="2"/>
  <c r="R49" i="2"/>
  <c r="O49" i="2"/>
  <c r="X48" i="2"/>
  <c r="U48" i="2"/>
  <c r="R48" i="2"/>
  <c r="O48" i="2"/>
  <c r="X47" i="2"/>
  <c r="U47" i="2"/>
  <c r="R47" i="2"/>
  <c r="O47" i="2"/>
  <c r="X44" i="2"/>
  <c r="N44" i="38" s="1"/>
  <c r="U44" i="2"/>
  <c r="R44" i="2"/>
  <c r="O44" i="2"/>
  <c r="K44" i="38" s="1"/>
  <c r="X43" i="2"/>
  <c r="N43" i="25" s="1"/>
  <c r="U43" i="2"/>
  <c r="M43" i="25" s="1"/>
  <c r="R43" i="2"/>
  <c r="O43" i="2"/>
  <c r="X42" i="2"/>
  <c r="N42" i="38" s="1"/>
  <c r="U42" i="2"/>
  <c r="R42" i="2"/>
  <c r="O42" i="2"/>
  <c r="K42" i="38" s="1"/>
  <c r="X40" i="2"/>
  <c r="U40" i="2"/>
  <c r="R40" i="2"/>
  <c r="O40" i="2"/>
  <c r="X38" i="2"/>
  <c r="N38" i="38" s="1"/>
  <c r="U38" i="2"/>
  <c r="R38" i="2"/>
  <c r="O38" i="2"/>
  <c r="K38" i="38" s="1"/>
  <c r="X37" i="2"/>
  <c r="N37" i="38" s="1"/>
  <c r="U37" i="2"/>
  <c r="R37" i="2"/>
  <c r="O37" i="2"/>
  <c r="K37" i="38" s="1"/>
  <c r="X36" i="2"/>
  <c r="N36" i="38" s="1"/>
  <c r="U36" i="2"/>
  <c r="R36" i="2"/>
  <c r="O36" i="2"/>
  <c r="K36" i="38" s="1"/>
  <c r="X35" i="2"/>
  <c r="N34" i="24" s="1"/>
  <c r="N32" i="24" s="1"/>
  <c r="U35" i="2"/>
  <c r="R35" i="2"/>
  <c r="O35" i="2"/>
  <c r="K34" i="24" s="1"/>
  <c r="K32" i="24" s="1"/>
  <c r="X34" i="2"/>
  <c r="N34" i="38" s="1"/>
  <c r="U34" i="2"/>
  <c r="R34" i="2"/>
  <c r="O34" i="2"/>
  <c r="K34" i="38" s="1"/>
  <c r="Q66" i="8"/>
  <c r="P66" i="8"/>
  <c r="O66" i="8"/>
  <c r="N66" i="8"/>
  <c r="Q73" i="9"/>
  <c r="P73" i="9"/>
  <c r="O73" i="9"/>
  <c r="N73" i="9"/>
  <c r="U173" i="2" l="1"/>
  <c r="R173" i="2"/>
  <c r="O173" i="2"/>
  <c r="R79" i="2"/>
  <c r="U79" i="2"/>
  <c r="M79" i="26"/>
  <c r="M72" i="26" s="1"/>
  <c r="M6" i="26" s="1"/>
  <c r="N79" i="26"/>
  <c r="N72" i="26" s="1"/>
  <c r="N6" i="26" s="1"/>
  <c r="N81" i="38"/>
  <c r="X79" i="2"/>
  <c r="K79" i="26"/>
  <c r="K72" i="26" s="1"/>
  <c r="K6" i="26" s="1"/>
  <c r="K81" i="38"/>
  <c r="O79" i="2"/>
  <c r="L79" i="26"/>
  <c r="L72" i="26" s="1"/>
  <c r="L6" i="26" s="1"/>
  <c r="K109" i="25"/>
  <c r="Q109" i="2"/>
  <c r="J110" i="25"/>
  <c r="N110" i="2"/>
  <c r="K110" i="25"/>
  <c r="Q110" i="2"/>
  <c r="K111" i="25"/>
  <c r="Q111" i="2"/>
  <c r="K112" i="25"/>
  <c r="Q112" i="2"/>
  <c r="X92" i="2"/>
  <c r="K103" i="25"/>
  <c r="Q103" i="2"/>
  <c r="L103" i="25"/>
  <c r="T103" i="2"/>
  <c r="L104" i="25"/>
  <c r="T104" i="2"/>
  <c r="K43" i="25"/>
  <c r="Q43" i="2"/>
  <c r="K104" i="25"/>
  <c r="Q104" i="2"/>
  <c r="L43" i="25"/>
  <c r="T43" i="2"/>
  <c r="K161" i="25"/>
  <c r="K160" i="25" s="1"/>
  <c r="K159" i="25" s="1"/>
  <c r="Q162" i="2"/>
  <c r="Q161" i="2" s="1"/>
  <c r="R92" i="2"/>
  <c r="O92" i="2"/>
  <c r="U92" i="2"/>
  <c r="M161" i="24"/>
  <c r="M161" i="25"/>
  <c r="M160" i="25" s="1"/>
  <c r="M159" i="25" s="1"/>
  <c r="N89" i="24"/>
  <c r="N89" i="25"/>
  <c r="K89" i="24"/>
  <c r="K86" i="24" s="1"/>
  <c r="K89" i="25"/>
  <c r="K86" i="25" s="1"/>
  <c r="L161" i="24"/>
  <c r="L161" i="25"/>
  <c r="L160" i="25" s="1"/>
  <c r="L159" i="25" s="1"/>
  <c r="L66" i="23"/>
  <c r="M66" i="23"/>
  <c r="L108" i="25"/>
  <c r="J113" i="25"/>
  <c r="N113" i="2"/>
  <c r="J162" i="23"/>
  <c r="J163" i="24"/>
  <c r="J118" i="23"/>
  <c r="J119" i="24"/>
  <c r="K106" i="25"/>
  <c r="Q106" i="2"/>
  <c r="L115" i="23"/>
  <c r="L116" i="24"/>
  <c r="L106" i="25"/>
  <c r="T106" i="2"/>
  <c r="M108" i="25"/>
  <c r="M114" i="23"/>
  <c r="M115" i="24"/>
  <c r="M115" i="23"/>
  <c r="M116" i="24"/>
  <c r="M116" i="23"/>
  <c r="M117" i="24"/>
  <c r="M117" i="23"/>
  <c r="M118" i="24"/>
  <c r="L118" i="23"/>
  <c r="L119" i="24"/>
  <c r="N162" i="38"/>
  <c r="N161" i="23"/>
  <c r="M163" i="24"/>
  <c r="M162" i="23"/>
  <c r="M65" i="23"/>
  <c r="M65" i="24"/>
  <c r="L114" i="23"/>
  <c r="L115" i="24"/>
  <c r="N108" i="25"/>
  <c r="N113" i="38"/>
  <c r="N114" i="23"/>
  <c r="N115" i="24"/>
  <c r="N114" i="38"/>
  <c r="N115" i="23"/>
  <c r="N116" i="24"/>
  <c r="M118" i="23"/>
  <c r="M119" i="24"/>
  <c r="K162" i="38"/>
  <c r="K161" i="23"/>
  <c r="N164" i="38"/>
  <c r="N163" i="23"/>
  <c r="M86" i="23"/>
  <c r="M87" i="24"/>
  <c r="L116" i="23"/>
  <c r="L117" i="24"/>
  <c r="L117" i="23"/>
  <c r="L118" i="24"/>
  <c r="L163" i="24"/>
  <c r="L162" i="23"/>
  <c r="L65" i="23"/>
  <c r="L65" i="24"/>
  <c r="L86" i="23"/>
  <c r="L87" i="24"/>
  <c r="K113" i="38"/>
  <c r="K114" i="23"/>
  <c r="K115" i="24"/>
  <c r="K114" i="38"/>
  <c r="K115" i="23"/>
  <c r="K116" i="24"/>
  <c r="K164" i="38"/>
  <c r="K163" i="23"/>
  <c r="N160" i="23"/>
  <c r="N161" i="24"/>
  <c r="L88" i="23"/>
  <c r="L89" i="24"/>
  <c r="K160" i="23"/>
  <c r="K161" i="24"/>
  <c r="N163" i="38"/>
  <c r="N163" i="24"/>
  <c r="M34" i="23"/>
  <c r="M32" i="23" s="1"/>
  <c r="M34" i="24"/>
  <c r="M32" i="24" s="1"/>
  <c r="L34" i="23"/>
  <c r="L32" i="23" s="1"/>
  <c r="L34" i="24"/>
  <c r="L32" i="24" s="1"/>
  <c r="M88" i="23"/>
  <c r="M89" i="24"/>
  <c r="K113" i="25"/>
  <c r="Q113" i="2"/>
  <c r="K163" i="38"/>
  <c r="K163" i="24"/>
  <c r="L73" i="23"/>
  <c r="M73" i="23"/>
  <c r="M39" i="23"/>
  <c r="M40" i="25"/>
  <c r="M39" i="25" s="1"/>
  <c r="M39" i="24"/>
  <c r="M42" i="23"/>
  <c r="M42" i="24"/>
  <c r="M47" i="23"/>
  <c r="M48" i="25"/>
  <c r="M47" i="24"/>
  <c r="M48" i="23"/>
  <c r="M49" i="25"/>
  <c r="M48" i="24"/>
  <c r="M57" i="38"/>
  <c r="M56" i="23"/>
  <c r="M55" i="23" s="1"/>
  <c r="M57" i="25"/>
  <c r="M56" i="25" s="1"/>
  <c r="M56" i="24"/>
  <c r="M55" i="24" s="1"/>
  <c r="M62" i="23"/>
  <c r="M63" i="25"/>
  <c r="M62" i="24"/>
  <c r="M63" i="23"/>
  <c r="M64" i="25"/>
  <c r="M63" i="24"/>
  <c r="M64" i="23"/>
  <c r="M64" i="24"/>
  <c r="M65" i="25"/>
  <c r="N76" i="38"/>
  <c r="N74" i="23"/>
  <c r="N77" i="38"/>
  <c r="N75" i="23"/>
  <c r="N78" i="38"/>
  <c r="N76" i="23"/>
  <c r="M80" i="23"/>
  <c r="M81" i="25"/>
  <c r="M81" i="24"/>
  <c r="M82" i="23"/>
  <c r="M83" i="25"/>
  <c r="M83" i="24"/>
  <c r="N87" i="38"/>
  <c r="N87" i="23"/>
  <c r="N88" i="25"/>
  <c r="N88" i="24"/>
  <c r="N86" i="24" s="1"/>
  <c r="N88" i="38"/>
  <c r="N88" i="23"/>
  <c r="N89" i="38"/>
  <c r="N89" i="23"/>
  <c r="N90" i="38"/>
  <c r="N90" i="23"/>
  <c r="N92" i="23"/>
  <c r="N93" i="25"/>
  <c r="N93" i="24"/>
  <c r="K94" i="38"/>
  <c r="K94" i="23"/>
  <c r="K95" i="38"/>
  <c r="K95" i="23"/>
  <c r="K96" i="38"/>
  <c r="K96" i="23"/>
  <c r="K97" i="38"/>
  <c r="K97" i="23"/>
  <c r="K101" i="38"/>
  <c r="K102" i="23"/>
  <c r="K103" i="24"/>
  <c r="K102" i="38"/>
  <c r="K103" i="23"/>
  <c r="K104" i="24"/>
  <c r="K103" i="38"/>
  <c r="K104" i="23"/>
  <c r="K105" i="24"/>
  <c r="K104" i="38"/>
  <c r="K105" i="23"/>
  <c r="K106" i="24"/>
  <c r="J106" i="23"/>
  <c r="J107" i="24"/>
  <c r="N105" i="38"/>
  <c r="N106" i="23"/>
  <c r="N107" i="24"/>
  <c r="N107" i="38"/>
  <c r="N108" i="23"/>
  <c r="N109" i="24"/>
  <c r="M109" i="23"/>
  <c r="M110" i="24"/>
  <c r="M110" i="23"/>
  <c r="M111" i="24"/>
  <c r="M111" i="23"/>
  <c r="M112" i="24"/>
  <c r="L112" i="23"/>
  <c r="L113" i="24"/>
  <c r="K117" i="38"/>
  <c r="K118" i="23"/>
  <c r="M147" i="23"/>
  <c r="M148" i="24"/>
  <c r="M148" i="25"/>
  <c r="M148" i="23"/>
  <c r="M149" i="25"/>
  <c r="M149" i="24"/>
  <c r="N150" i="38"/>
  <c r="N149" i="23"/>
  <c r="N150" i="25"/>
  <c r="N150" i="24"/>
  <c r="N151" i="38"/>
  <c r="N150" i="23"/>
  <c r="N151" i="25"/>
  <c r="N151" i="24"/>
  <c r="M151" i="23"/>
  <c r="M152" i="25"/>
  <c r="M152" i="24"/>
  <c r="M161" i="38"/>
  <c r="M160" i="23"/>
  <c r="M169" i="23"/>
  <c r="M168" i="23" s="1"/>
  <c r="M167" i="23" s="1"/>
  <c r="M170" i="25"/>
  <c r="M169" i="25" s="1"/>
  <c r="M168" i="25" s="1"/>
  <c r="M170" i="24"/>
  <c r="M169" i="24" s="1"/>
  <c r="M168" i="24" s="1"/>
  <c r="M172" i="23"/>
  <c r="M173" i="25"/>
  <c r="M173" i="24"/>
  <c r="M174" i="23"/>
  <c r="M175" i="25"/>
  <c r="M175" i="24"/>
  <c r="M175" i="23"/>
  <c r="M176" i="25"/>
  <c r="M176" i="24"/>
  <c r="M176" i="23"/>
  <c r="M177" i="25"/>
  <c r="M177" i="24"/>
  <c r="L177" i="23"/>
  <c r="L178" i="25"/>
  <c r="L178" i="24"/>
  <c r="N35" i="38"/>
  <c r="N34" i="23"/>
  <c r="N32" i="23" s="1"/>
  <c r="N39" i="23"/>
  <c r="N40" i="25"/>
  <c r="N39" i="25" s="1"/>
  <c r="N39" i="24"/>
  <c r="N43" i="38"/>
  <c r="N42" i="23"/>
  <c r="N42" i="24"/>
  <c r="N48" i="38"/>
  <c r="N47" i="23"/>
  <c r="N48" i="25"/>
  <c r="N47" i="24"/>
  <c r="N49" i="38"/>
  <c r="N48" i="23"/>
  <c r="N49" i="25"/>
  <c r="N48" i="24"/>
  <c r="N57" i="38"/>
  <c r="N56" i="23"/>
  <c r="N55" i="23" s="1"/>
  <c r="N57" i="25"/>
  <c r="N56" i="25" s="1"/>
  <c r="N56" i="24"/>
  <c r="N55" i="24" s="1"/>
  <c r="N63" i="38"/>
  <c r="N62" i="23"/>
  <c r="N63" i="25"/>
  <c r="N62" i="24"/>
  <c r="N64" i="38"/>
  <c r="N63" i="23"/>
  <c r="N64" i="25"/>
  <c r="N63" i="24"/>
  <c r="N65" i="38"/>
  <c r="N64" i="23"/>
  <c r="N64" i="24"/>
  <c r="N65" i="25"/>
  <c r="N66" i="38"/>
  <c r="N65" i="23"/>
  <c r="N68" i="38"/>
  <c r="N67" i="23"/>
  <c r="N69" i="38"/>
  <c r="N68" i="23"/>
  <c r="N70" i="38"/>
  <c r="N69" i="23"/>
  <c r="N71" i="38"/>
  <c r="N70" i="23"/>
  <c r="N72" i="38"/>
  <c r="N71" i="23"/>
  <c r="K77" i="38"/>
  <c r="K75" i="23"/>
  <c r="K78" i="38"/>
  <c r="K76" i="23"/>
  <c r="N79" i="38"/>
  <c r="N77" i="23"/>
  <c r="N82" i="38"/>
  <c r="N80" i="23"/>
  <c r="N81" i="24"/>
  <c r="N81" i="25"/>
  <c r="N84" i="38"/>
  <c r="N82" i="23"/>
  <c r="N83" i="25"/>
  <c r="N83" i="24"/>
  <c r="N86" i="38"/>
  <c r="N86" i="23"/>
  <c r="K88" i="38"/>
  <c r="K88" i="23"/>
  <c r="K89" i="38"/>
  <c r="K89" i="23"/>
  <c r="K92" i="23"/>
  <c r="K93" i="25"/>
  <c r="K92" i="25" s="1"/>
  <c r="K93" i="24"/>
  <c r="K92" i="24" s="1"/>
  <c r="L93" i="23"/>
  <c r="L94" i="25"/>
  <c r="L94" i="24"/>
  <c r="L102" i="23"/>
  <c r="L103" i="24"/>
  <c r="L103" i="23"/>
  <c r="L104" i="24"/>
  <c r="L104" i="23"/>
  <c r="L105" i="24"/>
  <c r="L105" i="23"/>
  <c r="L106" i="24"/>
  <c r="K105" i="38"/>
  <c r="K106" i="23"/>
  <c r="K107" i="24"/>
  <c r="K107" i="38"/>
  <c r="K108" i="23"/>
  <c r="K109" i="24"/>
  <c r="J109" i="23"/>
  <c r="J110" i="24"/>
  <c r="N108" i="38"/>
  <c r="N109" i="23"/>
  <c r="N110" i="24"/>
  <c r="N109" i="38"/>
  <c r="N110" i="23"/>
  <c r="N111" i="24"/>
  <c r="N110" i="38"/>
  <c r="N111" i="23"/>
  <c r="N112" i="24"/>
  <c r="M112" i="23"/>
  <c r="M113" i="24"/>
  <c r="N148" i="38"/>
  <c r="N147" i="23"/>
  <c r="N148" i="25"/>
  <c r="N148" i="24"/>
  <c r="N149" i="38"/>
  <c r="N148" i="23"/>
  <c r="N149" i="25"/>
  <c r="N149" i="24"/>
  <c r="K150" i="23"/>
  <c r="K151" i="24"/>
  <c r="K151" i="25"/>
  <c r="J152" i="38"/>
  <c r="J151" i="23"/>
  <c r="J152" i="25"/>
  <c r="J152" i="24"/>
  <c r="N152" i="38"/>
  <c r="N151" i="23"/>
  <c r="N152" i="25"/>
  <c r="N152" i="24"/>
  <c r="N170" i="38"/>
  <c r="N169" i="23"/>
  <c r="N168" i="23" s="1"/>
  <c r="N167" i="23" s="1"/>
  <c r="N170" i="24"/>
  <c r="N169" i="24" s="1"/>
  <c r="N168" i="24" s="1"/>
  <c r="N170" i="25"/>
  <c r="N169" i="25" s="1"/>
  <c r="N168" i="25" s="1"/>
  <c r="N173" i="38"/>
  <c r="N172" i="23"/>
  <c r="N173" i="25"/>
  <c r="N173" i="24"/>
  <c r="N175" i="38"/>
  <c r="N174" i="23"/>
  <c r="N175" i="25"/>
  <c r="N175" i="24"/>
  <c r="N176" i="38"/>
  <c r="N175" i="23"/>
  <c r="N176" i="25"/>
  <c r="N176" i="24"/>
  <c r="N177" i="38"/>
  <c r="N176" i="23"/>
  <c r="N177" i="24"/>
  <c r="N177" i="25"/>
  <c r="M177" i="23"/>
  <c r="M178" i="25"/>
  <c r="M178" i="24"/>
  <c r="K35" i="38"/>
  <c r="K34" i="23"/>
  <c r="K32" i="23" s="1"/>
  <c r="K39" i="23"/>
  <c r="K40" i="25"/>
  <c r="K39" i="25" s="1"/>
  <c r="K39" i="24"/>
  <c r="K43" i="38"/>
  <c r="K42" i="23"/>
  <c r="K42" i="24"/>
  <c r="K47" i="23"/>
  <c r="K47" i="24"/>
  <c r="K48" i="25"/>
  <c r="K48" i="23"/>
  <c r="K49" i="25"/>
  <c r="K48" i="24"/>
  <c r="K57" i="38"/>
  <c r="K56" i="23"/>
  <c r="K55" i="23" s="1"/>
  <c r="K57" i="25"/>
  <c r="K56" i="25" s="1"/>
  <c r="K56" i="24"/>
  <c r="K55" i="24" s="1"/>
  <c r="K62" i="23"/>
  <c r="K63" i="25"/>
  <c r="K62" i="24"/>
  <c r="K63" i="23"/>
  <c r="K63" i="24"/>
  <c r="K64" i="25"/>
  <c r="K64" i="23"/>
  <c r="K65" i="25"/>
  <c r="K64" i="24"/>
  <c r="K66" i="38"/>
  <c r="K65" i="23"/>
  <c r="K68" i="38"/>
  <c r="K67" i="23"/>
  <c r="K69" i="38"/>
  <c r="K68" i="23"/>
  <c r="K70" i="38"/>
  <c r="K69" i="23"/>
  <c r="K71" i="38"/>
  <c r="K70" i="23"/>
  <c r="K72" i="38"/>
  <c r="K71" i="23"/>
  <c r="K79" i="38"/>
  <c r="K77" i="23"/>
  <c r="K80" i="23"/>
  <c r="K81" i="24"/>
  <c r="K81" i="25"/>
  <c r="K82" i="23"/>
  <c r="K83" i="25"/>
  <c r="K83" i="24"/>
  <c r="K86" i="38"/>
  <c r="K86" i="23"/>
  <c r="L87" i="23"/>
  <c r="L88" i="25"/>
  <c r="L86" i="25" s="1"/>
  <c r="L88" i="24"/>
  <c r="L92" i="23"/>
  <c r="L91" i="23" s="1"/>
  <c r="L93" i="25"/>
  <c r="L92" i="25" s="1"/>
  <c r="L93" i="24"/>
  <c r="L92" i="24" s="1"/>
  <c r="M93" i="23"/>
  <c r="M94" i="25"/>
  <c r="M94" i="24"/>
  <c r="M102" i="23"/>
  <c r="M103" i="24"/>
  <c r="M103" i="23"/>
  <c r="M104" i="24"/>
  <c r="M104" i="23"/>
  <c r="M105" i="24"/>
  <c r="M105" i="23"/>
  <c r="M106" i="24"/>
  <c r="L106" i="23"/>
  <c r="L107" i="24"/>
  <c r="L108" i="23"/>
  <c r="L109" i="24"/>
  <c r="K108" i="38"/>
  <c r="K109" i="23"/>
  <c r="K110" i="24"/>
  <c r="K109" i="38"/>
  <c r="K110" i="23"/>
  <c r="K111" i="24"/>
  <c r="K110" i="38"/>
  <c r="K111" i="23"/>
  <c r="K112" i="24"/>
  <c r="J112" i="23"/>
  <c r="J113" i="24"/>
  <c r="N111" i="38"/>
  <c r="N112" i="23"/>
  <c r="N113" i="24"/>
  <c r="N115" i="38"/>
  <c r="N116" i="23"/>
  <c r="N116" i="38"/>
  <c r="N117" i="23"/>
  <c r="K147" i="23"/>
  <c r="K148" i="25"/>
  <c r="K148" i="24"/>
  <c r="K148" i="23"/>
  <c r="K149" i="25"/>
  <c r="K149" i="24"/>
  <c r="L149" i="23"/>
  <c r="L150" i="25"/>
  <c r="L150" i="24"/>
  <c r="L150" i="23"/>
  <c r="L151" i="25"/>
  <c r="L151" i="24"/>
  <c r="K152" i="38"/>
  <c r="K151" i="23"/>
  <c r="K152" i="25"/>
  <c r="K152" i="24"/>
  <c r="N165" i="38"/>
  <c r="N164" i="23"/>
  <c r="K172" i="23"/>
  <c r="K173" i="25"/>
  <c r="K173" i="24"/>
  <c r="K174" i="23"/>
  <c r="K175" i="25"/>
  <c r="K175" i="24"/>
  <c r="K175" i="23"/>
  <c r="K176" i="25"/>
  <c r="K176" i="24"/>
  <c r="K176" i="23"/>
  <c r="K177" i="25"/>
  <c r="K177" i="24"/>
  <c r="J178" i="38"/>
  <c r="J177" i="23"/>
  <c r="J178" i="25"/>
  <c r="J178" i="24"/>
  <c r="N178" i="38"/>
  <c r="N177" i="23"/>
  <c r="N178" i="25"/>
  <c r="N178" i="24"/>
  <c r="L39" i="23"/>
  <c r="L40" i="25"/>
  <c r="L39" i="25" s="1"/>
  <c r="L39" i="24"/>
  <c r="L42" i="23"/>
  <c r="L42" i="24"/>
  <c r="L48" i="38"/>
  <c r="L47" i="23"/>
  <c r="L48" i="25"/>
  <c r="L47" i="24"/>
  <c r="L49" i="38"/>
  <c r="L48" i="23"/>
  <c r="L49" i="25"/>
  <c r="L48" i="24"/>
  <c r="L56" i="23"/>
  <c r="L55" i="23" s="1"/>
  <c r="L57" i="25"/>
  <c r="L56" i="25" s="1"/>
  <c r="L56" i="24"/>
  <c r="L55" i="24" s="1"/>
  <c r="L62" i="23"/>
  <c r="L63" i="25"/>
  <c r="L62" i="24"/>
  <c r="L64" i="38"/>
  <c r="L63" i="23"/>
  <c r="L63" i="24"/>
  <c r="L64" i="25"/>
  <c r="L64" i="23"/>
  <c r="L65" i="25"/>
  <c r="L64" i="24"/>
  <c r="L80" i="23"/>
  <c r="L81" i="25"/>
  <c r="L81" i="24"/>
  <c r="L82" i="23"/>
  <c r="L83" i="25"/>
  <c r="L83" i="24"/>
  <c r="M87" i="23"/>
  <c r="M88" i="25"/>
  <c r="M86" i="25" s="1"/>
  <c r="M88" i="24"/>
  <c r="M92" i="23"/>
  <c r="M93" i="25"/>
  <c r="M93" i="24"/>
  <c r="N93" i="38"/>
  <c r="N93" i="23"/>
  <c r="N94" i="25"/>
  <c r="N94" i="24"/>
  <c r="N94" i="38"/>
  <c r="N94" i="23"/>
  <c r="N95" i="38"/>
  <c r="N95" i="23"/>
  <c r="N96" i="38"/>
  <c r="N96" i="23"/>
  <c r="N97" i="38"/>
  <c r="N97" i="23"/>
  <c r="N101" i="38"/>
  <c r="N102" i="23"/>
  <c r="N103" i="24"/>
  <c r="N102" i="38"/>
  <c r="N103" i="23"/>
  <c r="N104" i="24"/>
  <c r="N103" i="38"/>
  <c r="N104" i="23"/>
  <c r="N105" i="24"/>
  <c r="N104" i="38"/>
  <c r="N105" i="23"/>
  <c r="N106" i="24"/>
  <c r="M106" i="23"/>
  <c r="M107" i="24"/>
  <c r="M108" i="23"/>
  <c r="M109" i="24"/>
  <c r="L109" i="23"/>
  <c r="L110" i="24"/>
  <c r="L110" i="23"/>
  <c r="L111" i="24"/>
  <c r="L111" i="23"/>
  <c r="L112" i="24"/>
  <c r="K111" i="38"/>
  <c r="K112" i="23"/>
  <c r="K113" i="24"/>
  <c r="K115" i="38"/>
  <c r="K116" i="23"/>
  <c r="K116" i="38"/>
  <c r="K117" i="23"/>
  <c r="N117" i="38"/>
  <c r="N118" i="23"/>
  <c r="L147" i="23"/>
  <c r="L148" i="25"/>
  <c r="L148" i="24"/>
  <c r="L148" i="23"/>
  <c r="L149" i="25"/>
  <c r="L149" i="24"/>
  <c r="M149" i="23"/>
  <c r="M150" i="24"/>
  <c r="M150" i="25"/>
  <c r="M150" i="23"/>
  <c r="M151" i="25"/>
  <c r="M151" i="24"/>
  <c r="L152" i="38"/>
  <c r="L151" i="23"/>
  <c r="L152" i="25"/>
  <c r="L152" i="24"/>
  <c r="L161" i="38"/>
  <c r="L160" i="23"/>
  <c r="L159" i="23" s="1"/>
  <c r="L158" i="23" s="1"/>
  <c r="K165" i="38"/>
  <c r="K164" i="23"/>
  <c r="L170" i="38"/>
  <c r="L169" i="23"/>
  <c r="L168" i="23" s="1"/>
  <c r="L167" i="23" s="1"/>
  <c r="L170" i="25"/>
  <c r="L169" i="25" s="1"/>
  <c r="L168" i="25" s="1"/>
  <c r="L170" i="24"/>
  <c r="L169" i="24" s="1"/>
  <c r="L168" i="24" s="1"/>
  <c r="L172" i="23"/>
  <c r="L173" i="25"/>
  <c r="L173" i="24"/>
  <c r="L174" i="23"/>
  <c r="L175" i="25"/>
  <c r="L175" i="24"/>
  <c r="L175" i="23"/>
  <c r="L176" i="24"/>
  <c r="L176" i="25"/>
  <c r="L176" i="23"/>
  <c r="L177" i="25"/>
  <c r="L177" i="24"/>
  <c r="K177" i="23"/>
  <c r="K178" i="25"/>
  <c r="K178" i="24"/>
  <c r="L47" i="38"/>
  <c r="L46" i="23"/>
  <c r="L47" i="25"/>
  <c r="L46" i="24"/>
  <c r="M46" i="23"/>
  <c r="M47" i="25"/>
  <c r="M46" i="24"/>
  <c r="N47" i="38"/>
  <c r="N46" i="23"/>
  <c r="N46" i="24"/>
  <c r="N47" i="25"/>
  <c r="K46" i="23"/>
  <c r="K46" i="24"/>
  <c r="K47" i="25"/>
  <c r="R34" i="27"/>
  <c r="T34" i="27" s="1"/>
  <c r="L35" i="38"/>
  <c r="R35" i="27"/>
  <c r="L36" i="38"/>
  <c r="R37" i="27"/>
  <c r="T37" i="27" s="1"/>
  <c r="L38" i="38"/>
  <c r="R41" i="27"/>
  <c r="L42" i="38"/>
  <c r="R43" i="27"/>
  <c r="T43" i="27" s="1"/>
  <c r="L44" i="38"/>
  <c r="R64" i="27"/>
  <c r="L65" i="38"/>
  <c r="R68" i="27"/>
  <c r="T68" i="27" s="1"/>
  <c r="L69" i="38"/>
  <c r="R69" i="27"/>
  <c r="L70" i="38"/>
  <c r="V76" i="27"/>
  <c r="X76" i="27" s="1"/>
  <c r="M77" i="38"/>
  <c r="R78" i="27"/>
  <c r="L79" i="38"/>
  <c r="R81" i="27"/>
  <c r="T81" i="27" s="1"/>
  <c r="L82" i="38"/>
  <c r="R83" i="27"/>
  <c r="L84" i="38"/>
  <c r="V88" i="27"/>
  <c r="X88" i="27" s="1"/>
  <c r="M87" i="38"/>
  <c r="V90" i="27"/>
  <c r="X90" i="27" s="1"/>
  <c r="M89" i="38"/>
  <c r="V107" i="27"/>
  <c r="X107" i="27" s="1"/>
  <c r="M105" i="38"/>
  <c r="R110" i="27"/>
  <c r="T110" i="27" s="1"/>
  <c r="L108" i="38"/>
  <c r="V137" i="27"/>
  <c r="X137" i="27" s="1"/>
  <c r="M131" i="38"/>
  <c r="V139" i="27"/>
  <c r="M133" i="38"/>
  <c r="M135" i="38"/>
  <c r="M137" i="38"/>
  <c r="V148" i="27"/>
  <c r="X148" i="27" s="1"/>
  <c r="M148" i="38"/>
  <c r="R163" i="27"/>
  <c r="T163" i="27" s="1"/>
  <c r="L163" i="38"/>
  <c r="R164" i="27"/>
  <c r="L164" i="38"/>
  <c r="R165" i="27"/>
  <c r="T165" i="27" s="1"/>
  <c r="L165" i="38"/>
  <c r="V173" i="27"/>
  <c r="M173" i="38"/>
  <c r="V175" i="27"/>
  <c r="X175" i="27" s="1"/>
  <c r="M175" i="38"/>
  <c r="R178" i="27"/>
  <c r="L178" i="38"/>
  <c r="V34" i="27"/>
  <c r="X34" i="27" s="1"/>
  <c r="M35" i="38"/>
  <c r="V36" i="27"/>
  <c r="M37" i="38"/>
  <c r="M40" i="38"/>
  <c r="U39" i="2"/>
  <c r="M39" i="38" s="1"/>
  <c r="V42" i="27"/>
  <c r="X42" i="27" s="1"/>
  <c r="M43" i="38"/>
  <c r="V43" i="27"/>
  <c r="X43" i="27" s="1"/>
  <c r="M44" i="38"/>
  <c r="V47" i="27"/>
  <c r="M48" i="38"/>
  <c r="V48" i="27"/>
  <c r="M49" i="38"/>
  <c r="V62" i="27"/>
  <c r="X62" i="27" s="1"/>
  <c r="M63" i="38"/>
  <c r="V64" i="27"/>
  <c r="X64" i="27" s="1"/>
  <c r="M65" i="38"/>
  <c r="V67" i="27"/>
  <c r="X67" i="27" s="1"/>
  <c r="M68" i="38"/>
  <c r="V69" i="27"/>
  <c r="X69" i="27" s="1"/>
  <c r="M70" i="38"/>
  <c r="V71" i="27"/>
  <c r="X71" i="27" s="1"/>
  <c r="M72" i="38"/>
  <c r="V80" i="27"/>
  <c r="M81" i="38"/>
  <c r="V82" i="27"/>
  <c r="M83" i="38"/>
  <c r="V87" i="27"/>
  <c r="X87" i="27" s="1"/>
  <c r="M86" i="38"/>
  <c r="Z93" i="27"/>
  <c r="AC93" i="27" s="1"/>
  <c r="AC92" i="27" s="1"/>
  <c r="N92" i="38"/>
  <c r="V110" i="27"/>
  <c r="X110" i="27" s="1"/>
  <c r="M108" i="38"/>
  <c r="V111" i="27"/>
  <c r="M109" i="38"/>
  <c r="R113" i="27"/>
  <c r="T113" i="27" s="1"/>
  <c r="L111" i="38"/>
  <c r="R116" i="27"/>
  <c r="L114" i="38"/>
  <c r="R118" i="27"/>
  <c r="T118" i="27" s="1"/>
  <c r="L116" i="38"/>
  <c r="R123" i="27"/>
  <c r="T123" i="27" s="1"/>
  <c r="L121" i="38"/>
  <c r="R126" i="27"/>
  <c r="T126" i="27" s="1"/>
  <c r="L124" i="38"/>
  <c r="R127" i="27"/>
  <c r="L125" i="38"/>
  <c r="N40" i="38"/>
  <c r="X39" i="2"/>
  <c r="N39" i="38" s="1"/>
  <c r="AI77" i="10"/>
  <c r="CL77" i="10" s="1"/>
  <c r="J79" i="38"/>
  <c r="K90" i="38"/>
  <c r="AK90" i="10"/>
  <c r="N93" i="27"/>
  <c r="Q93" i="27" s="1"/>
  <c r="Q92" i="27" s="1"/>
  <c r="K92" i="38"/>
  <c r="R94" i="27"/>
  <c r="T94" i="27" s="1"/>
  <c r="L93" i="38"/>
  <c r="R95" i="27"/>
  <c r="L94" i="38"/>
  <c r="R96" i="27"/>
  <c r="T96" i="27" s="1"/>
  <c r="L95" i="38"/>
  <c r="R97" i="27"/>
  <c r="L96" i="38"/>
  <c r="R98" i="27"/>
  <c r="T98" i="27" s="1"/>
  <c r="L97" i="38"/>
  <c r="R103" i="27"/>
  <c r="U103" i="27" s="1"/>
  <c r="L101" i="38"/>
  <c r="R104" i="27"/>
  <c r="L102" i="38"/>
  <c r="R105" i="27"/>
  <c r="L103" i="38"/>
  <c r="R106" i="27"/>
  <c r="U106" i="27" s="1"/>
  <c r="L104" i="38"/>
  <c r="AI109" i="10"/>
  <c r="J108" i="38"/>
  <c r="V113" i="27"/>
  <c r="X113" i="27" s="1"/>
  <c r="M111" i="38"/>
  <c r="V115" i="27"/>
  <c r="X115" i="27" s="1"/>
  <c r="M113" i="38"/>
  <c r="V116" i="27"/>
  <c r="X116" i="27" s="1"/>
  <c r="M114" i="38"/>
  <c r="V117" i="27"/>
  <c r="M115" i="38"/>
  <c r="V118" i="27"/>
  <c r="X118" i="27" s="1"/>
  <c r="M116" i="38"/>
  <c r="R119" i="27"/>
  <c r="L117" i="38"/>
  <c r="R122" i="27"/>
  <c r="T122" i="27" s="1"/>
  <c r="L120" i="38"/>
  <c r="V123" i="27"/>
  <c r="M121" i="38"/>
  <c r="R124" i="27"/>
  <c r="T124" i="27" s="1"/>
  <c r="L122" i="38"/>
  <c r="R125" i="27"/>
  <c r="L123" i="38"/>
  <c r="V126" i="27"/>
  <c r="X126" i="27" s="1"/>
  <c r="M124" i="38"/>
  <c r="V127" i="27"/>
  <c r="M125" i="38"/>
  <c r="R129" i="27"/>
  <c r="T129" i="27" s="1"/>
  <c r="L127" i="38"/>
  <c r="R135" i="27"/>
  <c r="T135" i="27" s="1"/>
  <c r="L129" i="38"/>
  <c r="R136" i="27"/>
  <c r="T136" i="27" s="1"/>
  <c r="L130" i="38"/>
  <c r="N148" i="27"/>
  <c r="Q148" i="27" s="1"/>
  <c r="K148" i="38"/>
  <c r="N149" i="27"/>
  <c r="Q149" i="27" s="1"/>
  <c r="K149" i="38"/>
  <c r="R150" i="27"/>
  <c r="L150" i="38"/>
  <c r="R151" i="27"/>
  <c r="T151" i="27" s="1"/>
  <c r="L151" i="38"/>
  <c r="O161" i="2"/>
  <c r="K160" i="38" s="1"/>
  <c r="K161" i="38"/>
  <c r="AI163" i="10"/>
  <c r="J163" i="38"/>
  <c r="N173" i="27"/>
  <c r="Q173" i="27" s="1"/>
  <c r="K173" i="38"/>
  <c r="Q176" i="2"/>
  <c r="K175" i="38"/>
  <c r="N176" i="27"/>
  <c r="Q176" i="27" s="1"/>
  <c r="K176" i="38"/>
  <c r="N177" i="27"/>
  <c r="Q177" i="27" s="1"/>
  <c r="K177" i="38"/>
  <c r="R33" i="27"/>
  <c r="T33" i="27" s="1"/>
  <c r="L34" i="38"/>
  <c r="R36" i="27"/>
  <c r="T36" i="27" s="1"/>
  <c r="L37" i="38"/>
  <c r="L40" i="38"/>
  <c r="R39" i="2"/>
  <c r="L39" i="38" s="1"/>
  <c r="R42" i="27"/>
  <c r="L43" i="38"/>
  <c r="R56" i="27"/>
  <c r="L57" i="38"/>
  <c r="R62" i="27"/>
  <c r="T62" i="27" s="1"/>
  <c r="L63" i="38"/>
  <c r="R65" i="27"/>
  <c r="L66" i="38"/>
  <c r="R67" i="27"/>
  <c r="T67" i="27" s="1"/>
  <c r="L68" i="38"/>
  <c r="R70" i="27"/>
  <c r="T70" i="27" s="1"/>
  <c r="L71" i="38"/>
  <c r="R71" i="27"/>
  <c r="T71" i="27" s="1"/>
  <c r="L72" i="38"/>
  <c r="V75" i="27"/>
  <c r="M76" i="38"/>
  <c r="V77" i="27"/>
  <c r="X77" i="27" s="1"/>
  <c r="M78" i="38"/>
  <c r="R80" i="27"/>
  <c r="L81" i="38"/>
  <c r="R82" i="27"/>
  <c r="T82" i="27" s="1"/>
  <c r="L83" i="38"/>
  <c r="R87" i="27"/>
  <c r="T87" i="27" s="1"/>
  <c r="L86" i="38"/>
  <c r="V89" i="27"/>
  <c r="X89" i="27" s="1"/>
  <c r="M88" i="38"/>
  <c r="V91" i="27"/>
  <c r="M90" i="38"/>
  <c r="V93" i="27"/>
  <c r="X93" i="27" s="1"/>
  <c r="M92" i="38"/>
  <c r="V109" i="27"/>
  <c r="X109" i="27" s="1"/>
  <c r="M107" i="38"/>
  <c r="R111" i="27"/>
  <c r="T111" i="27" s="1"/>
  <c r="L109" i="38"/>
  <c r="R112" i="27"/>
  <c r="L110" i="38"/>
  <c r="AI118" i="10"/>
  <c r="J117" i="38"/>
  <c r="AI123" i="10"/>
  <c r="J122" i="38"/>
  <c r="AI128" i="10"/>
  <c r="J127" i="38"/>
  <c r="V138" i="27"/>
  <c r="M132" i="38"/>
  <c r="M134" i="38"/>
  <c r="M136" i="38"/>
  <c r="M138" i="38"/>
  <c r="M139" i="38"/>
  <c r="V149" i="27"/>
  <c r="X149" i="27" s="1"/>
  <c r="M149" i="38"/>
  <c r="V152" i="27"/>
  <c r="M152" i="38"/>
  <c r="V162" i="27"/>
  <c r="X162" i="27" s="1"/>
  <c r="M162" i="38"/>
  <c r="V170" i="27"/>
  <c r="X170" i="27" s="1"/>
  <c r="X169" i="27" s="1"/>
  <c r="X168" i="27" s="1"/>
  <c r="M170" i="38"/>
  <c r="V176" i="27"/>
  <c r="X176" i="27" s="1"/>
  <c r="M176" i="38"/>
  <c r="V177" i="27"/>
  <c r="M177" i="38"/>
  <c r="V33" i="27"/>
  <c r="X33" i="27" s="1"/>
  <c r="M34" i="38"/>
  <c r="V35" i="27"/>
  <c r="X35" i="27" s="1"/>
  <c r="M36" i="38"/>
  <c r="V37" i="27"/>
  <c r="X37" i="27" s="1"/>
  <c r="M38" i="38"/>
  <c r="V41" i="27"/>
  <c r="X41" i="27" s="1"/>
  <c r="M42" i="38"/>
  <c r="V46" i="27"/>
  <c r="X46" i="27" s="1"/>
  <c r="X45" i="27" s="1"/>
  <c r="M47" i="38"/>
  <c r="V63" i="27"/>
  <c r="M64" i="38"/>
  <c r="V65" i="27"/>
  <c r="X65" i="27" s="1"/>
  <c r="M66" i="38"/>
  <c r="V68" i="27"/>
  <c r="X68" i="27" s="1"/>
  <c r="M69" i="38"/>
  <c r="V70" i="27"/>
  <c r="X70" i="27" s="1"/>
  <c r="M71" i="38"/>
  <c r="V78" i="27"/>
  <c r="M79" i="38"/>
  <c r="V81" i="27"/>
  <c r="X81" i="27" s="1"/>
  <c r="M82" i="38"/>
  <c r="V83" i="27"/>
  <c r="X83" i="27" s="1"/>
  <c r="M84" i="38"/>
  <c r="AI106" i="10"/>
  <c r="J105" i="38"/>
  <c r="V112" i="27"/>
  <c r="X112" i="27" s="1"/>
  <c r="M110" i="38"/>
  <c r="R115" i="27"/>
  <c r="T115" i="27" s="1"/>
  <c r="L113" i="38"/>
  <c r="R117" i="27"/>
  <c r="L115" i="38"/>
  <c r="J131" i="38"/>
  <c r="N151" i="27"/>
  <c r="Q151" i="27" s="1"/>
  <c r="K151" i="38"/>
  <c r="X161" i="2"/>
  <c r="N160" i="38" s="1"/>
  <c r="N161" i="38"/>
  <c r="V163" i="27"/>
  <c r="X163" i="27" s="1"/>
  <c r="M163" i="38"/>
  <c r="V164" i="27"/>
  <c r="X164" i="27" s="1"/>
  <c r="M164" i="38"/>
  <c r="V165" i="27"/>
  <c r="X165" i="27" s="1"/>
  <c r="M165" i="38"/>
  <c r="V178" i="27"/>
  <c r="X178" i="27" s="1"/>
  <c r="M178" i="38"/>
  <c r="K40" i="38"/>
  <c r="O39" i="2"/>
  <c r="K39" i="38" s="1"/>
  <c r="N46" i="27"/>
  <c r="Q46" i="27" s="1"/>
  <c r="K47" i="38"/>
  <c r="N47" i="27"/>
  <c r="Q47" i="27" s="1"/>
  <c r="K48" i="38"/>
  <c r="N48" i="27"/>
  <c r="Q48" i="27" s="1"/>
  <c r="K49" i="38"/>
  <c r="N62" i="27"/>
  <c r="Q62" i="27" s="1"/>
  <c r="K63" i="38"/>
  <c r="N63" i="27"/>
  <c r="Q63" i="27" s="1"/>
  <c r="K64" i="38"/>
  <c r="N64" i="27"/>
  <c r="Q64" i="27" s="1"/>
  <c r="K65" i="38"/>
  <c r="R75" i="27"/>
  <c r="T75" i="27" s="1"/>
  <c r="L76" i="38"/>
  <c r="R76" i="27"/>
  <c r="T76" i="27" s="1"/>
  <c r="L77" i="38"/>
  <c r="R77" i="27"/>
  <c r="T77" i="27" s="1"/>
  <c r="L78" i="38"/>
  <c r="N81" i="27"/>
  <c r="Q81" i="27" s="1"/>
  <c r="K82" i="38"/>
  <c r="N83" i="27"/>
  <c r="Q83" i="27" s="1"/>
  <c r="K84" i="38"/>
  <c r="R88" i="27"/>
  <c r="T88" i="27" s="1"/>
  <c r="L87" i="38"/>
  <c r="R89" i="27"/>
  <c r="T89" i="27" s="1"/>
  <c r="L88" i="38"/>
  <c r="R90" i="27"/>
  <c r="T90" i="27" s="1"/>
  <c r="L89" i="38"/>
  <c r="R91" i="27"/>
  <c r="T91" i="27" s="1"/>
  <c r="L90" i="38"/>
  <c r="R93" i="27"/>
  <c r="T93" i="27" s="1"/>
  <c r="L92" i="38"/>
  <c r="V94" i="27"/>
  <c r="X94" i="27" s="1"/>
  <c r="M93" i="38"/>
  <c r="V95" i="27"/>
  <c r="X95" i="27" s="1"/>
  <c r="M94" i="38"/>
  <c r="V96" i="27"/>
  <c r="X96" i="27" s="1"/>
  <c r="M95" i="38"/>
  <c r="V97" i="27"/>
  <c r="X97" i="27" s="1"/>
  <c r="M96" i="38"/>
  <c r="V98" i="27"/>
  <c r="X98" i="27" s="1"/>
  <c r="M97" i="38"/>
  <c r="V103" i="27"/>
  <c r="X103" i="27" s="1"/>
  <c r="M101" i="38"/>
  <c r="V104" i="27"/>
  <c r="X104" i="27" s="1"/>
  <c r="M102" i="38"/>
  <c r="V105" i="27"/>
  <c r="X105" i="27" s="1"/>
  <c r="M103" i="38"/>
  <c r="V106" i="27"/>
  <c r="X106" i="27" s="1"/>
  <c r="M104" i="38"/>
  <c r="R107" i="27"/>
  <c r="T107" i="27" s="1"/>
  <c r="L105" i="38"/>
  <c r="R109" i="27"/>
  <c r="T109" i="27" s="1"/>
  <c r="L107" i="38"/>
  <c r="AI112" i="10"/>
  <c r="J111" i="38"/>
  <c r="V119" i="27"/>
  <c r="X119" i="27" s="1"/>
  <c r="M117" i="38"/>
  <c r="V122" i="27"/>
  <c r="X122" i="27" s="1"/>
  <c r="M120" i="38"/>
  <c r="V124" i="27"/>
  <c r="X124" i="27" s="1"/>
  <c r="M122" i="38"/>
  <c r="V125" i="27"/>
  <c r="X125" i="27" s="1"/>
  <c r="M123" i="38"/>
  <c r="V129" i="27"/>
  <c r="X129" i="27" s="1"/>
  <c r="M127" i="38"/>
  <c r="V135" i="27"/>
  <c r="X135" i="27" s="1"/>
  <c r="M129" i="38"/>
  <c r="V136" i="27"/>
  <c r="X136" i="27" s="1"/>
  <c r="M130" i="38"/>
  <c r="R137" i="27"/>
  <c r="T137" i="27" s="1"/>
  <c r="L131" i="38"/>
  <c r="R138" i="27"/>
  <c r="T138" i="27" s="1"/>
  <c r="L132" i="38"/>
  <c r="R139" i="27"/>
  <c r="T139" i="27" s="1"/>
  <c r="L133" i="38"/>
  <c r="L134" i="38"/>
  <c r="L135" i="38"/>
  <c r="L136" i="38"/>
  <c r="L137" i="38"/>
  <c r="L138" i="38"/>
  <c r="L139" i="38"/>
  <c r="R148" i="27"/>
  <c r="T148" i="27" s="1"/>
  <c r="L148" i="38"/>
  <c r="R149" i="27"/>
  <c r="T149" i="27" s="1"/>
  <c r="L149" i="38"/>
  <c r="V150" i="27"/>
  <c r="X150" i="27" s="1"/>
  <c r="M150" i="38"/>
  <c r="V151" i="27"/>
  <c r="X151" i="27" s="1"/>
  <c r="M151" i="38"/>
  <c r="R162" i="27"/>
  <c r="T162" i="27" s="1"/>
  <c r="L162" i="38"/>
  <c r="R173" i="27"/>
  <c r="T173" i="27" s="1"/>
  <c r="L173" i="38"/>
  <c r="R175" i="27"/>
  <c r="T175" i="27" s="1"/>
  <c r="L175" i="38"/>
  <c r="R176" i="27"/>
  <c r="T176" i="27" s="1"/>
  <c r="L176" i="38"/>
  <c r="R177" i="27"/>
  <c r="T177" i="27" s="1"/>
  <c r="L177" i="38"/>
  <c r="N178" i="27"/>
  <c r="Q178" i="27" s="1"/>
  <c r="K178" i="38"/>
  <c r="R170" i="27"/>
  <c r="T170" i="27" s="1"/>
  <c r="T169" i="27" s="1"/>
  <c r="T168" i="27" s="1"/>
  <c r="V161" i="27"/>
  <c r="X161" i="27" s="1"/>
  <c r="U161" i="2"/>
  <c r="M160" i="38" s="1"/>
  <c r="R161" i="27"/>
  <c r="T161" i="27" s="1"/>
  <c r="R161" i="2"/>
  <c r="L160" i="38" s="1"/>
  <c r="V39" i="27"/>
  <c r="N39" i="27"/>
  <c r="Q39" i="27" s="1"/>
  <c r="V56" i="27"/>
  <c r="Y56" i="27" s="1"/>
  <c r="Y55" i="27" s="1"/>
  <c r="AQ93" i="10"/>
  <c r="Z94" i="27"/>
  <c r="AQ94" i="10"/>
  <c r="Z95" i="27"/>
  <c r="AQ95" i="10"/>
  <c r="AG95" i="10" s="1"/>
  <c r="AG91" i="10" s="1"/>
  <c r="Z96" i="27"/>
  <c r="AQ96" i="10"/>
  <c r="Z97" i="27"/>
  <c r="AQ97" i="10"/>
  <c r="Z98" i="27"/>
  <c r="AQ102" i="10"/>
  <c r="Z103" i="27"/>
  <c r="AQ103" i="10"/>
  <c r="Z104" i="27"/>
  <c r="AQ104" i="10"/>
  <c r="Z105" i="27"/>
  <c r="AQ105" i="10"/>
  <c r="Z106" i="27"/>
  <c r="AQ118" i="10"/>
  <c r="Z119" i="27"/>
  <c r="AQ121" i="10"/>
  <c r="Z122" i="27"/>
  <c r="AQ123" i="10"/>
  <c r="Z124" i="27"/>
  <c r="AQ124" i="10"/>
  <c r="Z125" i="27"/>
  <c r="AQ128" i="10"/>
  <c r="Z129" i="27"/>
  <c r="AQ135" i="10"/>
  <c r="U140" i="10" s="1"/>
  <c r="Z135" i="27"/>
  <c r="AQ136" i="10"/>
  <c r="Z136" i="27"/>
  <c r="AQ150" i="10"/>
  <c r="AR150" i="10" s="1"/>
  <c r="Z150" i="27"/>
  <c r="AQ151" i="10"/>
  <c r="AR151" i="10" s="1"/>
  <c r="Z151" i="27"/>
  <c r="AQ74" i="10"/>
  <c r="Z75" i="27"/>
  <c r="AQ75" i="10"/>
  <c r="U75" i="10" s="1"/>
  <c r="Z76" i="27"/>
  <c r="AQ76" i="10"/>
  <c r="Z77" i="27"/>
  <c r="AQ87" i="10"/>
  <c r="Z88" i="27"/>
  <c r="AQ88" i="10"/>
  <c r="Z89" i="27"/>
  <c r="AQ89" i="10"/>
  <c r="Z90" i="27"/>
  <c r="AQ90" i="10"/>
  <c r="U90" i="10" s="1"/>
  <c r="Z91" i="27"/>
  <c r="AQ106" i="10"/>
  <c r="Z107" i="27"/>
  <c r="AQ108" i="10"/>
  <c r="Z109" i="27"/>
  <c r="AQ137" i="10"/>
  <c r="Z137" i="27"/>
  <c r="AQ138" i="10"/>
  <c r="Z138" i="27"/>
  <c r="AQ139" i="10"/>
  <c r="Z139" i="27"/>
  <c r="AQ148" i="10"/>
  <c r="AR148" i="10" s="1"/>
  <c r="Z148" i="27"/>
  <c r="AQ149" i="10"/>
  <c r="AR149" i="10" s="1"/>
  <c r="Z149" i="27"/>
  <c r="AQ152" i="10"/>
  <c r="AR152" i="10" s="1"/>
  <c r="Z152" i="27"/>
  <c r="AQ161" i="10"/>
  <c r="U161" i="10" s="1"/>
  <c r="Z161" i="27"/>
  <c r="AQ162" i="10"/>
  <c r="I162" i="10" s="1"/>
  <c r="Z162" i="27"/>
  <c r="AQ170" i="10"/>
  <c r="Z170" i="27"/>
  <c r="AQ174" i="10"/>
  <c r="Z173" i="27"/>
  <c r="AQ176" i="10"/>
  <c r="Z175" i="27"/>
  <c r="AQ177" i="10"/>
  <c r="Z176" i="27"/>
  <c r="AQ178" i="10"/>
  <c r="Z177" i="27"/>
  <c r="AQ33" i="10"/>
  <c r="Z33" i="27"/>
  <c r="AQ34" i="10"/>
  <c r="Z34" i="27"/>
  <c r="AQ35" i="10"/>
  <c r="Z35" i="27"/>
  <c r="AQ36" i="10"/>
  <c r="Z36" i="27"/>
  <c r="AQ37" i="10"/>
  <c r="Z37" i="27"/>
  <c r="AQ39" i="10"/>
  <c r="Z39" i="27"/>
  <c r="AQ41" i="10"/>
  <c r="Z41" i="27"/>
  <c r="AQ42" i="10"/>
  <c r="Z42" i="27"/>
  <c r="AQ43" i="10"/>
  <c r="Z43" i="27"/>
  <c r="AQ46" i="10"/>
  <c r="Z46" i="27"/>
  <c r="AQ47" i="10"/>
  <c r="Z47" i="27"/>
  <c r="AQ48" i="10"/>
  <c r="Z48" i="27"/>
  <c r="AQ56" i="10"/>
  <c r="AA56" i="10" s="1"/>
  <c r="Z56" i="27"/>
  <c r="AQ62" i="10"/>
  <c r="Z62" i="27"/>
  <c r="AQ63" i="10"/>
  <c r="Z63" i="27"/>
  <c r="AQ64" i="10"/>
  <c r="Z64" i="27"/>
  <c r="AQ65" i="10"/>
  <c r="Z65" i="27"/>
  <c r="AQ67" i="10"/>
  <c r="Z67" i="27"/>
  <c r="AQ68" i="10"/>
  <c r="U68" i="10" s="1"/>
  <c r="Z68" i="27"/>
  <c r="AQ69" i="10"/>
  <c r="Z69" i="27"/>
  <c r="AQ70" i="10"/>
  <c r="Z70" i="27"/>
  <c r="AQ71" i="10"/>
  <c r="Z71" i="27"/>
  <c r="AQ77" i="10"/>
  <c r="Z78" i="27"/>
  <c r="AQ79" i="10"/>
  <c r="Z80" i="27"/>
  <c r="AQ80" i="10"/>
  <c r="Z81" i="27"/>
  <c r="AQ81" i="10"/>
  <c r="Z82" i="27"/>
  <c r="AQ82" i="10"/>
  <c r="Z83" i="27"/>
  <c r="AQ86" i="10"/>
  <c r="Z87" i="27"/>
  <c r="AQ109" i="10"/>
  <c r="Z110" i="27"/>
  <c r="AQ110" i="10"/>
  <c r="Z111" i="27"/>
  <c r="AQ111" i="10"/>
  <c r="Z112" i="27"/>
  <c r="AQ163" i="10"/>
  <c r="I163" i="10" s="1"/>
  <c r="Z163" i="27"/>
  <c r="AQ164" i="10"/>
  <c r="I164" i="10" s="1"/>
  <c r="Z164" i="27"/>
  <c r="AQ165" i="10"/>
  <c r="U165" i="10" s="1"/>
  <c r="Z165" i="27"/>
  <c r="AQ179" i="10"/>
  <c r="Z178" i="27"/>
  <c r="AQ112" i="10"/>
  <c r="Z113" i="27"/>
  <c r="AQ114" i="10"/>
  <c r="Z115" i="27"/>
  <c r="AQ115" i="10"/>
  <c r="Z116" i="27"/>
  <c r="AQ116" i="10"/>
  <c r="Z117" i="27"/>
  <c r="AQ117" i="10"/>
  <c r="Z118" i="27"/>
  <c r="AQ122" i="10"/>
  <c r="Z123" i="27"/>
  <c r="AQ125" i="10"/>
  <c r="Z126" i="27"/>
  <c r="AQ126" i="10"/>
  <c r="Z127" i="27"/>
  <c r="R46" i="27"/>
  <c r="U46" i="27" s="1"/>
  <c r="R47" i="27"/>
  <c r="U47" i="27" s="1"/>
  <c r="R48" i="27"/>
  <c r="U48" i="27" s="1"/>
  <c r="R63" i="27"/>
  <c r="R39" i="27"/>
  <c r="U39" i="27" s="1"/>
  <c r="R152" i="27"/>
  <c r="U152" i="27" s="1"/>
  <c r="U147" i="27" s="1"/>
  <c r="U146" i="27" s="1"/>
  <c r="AM41" i="10"/>
  <c r="AM42" i="10"/>
  <c r="AM43" i="10"/>
  <c r="AM56" i="10"/>
  <c r="Y56" i="10" s="1"/>
  <c r="AM62" i="10"/>
  <c r="AM64" i="10"/>
  <c r="AM65" i="10"/>
  <c r="AN65" i="10" s="1"/>
  <c r="AM67" i="10"/>
  <c r="AN67" i="10" s="1"/>
  <c r="AM68" i="10"/>
  <c r="AM69" i="10"/>
  <c r="AM70" i="10"/>
  <c r="AM71" i="10"/>
  <c r="AO74" i="10"/>
  <c r="AO75" i="10"/>
  <c r="AO76" i="10"/>
  <c r="AM77" i="10"/>
  <c r="AM79" i="10"/>
  <c r="AM80" i="10"/>
  <c r="AM81" i="10"/>
  <c r="AM82" i="10"/>
  <c r="AM86" i="10"/>
  <c r="AN86" i="10" s="1"/>
  <c r="AO87" i="10"/>
  <c r="AP87" i="10" s="1"/>
  <c r="AO88" i="10"/>
  <c r="AP88" i="10" s="1"/>
  <c r="AO89" i="10"/>
  <c r="AP89" i="10" s="1"/>
  <c r="AO90" i="10"/>
  <c r="AP90" i="10" s="1"/>
  <c r="AO92" i="10"/>
  <c r="AO106" i="10"/>
  <c r="AO108" i="10"/>
  <c r="AM109" i="10"/>
  <c r="AM110" i="10"/>
  <c r="AM111" i="10"/>
  <c r="AK112" i="10"/>
  <c r="N113" i="27"/>
  <c r="AK114" i="10"/>
  <c r="N115" i="27"/>
  <c r="P115" i="27" s="1"/>
  <c r="AK115" i="10"/>
  <c r="N116" i="27"/>
  <c r="P116" i="27" s="1"/>
  <c r="AK116" i="10"/>
  <c r="N117" i="27"/>
  <c r="P117" i="27" s="1"/>
  <c r="AK117" i="10"/>
  <c r="N118" i="27"/>
  <c r="P118" i="27" s="1"/>
  <c r="AK126" i="10"/>
  <c r="CS126" i="10" s="1"/>
  <c r="N127" i="27"/>
  <c r="P127" i="27" s="1"/>
  <c r="AO137" i="10"/>
  <c r="CT137" i="10" s="1"/>
  <c r="AO138" i="10"/>
  <c r="AO139" i="10"/>
  <c r="AO148" i="10"/>
  <c r="AP148" i="10" s="1"/>
  <c r="AO149" i="10"/>
  <c r="AP149" i="10" s="1"/>
  <c r="AO152" i="10"/>
  <c r="AP152" i="10" s="1"/>
  <c r="AO161" i="10"/>
  <c r="AO162" i="10"/>
  <c r="T162" i="10" s="1"/>
  <c r="AM163" i="10"/>
  <c r="Y163" i="10" s="1"/>
  <c r="AM164" i="10"/>
  <c r="AE164" i="10" s="1"/>
  <c r="AM165" i="10"/>
  <c r="G165" i="10" s="1"/>
  <c r="AO170" i="10"/>
  <c r="AF170" i="10" s="1"/>
  <c r="AO174" i="10"/>
  <c r="AO176" i="10"/>
  <c r="AO177" i="10"/>
  <c r="AO178" i="10"/>
  <c r="AM179" i="10"/>
  <c r="AM33" i="10"/>
  <c r="AM34" i="10"/>
  <c r="AM35" i="10"/>
  <c r="AM36" i="10"/>
  <c r="AM37" i="10"/>
  <c r="AO33" i="10"/>
  <c r="AO34" i="10"/>
  <c r="AO35" i="10"/>
  <c r="AO36" i="10"/>
  <c r="AO37" i="10"/>
  <c r="AO39" i="10"/>
  <c r="AO41" i="10"/>
  <c r="T41" i="10" s="1"/>
  <c r="AO42" i="10"/>
  <c r="AO43" i="10"/>
  <c r="AO46" i="10"/>
  <c r="AO47" i="10"/>
  <c r="AO48" i="10"/>
  <c r="AO62" i="10"/>
  <c r="AO63" i="10"/>
  <c r="AO64" i="10"/>
  <c r="AP64" i="10" s="1"/>
  <c r="T64" i="10" s="1"/>
  <c r="AO65" i="10"/>
  <c r="AP65" i="10" s="1"/>
  <c r="AO67" i="10"/>
  <c r="AP67" i="10" s="1"/>
  <c r="AO68" i="10"/>
  <c r="AO69" i="10"/>
  <c r="AO70" i="10"/>
  <c r="AO71" i="10"/>
  <c r="AO77" i="10"/>
  <c r="AO79" i="10"/>
  <c r="AO80" i="10"/>
  <c r="AO81" i="10"/>
  <c r="X82" i="27"/>
  <c r="AO82" i="10"/>
  <c r="AO86" i="10"/>
  <c r="AP86" i="10" s="1"/>
  <c r="AK94" i="10"/>
  <c r="AL94" i="10" s="1"/>
  <c r="N95" i="27"/>
  <c r="P95" i="27" s="1"/>
  <c r="AK95" i="10"/>
  <c r="N96" i="27"/>
  <c r="P96" i="27" s="1"/>
  <c r="AK96" i="10"/>
  <c r="AL96" i="10" s="1"/>
  <c r="N97" i="27"/>
  <c r="P97" i="27" s="1"/>
  <c r="AK97" i="10"/>
  <c r="AL97" i="10" s="1"/>
  <c r="N98" i="27"/>
  <c r="P98" i="27" s="1"/>
  <c r="AK102" i="10"/>
  <c r="N103" i="27"/>
  <c r="AK103" i="10"/>
  <c r="N104" i="27"/>
  <c r="AK104" i="10"/>
  <c r="N105" i="27"/>
  <c r="P105" i="27" s="1"/>
  <c r="AK105" i="10"/>
  <c r="N106" i="27"/>
  <c r="Q106" i="27" s="1"/>
  <c r="AO109" i="10"/>
  <c r="AO110" i="10"/>
  <c r="AO111" i="10"/>
  <c r="AM112" i="10"/>
  <c r="AM114" i="10"/>
  <c r="AM115" i="10"/>
  <c r="AM116" i="10"/>
  <c r="AM117" i="10"/>
  <c r="AK118" i="10"/>
  <c r="N119" i="27"/>
  <c r="P119" i="27" s="1"/>
  <c r="AK121" i="10"/>
  <c r="AK120" i="10" s="1"/>
  <c r="N122" i="27"/>
  <c r="P122" i="27" s="1"/>
  <c r="AM122" i="10"/>
  <c r="CR122" i="10" s="1"/>
  <c r="AK123" i="10"/>
  <c r="CS123" i="10" s="1"/>
  <c r="N124" i="27"/>
  <c r="P124" i="27" s="1"/>
  <c r="AK124" i="10"/>
  <c r="CS124" i="10" s="1"/>
  <c r="N125" i="27"/>
  <c r="P125" i="27" s="1"/>
  <c r="AM125" i="10"/>
  <c r="CR125" i="10" s="1"/>
  <c r="AM126" i="10"/>
  <c r="CR126" i="10" s="1"/>
  <c r="AK128" i="10"/>
  <c r="CS128" i="10" s="1"/>
  <c r="N129" i="27"/>
  <c r="P129" i="27" s="1"/>
  <c r="AK135" i="10"/>
  <c r="R140" i="10" s="1"/>
  <c r="R119" i="10" s="1"/>
  <c r="N135" i="27"/>
  <c r="P135" i="27" s="1"/>
  <c r="AK136" i="10"/>
  <c r="N136" i="27"/>
  <c r="P136" i="27" s="1"/>
  <c r="AO163" i="10"/>
  <c r="Z163" i="10" s="1"/>
  <c r="AO164" i="10"/>
  <c r="AO165" i="10"/>
  <c r="T165" i="10" s="1"/>
  <c r="AO179" i="10"/>
  <c r="AK75" i="10"/>
  <c r="CM75" i="10" s="1"/>
  <c r="N76" i="27"/>
  <c r="P76" i="27" s="1"/>
  <c r="AK76" i="10"/>
  <c r="N77" i="27"/>
  <c r="P77" i="27" s="1"/>
  <c r="AK88" i="10"/>
  <c r="AL88" i="10" s="1"/>
  <c r="N89" i="27"/>
  <c r="P89" i="27" s="1"/>
  <c r="AK89" i="10"/>
  <c r="AL89" i="10" s="1"/>
  <c r="R89" i="10" s="1"/>
  <c r="N90" i="27"/>
  <c r="P90" i="27" s="1"/>
  <c r="N91" i="27"/>
  <c r="P91" i="27" s="1"/>
  <c r="AM93" i="10"/>
  <c r="AM94" i="10"/>
  <c r="AM95" i="10"/>
  <c r="AM96" i="10"/>
  <c r="AN96" i="10" s="1"/>
  <c r="S96" i="10" s="1"/>
  <c r="AM97" i="10"/>
  <c r="AN97" i="10" s="1"/>
  <c r="S97" i="10" s="1"/>
  <c r="AM102" i="10"/>
  <c r="AM103" i="10"/>
  <c r="AM104" i="10"/>
  <c r="AM105" i="10"/>
  <c r="AK106" i="10"/>
  <c r="N107" i="27"/>
  <c r="P107" i="27" s="1"/>
  <c r="AK108" i="10"/>
  <c r="N109" i="27"/>
  <c r="AO112" i="10"/>
  <c r="AO114" i="10"/>
  <c r="AO115" i="10"/>
  <c r="AO116" i="10"/>
  <c r="AO117" i="10"/>
  <c r="AM118" i="10"/>
  <c r="AM121" i="10"/>
  <c r="AO122" i="10"/>
  <c r="AM123" i="10"/>
  <c r="CR123" i="10" s="1"/>
  <c r="AM124" i="10"/>
  <c r="CR124" i="10" s="1"/>
  <c r="AO125" i="10"/>
  <c r="AO126" i="10"/>
  <c r="AM128" i="10"/>
  <c r="CR128" i="10" s="1"/>
  <c r="AM135" i="10"/>
  <c r="S140" i="10" s="1"/>
  <c r="S119" i="10" s="1"/>
  <c r="AM136" i="10"/>
  <c r="AK137" i="10"/>
  <c r="N137" i="27"/>
  <c r="P137" i="27" s="1"/>
  <c r="AK138" i="10"/>
  <c r="N138" i="27"/>
  <c r="P138" i="27" s="1"/>
  <c r="AK139" i="10"/>
  <c r="N139" i="27"/>
  <c r="P139" i="27" s="1"/>
  <c r="AM150" i="10"/>
  <c r="AN150" i="10" s="1"/>
  <c r="AM151" i="10"/>
  <c r="AN151" i="10" s="1"/>
  <c r="AK152" i="10"/>
  <c r="AL152" i="10" s="1"/>
  <c r="N152" i="27"/>
  <c r="P152" i="27" s="1"/>
  <c r="AK161" i="10"/>
  <c r="F161" i="10" s="1"/>
  <c r="N161" i="27"/>
  <c r="AK162" i="10"/>
  <c r="L162" i="10" s="1"/>
  <c r="N162" i="27"/>
  <c r="P162" i="27" s="1"/>
  <c r="AK176" i="10"/>
  <c r="N175" i="27"/>
  <c r="Q175" i="27" s="1"/>
  <c r="AK33" i="10"/>
  <c r="N33" i="27"/>
  <c r="P33" i="27" s="1"/>
  <c r="AK34" i="10"/>
  <c r="N34" i="27"/>
  <c r="P34" i="27" s="1"/>
  <c r="AK35" i="10"/>
  <c r="N35" i="27"/>
  <c r="P35" i="27" s="1"/>
  <c r="AK36" i="10"/>
  <c r="N36" i="27"/>
  <c r="P36" i="27" s="1"/>
  <c r="AK37" i="10"/>
  <c r="CO37" i="10" s="1"/>
  <c r="N37" i="27"/>
  <c r="P37" i="27" s="1"/>
  <c r="AK41" i="10"/>
  <c r="N41" i="27"/>
  <c r="P41" i="27" s="1"/>
  <c r="AK42" i="10"/>
  <c r="N42" i="27"/>
  <c r="AK43" i="10"/>
  <c r="N43" i="27"/>
  <c r="P43" i="27" s="1"/>
  <c r="AK56" i="10"/>
  <c r="N56" i="27"/>
  <c r="P56" i="27" s="1"/>
  <c r="P55" i="27" s="1"/>
  <c r="AK65" i="10"/>
  <c r="AL65" i="10" s="1"/>
  <c r="N65" i="27"/>
  <c r="P65" i="27" s="1"/>
  <c r="AK67" i="10"/>
  <c r="AL67" i="10" s="1"/>
  <c r="N67" i="27"/>
  <c r="P67" i="27" s="1"/>
  <c r="AK68" i="10"/>
  <c r="N68" i="27"/>
  <c r="P68" i="27" s="1"/>
  <c r="AK69" i="10"/>
  <c r="N69" i="27"/>
  <c r="P69" i="27" s="1"/>
  <c r="AK70" i="10"/>
  <c r="N70" i="27"/>
  <c r="P70" i="27" s="1"/>
  <c r="AK71" i="10"/>
  <c r="N71" i="27"/>
  <c r="P71" i="27" s="1"/>
  <c r="AM74" i="10"/>
  <c r="AM75" i="10"/>
  <c r="AM76" i="10"/>
  <c r="AK77" i="10"/>
  <c r="CM77" i="10" s="1"/>
  <c r="N78" i="27"/>
  <c r="P78" i="27" s="1"/>
  <c r="AK79" i="10"/>
  <c r="CR79" i="10" s="1"/>
  <c r="N80" i="27"/>
  <c r="AK81" i="10"/>
  <c r="CR81" i="10" s="1"/>
  <c r="N82" i="27"/>
  <c r="P82" i="27" s="1"/>
  <c r="AK86" i="10"/>
  <c r="AL86" i="10" s="1"/>
  <c r="R86" i="10" s="1"/>
  <c r="N87" i="27"/>
  <c r="P87" i="27" s="1"/>
  <c r="AM87" i="10"/>
  <c r="AN87" i="10" s="1"/>
  <c r="AM88" i="10"/>
  <c r="AN88" i="10" s="1"/>
  <c r="AM89" i="10"/>
  <c r="AN89" i="10" s="1"/>
  <c r="AM90" i="10"/>
  <c r="AM92" i="10"/>
  <c r="AO93" i="10"/>
  <c r="AO94" i="10"/>
  <c r="AP94" i="10" s="1"/>
  <c r="AO95" i="10"/>
  <c r="AO96" i="10"/>
  <c r="AP96" i="10" s="1"/>
  <c r="AO97" i="10"/>
  <c r="AP97" i="10" s="1"/>
  <c r="AO102" i="10"/>
  <c r="AO103" i="10"/>
  <c r="AO104" i="10"/>
  <c r="AO105" i="10"/>
  <c r="AM106" i="10"/>
  <c r="AM108" i="10"/>
  <c r="AK109" i="10"/>
  <c r="N110" i="27"/>
  <c r="AK110" i="10"/>
  <c r="N111" i="27"/>
  <c r="AK111" i="10"/>
  <c r="N112" i="27"/>
  <c r="AO118" i="10"/>
  <c r="AO121" i="10"/>
  <c r="AO123" i="10"/>
  <c r="CT123" i="10" s="1"/>
  <c r="AO124" i="10"/>
  <c r="CT124" i="10" s="1"/>
  <c r="AO128" i="10"/>
  <c r="CT128" i="10" s="1"/>
  <c r="AO135" i="10"/>
  <c r="AO136" i="10"/>
  <c r="CT136" i="10" s="1"/>
  <c r="AM137" i="10"/>
  <c r="AM138" i="10"/>
  <c r="AM139" i="10"/>
  <c r="AM148" i="10"/>
  <c r="AN148" i="10" s="1"/>
  <c r="AM149" i="10"/>
  <c r="AN149" i="10" s="1"/>
  <c r="AO150" i="10"/>
  <c r="AP150" i="10" s="1"/>
  <c r="AO151" i="10"/>
  <c r="AP151" i="10" s="1"/>
  <c r="AM161" i="10"/>
  <c r="M161" i="10" s="1"/>
  <c r="AM162" i="10"/>
  <c r="M162" i="10" s="1"/>
  <c r="AK163" i="10"/>
  <c r="X163" i="10" s="1"/>
  <c r="N163" i="27"/>
  <c r="P163" i="27" s="1"/>
  <c r="AK164" i="10"/>
  <c r="X164" i="10" s="1"/>
  <c r="N164" i="27"/>
  <c r="P164" i="27" s="1"/>
  <c r="AK165" i="10"/>
  <c r="L165" i="10" s="1"/>
  <c r="N165" i="27"/>
  <c r="P165" i="27" s="1"/>
  <c r="AM170" i="10"/>
  <c r="AM174" i="10"/>
  <c r="AM176" i="10"/>
  <c r="AM177" i="10"/>
  <c r="AM178" i="10"/>
  <c r="AK80" i="10"/>
  <c r="R80" i="10" s="1"/>
  <c r="Q81" i="2"/>
  <c r="T40" i="2"/>
  <c r="AM39" i="10"/>
  <c r="S39" i="10" s="1"/>
  <c r="T47" i="2"/>
  <c r="AM46" i="10"/>
  <c r="S46" i="10" s="1"/>
  <c r="T48" i="2"/>
  <c r="AM47" i="10"/>
  <c r="T49" i="2"/>
  <c r="AM48" i="10"/>
  <c r="T64" i="2"/>
  <c r="T62" i="2" s="1"/>
  <c r="AM63" i="10"/>
  <c r="W57" i="2"/>
  <c r="W56" i="2" s="1"/>
  <c r="AO56" i="10"/>
  <c r="Z93" i="2"/>
  <c r="Z92" i="2" s="1"/>
  <c r="AQ92" i="10"/>
  <c r="Q152" i="2"/>
  <c r="AK151" i="10"/>
  <c r="AL151" i="10" s="1"/>
  <c r="AI152" i="10"/>
  <c r="AJ152" i="10" s="1"/>
  <c r="N153" i="2"/>
  <c r="Q93" i="2"/>
  <c r="Q92" i="2" s="1"/>
  <c r="AK92" i="10"/>
  <c r="Q149" i="2"/>
  <c r="AK148" i="10"/>
  <c r="AL148" i="10" s="1"/>
  <c r="Q150" i="2"/>
  <c r="AK149" i="10"/>
  <c r="AL149" i="10" s="1"/>
  <c r="Q174" i="2"/>
  <c r="AK174" i="10"/>
  <c r="AL174" i="10" s="1"/>
  <c r="Q177" i="2"/>
  <c r="AK177" i="10"/>
  <c r="Q178" i="2"/>
  <c r="AK178" i="10"/>
  <c r="AL178" i="10" s="1"/>
  <c r="AI179" i="10"/>
  <c r="AJ179" i="10" s="1"/>
  <c r="N179" i="2"/>
  <c r="Q40" i="2"/>
  <c r="AK39" i="10"/>
  <c r="R39" i="10" s="1"/>
  <c r="Q47" i="2"/>
  <c r="AK46" i="10"/>
  <c r="R46" i="10" s="1"/>
  <c r="Q48" i="2"/>
  <c r="AK47" i="10"/>
  <c r="R47" i="10" s="1"/>
  <c r="Q49" i="2"/>
  <c r="AK48" i="10"/>
  <c r="R48" i="10" s="1"/>
  <c r="Q63" i="2"/>
  <c r="AK62" i="10"/>
  <c r="AL62" i="10" s="1"/>
  <c r="R62" i="10" s="1"/>
  <c r="Q64" i="2"/>
  <c r="AK63" i="10"/>
  <c r="AL63" i="10" s="1"/>
  <c r="R63" i="10" s="1"/>
  <c r="Q65" i="2"/>
  <c r="AK64" i="10"/>
  <c r="AL64" i="10" s="1"/>
  <c r="R64" i="10" s="1"/>
  <c r="Q83" i="2"/>
  <c r="AK82" i="10"/>
  <c r="T153" i="2"/>
  <c r="T148" i="2" s="1"/>
  <c r="AM152" i="10"/>
  <c r="AN152" i="10" s="1"/>
  <c r="Q179" i="2"/>
  <c r="AK179" i="10"/>
  <c r="AL179" i="10" s="1"/>
  <c r="X63" i="27"/>
  <c r="M74" i="26"/>
  <c r="M74" i="24"/>
  <c r="X78" i="27"/>
  <c r="V105" i="11"/>
  <c r="J107" i="27"/>
  <c r="L107" i="27" s="1"/>
  <c r="X111" i="27"/>
  <c r="T127" i="27"/>
  <c r="V136" i="11"/>
  <c r="J137" i="27"/>
  <c r="L137" i="27" s="1"/>
  <c r="V151" i="11"/>
  <c r="J152" i="27"/>
  <c r="M152" i="27" s="1"/>
  <c r="T35" i="27"/>
  <c r="T41" i="27"/>
  <c r="T56" i="27"/>
  <c r="T55" i="27" s="1"/>
  <c r="T65" i="27"/>
  <c r="T69" i="27"/>
  <c r="L74" i="26"/>
  <c r="L74" i="24"/>
  <c r="T78" i="27"/>
  <c r="T83" i="27"/>
  <c r="X91" i="27"/>
  <c r="T112" i="27"/>
  <c r="V122" i="11"/>
  <c r="J124" i="27"/>
  <c r="L124" i="27" s="1"/>
  <c r="X138" i="27"/>
  <c r="N74" i="26"/>
  <c r="N74" i="24"/>
  <c r="V76" i="11"/>
  <c r="J78" i="27"/>
  <c r="L78" i="27" s="1"/>
  <c r="T95" i="27"/>
  <c r="T97" i="27"/>
  <c r="T105" i="27"/>
  <c r="V108" i="11"/>
  <c r="J110" i="27"/>
  <c r="X117" i="27"/>
  <c r="X123" i="27"/>
  <c r="T125" i="27"/>
  <c r="X127" i="27"/>
  <c r="T150" i="27"/>
  <c r="V162" i="11"/>
  <c r="J163" i="27"/>
  <c r="L163" i="27" s="1"/>
  <c r="P176" i="27"/>
  <c r="J178" i="27"/>
  <c r="M178" i="27" s="1"/>
  <c r="T64" i="27"/>
  <c r="X75" i="27"/>
  <c r="T80" i="27"/>
  <c r="V127" i="11"/>
  <c r="J129" i="27"/>
  <c r="L129" i="27" s="1"/>
  <c r="X139" i="27"/>
  <c r="X152" i="27"/>
  <c r="T164" i="27"/>
  <c r="X173" i="27"/>
  <c r="X177" i="27"/>
  <c r="T178" i="27"/>
  <c r="X36" i="27"/>
  <c r="X39" i="27"/>
  <c r="P74" i="27"/>
  <c r="Q74" i="27" s="1"/>
  <c r="Q73" i="27" s="1"/>
  <c r="K74" i="26"/>
  <c r="K74" i="24"/>
  <c r="V111" i="11"/>
  <c r="J113" i="27"/>
  <c r="T119" i="27"/>
  <c r="V117" i="11"/>
  <c r="J119" i="27"/>
  <c r="L119" i="27" s="1"/>
  <c r="T116" i="27"/>
  <c r="T117" i="27"/>
  <c r="M119" i="38"/>
  <c r="K119" i="38"/>
  <c r="N119" i="38"/>
  <c r="L119" i="38"/>
  <c r="U9" i="2"/>
  <c r="X9" i="2"/>
  <c r="Z8" i="27" s="1"/>
  <c r="V157" i="11"/>
  <c r="V177" i="11"/>
  <c r="AM120" i="10" l="1"/>
  <c r="CT121" i="10"/>
  <c r="AO120" i="10"/>
  <c r="Q173" i="2"/>
  <c r="P173" i="27"/>
  <c r="P93" i="27"/>
  <c r="P148" i="27"/>
  <c r="T103" i="27"/>
  <c r="X174" i="10"/>
  <c r="W174" i="10" s="1"/>
  <c r="R174" i="10"/>
  <c r="Q174" i="10" s="1"/>
  <c r="X77" i="10"/>
  <c r="R77" i="10"/>
  <c r="AD77" i="10"/>
  <c r="AD37" i="10"/>
  <c r="AE37" i="10" s="1"/>
  <c r="X37" i="10"/>
  <c r="Y37" i="10" s="1"/>
  <c r="S37" i="10"/>
  <c r="R37" i="10"/>
  <c r="X75" i="10"/>
  <c r="AD75" i="10"/>
  <c r="W77" i="10"/>
  <c r="Q77" i="10"/>
  <c r="AC77" i="10"/>
  <c r="AF128" i="10"/>
  <c r="Z128" i="10"/>
  <c r="X79" i="10"/>
  <c r="AD79" i="10"/>
  <c r="AD123" i="10"/>
  <c r="X123" i="10"/>
  <c r="AF124" i="10"/>
  <c r="Z124" i="10"/>
  <c r="AE124" i="10"/>
  <c r="Y124" i="10"/>
  <c r="Y122" i="10"/>
  <c r="AE122" i="10"/>
  <c r="AD126" i="10"/>
  <c r="X126" i="10"/>
  <c r="AF123" i="10"/>
  <c r="Z123" i="10"/>
  <c r="AD81" i="10"/>
  <c r="X81" i="10"/>
  <c r="AE128" i="10"/>
  <c r="Y128" i="10"/>
  <c r="AE123" i="10"/>
  <c r="Y123" i="10"/>
  <c r="X128" i="10"/>
  <c r="AD128" i="10"/>
  <c r="AD124" i="10"/>
  <c r="X124" i="10"/>
  <c r="M91" i="23"/>
  <c r="AE125" i="10"/>
  <c r="Y125" i="10"/>
  <c r="T140" i="10"/>
  <c r="T119" i="10" s="1"/>
  <c r="CT135" i="10"/>
  <c r="CT122" i="10"/>
  <c r="AF122" i="10"/>
  <c r="AE126" i="10"/>
  <c r="Y126" i="10"/>
  <c r="CT125" i="10"/>
  <c r="CT126" i="10"/>
  <c r="AM119" i="10"/>
  <c r="CR121" i="10"/>
  <c r="AQ120" i="10"/>
  <c r="AQ119" i="10" s="1"/>
  <c r="AO119" i="10"/>
  <c r="AF121" i="10"/>
  <c r="AK119" i="10"/>
  <c r="CS121" i="10"/>
  <c r="T79" i="27"/>
  <c r="M45" i="24"/>
  <c r="M86" i="24"/>
  <c r="K91" i="23"/>
  <c r="AK91" i="10"/>
  <c r="M79" i="25"/>
  <c r="N79" i="25"/>
  <c r="Z79" i="27"/>
  <c r="L78" i="23"/>
  <c r="Q108" i="2"/>
  <c r="T102" i="2"/>
  <c r="Q102" i="2"/>
  <c r="K108" i="25"/>
  <c r="R79" i="27"/>
  <c r="X80" i="27"/>
  <c r="X79" i="27" s="1"/>
  <c r="V79" i="27"/>
  <c r="Q39" i="2"/>
  <c r="T39" i="2"/>
  <c r="P80" i="27"/>
  <c r="N79" i="27"/>
  <c r="Q79" i="27"/>
  <c r="L79" i="25"/>
  <c r="L73" i="25" s="1"/>
  <c r="K78" i="23"/>
  <c r="N79" i="24"/>
  <c r="M79" i="24"/>
  <c r="Q79" i="2"/>
  <c r="N78" i="23"/>
  <c r="K79" i="25"/>
  <c r="K73" i="25" s="1"/>
  <c r="M78" i="23"/>
  <c r="L79" i="24"/>
  <c r="K79" i="24"/>
  <c r="P149" i="27"/>
  <c r="T106" i="27"/>
  <c r="L160" i="24"/>
  <c r="L159" i="24" s="1"/>
  <c r="AM91" i="10"/>
  <c r="AR92" i="10"/>
  <c r="AR91" i="10" s="1"/>
  <c r="AQ91" i="10"/>
  <c r="AO91" i="10"/>
  <c r="P111" i="27"/>
  <c r="Q111" i="27"/>
  <c r="AN76" i="10"/>
  <c r="Y76" i="10"/>
  <c r="AD71" i="10"/>
  <c r="P109" i="27"/>
  <c r="Q109" i="27"/>
  <c r="T70" i="10"/>
  <c r="AF70" i="10"/>
  <c r="G79" i="10"/>
  <c r="AP74" i="10"/>
  <c r="Z74" i="10"/>
  <c r="Y41" i="10"/>
  <c r="AE41" i="10"/>
  <c r="S41" i="10"/>
  <c r="U77" i="10"/>
  <c r="AG70" i="10"/>
  <c r="U70" i="10"/>
  <c r="AA43" i="10"/>
  <c r="AG43" i="10"/>
  <c r="U43" i="10"/>
  <c r="AA41" i="10"/>
  <c r="AG41" i="10"/>
  <c r="U41" i="10"/>
  <c r="AA76" i="10"/>
  <c r="U76" i="10"/>
  <c r="AA74" i="10"/>
  <c r="AN48" i="10"/>
  <c r="S48" i="10"/>
  <c r="AN75" i="10"/>
  <c r="S75" i="10"/>
  <c r="AL75" i="10"/>
  <c r="R75" i="10"/>
  <c r="AP77" i="10"/>
  <c r="T77" i="10"/>
  <c r="Z43" i="10"/>
  <c r="T43" i="10"/>
  <c r="N47" i="10"/>
  <c r="T47" i="10" s="1"/>
  <c r="N46" i="10"/>
  <c r="T46" i="10" s="1"/>
  <c r="N48" i="10"/>
  <c r="T48" i="10" s="1"/>
  <c r="AN77" i="10"/>
  <c r="Y70" i="10"/>
  <c r="AE71" i="10"/>
  <c r="Y71" i="10"/>
  <c r="L110" i="27"/>
  <c r="M110" i="27"/>
  <c r="P112" i="27"/>
  <c r="Q112" i="27"/>
  <c r="P110" i="27"/>
  <c r="Q110" i="27"/>
  <c r="AN74" i="10"/>
  <c r="Y74" i="10"/>
  <c r="AD43" i="10"/>
  <c r="X43" i="10"/>
  <c r="R43" i="10"/>
  <c r="X41" i="10"/>
  <c r="AD41" i="10"/>
  <c r="R41" i="10"/>
  <c r="T81" i="10"/>
  <c r="S81" i="10"/>
  <c r="AP76" i="10"/>
  <c r="T76" i="10"/>
  <c r="Z76" i="10"/>
  <c r="S70" i="10"/>
  <c r="AE70" i="10"/>
  <c r="AE43" i="10"/>
  <c r="Y43" i="10"/>
  <c r="S43" i="10"/>
  <c r="U81" i="10"/>
  <c r="I79" i="10"/>
  <c r="U71" i="10"/>
  <c r="AA70" i="10"/>
  <c r="AG71" i="10"/>
  <c r="AA71" i="10"/>
  <c r="O46" i="10"/>
  <c r="U46" i="10" s="1"/>
  <c r="O48" i="10"/>
  <c r="U48" i="10" s="1"/>
  <c r="O47" i="10"/>
  <c r="U47" i="10" s="1"/>
  <c r="AN47" i="10"/>
  <c r="S47" i="10"/>
  <c r="R81" i="10"/>
  <c r="AL77" i="10"/>
  <c r="AL76" i="10"/>
  <c r="R76" i="10"/>
  <c r="X76" i="10"/>
  <c r="T71" i="10"/>
  <c r="Z70" i="10"/>
  <c r="AF71" i="10"/>
  <c r="Z71" i="10"/>
  <c r="AP75" i="10"/>
  <c r="T75" i="10"/>
  <c r="AJ77" i="10"/>
  <c r="AF65" i="10"/>
  <c r="AF61" i="10" s="1"/>
  <c r="T65" i="10"/>
  <c r="Z65" i="10"/>
  <c r="X65" i="10"/>
  <c r="X61" i="10" s="1"/>
  <c r="R65" i="10"/>
  <c r="AD65" i="10"/>
  <c r="AD61" i="10" s="1"/>
  <c r="Y65" i="10"/>
  <c r="AE65" i="10"/>
  <c r="AE61" i="10" s="1"/>
  <c r="S65" i="10"/>
  <c r="T42" i="27"/>
  <c r="U42" i="27"/>
  <c r="U38" i="27" s="1"/>
  <c r="T104" i="27"/>
  <c r="U104" i="27"/>
  <c r="U102" i="27" s="1"/>
  <c r="U101" i="27" s="1"/>
  <c r="U100" i="27" s="1"/>
  <c r="P103" i="27"/>
  <c r="Q103" i="27"/>
  <c r="P42" i="27"/>
  <c r="Q42" i="27"/>
  <c r="Q38" i="27" s="1"/>
  <c r="P104" i="27"/>
  <c r="Q104" i="27"/>
  <c r="P161" i="27"/>
  <c r="P160" i="27" s="1"/>
  <c r="P159" i="27" s="1"/>
  <c r="Q161" i="27"/>
  <c r="Q160" i="27" s="1"/>
  <c r="Q159" i="27" s="1"/>
  <c r="N92" i="25"/>
  <c r="N92" i="24"/>
  <c r="M92" i="24"/>
  <c r="N91" i="23"/>
  <c r="P83" i="27"/>
  <c r="M92" i="25"/>
  <c r="M160" i="24"/>
  <c r="M159" i="24" s="1"/>
  <c r="N86" i="25"/>
  <c r="K159" i="23"/>
  <c r="K158" i="23" s="1"/>
  <c r="N159" i="23"/>
  <c r="N158" i="23" s="1"/>
  <c r="P177" i="27"/>
  <c r="P106" i="27"/>
  <c r="P151" i="27"/>
  <c r="L85" i="23"/>
  <c r="K114" i="24"/>
  <c r="N114" i="24"/>
  <c r="K45" i="23"/>
  <c r="P178" i="27"/>
  <c r="Q61" i="27"/>
  <c r="Q172" i="27"/>
  <c r="Q171" i="27" s="1"/>
  <c r="Q167" i="27" s="1"/>
  <c r="Q147" i="27"/>
  <c r="Q146" i="27" s="1"/>
  <c r="Q140" i="27" s="1"/>
  <c r="W152" i="10"/>
  <c r="Q152" i="10"/>
  <c r="P47" i="27"/>
  <c r="AP81" i="10"/>
  <c r="M159" i="23"/>
  <c r="M158" i="23" s="1"/>
  <c r="M113" i="23"/>
  <c r="L113" i="23"/>
  <c r="P64" i="27"/>
  <c r="L46" i="25"/>
  <c r="L113" i="27"/>
  <c r="M113" i="27"/>
  <c r="P62" i="27"/>
  <c r="P39" i="27"/>
  <c r="H163" i="10"/>
  <c r="L45" i="23"/>
  <c r="L114" i="24"/>
  <c r="M114" i="24"/>
  <c r="AP82" i="10"/>
  <c r="M85" i="23"/>
  <c r="L45" i="24"/>
  <c r="N45" i="24"/>
  <c r="T97" i="10"/>
  <c r="Z97" i="10"/>
  <c r="N93" i="10"/>
  <c r="N94" i="10"/>
  <c r="P48" i="27"/>
  <c r="R179" i="10"/>
  <c r="X179" i="10"/>
  <c r="R149" i="10"/>
  <c r="X149" i="10"/>
  <c r="T150" i="10"/>
  <c r="Z150" i="10"/>
  <c r="T96" i="10"/>
  <c r="Z96" i="10"/>
  <c r="M93" i="10"/>
  <c r="AN93" i="10" s="1"/>
  <c r="S93" i="10" s="1"/>
  <c r="M94" i="10"/>
  <c r="AN94" i="10" s="1"/>
  <c r="S94" i="10" s="1"/>
  <c r="X97" i="10"/>
  <c r="R97" i="10"/>
  <c r="AL95" i="10"/>
  <c r="AD95" i="10"/>
  <c r="AD91" i="10" s="1"/>
  <c r="U149" i="10"/>
  <c r="AA149" i="10"/>
  <c r="S150" i="10"/>
  <c r="Y150" i="10"/>
  <c r="T148" i="10"/>
  <c r="Z148" i="10"/>
  <c r="P63" i="27"/>
  <c r="R151" i="10"/>
  <c r="X151" i="10"/>
  <c r="Y149" i="10"/>
  <c r="S149" i="10"/>
  <c r="AP95" i="10"/>
  <c r="AF95" i="10"/>
  <c r="AF91" i="10" s="1"/>
  <c r="X152" i="10"/>
  <c r="R152" i="10"/>
  <c r="T152" i="10"/>
  <c r="Z152" i="10"/>
  <c r="AA150" i="10"/>
  <c r="U150" i="10"/>
  <c r="K46" i="25"/>
  <c r="M46" i="25"/>
  <c r="K85" i="23"/>
  <c r="N85" i="23"/>
  <c r="K160" i="24"/>
  <c r="K159" i="24" s="1"/>
  <c r="N160" i="24"/>
  <c r="N159" i="24" s="1"/>
  <c r="Z151" i="10"/>
  <c r="T151" i="10"/>
  <c r="U151" i="10"/>
  <c r="AA151" i="10"/>
  <c r="P46" i="27"/>
  <c r="S152" i="10"/>
  <c r="Y152" i="10"/>
  <c r="X178" i="10"/>
  <c r="W178" i="10" s="1"/>
  <c r="R178" i="10"/>
  <c r="Q178" i="10" s="1"/>
  <c r="X148" i="10"/>
  <c r="R148" i="10"/>
  <c r="S148" i="10"/>
  <c r="Y148" i="10"/>
  <c r="T94" i="10"/>
  <c r="Z94" i="10"/>
  <c r="Y151" i="10"/>
  <c r="S151" i="10"/>
  <c r="AN95" i="10"/>
  <c r="S95" i="10" s="1"/>
  <c r="AE95" i="10"/>
  <c r="AE91" i="10" s="1"/>
  <c r="X96" i="10"/>
  <c r="R96" i="10"/>
  <c r="R94" i="10"/>
  <c r="X94" i="10"/>
  <c r="Z149" i="10"/>
  <c r="T149" i="10"/>
  <c r="P113" i="27"/>
  <c r="Q113" i="27"/>
  <c r="AA152" i="10"/>
  <c r="U152" i="10"/>
  <c r="AA148" i="10"/>
  <c r="U148" i="10"/>
  <c r="N45" i="23"/>
  <c r="M45" i="23"/>
  <c r="L86" i="24"/>
  <c r="M108" i="24"/>
  <c r="K45" i="24"/>
  <c r="AN71" i="10"/>
  <c r="S71" i="10"/>
  <c r="X71" i="10"/>
  <c r="R71" i="10"/>
  <c r="R69" i="10"/>
  <c r="X69" i="10"/>
  <c r="T69" i="10"/>
  <c r="Z69" i="10"/>
  <c r="Y69" i="10"/>
  <c r="S69" i="10"/>
  <c r="AA69" i="10"/>
  <c r="U69" i="10"/>
  <c r="I165" i="10"/>
  <c r="AP68" i="10"/>
  <c r="T68" i="10"/>
  <c r="AN68" i="10"/>
  <c r="S68" i="10"/>
  <c r="AL68" i="10"/>
  <c r="R68" i="10"/>
  <c r="U140" i="27"/>
  <c r="K113" i="23"/>
  <c r="N46" i="25"/>
  <c r="Q45" i="27"/>
  <c r="O163" i="10"/>
  <c r="I161" i="10"/>
  <c r="T39" i="27"/>
  <c r="T38" i="27" s="1"/>
  <c r="R165" i="10"/>
  <c r="AG163" i="10"/>
  <c r="Q72" i="27"/>
  <c r="L38" i="24"/>
  <c r="F163" i="10"/>
  <c r="P175" i="27"/>
  <c r="M164" i="10"/>
  <c r="L171" i="23"/>
  <c r="L170" i="23" s="1"/>
  <c r="L166" i="23" s="1"/>
  <c r="L146" i="23"/>
  <c r="N147" i="25"/>
  <c r="N146" i="25" s="1"/>
  <c r="K147" i="24"/>
  <c r="K146" i="24" s="1"/>
  <c r="K140" i="24" s="1"/>
  <c r="S161" i="10"/>
  <c r="P81" i="27"/>
  <c r="L61" i="24"/>
  <c r="M61" i="24"/>
  <c r="X86" i="27"/>
  <c r="AF136" i="10"/>
  <c r="Z136" i="10"/>
  <c r="T136" i="10"/>
  <c r="S90" i="10"/>
  <c r="AN90" i="10"/>
  <c r="AL71" i="10"/>
  <c r="X56" i="10"/>
  <c r="AE136" i="10"/>
  <c r="S136" i="10"/>
  <c r="Y136" i="10"/>
  <c r="X88" i="10"/>
  <c r="R88" i="10"/>
  <c r="T90" i="10"/>
  <c r="Y80" i="10"/>
  <c r="AN70" i="10"/>
  <c r="L172" i="24"/>
  <c r="L171" i="24" s="1"/>
  <c r="L167" i="24" s="1"/>
  <c r="L147" i="24"/>
  <c r="L146" i="24" s="1"/>
  <c r="L140" i="24" s="1"/>
  <c r="N101" i="23"/>
  <c r="L62" i="25"/>
  <c r="K172" i="25"/>
  <c r="K171" i="25" s="1"/>
  <c r="K167" i="25" s="1"/>
  <c r="K147" i="25"/>
  <c r="K146" i="25" s="1"/>
  <c r="K146" i="23"/>
  <c r="K73" i="23"/>
  <c r="N61" i="23"/>
  <c r="M171" i="23"/>
  <c r="M170" i="23" s="1"/>
  <c r="M166" i="23" s="1"/>
  <c r="M147" i="25"/>
  <c r="M146" i="25" s="1"/>
  <c r="K101" i="23"/>
  <c r="M61" i="23"/>
  <c r="Y138" i="10"/>
  <c r="AE138" i="10"/>
  <c r="S138" i="10"/>
  <c r="Z135" i="10"/>
  <c r="T135" i="10"/>
  <c r="AF135" i="10"/>
  <c r="AL79" i="10"/>
  <c r="X138" i="10"/>
  <c r="AD138" i="10"/>
  <c r="R138" i="10"/>
  <c r="AE135" i="10"/>
  <c r="Y135" i="10"/>
  <c r="S135" i="10"/>
  <c r="AD135" i="10"/>
  <c r="X135" i="10"/>
  <c r="R135" i="10"/>
  <c r="AP62" i="10"/>
  <c r="T62" i="10" s="1"/>
  <c r="AN64" i="10"/>
  <c r="S64" i="10" s="1"/>
  <c r="U138" i="10"/>
  <c r="AA138" i="10"/>
  <c r="AG138" i="10"/>
  <c r="U135" i="10"/>
  <c r="AG135" i="10"/>
  <c r="AA135" i="10"/>
  <c r="L172" i="25"/>
  <c r="L171" i="25" s="1"/>
  <c r="L167" i="25" s="1"/>
  <c r="L147" i="25"/>
  <c r="L146" i="25" s="1"/>
  <c r="L61" i="23"/>
  <c r="L38" i="23"/>
  <c r="K171" i="23"/>
  <c r="K170" i="23" s="1"/>
  <c r="K166" i="23" s="1"/>
  <c r="M102" i="24"/>
  <c r="K61" i="24"/>
  <c r="K38" i="24"/>
  <c r="N172" i="24"/>
  <c r="N171" i="24" s="1"/>
  <c r="N167" i="24" s="1"/>
  <c r="N147" i="24"/>
  <c r="N146" i="24" s="1"/>
  <c r="N140" i="24" s="1"/>
  <c r="N38" i="24"/>
  <c r="M147" i="24"/>
  <c r="M146" i="24" s="1"/>
  <c r="M140" i="24" s="1"/>
  <c r="M38" i="24"/>
  <c r="Y137" i="10"/>
  <c r="S137" i="10"/>
  <c r="AE137" i="10"/>
  <c r="AF138" i="10"/>
  <c r="T138" i="10"/>
  <c r="Z138" i="10"/>
  <c r="AN82" i="10"/>
  <c r="AN62" i="10"/>
  <c r="S62" i="10" s="1"/>
  <c r="R90" i="10"/>
  <c r="AL90" i="10"/>
  <c r="M101" i="23"/>
  <c r="K72" i="24"/>
  <c r="K62" i="25"/>
  <c r="N172" i="25"/>
  <c r="N171" i="25" s="1"/>
  <c r="N167" i="25" s="1"/>
  <c r="K108" i="24"/>
  <c r="L102" i="24"/>
  <c r="N66" i="23"/>
  <c r="N61" i="24"/>
  <c r="M172" i="24"/>
  <c r="M171" i="24" s="1"/>
  <c r="M167" i="24" s="1"/>
  <c r="M146" i="23"/>
  <c r="N108" i="24"/>
  <c r="N73" i="23"/>
  <c r="AN63" i="10"/>
  <c r="S63" i="10" s="1"/>
  <c r="X137" i="10"/>
  <c r="R137" i="10"/>
  <c r="AD137" i="10"/>
  <c r="AD136" i="10"/>
  <c r="R136" i="10"/>
  <c r="X136" i="10"/>
  <c r="AF80" i="10"/>
  <c r="AP80" i="10"/>
  <c r="AP71" i="10"/>
  <c r="AF137" i="10"/>
  <c r="T137" i="10"/>
  <c r="Z137" i="10"/>
  <c r="AG137" i="10"/>
  <c r="AA137" i="10"/>
  <c r="U137" i="10"/>
  <c r="U136" i="10"/>
  <c r="AA136" i="10"/>
  <c r="AG136" i="10"/>
  <c r="N102" i="24"/>
  <c r="K172" i="24"/>
  <c r="K171" i="24" s="1"/>
  <c r="K167" i="24" s="1"/>
  <c r="N113" i="23"/>
  <c r="L108" i="24"/>
  <c r="K66" i="23"/>
  <c r="K61" i="23"/>
  <c r="K38" i="23"/>
  <c r="N171" i="23"/>
  <c r="N170" i="23" s="1"/>
  <c r="N166" i="23" s="1"/>
  <c r="N146" i="23"/>
  <c r="L101" i="23"/>
  <c r="N62" i="25"/>
  <c r="N38" i="23"/>
  <c r="M172" i="25"/>
  <c r="M171" i="25" s="1"/>
  <c r="M167" i="25" s="1"/>
  <c r="K102" i="24"/>
  <c r="M62" i="25"/>
  <c r="M38" i="23"/>
  <c r="AE139" i="10"/>
  <c r="Y139" i="10"/>
  <c r="S139" i="10"/>
  <c r="AF139" i="10"/>
  <c r="Z139" i="10"/>
  <c r="T139" i="10"/>
  <c r="R139" i="10"/>
  <c r="AD139" i="10"/>
  <c r="X139" i="10"/>
  <c r="AG139" i="10"/>
  <c r="AA139" i="10"/>
  <c r="U139" i="10"/>
  <c r="AL47" i="10"/>
  <c r="AL48" i="10"/>
  <c r="F165" i="10"/>
  <c r="AL81" i="10"/>
  <c r="AD165" i="10"/>
  <c r="AD163" i="10"/>
  <c r="L163" i="10"/>
  <c r="N165" i="10"/>
  <c r="X165" i="10"/>
  <c r="R163" i="10"/>
  <c r="F79" i="10"/>
  <c r="U82" i="10"/>
  <c r="U80" i="10"/>
  <c r="AP70" i="10"/>
  <c r="AA82" i="10"/>
  <c r="I56" i="10"/>
  <c r="AF162" i="10"/>
  <c r="O162" i="10"/>
  <c r="S82" i="10"/>
  <c r="AG164" i="10"/>
  <c r="T103" i="10"/>
  <c r="Z103" i="10"/>
  <c r="R42" i="10"/>
  <c r="X42" i="10"/>
  <c r="AD35" i="10"/>
  <c r="R35" i="10"/>
  <c r="X35" i="10"/>
  <c r="AD33" i="10"/>
  <c r="R33" i="10"/>
  <c r="X33" i="10"/>
  <c r="S117" i="10"/>
  <c r="Y117" i="10"/>
  <c r="AA116" i="10"/>
  <c r="U116" i="10"/>
  <c r="U103" i="10"/>
  <c r="AA103" i="10"/>
  <c r="T48" i="27"/>
  <c r="O164" i="10"/>
  <c r="I82" i="10"/>
  <c r="AG80" i="10"/>
  <c r="U162" i="10"/>
  <c r="T80" i="10"/>
  <c r="N162" i="10"/>
  <c r="U121" i="10"/>
  <c r="Y82" i="10"/>
  <c r="T118" i="10"/>
  <c r="Z118" i="10"/>
  <c r="X110" i="10"/>
  <c r="R110" i="10"/>
  <c r="AD110" i="10"/>
  <c r="S106" i="10"/>
  <c r="Y106" i="10"/>
  <c r="M106" i="10"/>
  <c r="AF102" i="10"/>
  <c r="T102" i="10"/>
  <c r="Z102" i="10"/>
  <c r="AF115" i="10"/>
  <c r="T115" i="10"/>
  <c r="Z115" i="10"/>
  <c r="R108" i="10"/>
  <c r="AD108" i="10"/>
  <c r="X108" i="10"/>
  <c r="AE104" i="10"/>
  <c r="Y104" i="10"/>
  <c r="S104" i="10"/>
  <c r="S116" i="10"/>
  <c r="Y116" i="10"/>
  <c r="N111" i="10"/>
  <c r="T111" i="10"/>
  <c r="R105" i="10"/>
  <c r="X105" i="10"/>
  <c r="L105" i="10"/>
  <c r="X103" i="10"/>
  <c r="R103" i="10"/>
  <c r="Z33" i="10"/>
  <c r="AF33" i="10"/>
  <c r="T33" i="10"/>
  <c r="Y34" i="10"/>
  <c r="AE34" i="10"/>
  <c r="S34" i="10"/>
  <c r="R117" i="10"/>
  <c r="X117" i="10"/>
  <c r="X115" i="10"/>
  <c r="AD115" i="10"/>
  <c r="R115" i="10"/>
  <c r="L112" i="10"/>
  <c r="R112" i="10"/>
  <c r="K112" i="10"/>
  <c r="Q112" i="10"/>
  <c r="AC109" i="10"/>
  <c r="Q109" i="10"/>
  <c r="W109" i="10"/>
  <c r="AE108" i="10"/>
  <c r="S108" i="10"/>
  <c r="Y108" i="10"/>
  <c r="P86" i="27"/>
  <c r="Z116" i="10"/>
  <c r="T116" i="10"/>
  <c r="Y105" i="10"/>
  <c r="M105" i="10"/>
  <c r="S105" i="10"/>
  <c r="S112" i="10"/>
  <c r="M112" i="10"/>
  <c r="Z42" i="10"/>
  <c r="T42" i="10"/>
  <c r="Y35" i="10"/>
  <c r="AE35" i="10"/>
  <c r="S35" i="10"/>
  <c r="U111" i="10"/>
  <c r="O111" i="10"/>
  <c r="AG35" i="10"/>
  <c r="U35" i="10"/>
  <c r="AA35" i="10"/>
  <c r="AA108" i="10"/>
  <c r="AG108" i="10"/>
  <c r="U108" i="10"/>
  <c r="AA105" i="10"/>
  <c r="O105" i="10"/>
  <c r="U105" i="10"/>
  <c r="T86" i="27"/>
  <c r="AA164" i="10"/>
  <c r="AG82" i="10"/>
  <c r="AA80" i="10"/>
  <c r="O56" i="10"/>
  <c r="O55" i="10" s="1"/>
  <c r="U56" i="10"/>
  <c r="AG162" i="10"/>
  <c r="AA162" i="10"/>
  <c r="Z80" i="10"/>
  <c r="Z162" i="10"/>
  <c r="Z105" i="10"/>
  <c r="N105" i="10"/>
  <c r="T105" i="10"/>
  <c r="X36" i="10"/>
  <c r="R36" i="10"/>
  <c r="X34" i="10"/>
  <c r="AD34" i="10"/>
  <c r="R34" i="10"/>
  <c r="Y118" i="10"/>
  <c r="S118" i="10"/>
  <c r="T114" i="10"/>
  <c r="Z114" i="10"/>
  <c r="Y103" i="10"/>
  <c r="S103" i="10"/>
  <c r="AE115" i="10"/>
  <c r="S115" i="10"/>
  <c r="Y115" i="10"/>
  <c r="AF110" i="10"/>
  <c r="T110" i="10"/>
  <c r="Z110" i="10"/>
  <c r="T36" i="10"/>
  <c r="Z36" i="10"/>
  <c r="Y33" i="10"/>
  <c r="S33" i="10"/>
  <c r="AE33" i="10"/>
  <c r="M111" i="10"/>
  <c r="S111" i="10"/>
  <c r="Z108" i="10"/>
  <c r="T108" i="10"/>
  <c r="AF108" i="10"/>
  <c r="AA117" i="10"/>
  <c r="U117" i="10"/>
  <c r="AA115" i="10"/>
  <c r="U115" i="10"/>
  <c r="AG115" i="10"/>
  <c r="O112" i="10"/>
  <c r="U112" i="10"/>
  <c r="AG110" i="10"/>
  <c r="U110" i="10"/>
  <c r="AA110" i="10"/>
  <c r="U42" i="10"/>
  <c r="AA42" i="10"/>
  <c r="I39" i="10"/>
  <c r="U36" i="10"/>
  <c r="AA36" i="10"/>
  <c r="AG34" i="10"/>
  <c r="U34" i="10"/>
  <c r="AA34" i="10"/>
  <c r="AA106" i="10"/>
  <c r="O106" i="10"/>
  <c r="U106" i="10"/>
  <c r="U118" i="10"/>
  <c r="AA118" i="10"/>
  <c r="AG104" i="10"/>
  <c r="AA104" i="10"/>
  <c r="U104" i="10"/>
  <c r="AG102" i="10"/>
  <c r="U102" i="10"/>
  <c r="AA102" i="10"/>
  <c r="Z34" i="10"/>
  <c r="AF34" i="10"/>
  <c r="T34" i="10"/>
  <c r="Y109" i="10"/>
  <c r="S109" i="10"/>
  <c r="AE109" i="10"/>
  <c r="U114" i="10"/>
  <c r="AA114" i="10"/>
  <c r="AG109" i="10"/>
  <c r="U109" i="10"/>
  <c r="AA109" i="10"/>
  <c r="AG33" i="10"/>
  <c r="U33" i="10"/>
  <c r="AA33" i="10"/>
  <c r="I80" i="10"/>
  <c r="H80" i="10"/>
  <c r="H162" i="10"/>
  <c r="AE82" i="10"/>
  <c r="R111" i="10"/>
  <c r="L111" i="10"/>
  <c r="AD109" i="10"/>
  <c r="R109" i="10"/>
  <c r="X109" i="10"/>
  <c r="AF104" i="10"/>
  <c r="Z104" i="10"/>
  <c r="T104" i="10"/>
  <c r="Z117" i="10"/>
  <c r="T117" i="10"/>
  <c r="T112" i="10"/>
  <c r="N112" i="10"/>
  <c r="R106" i="10"/>
  <c r="X106" i="10"/>
  <c r="L106" i="10"/>
  <c r="Y102" i="10"/>
  <c r="AE102" i="10"/>
  <c r="S102" i="10"/>
  <c r="X118" i="10"/>
  <c r="R118" i="10"/>
  <c r="Y114" i="10"/>
  <c r="S114" i="10"/>
  <c r="Z109" i="10"/>
  <c r="AF109" i="10"/>
  <c r="T109" i="10"/>
  <c r="R104" i="10"/>
  <c r="AD104" i="10"/>
  <c r="X104" i="10"/>
  <c r="X102" i="10"/>
  <c r="R102" i="10"/>
  <c r="AD102" i="10"/>
  <c r="H39" i="10"/>
  <c r="AF35" i="10"/>
  <c r="T35" i="10"/>
  <c r="Z35" i="10"/>
  <c r="Y36" i="10"/>
  <c r="S36" i="10"/>
  <c r="R116" i="10"/>
  <c r="X116" i="10"/>
  <c r="X114" i="10"/>
  <c r="R114" i="10"/>
  <c r="Y110" i="10"/>
  <c r="AE110" i="10"/>
  <c r="S110" i="10"/>
  <c r="Z106" i="10"/>
  <c r="N106" i="10"/>
  <c r="T106" i="10"/>
  <c r="S42" i="10"/>
  <c r="Y42" i="10"/>
  <c r="Q106" i="10"/>
  <c r="W106" i="10"/>
  <c r="K106" i="10"/>
  <c r="W118" i="10"/>
  <c r="Q118" i="10"/>
  <c r="R172" i="27"/>
  <c r="L172" i="38"/>
  <c r="Y177" i="10"/>
  <c r="M177" i="10"/>
  <c r="S177" i="10"/>
  <c r="X68" i="10"/>
  <c r="AP69" i="10"/>
  <c r="AQ61" i="10"/>
  <c r="I61" i="10"/>
  <c r="O169" i="10"/>
  <c r="O168" i="10" s="1"/>
  <c r="R121" i="27"/>
  <c r="N172" i="27"/>
  <c r="K172" i="38"/>
  <c r="T46" i="27"/>
  <c r="AK61" i="10"/>
  <c r="F61" i="10"/>
  <c r="AG165" i="10"/>
  <c r="U163" i="10"/>
  <c r="AL92" i="10"/>
  <c r="I81" i="10"/>
  <c r="N163" i="10"/>
  <c r="AF163" i="10"/>
  <c r="AG161" i="10"/>
  <c r="AE80" i="10"/>
  <c r="S176" i="10"/>
  <c r="Y176" i="10"/>
  <c r="M176" i="10"/>
  <c r="M92" i="10"/>
  <c r="Z68" i="10"/>
  <c r="T89" i="10"/>
  <c r="M66" i="10"/>
  <c r="Z61" i="10"/>
  <c r="T176" i="10"/>
  <c r="Z176" i="10"/>
  <c r="N176" i="10"/>
  <c r="Y61" i="10"/>
  <c r="U89" i="10"/>
  <c r="U85" i="10" s="1"/>
  <c r="Z121" i="27"/>
  <c r="V172" i="27"/>
  <c r="M172" i="38"/>
  <c r="O165" i="10"/>
  <c r="AA163" i="10"/>
  <c r="AG170" i="10"/>
  <c r="T163" i="10"/>
  <c r="O161" i="10"/>
  <c r="S76" i="10"/>
  <c r="AL69" i="10"/>
  <c r="AD67" i="10"/>
  <c r="R67" i="10"/>
  <c r="X67" i="10"/>
  <c r="AK66" i="10"/>
  <c r="H45" i="10"/>
  <c r="N169" i="10"/>
  <c r="N168" i="10" s="1"/>
  <c r="Z88" i="10"/>
  <c r="S77" i="10"/>
  <c r="AF74" i="10"/>
  <c r="T74" i="10"/>
  <c r="Y68" i="10"/>
  <c r="AM61" i="10"/>
  <c r="G61" i="10"/>
  <c r="AA68" i="10"/>
  <c r="AA61" i="10"/>
  <c r="AP63" i="10"/>
  <c r="T63" i="10" s="1"/>
  <c r="U177" i="10"/>
  <c r="AA177" i="10"/>
  <c r="O177" i="10"/>
  <c r="AA88" i="10"/>
  <c r="AG74" i="10"/>
  <c r="U74" i="10"/>
  <c r="AP93" i="10"/>
  <c r="V121" i="27"/>
  <c r="Y88" i="10"/>
  <c r="AE74" i="10"/>
  <c r="S74" i="10"/>
  <c r="X176" i="10"/>
  <c r="L176" i="10"/>
  <c r="R176" i="10"/>
  <c r="AO61" i="10"/>
  <c r="H61" i="10"/>
  <c r="AQ66" i="10"/>
  <c r="AG67" i="10"/>
  <c r="U67" i="10"/>
  <c r="AA67" i="10"/>
  <c r="AA176" i="10"/>
  <c r="O176" i="10"/>
  <c r="U176" i="10"/>
  <c r="N121" i="27"/>
  <c r="Z172" i="27"/>
  <c r="N172" i="38"/>
  <c r="R177" i="10"/>
  <c r="X177" i="10"/>
  <c r="L177" i="10"/>
  <c r="AL177" i="10" s="1"/>
  <c r="AA165" i="10"/>
  <c r="AA161" i="10"/>
  <c r="M169" i="10"/>
  <c r="M168" i="10" s="1"/>
  <c r="S89" i="10"/>
  <c r="Z67" i="10"/>
  <c r="AO66" i="10"/>
  <c r="AF67" i="10"/>
  <c r="T67" i="10"/>
  <c r="Z177" i="10"/>
  <c r="N177" i="10"/>
  <c r="T177" i="10"/>
  <c r="N92" i="10"/>
  <c r="AE67" i="10"/>
  <c r="S67" i="10"/>
  <c r="Y67" i="10"/>
  <c r="AM66" i="10"/>
  <c r="AD80" i="10"/>
  <c r="F164" i="10"/>
  <c r="AK160" i="10"/>
  <c r="U164" i="10"/>
  <c r="AQ160" i="10"/>
  <c r="Z164" i="10"/>
  <c r="AO160" i="10"/>
  <c r="Y164" i="10"/>
  <c r="AM160" i="10"/>
  <c r="S162" i="10"/>
  <c r="AN79" i="10"/>
  <c r="F56" i="10"/>
  <c r="R162" i="10"/>
  <c r="G82" i="10"/>
  <c r="H81" i="10"/>
  <c r="Y162" i="10"/>
  <c r="AE162" i="10"/>
  <c r="F80" i="10"/>
  <c r="L56" i="10"/>
  <c r="AL56" i="10" s="1"/>
  <c r="AD162" i="10"/>
  <c r="H165" i="10"/>
  <c r="AF38" i="10"/>
  <c r="G163" i="10"/>
  <c r="G162" i="10"/>
  <c r="X80" i="10"/>
  <c r="R56" i="10"/>
  <c r="F162" i="10"/>
  <c r="X162" i="10"/>
  <c r="AF165" i="10"/>
  <c r="AE172" i="10"/>
  <c r="AL80" i="10"/>
  <c r="Z165" i="10"/>
  <c r="S163" i="10"/>
  <c r="AF82" i="10"/>
  <c r="H82" i="10"/>
  <c r="Z82" i="10"/>
  <c r="T82" i="10"/>
  <c r="T152" i="27"/>
  <c r="T147" i="27" s="1"/>
  <c r="T146" i="27" s="1"/>
  <c r="T140" i="27" s="1"/>
  <c r="X56" i="27"/>
  <c r="X55" i="27" s="1"/>
  <c r="AL70" i="10"/>
  <c r="AK38" i="10"/>
  <c r="L32" i="10"/>
  <c r="AD161" i="10"/>
  <c r="X161" i="10"/>
  <c r="R161" i="10"/>
  <c r="Y165" i="10"/>
  <c r="S165" i="10"/>
  <c r="AE165" i="10"/>
  <c r="M165" i="10"/>
  <c r="AN81" i="10"/>
  <c r="G56" i="10"/>
  <c r="S56" i="10"/>
  <c r="T47" i="27"/>
  <c r="L73" i="10"/>
  <c r="N164" i="10"/>
  <c r="T164" i="10"/>
  <c r="AF164" i="10"/>
  <c r="H164" i="10"/>
  <c r="H79" i="10"/>
  <c r="H161" i="10"/>
  <c r="AF161" i="10"/>
  <c r="M56" i="10"/>
  <c r="M55" i="10" s="1"/>
  <c r="AQ38" i="10"/>
  <c r="S164" i="10"/>
  <c r="G164" i="10"/>
  <c r="S80" i="10"/>
  <c r="AM38" i="10"/>
  <c r="AO38" i="10"/>
  <c r="G80" i="10"/>
  <c r="U45" i="27"/>
  <c r="T63" i="27"/>
  <c r="T61" i="27" s="1"/>
  <c r="U63" i="27"/>
  <c r="U61" i="27" s="1"/>
  <c r="AD164" i="10"/>
  <c r="Y161" i="10"/>
  <c r="L161" i="10"/>
  <c r="M163" i="10"/>
  <c r="N161" i="10"/>
  <c r="AE170" i="10"/>
  <c r="L164" i="10"/>
  <c r="AE161" i="10"/>
  <c r="G161" i="10"/>
  <c r="AE163" i="10"/>
  <c r="Z161" i="10"/>
  <c r="T161" i="10"/>
  <c r="R164" i="10"/>
  <c r="F81" i="10"/>
  <c r="G81" i="10"/>
  <c r="L152" i="27"/>
  <c r="L178" i="27"/>
  <c r="T74" i="27"/>
  <c r="U74" i="27" s="1"/>
  <c r="U73" i="27" s="1"/>
  <c r="U72" i="27" s="1"/>
  <c r="P92" i="27"/>
  <c r="AB118" i="27"/>
  <c r="AB113" i="27"/>
  <c r="AB150" i="27"/>
  <c r="AB103" i="27"/>
  <c r="AB165" i="27"/>
  <c r="AB111" i="27"/>
  <c r="AB83" i="27"/>
  <c r="AB78" i="27"/>
  <c r="AB69" i="27"/>
  <c r="Z49" i="2"/>
  <c r="AB129" i="27"/>
  <c r="AB95" i="27"/>
  <c r="AB173" i="27"/>
  <c r="AB148" i="27"/>
  <c r="AB138" i="27"/>
  <c r="AB89" i="27"/>
  <c r="AB77" i="27"/>
  <c r="Q148" i="2"/>
  <c r="AB127" i="27"/>
  <c r="AB123" i="27"/>
  <c r="AB117" i="27"/>
  <c r="AB97" i="27"/>
  <c r="AB164" i="27"/>
  <c r="AB110" i="27"/>
  <c r="AB82" i="27"/>
  <c r="AB68" i="27"/>
  <c r="Z48" i="2"/>
  <c r="AB151" i="27"/>
  <c r="AB119" i="27"/>
  <c r="AB105" i="27"/>
  <c r="AB177" i="27"/>
  <c r="AB170" i="27"/>
  <c r="AB169" i="27" s="1"/>
  <c r="AB168" i="27" s="1"/>
  <c r="AB162" i="27"/>
  <c r="AB137" i="27"/>
  <c r="AB109" i="27"/>
  <c r="AB93" i="27"/>
  <c r="AB88" i="27"/>
  <c r="AB76" i="27"/>
  <c r="AB126" i="27"/>
  <c r="AB116" i="27"/>
  <c r="AB124" i="27"/>
  <c r="AB96" i="27"/>
  <c r="AB178" i="27"/>
  <c r="AB163" i="27"/>
  <c r="AB81" i="27"/>
  <c r="AB71" i="27"/>
  <c r="AB67" i="27"/>
  <c r="AB125" i="27"/>
  <c r="AB104" i="27"/>
  <c r="AB176" i="27"/>
  <c r="AB161" i="27"/>
  <c r="AB107" i="27"/>
  <c r="AB91" i="27"/>
  <c r="AB75" i="27"/>
  <c r="AB115" i="27"/>
  <c r="AB135" i="27"/>
  <c r="AB122" i="27"/>
  <c r="AB106" i="27"/>
  <c r="AB94" i="27"/>
  <c r="AB112" i="27"/>
  <c r="AB87" i="27"/>
  <c r="AB80" i="27"/>
  <c r="AB70" i="27"/>
  <c r="AB136" i="27"/>
  <c r="AB98" i="27"/>
  <c r="AB175" i="27"/>
  <c r="AB152" i="27"/>
  <c r="AB149" i="27"/>
  <c r="AB139" i="27"/>
  <c r="AB90" i="27"/>
  <c r="O73" i="10"/>
  <c r="H56" i="10"/>
  <c r="AP56" i="10" s="1"/>
  <c r="N55" i="10"/>
  <c r="M73" i="10"/>
  <c r="AL82" i="10"/>
  <c r="AD82" i="10"/>
  <c r="X82" i="10"/>
  <c r="F82" i="10"/>
  <c r="R82" i="10"/>
  <c r="Q46" i="2"/>
  <c r="I172" i="10"/>
  <c r="N32" i="10"/>
  <c r="AF172" i="10"/>
  <c r="T46" i="2"/>
  <c r="Q62" i="2"/>
  <c r="AG172" i="10"/>
  <c r="O113" i="10"/>
  <c r="O32" i="10"/>
  <c r="N73" i="10"/>
  <c r="AB65" i="27"/>
  <c r="Z66" i="2"/>
  <c r="AB56" i="27"/>
  <c r="AB55" i="27" s="1"/>
  <c r="Z57" i="2"/>
  <c r="Z56" i="2" s="1"/>
  <c r="AB43" i="27"/>
  <c r="Z44" i="2"/>
  <c r="AB37" i="27"/>
  <c r="Z38" i="2"/>
  <c r="AB33" i="27"/>
  <c r="Z34" i="2"/>
  <c r="AB64" i="27"/>
  <c r="Z65" i="2"/>
  <c r="AB42" i="27"/>
  <c r="Z43" i="2"/>
  <c r="AB36" i="27"/>
  <c r="Z37" i="2"/>
  <c r="AB63" i="27"/>
  <c r="Z64" i="2"/>
  <c r="AB41" i="27"/>
  <c r="Z42" i="2"/>
  <c r="AB35" i="27"/>
  <c r="Z36" i="2"/>
  <c r="AB62" i="27"/>
  <c r="Z63" i="2"/>
  <c r="AB46" i="27"/>
  <c r="AB45" i="27" s="1"/>
  <c r="Z47" i="2"/>
  <c r="AB39" i="27"/>
  <c r="Z40" i="2"/>
  <c r="AB34" i="27"/>
  <c r="Z35" i="2"/>
  <c r="T114" i="27"/>
  <c r="P66" i="27"/>
  <c r="X66" i="27"/>
  <c r="X134" i="27"/>
  <c r="P121" i="27"/>
  <c r="X61" i="27"/>
  <c r="T134" i="27"/>
  <c r="P32" i="27"/>
  <c r="T66" i="27"/>
  <c r="X114" i="27"/>
  <c r="T32" i="27"/>
  <c r="T92" i="27"/>
  <c r="X32" i="27"/>
  <c r="T121" i="27"/>
  <c r="X92" i="27"/>
  <c r="P134" i="27"/>
  <c r="P73" i="27"/>
  <c r="X108" i="27"/>
  <c r="T172" i="27"/>
  <c r="T171" i="27" s="1"/>
  <c r="T167" i="27" s="1"/>
  <c r="T160" i="27"/>
  <c r="T159" i="27" s="1"/>
  <c r="X121" i="27"/>
  <c r="T108" i="27"/>
  <c r="X102" i="27"/>
  <c r="X38" i="27"/>
  <c r="X172" i="27"/>
  <c r="X171" i="27" s="1"/>
  <c r="X167" i="27" s="1"/>
  <c r="X160" i="27"/>
  <c r="X159" i="27" s="1"/>
  <c r="X147" i="27"/>
  <c r="X146" i="27" s="1"/>
  <c r="X140" i="27" s="1"/>
  <c r="P114" i="27"/>
  <c r="AA9" i="2"/>
  <c r="V8" i="27" s="1"/>
  <c r="R9" i="2"/>
  <c r="R8" i="27" s="1"/>
  <c r="L176" i="2"/>
  <c r="U120" i="10" l="1"/>
  <c r="U119" i="10" s="1"/>
  <c r="M173" i="10"/>
  <c r="Y173" i="10"/>
  <c r="Y172" i="10" s="1"/>
  <c r="CQ77" i="10"/>
  <c r="T102" i="27"/>
  <c r="T101" i="27" s="1"/>
  <c r="P147" i="27"/>
  <c r="P146" i="27" s="1"/>
  <c r="P140" i="27" s="1"/>
  <c r="N173" i="10"/>
  <c r="CQ178" i="10"/>
  <c r="U173" i="10"/>
  <c r="U172" i="10" s="1"/>
  <c r="AL91" i="10"/>
  <c r="X173" i="10"/>
  <c r="X172" i="10" s="1"/>
  <c r="AA173" i="10"/>
  <c r="AA172" i="10" s="1"/>
  <c r="AL176" i="10"/>
  <c r="L173" i="10"/>
  <c r="L172" i="10" s="1"/>
  <c r="L167" i="10" s="1"/>
  <c r="T173" i="10"/>
  <c r="T172" i="10" s="1"/>
  <c r="R173" i="10"/>
  <c r="R172" i="10" s="1"/>
  <c r="O173" i="10"/>
  <c r="O172" i="10" s="1"/>
  <c r="O167" i="10" s="1"/>
  <c r="Z173" i="10"/>
  <c r="Z172" i="10" s="1"/>
  <c r="S173" i="10"/>
  <c r="S172" i="10" s="1"/>
  <c r="AC128" i="10"/>
  <c r="P38" i="27"/>
  <c r="AF126" i="10"/>
  <c r="Z126" i="10"/>
  <c r="W128" i="10"/>
  <c r="P108" i="27"/>
  <c r="AF125" i="10"/>
  <c r="Z125" i="10"/>
  <c r="AE121" i="10"/>
  <c r="Y121" i="10"/>
  <c r="AD121" i="10"/>
  <c r="X121" i="10"/>
  <c r="U92" i="10"/>
  <c r="U91" i="10" s="1"/>
  <c r="P102" i="27"/>
  <c r="P101" i="27" s="1"/>
  <c r="AB79" i="27"/>
  <c r="AA92" i="10"/>
  <c r="AA91" i="10" s="1"/>
  <c r="P79" i="27"/>
  <c r="P72" i="27" s="1"/>
  <c r="Q108" i="27"/>
  <c r="AN92" i="10"/>
  <c r="AN91" i="10" s="1"/>
  <c r="M91" i="10"/>
  <c r="AP92" i="10"/>
  <c r="AP91" i="10" s="1"/>
  <c r="N91" i="10"/>
  <c r="AA38" i="10"/>
  <c r="P172" i="27"/>
  <c r="P171" i="27" s="1"/>
  <c r="P167" i="27" s="1"/>
  <c r="Q102" i="27"/>
  <c r="S85" i="10"/>
  <c r="L72" i="23"/>
  <c r="N101" i="24"/>
  <c r="M101" i="24"/>
  <c r="P45" i="27"/>
  <c r="Q7" i="27"/>
  <c r="Q6" i="27" s="1"/>
  <c r="K101" i="24"/>
  <c r="P61" i="27"/>
  <c r="O78" i="10"/>
  <c r="M72" i="23"/>
  <c r="L107" i="10"/>
  <c r="I160" i="10"/>
  <c r="T45" i="27"/>
  <c r="M73" i="25"/>
  <c r="M72" i="24"/>
  <c r="Z95" i="10"/>
  <c r="T95" i="10"/>
  <c r="L72" i="24"/>
  <c r="N73" i="25"/>
  <c r="T93" i="10"/>
  <c r="Z93" i="10"/>
  <c r="X92" i="10"/>
  <c r="R92" i="10"/>
  <c r="R95" i="10"/>
  <c r="X95" i="10"/>
  <c r="S92" i="10"/>
  <c r="S91" i="10" s="1"/>
  <c r="AN80" i="10"/>
  <c r="T85" i="10"/>
  <c r="O160" i="10"/>
  <c r="O159" i="10" s="1"/>
  <c r="K72" i="23"/>
  <c r="Z56" i="10"/>
  <c r="T56" i="10"/>
  <c r="L101" i="24"/>
  <c r="J175" i="38"/>
  <c r="J174" i="23"/>
  <c r="J175" i="24"/>
  <c r="J175" i="25"/>
  <c r="AP79" i="10"/>
  <c r="L55" i="10"/>
  <c r="K56" i="10"/>
  <c r="N72" i="23"/>
  <c r="N72" i="24"/>
  <c r="AN69" i="10"/>
  <c r="R85" i="10"/>
  <c r="O134" i="10"/>
  <c r="O107" i="10"/>
  <c r="M101" i="10"/>
  <c r="O61" i="10"/>
  <c r="AG38" i="10"/>
  <c r="O66" i="10"/>
  <c r="M107" i="10"/>
  <c r="AG66" i="10"/>
  <c r="N61" i="10"/>
  <c r="N66" i="10"/>
  <c r="O38" i="10"/>
  <c r="O147" i="10"/>
  <c r="AG160" i="10"/>
  <c r="X38" i="10"/>
  <c r="M78" i="10"/>
  <c r="U160" i="10"/>
  <c r="M85" i="10"/>
  <c r="U38" i="10"/>
  <c r="N78" i="10"/>
  <c r="AF66" i="10"/>
  <c r="AB86" i="27"/>
  <c r="N45" i="10"/>
  <c r="N38" i="10"/>
  <c r="M147" i="10"/>
  <c r="AA160" i="10"/>
  <c r="X160" i="10"/>
  <c r="S66" i="10"/>
  <c r="N85" i="10"/>
  <c r="R61" i="10"/>
  <c r="Z38" i="10"/>
  <c r="H160" i="10"/>
  <c r="L85" i="10"/>
  <c r="O45" i="10"/>
  <c r="L113" i="10"/>
  <c r="O85" i="10"/>
  <c r="L66" i="10"/>
  <c r="G160" i="10"/>
  <c r="U61" i="10"/>
  <c r="AD160" i="10"/>
  <c r="S160" i="10"/>
  <c r="AF160" i="10"/>
  <c r="M160" i="10"/>
  <c r="M159" i="10" s="1"/>
  <c r="T38" i="10"/>
  <c r="AE66" i="10"/>
  <c r="Z66" i="10"/>
  <c r="AA66" i="10"/>
  <c r="S61" i="10"/>
  <c r="T73" i="27"/>
  <c r="T72" i="27" s="1"/>
  <c r="Z39" i="2"/>
  <c r="R160" i="10"/>
  <c r="L160" i="10"/>
  <c r="L159" i="10" s="1"/>
  <c r="T160" i="10"/>
  <c r="AE160" i="10"/>
  <c r="N101" i="10"/>
  <c r="N107" i="10"/>
  <c r="O101" i="10"/>
  <c r="T66" i="10"/>
  <c r="U66" i="10"/>
  <c r="T61" i="10"/>
  <c r="I45" i="10"/>
  <c r="G45" i="10"/>
  <c r="N160" i="10"/>
  <c r="N159" i="10" s="1"/>
  <c r="M113" i="10"/>
  <c r="Y66" i="10"/>
  <c r="F45" i="10"/>
  <c r="H172" i="10"/>
  <c r="N113" i="10"/>
  <c r="F160" i="10"/>
  <c r="F159" i="10" s="1"/>
  <c r="M134" i="10"/>
  <c r="M119" i="10" s="1"/>
  <c r="N172" i="10"/>
  <c r="N167" i="10" s="1"/>
  <c r="L134" i="10"/>
  <c r="Z160" i="10"/>
  <c r="Y160" i="10"/>
  <c r="AE38" i="10"/>
  <c r="M172" i="10"/>
  <c r="M167" i="10" s="1"/>
  <c r="G172" i="10"/>
  <c r="N134" i="10"/>
  <c r="L101" i="10"/>
  <c r="M32" i="10"/>
  <c r="AD38" i="10"/>
  <c r="Y38" i="10"/>
  <c r="F134" i="10"/>
  <c r="N147" i="10"/>
  <c r="Z46" i="2"/>
  <c r="R38" i="10"/>
  <c r="M61" i="10"/>
  <c r="S38" i="10"/>
  <c r="M38" i="10"/>
  <c r="L38" i="10"/>
  <c r="AI176" i="10"/>
  <c r="AJ176" i="10" s="1"/>
  <c r="N176" i="2"/>
  <c r="U7" i="27"/>
  <c r="U6" i="27" s="1"/>
  <c r="U181" i="27" s="1"/>
  <c r="P120" i="27"/>
  <c r="X74" i="27"/>
  <c r="Y74" i="27" s="1"/>
  <c r="Y73" i="27" s="1"/>
  <c r="Y72" i="27" s="1"/>
  <c r="AB38" i="27"/>
  <c r="AB121" i="27"/>
  <c r="AB160" i="27"/>
  <c r="AB159" i="27" s="1"/>
  <c r="AB61" i="27"/>
  <c r="T120" i="27"/>
  <c r="AB102" i="27"/>
  <c r="AB32" i="27"/>
  <c r="AB66" i="27"/>
  <c r="AB172" i="27"/>
  <c r="AB171" i="27" s="1"/>
  <c r="AB167" i="27" s="1"/>
  <c r="AB108" i="27"/>
  <c r="AB114" i="27"/>
  <c r="AB147" i="27"/>
  <c r="AB146" i="27" s="1"/>
  <c r="AB140" i="27" s="1"/>
  <c r="AB92" i="27"/>
  <c r="X120" i="27"/>
  <c r="AB134" i="27"/>
  <c r="AD172" i="10"/>
  <c r="L9" i="2"/>
  <c r="V7" i="11" s="1"/>
  <c r="AU158" i="10"/>
  <c r="L147" i="10"/>
  <c r="L45" i="10"/>
  <c r="M45" i="10"/>
  <c r="F147" i="10"/>
  <c r="F146" i="10" s="1"/>
  <c r="F172" i="10"/>
  <c r="F167" i="10" s="1"/>
  <c r="L61" i="10"/>
  <c r="Z62" i="2"/>
  <c r="Z33" i="2"/>
  <c r="V174" i="11"/>
  <c r="J175" i="27"/>
  <c r="D2" i="13"/>
  <c r="AD8" i="27"/>
  <c r="X101" i="27"/>
  <c r="W7" i="11"/>
  <c r="L98" i="2"/>
  <c r="J97" i="23" s="1"/>
  <c r="Y92" i="10" l="1"/>
  <c r="Z92" i="10"/>
  <c r="Z91" i="10" s="1"/>
  <c r="Q101" i="27"/>
  <c r="Q100" i="27" s="1"/>
  <c r="Q181" i="27" s="1"/>
  <c r="Y97" i="10"/>
  <c r="Y94" i="10"/>
  <c r="Y96" i="10"/>
  <c r="Y95" i="10"/>
  <c r="Y93" i="10"/>
  <c r="T92" i="10"/>
  <c r="T91" i="10" s="1"/>
  <c r="X91" i="10"/>
  <c r="R91" i="10"/>
  <c r="O72" i="10"/>
  <c r="O119" i="10"/>
  <c r="F119" i="10"/>
  <c r="N119" i="10"/>
  <c r="L119" i="10"/>
  <c r="O100" i="10"/>
  <c r="M100" i="10"/>
  <c r="P100" i="27"/>
  <c r="M72" i="10"/>
  <c r="N72" i="10"/>
  <c r="L100" i="10"/>
  <c r="N100" i="10"/>
  <c r="L72" i="10"/>
  <c r="Q176" i="10"/>
  <c r="W176" i="10"/>
  <c r="K176" i="10"/>
  <c r="AI97" i="10"/>
  <c r="AJ97" i="10" s="1"/>
  <c r="J97" i="38"/>
  <c r="T100" i="27"/>
  <c r="L175" i="27"/>
  <c r="M175" i="27"/>
  <c r="X100" i="27"/>
  <c r="AB7" i="27"/>
  <c r="AB120" i="27"/>
  <c r="X73" i="27"/>
  <c r="X72" i="27" s="1"/>
  <c r="AB101" i="27"/>
  <c r="J8" i="27"/>
  <c r="V96" i="11"/>
  <c r="J98" i="27"/>
  <c r="L98" i="27" s="1"/>
  <c r="X53" i="8"/>
  <c r="AA119" i="2"/>
  <c r="AA113" i="2"/>
  <c r="AA107" i="2"/>
  <c r="AA98" i="2"/>
  <c r="O97" i="23" s="1"/>
  <c r="AA78" i="2"/>
  <c r="CQ176" i="10" l="1"/>
  <c r="Y91" i="10"/>
  <c r="O119" i="24"/>
  <c r="AD119" i="2"/>
  <c r="AD114" i="2" s="1"/>
  <c r="Z21" i="30" s="1"/>
  <c r="W97" i="10"/>
  <c r="Q97" i="10"/>
  <c r="O113" i="25"/>
  <c r="AD113" i="2"/>
  <c r="O112" i="23"/>
  <c r="O113" i="24"/>
  <c r="O79" i="38"/>
  <c r="O77" i="23"/>
  <c r="O117" i="38"/>
  <c r="O118" i="23"/>
  <c r="O106" i="23"/>
  <c r="O107" i="24"/>
  <c r="O127" i="38"/>
  <c r="AS106" i="10"/>
  <c r="O105" i="38"/>
  <c r="O139" i="38"/>
  <c r="AS112" i="10"/>
  <c r="O111" i="38"/>
  <c r="AS97" i="10"/>
  <c r="AT97" i="10" s="1"/>
  <c r="O97" i="38"/>
  <c r="AS77" i="10"/>
  <c r="CN77" i="10" s="1"/>
  <c r="AM78" i="2"/>
  <c r="AB100" i="27"/>
  <c r="AB74" i="27"/>
  <c r="AM119" i="2"/>
  <c r="AS118" i="10"/>
  <c r="AD78" i="27"/>
  <c r="AF78" i="27" s="1"/>
  <c r="AL78" i="2"/>
  <c r="AD107" i="27"/>
  <c r="AF107" i="27" s="1"/>
  <c r="AL107" i="2"/>
  <c r="AD98" i="27"/>
  <c r="AF98" i="27" s="1"/>
  <c r="AM98" i="2"/>
  <c r="W111" i="11"/>
  <c r="AD113" i="27"/>
  <c r="AL113" i="2"/>
  <c r="W127" i="11"/>
  <c r="AD129" i="27"/>
  <c r="AF129" i="27" s="1"/>
  <c r="AD119" i="27"/>
  <c r="W117" i="11"/>
  <c r="W105" i="11"/>
  <c r="W76" i="11"/>
  <c r="W96" i="11"/>
  <c r="W157" i="11"/>
  <c r="AB77" i="10" l="1"/>
  <c r="V77" i="10"/>
  <c r="AH77" i="10"/>
  <c r="AT77" i="10"/>
  <c r="AF119" i="27"/>
  <c r="AG119" i="27"/>
  <c r="AG114" i="27" s="1"/>
  <c r="AB97" i="10"/>
  <c r="V97" i="10"/>
  <c r="AF113" i="27"/>
  <c r="AG113" i="27"/>
  <c r="Q113" i="25"/>
  <c r="AB118" i="10"/>
  <c r="V118" i="10"/>
  <c r="P112" i="10"/>
  <c r="V112" i="10"/>
  <c r="V106" i="10"/>
  <c r="AB106" i="10"/>
  <c r="P106" i="10"/>
  <c r="J139" i="38"/>
  <c r="AC74" i="27"/>
  <c r="AC73" i="27" s="1"/>
  <c r="AC72" i="27" s="1"/>
  <c r="AC6" i="27" s="1"/>
  <c r="AC181" i="27" s="1"/>
  <c r="AB73" i="27"/>
  <c r="AB72" i="27" s="1"/>
  <c r="AB6" i="27" s="1"/>
  <c r="CR77" i="10" l="1"/>
  <c r="CI97" i="10"/>
  <c r="CI112" i="10"/>
  <c r="CI118" i="10"/>
  <c r="CI106" i="10"/>
  <c r="AU77" i="10"/>
  <c r="AV158" i="10"/>
  <c r="L23" i="3"/>
  <c r="L64" i="2" s="1"/>
  <c r="K42" i="7"/>
  <c r="L77" i="2"/>
  <c r="J76" i="23" s="1"/>
  <c r="K28" i="7"/>
  <c r="L65" i="2" s="1"/>
  <c r="K18" i="7"/>
  <c r="L48" i="2" s="1"/>
  <c r="K14" i="7"/>
  <c r="L38" i="2" s="1"/>
  <c r="K13" i="7"/>
  <c r="L37" i="2" s="1"/>
  <c r="L97" i="2" l="1"/>
  <c r="J96" i="23" s="1"/>
  <c r="K41" i="7"/>
  <c r="J65" i="38"/>
  <c r="J64" i="23"/>
  <c r="J65" i="25"/>
  <c r="J64" i="24"/>
  <c r="J48" i="38"/>
  <c r="J47" i="23"/>
  <c r="J48" i="25"/>
  <c r="J47" i="24"/>
  <c r="J64" i="38"/>
  <c r="J63" i="23"/>
  <c r="J64" i="25"/>
  <c r="J63" i="24"/>
  <c r="AI139" i="10"/>
  <c r="J133" i="38"/>
  <c r="AI36" i="10"/>
  <c r="J37" i="38"/>
  <c r="AI76" i="10"/>
  <c r="J78" i="38"/>
  <c r="AI125" i="10"/>
  <c r="J124" i="38"/>
  <c r="J134" i="38"/>
  <c r="J137" i="38"/>
  <c r="AI37" i="10"/>
  <c r="CN37" i="10" s="1"/>
  <c r="J38" i="38"/>
  <c r="AI126" i="10"/>
  <c r="J125" i="38"/>
  <c r="J135" i="38"/>
  <c r="AI124" i="10"/>
  <c r="J123" i="38"/>
  <c r="AI138" i="10"/>
  <c r="J132" i="38"/>
  <c r="J136" i="38"/>
  <c r="AI47" i="10"/>
  <c r="Q47" i="10" s="1"/>
  <c r="N48" i="2"/>
  <c r="AI63" i="10"/>
  <c r="AJ63" i="10" s="1"/>
  <c r="Q63" i="10" s="1"/>
  <c r="N64" i="2"/>
  <c r="AI64" i="10"/>
  <c r="AJ64" i="10" s="1"/>
  <c r="Q64" i="10" s="1"/>
  <c r="N65" i="2"/>
  <c r="V63" i="11"/>
  <c r="J64" i="27"/>
  <c r="M64" i="27" s="1"/>
  <c r="V123" i="11"/>
  <c r="J125" i="27"/>
  <c r="L125" i="27" s="1"/>
  <c r="V138" i="11"/>
  <c r="J139" i="27"/>
  <c r="L139" i="27" s="1"/>
  <c r="V46" i="11"/>
  <c r="J47" i="27"/>
  <c r="M47" i="27" s="1"/>
  <c r="V137" i="11"/>
  <c r="J138" i="27"/>
  <c r="L138" i="27" s="1"/>
  <c r="V35" i="11"/>
  <c r="J36" i="27"/>
  <c r="L36" i="27" s="1"/>
  <c r="V75" i="11"/>
  <c r="J77" i="27"/>
  <c r="L77" i="27" s="1"/>
  <c r="V124" i="11"/>
  <c r="J126" i="27"/>
  <c r="L126" i="27" s="1"/>
  <c r="V62" i="11"/>
  <c r="J63" i="27"/>
  <c r="M63" i="27" s="1"/>
  <c r="V36" i="11"/>
  <c r="J37" i="27"/>
  <c r="L37" i="27" s="1"/>
  <c r="V95" i="11"/>
  <c r="V125" i="11"/>
  <c r="J127" i="27"/>
  <c r="L127" i="27" s="1"/>
  <c r="AA171" i="2"/>
  <c r="P67" i="6"/>
  <c r="O67" i="6"/>
  <c r="N67" i="6"/>
  <c r="M67" i="6"/>
  <c r="AC37" i="10" l="1"/>
  <c r="W37" i="10"/>
  <c r="Q37" i="10"/>
  <c r="J97" i="27"/>
  <c r="L97" i="27" s="1"/>
  <c r="J96" i="38"/>
  <c r="AI96" i="10"/>
  <c r="AJ96" i="10" s="1"/>
  <c r="W96" i="10" s="1"/>
  <c r="AJ76" i="10"/>
  <c r="W76" i="10" s="1"/>
  <c r="Q76" i="10"/>
  <c r="Q138" i="10"/>
  <c r="W138" i="10"/>
  <c r="AC138" i="10"/>
  <c r="O169" i="23"/>
  <c r="O168" i="23" s="1"/>
  <c r="O167" i="23" s="1"/>
  <c r="O166" i="23" s="1"/>
  <c r="O170" i="25"/>
  <c r="O169" i="25" s="1"/>
  <c r="O168" i="25" s="1"/>
  <c r="O167" i="25" s="1"/>
  <c r="O170" i="24"/>
  <c r="O169" i="24" s="1"/>
  <c r="O168" i="24" s="1"/>
  <c r="O167" i="24" s="1"/>
  <c r="AC139" i="10"/>
  <c r="W139" i="10"/>
  <c r="Q139" i="10"/>
  <c r="AJ47" i="10"/>
  <c r="Q36" i="10"/>
  <c r="W36" i="10"/>
  <c r="L171" i="2"/>
  <c r="O170" i="38"/>
  <c r="L47" i="27"/>
  <c r="L64" i="27"/>
  <c r="L63" i="27"/>
  <c r="AS170" i="10"/>
  <c r="AT170" i="10" s="1"/>
  <c r="AD171" i="2"/>
  <c r="AD170" i="2" s="1"/>
  <c r="Z28" i="30" s="1"/>
  <c r="AL171" i="2"/>
  <c r="AL170" i="2" s="1"/>
  <c r="E28" i="19" s="1"/>
  <c r="AD170" i="27"/>
  <c r="W169" i="11"/>
  <c r="W168" i="11" s="1"/>
  <c r="M66" i="8"/>
  <c r="L73" i="9"/>
  <c r="M73" i="9"/>
  <c r="K24" i="7"/>
  <c r="CQ76" i="10" l="1"/>
  <c r="CQ37" i="10"/>
  <c r="CQ36" i="10"/>
  <c r="Q96" i="10"/>
  <c r="Q170" i="25"/>
  <c r="Q169" i="25" s="1"/>
  <c r="J28" i="30" s="1"/>
  <c r="M28" i="30" s="1"/>
  <c r="P28" i="30" s="1"/>
  <c r="S28" i="30" s="1"/>
  <c r="V28" i="30" s="1"/>
  <c r="AB170" i="10"/>
  <c r="V170" i="10"/>
  <c r="J170" i="38"/>
  <c r="J169" i="23"/>
  <c r="J168" i="23" s="1"/>
  <c r="J167" i="23" s="1"/>
  <c r="J170" i="24"/>
  <c r="J169" i="24" s="1"/>
  <c r="J168" i="24" s="1"/>
  <c r="J170" i="25"/>
  <c r="J169" i="25" s="1"/>
  <c r="J168" i="25" s="1"/>
  <c r="AS169" i="10"/>
  <c r="AS168" i="10" s="1"/>
  <c r="AS167" i="10" s="1"/>
  <c r="AH170" i="10"/>
  <c r="AH169" i="10" s="1"/>
  <c r="AH168" i="10" s="1"/>
  <c r="AH167" i="10" s="1"/>
  <c r="AF170" i="27"/>
  <c r="AG170" i="27"/>
  <c r="AG169" i="27" s="1"/>
  <c r="AG168" i="27" s="1"/>
  <c r="AG167" i="27" s="1"/>
  <c r="AI170" i="10"/>
  <c r="AJ170" i="10" s="1"/>
  <c r="N171" i="2"/>
  <c r="N170" i="2" s="1"/>
  <c r="J170" i="27"/>
  <c r="M170" i="27" s="1"/>
  <c r="M169" i="27" s="1"/>
  <c r="M168" i="27" s="1"/>
  <c r="V169" i="11"/>
  <c r="K25" i="7"/>
  <c r="L60" i="2" s="1"/>
  <c r="L66" i="8"/>
  <c r="W170" i="10" l="1"/>
  <c r="Q170" i="10"/>
  <c r="CI170" i="10"/>
  <c r="J60" i="38"/>
  <c r="J59" i="23"/>
  <c r="J60" i="25"/>
  <c r="J59" i="24"/>
  <c r="AI169" i="10"/>
  <c r="AI168" i="10" s="1"/>
  <c r="L170" i="27"/>
  <c r="L169" i="27" s="1"/>
  <c r="L168" i="27" s="1"/>
  <c r="AF169" i="27"/>
  <c r="AF168" i="27" s="1"/>
  <c r="AF167" i="27" s="1"/>
  <c r="AI59" i="10"/>
  <c r="AJ59" i="10" s="1"/>
  <c r="N60" i="2"/>
  <c r="J59" i="27"/>
  <c r="M59" i="27" s="1"/>
  <c r="E5" i="12"/>
  <c r="V168" i="11"/>
  <c r="K23" i="7"/>
  <c r="V58" i="11"/>
  <c r="N17" i="3"/>
  <c r="O17" i="3"/>
  <c r="P17" i="3"/>
  <c r="Q17" i="3"/>
  <c r="AA57" i="2"/>
  <c r="L18" i="3"/>
  <c r="L57" i="2" s="1"/>
  <c r="AA83" i="2"/>
  <c r="O83" i="26" s="1"/>
  <c r="X34" i="7"/>
  <c r="K36" i="7"/>
  <c r="L83" i="2" s="1"/>
  <c r="J83" i="26" s="1"/>
  <c r="K35" i="7"/>
  <c r="K34" i="7" l="1"/>
  <c r="O79" i="26"/>
  <c r="O72" i="26" s="1"/>
  <c r="O6" i="26" s="1"/>
  <c r="J79" i="26"/>
  <c r="J72" i="26" s="1"/>
  <c r="J6" i="26" s="1"/>
  <c r="Q59" i="10"/>
  <c r="W59" i="10"/>
  <c r="J84" i="38"/>
  <c r="J82" i="23"/>
  <c r="J83" i="24"/>
  <c r="J83" i="25"/>
  <c r="O57" i="38"/>
  <c r="O56" i="23"/>
  <c r="O55" i="23" s="1"/>
  <c r="O57" i="25"/>
  <c r="O56" i="25" s="1"/>
  <c r="O56" i="24"/>
  <c r="O55" i="24" s="1"/>
  <c r="O84" i="38"/>
  <c r="O82" i="23"/>
  <c r="O83" i="25"/>
  <c r="Q83" i="25" s="1"/>
  <c r="O83" i="24"/>
  <c r="J57" i="38"/>
  <c r="J56" i="23"/>
  <c r="J55" i="23" s="1"/>
  <c r="J57" i="25"/>
  <c r="J56" i="25" s="1"/>
  <c r="J56" i="24"/>
  <c r="J55" i="24" s="1"/>
  <c r="AM56" i="2"/>
  <c r="F10" i="19" s="1"/>
  <c r="AL57" i="2"/>
  <c r="AL56" i="2" s="1"/>
  <c r="E10" i="19" s="1"/>
  <c r="L59" i="27"/>
  <c r="AI82" i="10"/>
  <c r="N83" i="2"/>
  <c r="AD57" i="2"/>
  <c r="AD56" i="2" s="1"/>
  <c r="Z10" i="30" s="1"/>
  <c r="AS56" i="10"/>
  <c r="D56" i="10" s="1"/>
  <c r="D55" i="10" s="1"/>
  <c r="C10" i="19" s="1"/>
  <c r="C43" i="19" s="1"/>
  <c r="C10" i="30" s="1"/>
  <c r="E10" i="30" s="1"/>
  <c r="AD83" i="2"/>
  <c r="AS82" i="10"/>
  <c r="AI56" i="10"/>
  <c r="N57" i="2"/>
  <c r="N56" i="2" s="1"/>
  <c r="V55" i="11"/>
  <c r="V54" i="11" s="1"/>
  <c r="J56" i="27"/>
  <c r="M56" i="27" s="1"/>
  <c r="M55" i="27" s="1"/>
  <c r="V81" i="11"/>
  <c r="D15" i="31" s="1"/>
  <c r="J83" i="27"/>
  <c r="M83" i="27" s="1"/>
  <c r="AD56" i="27"/>
  <c r="AK57" i="2"/>
  <c r="AK56" i="2" s="1"/>
  <c r="D10" i="19" s="1"/>
  <c r="AD83" i="27"/>
  <c r="AL83" i="2"/>
  <c r="W81" i="11"/>
  <c r="W55" i="11"/>
  <c r="L82" i="2"/>
  <c r="K40" i="7"/>
  <c r="L91" i="2" s="1"/>
  <c r="J90" i="23" s="1"/>
  <c r="Q57" i="25" l="1"/>
  <c r="Q56" i="25" s="1"/>
  <c r="J10" i="30" s="1"/>
  <c r="M10" i="30" s="1"/>
  <c r="P10" i="30" s="1"/>
  <c r="S10" i="30" s="1"/>
  <c r="V10" i="30" s="1"/>
  <c r="AH82" i="10"/>
  <c r="AC82" i="10"/>
  <c r="AI55" i="10"/>
  <c r="AI90" i="10"/>
  <c r="J90" i="38"/>
  <c r="AI81" i="10"/>
  <c r="J83" i="38"/>
  <c r="D82" i="10"/>
  <c r="E8" i="12"/>
  <c r="L56" i="27"/>
  <c r="L55" i="27" s="1"/>
  <c r="L83" i="27"/>
  <c r="AF83" i="27"/>
  <c r="AG83" i="27"/>
  <c r="AF56" i="27"/>
  <c r="AF55" i="27" s="1"/>
  <c r="AG56" i="27"/>
  <c r="AG55" i="27" s="1"/>
  <c r="AH55" i="10"/>
  <c r="AS55" i="10"/>
  <c r="V80" i="11"/>
  <c r="J82" i="27"/>
  <c r="L82" i="27" s="1"/>
  <c r="V89" i="11"/>
  <c r="J91" i="27"/>
  <c r="L91" i="27" s="1"/>
  <c r="D43" i="19"/>
  <c r="AB82" i="10"/>
  <c r="W82" i="10"/>
  <c r="V82" i="10"/>
  <c r="C82" i="10"/>
  <c r="J56" i="10"/>
  <c r="E82" i="10"/>
  <c r="AJ82" i="10"/>
  <c r="Q82" i="10"/>
  <c r="J82" i="10"/>
  <c r="AT82" i="10"/>
  <c r="C56" i="10"/>
  <c r="C55" i="10" s="1"/>
  <c r="E56" i="10"/>
  <c r="L15" i="9"/>
  <c r="L35" i="2" s="1"/>
  <c r="L14" i="9"/>
  <c r="L21" i="9"/>
  <c r="L44" i="2" s="1"/>
  <c r="L20" i="9"/>
  <c r="L43" i="2" s="1"/>
  <c r="L19" i="9"/>
  <c r="L42" i="2" s="1"/>
  <c r="L17" i="9"/>
  <c r="L34" i="9"/>
  <c r="L63" i="2" s="1"/>
  <c r="L36" i="9"/>
  <c r="L72" i="2" s="1"/>
  <c r="J71" i="23" s="1"/>
  <c r="L43" i="9"/>
  <c r="L87" i="2" s="1"/>
  <c r="L45" i="9"/>
  <c r="L93" i="2" s="1"/>
  <c r="L49" i="9"/>
  <c r="L103" i="2" s="1"/>
  <c r="L51" i="9"/>
  <c r="L115" i="2"/>
  <c r="L65" i="9"/>
  <c r="L67" i="9"/>
  <c r="L155" i="2" s="1"/>
  <c r="L70" i="9"/>
  <c r="L162" i="2" s="1"/>
  <c r="L77" i="9"/>
  <c r="L76" i="9" s="1"/>
  <c r="T41" i="9"/>
  <c r="S41" i="9"/>
  <c r="K76" i="7"/>
  <c r="K69" i="7"/>
  <c r="L166" i="2" s="1"/>
  <c r="J164" i="23" s="1"/>
  <c r="K66" i="7"/>
  <c r="K64" i="7"/>
  <c r="L152" i="2" s="1"/>
  <c r="K47" i="7"/>
  <c r="L106" i="2" s="1"/>
  <c r="K49" i="7"/>
  <c r="L112" i="2" s="1"/>
  <c r="L118" i="2"/>
  <c r="L75" i="3"/>
  <c r="L177" i="2" s="1"/>
  <c r="L42" i="3"/>
  <c r="L111" i="2" s="1"/>
  <c r="L36" i="3"/>
  <c r="L95" i="2" s="1"/>
  <c r="J94" i="23" s="1"/>
  <c r="L47" i="2"/>
  <c r="V50" i="11"/>
  <c r="L163" i="2"/>
  <c r="J161" i="23" s="1"/>
  <c r="L150" i="2"/>
  <c r="K34" i="6"/>
  <c r="L76" i="2" s="1"/>
  <c r="J75" i="23" s="1"/>
  <c r="K31" i="6"/>
  <c r="L71" i="2" s="1"/>
  <c r="J70" i="23" s="1"/>
  <c r="L178" i="2" l="1"/>
  <c r="K75" i="7"/>
  <c r="AJ56" i="10"/>
  <c r="Q56" i="10" s="1"/>
  <c r="L109" i="2"/>
  <c r="J109" i="24" s="1"/>
  <c r="L50" i="9"/>
  <c r="J43" i="25"/>
  <c r="N43" i="2"/>
  <c r="Q81" i="10"/>
  <c r="J111" i="25"/>
  <c r="N111" i="2"/>
  <c r="J112" i="25"/>
  <c r="N112" i="2"/>
  <c r="J103" i="25"/>
  <c r="N103" i="2"/>
  <c r="J161" i="25"/>
  <c r="J160" i="25" s="1"/>
  <c r="J159" i="25" s="1"/>
  <c r="N162" i="2"/>
  <c r="N161" i="2" s="1"/>
  <c r="J34" i="23"/>
  <c r="J32" i="23" s="1"/>
  <c r="J34" i="24"/>
  <c r="J32" i="24" s="1"/>
  <c r="J117" i="23"/>
  <c r="J118" i="24"/>
  <c r="J106" i="25"/>
  <c r="N106" i="2"/>
  <c r="J160" i="23"/>
  <c r="J161" i="24"/>
  <c r="J160" i="24" s="1"/>
  <c r="J159" i="24" s="1"/>
  <c r="J114" i="23"/>
  <c r="J115" i="24"/>
  <c r="J86" i="23"/>
  <c r="J87" i="24"/>
  <c r="L174" i="2"/>
  <c r="L40" i="2"/>
  <c r="J39" i="24" s="1"/>
  <c r="L16" i="9"/>
  <c r="J149" i="38"/>
  <c r="J148" i="23"/>
  <c r="J149" i="25"/>
  <c r="J149" i="24"/>
  <c r="J108" i="23"/>
  <c r="J110" i="23"/>
  <c r="J111" i="24"/>
  <c r="J111" i="23"/>
  <c r="J112" i="24"/>
  <c r="J102" i="23"/>
  <c r="J103" i="24"/>
  <c r="J42" i="23"/>
  <c r="J42" i="24"/>
  <c r="J92" i="38"/>
  <c r="J92" i="23"/>
  <c r="J93" i="25"/>
  <c r="J93" i="24"/>
  <c r="J63" i="38"/>
  <c r="J62" i="23"/>
  <c r="J62" i="24"/>
  <c r="J63" i="25"/>
  <c r="J62" i="25" s="1"/>
  <c r="J105" i="23"/>
  <c r="J106" i="24"/>
  <c r="J177" i="38"/>
  <c r="J176" i="23"/>
  <c r="J177" i="25"/>
  <c r="J177" i="24"/>
  <c r="J176" i="38"/>
  <c r="J175" i="23"/>
  <c r="J176" i="25"/>
  <c r="J176" i="24"/>
  <c r="J151" i="38"/>
  <c r="J150" i="23"/>
  <c r="J151" i="25"/>
  <c r="J151" i="24"/>
  <c r="J154" i="38"/>
  <c r="J153" i="23"/>
  <c r="J154" i="24"/>
  <c r="J154" i="25"/>
  <c r="Q90" i="10"/>
  <c r="AJ90" i="10"/>
  <c r="AT56" i="10"/>
  <c r="J47" i="38"/>
  <c r="J46" i="23"/>
  <c r="J46" i="24"/>
  <c r="J47" i="25"/>
  <c r="AI70" i="10"/>
  <c r="J71" i="38"/>
  <c r="AI114" i="10"/>
  <c r="J113" i="38"/>
  <c r="AI161" i="10"/>
  <c r="J161" i="38"/>
  <c r="AI135" i="10"/>
  <c r="Q140" i="10" s="1"/>
  <c r="I36" i="1" s="1"/>
  <c r="Q36" i="1" s="1"/>
  <c r="J129" i="38"/>
  <c r="AI41" i="10"/>
  <c r="J42" i="38"/>
  <c r="AI34" i="10"/>
  <c r="J35" i="38"/>
  <c r="AI105" i="10"/>
  <c r="J104" i="38"/>
  <c r="J130" i="38"/>
  <c r="AI86" i="10"/>
  <c r="J86" i="38"/>
  <c r="AI94" i="10"/>
  <c r="AJ94" i="10" s="1"/>
  <c r="J94" i="38"/>
  <c r="AI117" i="10"/>
  <c r="J116" i="38"/>
  <c r="AI122" i="10"/>
  <c r="J121" i="38"/>
  <c r="AI102" i="10"/>
  <c r="J101" i="38"/>
  <c r="AI71" i="10"/>
  <c r="AC71" i="10" s="1"/>
  <c r="J72" i="38"/>
  <c r="AI42" i="10"/>
  <c r="J43" i="38"/>
  <c r="AI165" i="10"/>
  <c r="J165" i="38"/>
  <c r="AI75" i="10"/>
  <c r="CL75" i="10" s="1"/>
  <c r="J77" i="38"/>
  <c r="J138" i="38"/>
  <c r="AI162" i="10"/>
  <c r="J162" i="38"/>
  <c r="AI110" i="10"/>
  <c r="J109" i="38"/>
  <c r="AI111" i="10"/>
  <c r="J110" i="38"/>
  <c r="AI121" i="10"/>
  <c r="J120" i="38"/>
  <c r="AI43" i="10"/>
  <c r="J44" i="38"/>
  <c r="L165" i="2"/>
  <c r="AI178" i="10"/>
  <c r="AJ178" i="10" s="1"/>
  <c r="N178" i="2"/>
  <c r="AI177" i="10"/>
  <c r="AJ177" i="10" s="1"/>
  <c r="N177" i="2"/>
  <c r="AI149" i="10"/>
  <c r="AJ149" i="10" s="1"/>
  <c r="N150" i="2"/>
  <c r="AI151" i="10"/>
  <c r="AJ151" i="10" s="1"/>
  <c r="N152" i="2"/>
  <c r="AI154" i="10"/>
  <c r="AJ154" i="10" s="1"/>
  <c r="N155" i="2"/>
  <c r="AI46" i="10"/>
  <c r="Q46" i="10" s="1"/>
  <c r="N47" i="2"/>
  <c r="AI92" i="10"/>
  <c r="N93" i="2"/>
  <c r="AI62" i="10"/>
  <c r="AJ62" i="10" s="1"/>
  <c r="Q62" i="10" s="1"/>
  <c r="N63" i="2"/>
  <c r="N62" i="2" s="1"/>
  <c r="V69" i="11"/>
  <c r="J70" i="27"/>
  <c r="L70" i="27" s="1"/>
  <c r="V74" i="11"/>
  <c r="J76" i="27"/>
  <c r="L76" i="27" s="1"/>
  <c r="V45" i="11"/>
  <c r="E24" i="12" s="1"/>
  <c r="J46" i="27"/>
  <c r="M46" i="27" s="1"/>
  <c r="J176" i="27"/>
  <c r="M176" i="27" s="1"/>
  <c r="V176" i="11"/>
  <c r="J177" i="27"/>
  <c r="M177" i="27" s="1"/>
  <c r="V160" i="11"/>
  <c r="J161" i="27"/>
  <c r="V134" i="11"/>
  <c r="J135" i="27"/>
  <c r="L135" i="27" s="1"/>
  <c r="J74" i="27"/>
  <c r="L74" i="27" s="1"/>
  <c r="M74" i="27" s="1"/>
  <c r="M73" i="27" s="1"/>
  <c r="J74" i="26"/>
  <c r="J74" i="24"/>
  <c r="V40" i="11"/>
  <c r="J41" i="27"/>
  <c r="L41" i="27" s="1"/>
  <c r="V33" i="11"/>
  <c r="J34" i="27"/>
  <c r="L34" i="27" s="1"/>
  <c r="V164" i="11"/>
  <c r="J165" i="27"/>
  <c r="L165" i="27" s="1"/>
  <c r="V85" i="11"/>
  <c r="J87" i="27"/>
  <c r="L87" i="27" s="1"/>
  <c r="V148" i="11"/>
  <c r="J149" i="27"/>
  <c r="M149" i="27" s="1"/>
  <c r="V93" i="11"/>
  <c r="J95" i="27"/>
  <c r="L95" i="27" s="1"/>
  <c r="V150" i="11"/>
  <c r="J151" i="27"/>
  <c r="M151" i="27" s="1"/>
  <c r="J154" i="27"/>
  <c r="M154" i="27" s="1"/>
  <c r="V121" i="11"/>
  <c r="J123" i="27"/>
  <c r="L123" i="27" s="1"/>
  <c r="V101" i="11"/>
  <c r="J103" i="27"/>
  <c r="V70" i="11"/>
  <c r="J71" i="27"/>
  <c r="L71" i="27" s="1"/>
  <c r="V41" i="11"/>
  <c r="E21" i="12" s="1"/>
  <c r="J42" i="27"/>
  <c r="V104" i="11"/>
  <c r="J106" i="27"/>
  <c r="V135" i="11"/>
  <c r="J136" i="27"/>
  <c r="L136" i="27" s="1"/>
  <c r="V161" i="11"/>
  <c r="J162" i="27"/>
  <c r="L162" i="27" s="1"/>
  <c r="V109" i="11"/>
  <c r="J111" i="27"/>
  <c r="V110" i="11"/>
  <c r="J112" i="27"/>
  <c r="J122" i="27"/>
  <c r="L122" i="27" s="1"/>
  <c r="V91" i="11"/>
  <c r="E12" i="12" s="1"/>
  <c r="J93" i="27"/>
  <c r="V61" i="11"/>
  <c r="J62" i="27"/>
  <c r="M62" i="27" s="1"/>
  <c r="M61" i="27" s="1"/>
  <c r="V42" i="11"/>
  <c r="E28" i="12" s="1"/>
  <c r="J43" i="27"/>
  <c r="L43" i="27" s="1"/>
  <c r="E43" i="19"/>
  <c r="F43" i="19" s="1"/>
  <c r="F10" i="30"/>
  <c r="H10" i="30" s="1"/>
  <c r="V113" i="11"/>
  <c r="J115" i="27"/>
  <c r="L115" i="27" s="1"/>
  <c r="V116" i="11"/>
  <c r="J118" i="27"/>
  <c r="L118" i="27" s="1"/>
  <c r="L34" i="2"/>
  <c r="L13" i="9"/>
  <c r="L149" i="2"/>
  <c r="L64" i="9"/>
  <c r="K65" i="7"/>
  <c r="L158" i="2"/>
  <c r="V175" i="11"/>
  <c r="V120" i="11"/>
  <c r="J119" i="38"/>
  <c r="L135" i="2"/>
  <c r="V153" i="11"/>
  <c r="V154" i="11"/>
  <c r="E18" i="12" s="1"/>
  <c r="V49" i="11"/>
  <c r="L17" i="3"/>
  <c r="E33" i="12" l="1"/>
  <c r="AI120" i="10"/>
  <c r="J109" i="27"/>
  <c r="J107" i="38"/>
  <c r="V107" i="11"/>
  <c r="V106" i="11" s="1"/>
  <c r="AI108" i="10"/>
  <c r="W108" i="10" s="1"/>
  <c r="W75" i="10"/>
  <c r="AC75" i="10"/>
  <c r="J173" i="24"/>
  <c r="J172" i="24" s="1"/>
  <c r="J171" i="24" s="1"/>
  <c r="J167" i="24" s="1"/>
  <c r="L173" i="2"/>
  <c r="J172" i="38" s="1"/>
  <c r="L112" i="27"/>
  <c r="M112" i="27"/>
  <c r="L109" i="27"/>
  <c r="M109" i="27"/>
  <c r="AC41" i="10"/>
  <c r="W41" i="10"/>
  <c r="Q41" i="10"/>
  <c r="AJ75" i="10"/>
  <c r="Q75" i="10"/>
  <c r="L111" i="27"/>
  <c r="M111" i="27"/>
  <c r="AC43" i="10"/>
  <c r="W43" i="10"/>
  <c r="Q43" i="10"/>
  <c r="J109" i="25"/>
  <c r="J108" i="25" s="1"/>
  <c r="N109" i="2"/>
  <c r="N108" i="2" s="1"/>
  <c r="L42" i="27"/>
  <c r="M42" i="27"/>
  <c r="L103" i="27"/>
  <c r="M103" i="27"/>
  <c r="N174" i="2"/>
  <c r="N173" i="2" s="1"/>
  <c r="V172" i="11"/>
  <c r="E29" i="12" s="1"/>
  <c r="J173" i="25"/>
  <c r="J172" i="25" s="1"/>
  <c r="J171" i="25" s="1"/>
  <c r="J167" i="25" s="1"/>
  <c r="L161" i="27"/>
  <c r="M161" i="27"/>
  <c r="M160" i="27" s="1"/>
  <c r="M159" i="27" s="1"/>
  <c r="L39" i="2"/>
  <c r="J39" i="38" s="1"/>
  <c r="J40" i="25"/>
  <c r="J39" i="25" s="1"/>
  <c r="V38" i="11"/>
  <c r="V37" i="11" s="1"/>
  <c r="N40" i="2"/>
  <c r="N39" i="2" s="1"/>
  <c r="J39" i="23"/>
  <c r="J38" i="23" s="1"/>
  <c r="J39" i="27"/>
  <c r="M39" i="27" s="1"/>
  <c r="AI39" i="10"/>
  <c r="AI38" i="10" s="1"/>
  <c r="W149" i="10"/>
  <c r="Q149" i="10"/>
  <c r="W154" i="10"/>
  <c r="Q154" i="10"/>
  <c r="Q151" i="10"/>
  <c r="W151" i="10"/>
  <c r="J164" i="38"/>
  <c r="J163" i="23"/>
  <c r="J159" i="23" s="1"/>
  <c r="J158" i="23" s="1"/>
  <c r="L106" i="27"/>
  <c r="M106" i="27"/>
  <c r="Q94" i="10"/>
  <c r="W94" i="10"/>
  <c r="AJ71" i="10"/>
  <c r="W71" i="10"/>
  <c r="AI174" i="10"/>
  <c r="J172" i="23"/>
  <c r="J171" i="23" s="1"/>
  <c r="J170" i="23" s="1"/>
  <c r="J166" i="23" s="1"/>
  <c r="J173" i="38"/>
  <c r="J173" i="27"/>
  <c r="M173" i="27" s="1"/>
  <c r="M172" i="27" s="1"/>
  <c r="M171" i="27" s="1"/>
  <c r="M167" i="27" s="1"/>
  <c r="J40" i="38"/>
  <c r="J38" i="24"/>
  <c r="J128" i="38"/>
  <c r="L120" i="2"/>
  <c r="AI134" i="10"/>
  <c r="AI119" i="10" s="1"/>
  <c r="J164" i="27"/>
  <c r="L164" i="27" s="1"/>
  <c r="J157" i="38"/>
  <c r="J156" i="23"/>
  <c r="J157" i="25"/>
  <c r="J157" i="24"/>
  <c r="Q86" i="10"/>
  <c r="AJ86" i="10"/>
  <c r="V163" i="11"/>
  <c r="E35" i="12" s="1"/>
  <c r="J108" i="24"/>
  <c r="AB56" i="10"/>
  <c r="W56" i="10" s="1"/>
  <c r="CQ56" i="10" s="1"/>
  <c r="V56" i="10"/>
  <c r="J148" i="38"/>
  <c r="J147" i="23"/>
  <c r="J148" i="25"/>
  <c r="J148" i="24"/>
  <c r="Q135" i="10"/>
  <c r="AC135" i="10"/>
  <c r="W135" i="10"/>
  <c r="O153" i="10"/>
  <c r="O146" i="10" s="1"/>
  <c r="N153" i="10"/>
  <c r="N146" i="10" s="1"/>
  <c r="M153" i="10"/>
  <c r="M146" i="10" s="1"/>
  <c r="Q111" i="10"/>
  <c r="K111" i="10"/>
  <c r="Q42" i="10"/>
  <c r="W42" i="10"/>
  <c r="AC102" i="10"/>
  <c r="Q102" i="10"/>
  <c r="W102" i="10"/>
  <c r="W117" i="10"/>
  <c r="Q117" i="10"/>
  <c r="Q105" i="10"/>
  <c r="W105" i="10"/>
  <c r="K105" i="10"/>
  <c r="Q114" i="10"/>
  <c r="W114" i="10"/>
  <c r="AC110" i="10"/>
  <c r="Q110" i="10"/>
  <c r="W110" i="10"/>
  <c r="AC34" i="10"/>
  <c r="Q34" i="10"/>
  <c r="W34" i="10"/>
  <c r="L161" i="2"/>
  <c r="J160" i="38" s="1"/>
  <c r="AI164" i="10"/>
  <c r="AI160" i="10" s="1"/>
  <c r="AI159" i="10" s="1"/>
  <c r="AI33" i="10"/>
  <c r="J34" i="38"/>
  <c r="W177" i="10"/>
  <c r="K177" i="10"/>
  <c r="Q177" i="10"/>
  <c r="AJ92" i="10"/>
  <c r="L93" i="27"/>
  <c r="M93" i="27"/>
  <c r="L151" i="27"/>
  <c r="L149" i="27"/>
  <c r="L62" i="27"/>
  <c r="L154" i="27"/>
  <c r="L177" i="27"/>
  <c r="L176" i="27"/>
  <c r="L121" i="27"/>
  <c r="AI157" i="10"/>
  <c r="N158" i="2"/>
  <c r="AI148" i="10"/>
  <c r="AJ148" i="10" s="1"/>
  <c r="N149" i="2"/>
  <c r="J121" i="27"/>
  <c r="J134" i="27"/>
  <c r="V32" i="11"/>
  <c r="J33" i="27"/>
  <c r="L33" i="27" s="1"/>
  <c r="J157" i="27"/>
  <c r="M157" i="27" s="1"/>
  <c r="L134" i="27"/>
  <c r="V147" i="11"/>
  <c r="J148" i="27"/>
  <c r="M148" i="27" s="1"/>
  <c r="L46" i="27"/>
  <c r="G43" i="19"/>
  <c r="L10" i="30"/>
  <c r="N10" i="30" s="1"/>
  <c r="V156" i="11"/>
  <c r="V119" i="11"/>
  <c r="V133" i="11"/>
  <c r="L20" i="3"/>
  <c r="L19" i="3" s="1"/>
  <c r="L151" i="2"/>
  <c r="L157" i="2"/>
  <c r="E17" i="12" l="1"/>
  <c r="L108" i="27"/>
  <c r="V171" i="11"/>
  <c r="AC108" i="10"/>
  <c r="J172" i="27"/>
  <c r="AI107" i="10"/>
  <c r="CR56" i="10"/>
  <c r="Q108" i="10"/>
  <c r="CQ34" i="10"/>
  <c r="CQ154" i="10"/>
  <c r="CQ75" i="10"/>
  <c r="K173" i="10"/>
  <c r="CQ177" i="10"/>
  <c r="AJ174" i="10"/>
  <c r="AI173" i="10"/>
  <c r="AI172" i="10" s="1"/>
  <c r="AI167" i="10" s="1"/>
  <c r="L160" i="27"/>
  <c r="L159" i="27" s="1"/>
  <c r="M38" i="27"/>
  <c r="M108" i="27"/>
  <c r="L173" i="27"/>
  <c r="L172" i="27" s="1"/>
  <c r="L171" i="27" s="1"/>
  <c r="L167" i="27" s="1"/>
  <c r="L39" i="27"/>
  <c r="L38" i="27" s="1"/>
  <c r="Q148" i="10"/>
  <c r="W148" i="10"/>
  <c r="Q92" i="10"/>
  <c r="W92" i="10"/>
  <c r="O99" i="10"/>
  <c r="M99" i="10"/>
  <c r="CI56" i="10"/>
  <c r="N99" i="10"/>
  <c r="V159" i="11"/>
  <c r="J150" i="38"/>
  <c r="J149" i="23"/>
  <c r="J146" i="23" s="1"/>
  <c r="J150" i="25"/>
  <c r="J147" i="25" s="1"/>
  <c r="J150" i="24"/>
  <c r="J147" i="24" s="1"/>
  <c r="J156" i="38"/>
  <c r="J155" i="23"/>
  <c r="J156" i="25"/>
  <c r="J153" i="25" s="1"/>
  <c r="J156" i="24"/>
  <c r="J153" i="24" s="1"/>
  <c r="X153" i="10"/>
  <c r="W153" i="10"/>
  <c r="W33" i="10"/>
  <c r="AC33" i="10"/>
  <c r="Q33" i="10"/>
  <c r="AU154" i="10"/>
  <c r="L157" i="27"/>
  <c r="L148" i="27"/>
  <c r="L120" i="27"/>
  <c r="AU155" i="10"/>
  <c r="AI156" i="10"/>
  <c r="N157" i="2"/>
  <c r="N154" i="2" s="1"/>
  <c r="AI150" i="10"/>
  <c r="AJ150" i="10" s="1"/>
  <c r="N151" i="2"/>
  <c r="N148" i="2" s="1"/>
  <c r="AJ157" i="10"/>
  <c r="J156" i="27"/>
  <c r="M156" i="27" s="1"/>
  <c r="M153" i="27" s="1"/>
  <c r="V149" i="11"/>
  <c r="E20" i="12" s="1"/>
  <c r="J150" i="27"/>
  <c r="M150" i="27" s="1"/>
  <c r="M147" i="27" s="1"/>
  <c r="H43" i="19"/>
  <c r="R10" i="30" s="1"/>
  <c r="T10" i="30" s="1"/>
  <c r="O10" i="30"/>
  <c r="Q10" i="30" s="1"/>
  <c r="I10" i="30"/>
  <c r="K10" i="30" s="1"/>
  <c r="L59" i="2"/>
  <c r="V155" i="11"/>
  <c r="L117" i="2"/>
  <c r="L68" i="2"/>
  <c r="J67" i="23" s="1"/>
  <c r="P69" i="9"/>
  <c r="O69" i="9"/>
  <c r="N69" i="9"/>
  <c r="O66" i="9"/>
  <c r="N66" i="9"/>
  <c r="P66" i="9"/>
  <c r="P58" i="9"/>
  <c r="P54" i="9" s="1"/>
  <c r="O58" i="9"/>
  <c r="N58" i="9"/>
  <c r="N54" i="9" s="1"/>
  <c r="P52" i="9"/>
  <c r="O52" i="9"/>
  <c r="N52" i="9"/>
  <c r="P40" i="9"/>
  <c r="O40" i="9"/>
  <c r="N40" i="9"/>
  <c r="P33" i="9"/>
  <c r="O33" i="9"/>
  <c r="N33" i="9"/>
  <c r="P62" i="8"/>
  <c r="O62" i="8"/>
  <c r="N62" i="8"/>
  <c r="O57" i="8"/>
  <c r="N57" i="8"/>
  <c r="P57" i="8"/>
  <c r="P50" i="8"/>
  <c r="O50" i="8"/>
  <c r="N50" i="8"/>
  <c r="P43" i="8"/>
  <c r="O43" i="8"/>
  <c r="N43" i="8"/>
  <c r="P39" i="8"/>
  <c r="O39" i="8"/>
  <c r="N39" i="8"/>
  <c r="P37" i="8"/>
  <c r="O37" i="8"/>
  <c r="N37" i="8"/>
  <c r="P33" i="8"/>
  <c r="O33" i="8"/>
  <c r="N33" i="8"/>
  <c r="P28" i="8"/>
  <c r="O28" i="8"/>
  <c r="N28" i="8"/>
  <c r="P30" i="8"/>
  <c r="O30" i="8"/>
  <c r="N30" i="8"/>
  <c r="O68" i="7"/>
  <c r="N68" i="7"/>
  <c r="M68" i="7"/>
  <c r="O63" i="7"/>
  <c r="N63" i="7"/>
  <c r="M63" i="7"/>
  <c r="O58" i="7"/>
  <c r="N58" i="7"/>
  <c r="M58" i="7"/>
  <c r="M52" i="7" s="1"/>
  <c r="N52" i="7"/>
  <c r="N35" i="9"/>
  <c r="P35" i="9"/>
  <c r="O35" i="9"/>
  <c r="O50" i="7"/>
  <c r="N50" i="7"/>
  <c r="M50" i="7"/>
  <c r="O48" i="7"/>
  <c r="N48" i="7"/>
  <c r="M48" i="7"/>
  <c r="O46" i="7"/>
  <c r="N46" i="7"/>
  <c r="M46" i="7"/>
  <c r="P42" i="9"/>
  <c r="O42" i="9"/>
  <c r="N42" i="9"/>
  <c r="P44" i="9"/>
  <c r="O44" i="9"/>
  <c r="N44" i="9"/>
  <c r="O32" i="7"/>
  <c r="N32" i="7"/>
  <c r="M32" i="7"/>
  <c r="O27" i="7"/>
  <c r="N27" i="7"/>
  <c r="M27" i="7"/>
  <c r="O29" i="7"/>
  <c r="N29" i="7"/>
  <c r="M29" i="7"/>
  <c r="P48" i="9"/>
  <c r="O48" i="9"/>
  <c r="N48" i="9"/>
  <c r="O18" i="6"/>
  <c r="N18" i="6"/>
  <c r="M53" i="6"/>
  <c r="O53" i="6"/>
  <c r="N53" i="6"/>
  <c r="O60" i="6"/>
  <c r="N60" i="6"/>
  <c r="M60" i="6"/>
  <c r="O47" i="6"/>
  <c r="N47" i="6"/>
  <c r="M47" i="6"/>
  <c r="O45" i="6"/>
  <c r="N45" i="6"/>
  <c r="M45" i="6"/>
  <c r="O43" i="6"/>
  <c r="N43" i="6"/>
  <c r="M43" i="6"/>
  <c r="O39" i="6"/>
  <c r="N39" i="6"/>
  <c r="M39" i="6"/>
  <c r="O37" i="6"/>
  <c r="N37" i="6"/>
  <c r="M37" i="6"/>
  <c r="O33" i="6"/>
  <c r="N33" i="6"/>
  <c r="M33" i="6"/>
  <c r="O26" i="6"/>
  <c r="N26" i="6"/>
  <c r="M26" i="6"/>
  <c r="O22" i="6"/>
  <c r="X55" i="2" s="1"/>
  <c r="N55" i="25" s="1"/>
  <c r="N50" i="25" s="1"/>
  <c r="N8" i="25" s="1"/>
  <c r="N7" i="25" s="1"/>
  <c r="N22" i="6"/>
  <c r="U55" i="2" s="1"/>
  <c r="M55" i="25" s="1"/>
  <c r="M50" i="25" s="1"/>
  <c r="M8" i="25" s="1"/>
  <c r="M7" i="25" s="1"/>
  <c r="M22" i="6"/>
  <c r="R55" i="2" s="1"/>
  <c r="L55" i="25" s="1"/>
  <c r="L50" i="25" s="1"/>
  <c r="L8" i="25" s="1"/>
  <c r="L7" i="25" s="1"/>
  <c r="O30" i="6"/>
  <c r="N30" i="6"/>
  <c r="M30" i="6"/>
  <c r="L30" i="6"/>
  <c r="CQ33" i="10" l="1"/>
  <c r="CQ174" i="10"/>
  <c r="O54" i="9"/>
  <c r="O52" i="7"/>
  <c r="W150" i="10"/>
  <c r="Q150" i="10"/>
  <c r="J116" i="23"/>
  <c r="J117" i="24"/>
  <c r="J146" i="24"/>
  <c r="J140" i="24" s="1"/>
  <c r="J146" i="25"/>
  <c r="J59" i="38"/>
  <c r="J58" i="23"/>
  <c r="J57" i="23" s="1"/>
  <c r="J59" i="25"/>
  <c r="J58" i="25" s="1"/>
  <c r="J58" i="24"/>
  <c r="J57" i="24" s="1"/>
  <c r="AI153" i="10"/>
  <c r="AJ156" i="10"/>
  <c r="AI147" i="10"/>
  <c r="M55" i="38"/>
  <c r="M54" i="23"/>
  <c r="M49" i="23" s="1"/>
  <c r="M7" i="23" s="1"/>
  <c r="M6" i="23" s="1"/>
  <c r="M54" i="24"/>
  <c r="M49" i="24" s="1"/>
  <c r="M7" i="24" s="1"/>
  <c r="M6" i="24" s="1"/>
  <c r="N55" i="38"/>
  <c r="N54" i="23"/>
  <c r="N49" i="23" s="1"/>
  <c r="N7" i="23" s="1"/>
  <c r="N6" i="23" s="1"/>
  <c r="N54" i="24"/>
  <c r="N49" i="24" s="1"/>
  <c r="N7" i="24" s="1"/>
  <c r="N6" i="24" s="1"/>
  <c r="L54" i="23"/>
  <c r="L49" i="23" s="1"/>
  <c r="L7" i="23" s="1"/>
  <c r="L6" i="23" s="1"/>
  <c r="L54" i="24"/>
  <c r="L49" i="24" s="1"/>
  <c r="L7" i="24" s="1"/>
  <c r="L6" i="24" s="1"/>
  <c r="V146" i="11"/>
  <c r="V139" i="11" s="1"/>
  <c r="R54" i="27"/>
  <c r="T54" i="27" s="1"/>
  <c r="T49" i="27" s="1"/>
  <c r="T7" i="27" s="1"/>
  <c r="T6" i="27" s="1"/>
  <c r="L55" i="38"/>
  <c r="AI116" i="10"/>
  <c r="J115" i="38"/>
  <c r="AI67" i="10"/>
  <c r="AJ67" i="10" s="1"/>
  <c r="J68" i="38"/>
  <c r="M146" i="27"/>
  <c r="V54" i="27"/>
  <c r="Y54" i="27" s="1"/>
  <c r="AQ54" i="10"/>
  <c r="Z54" i="27"/>
  <c r="L150" i="27"/>
  <c r="L147" i="27" s="1"/>
  <c r="L156" i="27"/>
  <c r="L153" i="27" s="1"/>
  <c r="AM54" i="10"/>
  <c r="W55" i="2"/>
  <c r="AO54" i="10"/>
  <c r="AP54" i="10" s="1"/>
  <c r="AI58" i="10"/>
  <c r="AJ58" i="10" s="1"/>
  <c r="N59" i="2"/>
  <c r="N58" i="2" s="1"/>
  <c r="U50" i="2"/>
  <c r="V57" i="11"/>
  <c r="E31" i="12" s="1"/>
  <c r="J58" i="27"/>
  <c r="M58" i="27" s="1"/>
  <c r="M57" i="27" s="1"/>
  <c r="X50" i="2"/>
  <c r="R50" i="2"/>
  <c r="V66" i="11"/>
  <c r="J67" i="27"/>
  <c r="L67" i="27" s="1"/>
  <c r="V115" i="11"/>
  <c r="J117" i="27"/>
  <c r="L117" i="27" s="1"/>
  <c r="N45" i="7"/>
  <c r="O45" i="7"/>
  <c r="M45" i="7"/>
  <c r="E19" i="12"/>
  <c r="V152" i="11"/>
  <c r="P37" i="9"/>
  <c r="O37" i="9"/>
  <c r="N37" i="9"/>
  <c r="P47" i="9"/>
  <c r="O47" i="9"/>
  <c r="N47" i="9"/>
  <c r="P63" i="9"/>
  <c r="O63" i="9"/>
  <c r="N63" i="9"/>
  <c r="P68" i="9"/>
  <c r="O68" i="9"/>
  <c r="N68" i="9"/>
  <c r="P72" i="9"/>
  <c r="O72" i="9"/>
  <c r="N72" i="9"/>
  <c r="P75" i="9"/>
  <c r="O75" i="9"/>
  <c r="N75" i="9"/>
  <c r="P7" i="8"/>
  <c r="O7" i="8"/>
  <c r="N7" i="8"/>
  <c r="M7" i="8"/>
  <c r="P42" i="8"/>
  <c r="O42" i="8"/>
  <c r="N42" i="8"/>
  <c r="P49" i="8"/>
  <c r="O49" i="8"/>
  <c r="N49" i="8"/>
  <c r="P56" i="8"/>
  <c r="O56" i="8"/>
  <c r="N56" i="8"/>
  <c r="P61" i="8"/>
  <c r="O61" i="8"/>
  <c r="N61" i="8"/>
  <c r="P65" i="8"/>
  <c r="O65" i="8"/>
  <c r="N65" i="8"/>
  <c r="P68" i="8"/>
  <c r="O68" i="8"/>
  <c r="N68" i="8"/>
  <c r="O7" i="7"/>
  <c r="N7" i="7"/>
  <c r="M7" i="7"/>
  <c r="O62" i="7"/>
  <c r="N62" i="7"/>
  <c r="M62" i="7"/>
  <c r="O67" i="7"/>
  <c r="N67" i="7"/>
  <c r="M67" i="7"/>
  <c r="O71" i="7"/>
  <c r="N71" i="7"/>
  <c r="M71" i="7"/>
  <c r="O74" i="7"/>
  <c r="N74" i="7"/>
  <c r="M74" i="7"/>
  <c r="W58" i="10" l="1"/>
  <c r="Q58" i="10"/>
  <c r="AF54" i="10"/>
  <c r="T54" i="10"/>
  <c r="Z54" i="10"/>
  <c r="M140" i="27"/>
  <c r="AU157" i="10"/>
  <c r="AI146" i="10"/>
  <c r="W116" i="10"/>
  <c r="Q116" i="10"/>
  <c r="R49" i="27"/>
  <c r="L50" i="38"/>
  <c r="V49" i="27"/>
  <c r="M50" i="38"/>
  <c r="AC67" i="10"/>
  <c r="Q67" i="10"/>
  <c r="W67" i="10"/>
  <c r="AI57" i="10"/>
  <c r="Z49" i="27"/>
  <c r="N50" i="38"/>
  <c r="X54" i="27"/>
  <c r="O49" i="10"/>
  <c r="L146" i="27"/>
  <c r="L140" i="27" s="1"/>
  <c r="M49" i="10"/>
  <c r="L58" i="27"/>
  <c r="L57" i="27" s="1"/>
  <c r="Z55" i="2"/>
  <c r="Z50" i="2" s="1"/>
  <c r="N49" i="10"/>
  <c r="V56" i="11"/>
  <c r="O64" i="8"/>
  <c r="N64" i="8"/>
  <c r="P64" i="8"/>
  <c r="N71" i="9"/>
  <c r="P71" i="9"/>
  <c r="O71" i="9"/>
  <c r="N46" i="9"/>
  <c r="P46" i="9"/>
  <c r="O46" i="9"/>
  <c r="N41" i="8"/>
  <c r="P41" i="8"/>
  <c r="O41" i="8"/>
  <c r="O70" i="7"/>
  <c r="N70" i="7"/>
  <c r="M70" i="7"/>
  <c r="M44" i="7"/>
  <c r="O44" i="7"/>
  <c r="N44" i="7"/>
  <c r="L33" i="3"/>
  <c r="L88" i="2" s="1"/>
  <c r="CQ67" i="10" l="1"/>
  <c r="AU156" i="10"/>
  <c r="J87" i="38"/>
  <c r="J87" i="23"/>
  <c r="J88" i="25"/>
  <c r="J88" i="24"/>
  <c r="AI87" i="10"/>
  <c r="AJ87" i="10" s="1"/>
  <c r="N88" i="2"/>
  <c r="N86" i="2" s="1"/>
  <c r="V86" i="11"/>
  <c r="J88" i="27"/>
  <c r="M88" i="27" s="1"/>
  <c r="M86" i="27" s="1"/>
  <c r="AA72" i="2"/>
  <c r="O71" i="23" s="1"/>
  <c r="AS71" i="10" l="1"/>
  <c r="O72" i="38"/>
  <c r="L88" i="27"/>
  <c r="W70" i="11"/>
  <c r="AD71" i="27"/>
  <c r="AF71" i="27" s="1"/>
  <c r="AM72" i="2"/>
  <c r="AA153" i="2"/>
  <c r="AB70" i="10" l="1"/>
  <c r="AH71" i="10"/>
  <c r="AB71" i="10"/>
  <c r="AT71" i="10"/>
  <c r="V71" i="10"/>
  <c r="O152" i="38"/>
  <c r="O151" i="23"/>
  <c r="O152" i="25"/>
  <c r="Q152" i="25" s="1"/>
  <c r="O152" i="24"/>
  <c r="AD153" i="2"/>
  <c r="AS152" i="10"/>
  <c r="AT152" i="10" s="1"/>
  <c r="AD152" i="27"/>
  <c r="AL153" i="2"/>
  <c r="W151" i="11"/>
  <c r="AA166" i="2"/>
  <c r="O164" i="23" s="1"/>
  <c r="AA152" i="2"/>
  <c r="AA118" i="2"/>
  <c r="O118" i="24" s="1"/>
  <c r="AA112" i="2"/>
  <c r="AA106" i="2"/>
  <c r="AA97" i="2"/>
  <c r="O96" i="23" s="1"/>
  <c r="AA91" i="2"/>
  <c r="O90" i="23" s="1"/>
  <c r="AA77" i="2"/>
  <c r="AA38" i="2"/>
  <c r="AA37" i="2"/>
  <c r="P12" i="7"/>
  <c r="O12" i="7"/>
  <c r="N12" i="7"/>
  <c r="M12" i="7"/>
  <c r="L12" i="7"/>
  <c r="K12" i="7"/>
  <c r="CR71" i="10" l="1"/>
  <c r="O112" i="25"/>
  <c r="Q112" i="25" s="1"/>
  <c r="AD112" i="2"/>
  <c r="O106" i="25"/>
  <c r="Q106" i="25" s="1"/>
  <c r="Q102" i="25" s="1"/>
  <c r="J19" i="30" s="1"/>
  <c r="AD106" i="2"/>
  <c r="AB152" i="10"/>
  <c r="V152" i="10"/>
  <c r="CI71" i="10"/>
  <c r="CJ71" i="10" s="1"/>
  <c r="O116" i="38"/>
  <c r="O117" i="23"/>
  <c r="O151" i="38"/>
  <c r="O150" i="23"/>
  <c r="O151" i="25"/>
  <c r="Q151" i="25" s="1"/>
  <c r="O151" i="24"/>
  <c r="O105" i="23"/>
  <c r="O106" i="24"/>
  <c r="O78" i="38"/>
  <c r="O76" i="23"/>
  <c r="O111" i="23"/>
  <c r="O112" i="24"/>
  <c r="AS36" i="10"/>
  <c r="O37" i="38"/>
  <c r="AS111" i="10"/>
  <c r="O110" i="38"/>
  <c r="AS165" i="10"/>
  <c r="AH165" i="10" s="1"/>
  <c r="O165" i="38"/>
  <c r="AS37" i="10"/>
  <c r="CP37" i="10" s="1"/>
  <c r="O38" i="38"/>
  <c r="AS90" i="10"/>
  <c r="O90" i="38"/>
  <c r="AS105" i="10"/>
  <c r="O104" i="38"/>
  <c r="AS96" i="10"/>
  <c r="AT96" i="10" s="1"/>
  <c r="O96" i="38"/>
  <c r="O138" i="38"/>
  <c r="AS76" i="10"/>
  <c r="AM77" i="2"/>
  <c r="AF152" i="27"/>
  <c r="AG152" i="27"/>
  <c r="AD152" i="2"/>
  <c r="AS151" i="10"/>
  <c r="AT151" i="10" s="1"/>
  <c r="AM118" i="2"/>
  <c r="AS117" i="10"/>
  <c r="AD106" i="27"/>
  <c r="AL106" i="2"/>
  <c r="AD37" i="27"/>
  <c r="AF37" i="27" s="1"/>
  <c r="AM38" i="2"/>
  <c r="AD151" i="27"/>
  <c r="AL152" i="2"/>
  <c r="AD77" i="27"/>
  <c r="AF77" i="27" s="1"/>
  <c r="AL77" i="2"/>
  <c r="AD91" i="27"/>
  <c r="AF91" i="27" s="1"/>
  <c r="AM91" i="2"/>
  <c r="AD97" i="27"/>
  <c r="AF97" i="27" s="1"/>
  <c r="AM97" i="2"/>
  <c r="W110" i="11"/>
  <c r="AD112" i="27"/>
  <c r="AL112" i="2"/>
  <c r="AD36" i="27"/>
  <c r="AF36" i="27" s="1"/>
  <c r="AM37" i="2"/>
  <c r="AD165" i="27"/>
  <c r="AF165" i="27" s="1"/>
  <c r="AM166" i="2"/>
  <c r="AD118" i="27"/>
  <c r="AF118" i="27" s="1"/>
  <c r="W116" i="11"/>
  <c r="W36" i="11"/>
  <c r="W150" i="11"/>
  <c r="W89" i="11"/>
  <c r="W95" i="11"/>
  <c r="W75" i="11"/>
  <c r="W104" i="11"/>
  <c r="W164" i="11"/>
  <c r="W35" i="11"/>
  <c r="W156" i="11"/>
  <c r="K165" i="10"/>
  <c r="E165" i="10"/>
  <c r="Q165" i="10"/>
  <c r="AB171" i="10"/>
  <c r="V171" i="10"/>
  <c r="D171" i="10"/>
  <c r="AC165" i="10"/>
  <c r="W165" i="10"/>
  <c r="C165" i="10"/>
  <c r="AC171" i="10"/>
  <c r="W171" i="10"/>
  <c r="C171" i="10"/>
  <c r="AH37" i="10" l="1"/>
  <c r="AB37" i="10"/>
  <c r="V37" i="10"/>
  <c r="AF112" i="27"/>
  <c r="AG112" i="27"/>
  <c r="AT76" i="10"/>
  <c r="AB76" i="10" s="1"/>
  <c r="V76" i="10"/>
  <c r="CR76" i="10" s="1"/>
  <c r="AF106" i="27"/>
  <c r="AG106" i="27"/>
  <c r="AB96" i="10"/>
  <c r="V96" i="10"/>
  <c r="V151" i="10"/>
  <c r="AB151" i="10"/>
  <c r="V90" i="10"/>
  <c r="AT90" i="10"/>
  <c r="V165" i="10"/>
  <c r="CI152" i="10"/>
  <c r="V36" i="10"/>
  <c r="AB36" i="10"/>
  <c r="V117" i="10"/>
  <c r="AB117" i="10"/>
  <c r="V105" i="10"/>
  <c r="AB105" i="10"/>
  <c r="P105" i="10"/>
  <c r="V111" i="10"/>
  <c r="P111" i="10"/>
  <c r="AF151" i="27"/>
  <c r="AG151" i="27"/>
  <c r="AB165" i="10"/>
  <c r="D165" i="10"/>
  <c r="C20" i="19"/>
  <c r="P165" i="10"/>
  <c r="J165" i="10"/>
  <c r="C21" i="19"/>
  <c r="L116" i="2"/>
  <c r="L104" i="2"/>
  <c r="AA96" i="2"/>
  <c r="L96" i="2"/>
  <c r="J95" i="23" s="1"/>
  <c r="AA95" i="2"/>
  <c r="O94" i="23" s="1"/>
  <c r="L90" i="2"/>
  <c r="J89" i="23" s="1"/>
  <c r="CR37" i="10" l="1"/>
  <c r="CR36" i="10"/>
  <c r="CI76" i="10"/>
  <c r="CJ76" i="10" s="1"/>
  <c r="J104" i="25"/>
  <c r="N104" i="2"/>
  <c r="N102" i="2" s="1"/>
  <c r="CI96" i="10"/>
  <c r="J115" i="23"/>
  <c r="J113" i="23" s="1"/>
  <c r="J116" i="24"/>
  <c r="J114" i="24" s="1"/>
  <c r="O95" i="38"/>
  <c r="O95" i="23"/>
  <c r="J103" i="23"/>
  <c r="J104" i="24"/>
  <c r="CI105" i="10"/>
  <c r="L153" i="10"/>
  <c r="L146" i="10" s="1"/>
  <c r="CI117" i="10"/>
  <c r="CI36" i="10"/>
  <c r="CJ36" i="10" s="1"/>
  <c r="CI37" i="10"/>
  <c r="CJ37" i="10" s="1"/>
  <c r="CI151" i="10"/>
  <c r="CI111" i="10"/>
  <c r="AU76" i="10"/>
  <c r="AI103" i="10"/>
  <c r="J102" i="38"/>
  <c r="AS94" i="10"/>
  <c r="AT94" i="10" s="1"/>
  <c r="O94" i="38"/>
  <c r="AI115" i="10"/>
  <c r="J114" i="38"/>
  <c r="AI89" i="10"/>
  <c r="J89" i="38"/>
  <c r="AI95" i="10"/>
  <c r="J95" i="38"/>
  <c r="AS95" i="10"/>
  <c r="AM96" i="2"/>
  <c r="V94" i="11"/>
  <c r="E36" i="12" s="1"/>
  <c r="J96" i="27"/>
  <c r="L96" i="27" s="1"/>
  <c r="AD95" i="27"/>
  <c r="AF95" i="27" s="1"/>
  <c r="AM95" i="2"/>
  <c r="AD96" i="27"/>
  <c r="AF96" i="27" s="1"/>
  <c r="AL96" i="2"/>
  <c r="V88" i="11"/>
  <c r="E30" i="12" s="1"/>
  <c r="J90" i="27"/>
  <c r="L90" i="27" s="1"/>
  <c r="V102" i="11"/>
  <c r="J104" i="27"/>
  <c r="V114" i="11"/>
  <c r="V112" i="11" s="1"/>
  <c r="J116" i="27"/>
  <c r="L116" i="27" s="1"/>
  <c r="L114" i="27" s="1"/>
  <c r="W94" i="11"/>
  <c r="W93" i="11"/>
  <c r="AM92" i="2" l="1"/>
  <c r="F18" i="19" s="1"/>
  <c r="L104" i="27"/>
  <c r="M104" i="27"/>
  <c r="M102" i="27" s="1"/>
  <c r="M101" i="27" s="1"/>
  <c r="M100" i="27" s="1"/>
  <c r="AJ95" i="10"/>
  <c r="AC95" i="10"/>
  <c r="AC91" i="10" s="1"/>
  <c r="V94" i="10"/>
  <c r="AB94" i="10"/>
  <c r="AT95" i="10"/>
  <c r="AH95" i="10"/>
  <c r="AH91" i="10" s="1"/>
  <c r="L99" i="10"/>
  <c r="AJ89" i="10"/>
  <c r="Q89" i="10"/>
  <c r="AV157" i="10"/>
  <c r="CI157" i="10"/>
  <c r="CJ157" i="10" s="1"/>
  <c r="R153" i="10"/>
  <c r="AI113" i="10"/>
  <c r="W115" i="10"/>
  <c r="AC115" i="10"/>
  <c r="Q115" i="10"/>
  <c r="Q103" i="10"/>
  <c r="W103" i="10"/>
  <c r="E16" i="12"/>
  <c r="K16" i="6"/>
  <c r="L36" i="2"/>
  <c r="Q74" i="3"/>
  <c r="Q73" i="3" s="1"/>
  <c r="Q69" i="3" s="1"/>
  <c r="P74" i="3"/>
  <c r="P73" i="3" s="1"/>
  <c r="P69" i="3" s="1"/>
  <c r="O74" i="3"/>
  <c r="O73" i="3" s="1"/>
  <c r="O69" i="3" s="1"/>
  <c r="N74" i="3"/>
  <c r="N73" i="3" s="1"/>
  <c r="N69" i="3" s="1"/>
  <c r="M74" i="3"/>
  <c r="M73" i="3" s="1"/>
  <c r="M69" i="3" s="1"/>
  <c r="L74" i="3"/>
  <c r="L73" i="3" s="1"/>
  <c r="L69" i="3" s="1"/>
  <c r="AA165" i="2"/>
  <c r="O163" i="23" s="1"/>
  <c r="AA151" i="2"/>
  <c r="W60" i="3"/>
  <c r="X61" i="3"/>
  <c r="Y61" i="3"/>
  <c r="Q45" i="3"/>
  <c r="P45" i="3"/>
  <c r="O45" i="3"/>
  <c r="N45" i="3"/>
  <c r="M45" i="3"/>
  <c r="L45" i="3"/>
  <c r="AA117" i="2"/>
  <c r="O117" i="24" s="1"/>
  <c r="Q43" i="3"/>
  <c r="P43" i="3"/>
  <c r="O43" i="3"/>
  <c r="N43" i="3"/>
  <c r="M43" i="3"/>
  <c r="L43" i="3"/>
  <c r="AA111" i="2"/>
  <c r="Q41" i="3"/>
  <c r="P41" i="3"/>
  <c r="O41" i="3"/>
  <c r="N41" i="3"/>
  <c r="M41" i="3"/>
  <c r="L41" i="3"/>
  <c r="AA105" i="2"/>
  <c r="Q39" i="3"/>
  <c r="P39" i="3"/>
  <c r="O39" i="3"/>
  <c r="M39" i="3"/>
  <c r="Y19" i="3"/>
  <c r="X19" i="3"/>
  <c r="O111" i="25" l="1"/>
  <c r="R111" i="25" s="1"/>
  <c r="AD111" i="2"/>
  <c r="W95" i="10"/>
  <c r="Q95" i="10"/>
  <c r="CI94" i="10"/>
  <c r="V95" i="10"/>
  <c r="AB95" i="10"/>
  <c r="O115" i="38"/>
  <c r="O116" i="23"/>
  <c r="O110" i="23"/>
  <c r="O111" i="24"/>
  <c r="O150" i="38"/>
  <c r="O149" i="23"/>
  <c r="O150" i="25"/>
  <c r="Q150" i="25" s="1"/>
  <c r="O150" i="24"/>
  <c r="O104" i="23"/>
  <c r="O105" i="24"/>
  <c r="AS125" i="10"/>
  <c r="CM125" i="10" s="1"/>
  <c r="O124" i="38"/>
  <c r="AS139" i="10"/>
  <c r="O133" i="38"/>
  <c r="O137" i="38"/>
  <c r="AS164" i="10"/>
  <c r="AH164" i="10" s="1"/>
  <c r="O164" i="38"/>
  <c r="AS124" i="10"/>
  <c r="CM124" i="10" s="1"/>
  <c r="O123" i="38"/>
  <c r="O136" i="38"/>
  <c r="AS110" i="10"/>
  <c r="O109" i="38"/>
  <c r="AS126" i="10"/>
  <c r="CM126" i="10" s="1"/>
  <c r="O125" i="38"/>
  <c r="O134" i="38"/>
  <c r="AI35" i="10"/>
  <c r="J36" i="38"/>
  <c r="AS138" i="10"/>
  <c r="O132" i="38"/>
  <c r="AS104" i="10"/>
  <c r="O103" i="38"/>
  <c r="O135" i="38"/>
  <c r="AM117" i="2"/>
  <c r="AS116" i="10"/>
  <c r="AD151" i="2"/>
  <c r="AS150" i="10"/>
  <c r="AT150" i="10" s="1"/>
  <c r="W123" i="11"/>
  <c r="AD125" i="27"/>
  <c r="AF125" i="27" s="1"/>
  <c r="W125" i="11"/>
  <c r="AD127" i="27"/>
  <c r="AF127" i="27" s="1"/>
  <c r="W109" i="11"/>
  <c r="AD111" i="27"/>
  <c r="AL111" i="2"/>
  <c r="W137" i="11"/>
  <c r="AM139" i="2"/>
  <c r="AD138" i="27"/>
  <c r="AF138" i="27" s="1"/>
  <c r="AD164" i="27"/>
  <c r="AF164" i="27" s="1"/>
  <c r="AM165" i="2"/>
  <c r="W138" i="11"/>
  <c r="AM140" i="2"/>
  <c r="AD139" i="27"/>
  <c r="AF139" i="27" s="1"/>
  <c r="AD150" i="27"/>
  <c r="AL151" i="2"/>
  <c r="AD105" i="27"/>
  <c r="AF105" i="27" s="1"/>
  <c r="AL105" i="2"/>
  <c r="W124" i="11"/>
  <c r="AD126" i="27"/>
  <c r="AF126" i="27" s="1"/>
  <c r="J35" i="27"/>
  <c r="L35" i="27" s="1"/>
  <c r="L32" i="27" s="1"/>
  <c r="AD117" i="27"/>
  <c r="AF117" i="27" s="1"/>
  <c r="W115" i="11"/>
  <c r="W149" i="11"/>
  <c r="W103" i="11"/>
  <c r="W163" i="11"/>
  <c r="V34" i="11"/>
  <c r="M38" i="3"/>
  <c r="W155" i="11"/>
  <c r="E164" i="10"/>
  <c r="Q164" i="10"/>
  <c r="K164" i="10"/>
  <c r="W48" i="3"/>
  <c r="Q38" i="3"/>
  <c r="P38" i="3"/>
  <c r="O38" i="3"/>
  <c r="AC164" i="10"/>
  <c r="W164" i="10"/>
  <c r="C164" i="10"/>
  <c r="AB126" i="10" l="1"/>
  <c r="W126" i="10" s="1"/>
  <c r="AH126" i="10"/>
  <c r="AC126" i="10" s="1"/>
  <c r="AH125" i="10"/>
  <c r="AC125" i="10" s="1"/>
  <c r="AB125" i="10"/>
  <c r="W125" i="10" s="1"/>
  <c r="AB124" i="10"/>
  <c r="W124" i="10" s="1"/>
  <c r="AH124" i="10"/>
  <c r="AC124" i="10" s="1"/>
  <c r="AF111" i="27"/>
  <c r="AG111" i="27"/>
  <c r="AB150" i="10"/>
  <c r="V150" i="10"/>
  <c r="CI95" i="10"/>
  <c r="AB138" i="10"/>
  <c r="V138" i="10"/>
  <c r="AH138" i="10"/>
  <c r="AH139" i="10"/>
  <c r="V139" i="10"/>
  <c r="AB139" i="10"/>
  <c r="AH104" i="10"/>
  <c r="V104" i="10"/>
  <c r="AB104" i="10"/>
  <c r="AI32" i="10"/>
  <c r="AC35" i="10"/>
  <c r="Q35" i="10"/>
  <c r="W35" i="10"/>
  <c r="V116" i="10"/>
  <c r="AB116" i="10"/>
  <c r="AB110" i="10"/>
  <c r="V110" i="10"/>
  <c r="AH110" i="10"/>
  <c r="AF150" i="27"/>
  <c r="AG150" i="27"/>
  <c r="M37" i="3"/>
  <c r="Q37" i="3"/>
  <c r="V31" i="11"/>
  <c r="P37" i="3"/>
  <c r="CI156" i="10"/>
  <c r="CJ156" i="10" s="1"/>
  <c r="V164" i="10"/>
  <c r="P164" i="10"/>
  <c r="J164" i="10"/>
  <c r="AB164" i="10"/>
  <c r="D164" i="10"/>
  <c r="O37" i="3"/>
  <c r="AA164" i="2"/>
  <c r="AA163" i="2"/>
  <c r="O161" i="23" s="1"/>
  <c r="AA162" i="2"/>
  <c r="AD162" i="2" s="1"/>
  <c r="AD161" i="2" s="1"/>
  <c r="Z27" i="30" s="1"/>
  <c r="AA150" i="2"/>
  <c r="AA149" i="2"/>
  <c r="AA116" i="2"/>
  <c r="AA115" i="2"/>
  <c r="AA110" i="2"/>
  <c r="AA109" i="2"/>
  <c r="AA104" i="2"/>
  <c r="AA103" i="2"/>
  <c r="AA93" i="2"/>
  <c r="AA92" i="2" s="1"/>
  <c r="AA90" i="2"/>
  <c r="AA89" i="2"/>
  <c r="O89" i="25" s="1"/>
  <c r="R89" i="25" s="1"/>
  <c r="R86" i="25" s="1"/>
  <c r="AA88" i="2"/>
  <c r="AA87" i="2"/>
  <c r="AA82" i="2"/>
  <c r="AN82" i="2" s="1"/>
  <c r="AA81" i="2"/>
  <c r="AA80" i="2"/>
  <c r="AA76" i="2"/>
  <c r="AA75" i="2"/>
  <c r="AA71" i="2"/>
  <c r="AA70" i="2"/>
  <c r="O69" i="23" s="1"/>
  <c r="AA69" i="2"/>
  <c r="O68" i="23" s="1"/>
  <c r="AA68" i="2"/>
  <c r="O67" i="23" s="1"/>
  <c r="AA66" i="2"/>
  <c r="AA65" i="2"/>
  <c r="AD65" i="2" s="1"/>
  <c r="AA64" i="2"/>
  <c r="AD64" i="2" s="1"/>
  <c r="AA63" i="2"/>
  <c r="AD63" i="2" s="1"/>
  <c r="X56" i="2"/>
  <c r="U56" i="2"/>
  <c r="R56" i="2"/>
  <c r="O56" i="2"/>
  <c r="L69" i="2"/>
  <c r="J68" i="23" s="1"/>
  <c r="D13" i="13" l="1"/>
  <c r="CQ35" i="10"/>
  <c r="O75" i="23"/>
  <c r="AN76" i="2"/>
  <c r="AN80" i="2"/>
  <c r="G15" i="19" s="1"/>
  <c r="AA79" i="2"/>
  <c r="O110" i="25"/>
  <c r="R110" i="25" s="1"/>
  <c r="R108" i="25" s="1"/>
  <c r="AD110" i="2"/>
  <c r="O109" i="25"/>
  <c r="AD109" i="2"/>
  <c r="O103" i="25"/>
  <c r="R103" i="25" s="1"/>
  <c r="AD103" i="2"/>
  <c r="O104" i="25"/>
  <c r="R104" i="25" s="1"/>
  <c r="AD104" i="2"/>
  <c r="O161" i="24"/>
  <c r="O161" i="25"/>
  <c r="O74" i="23"/>
  <c r="O73" i="23" s="1"/>
  <c r="AN75" i="2"/>
  <c r="O65" i="23"/>
  <c r="O65" i="24"/>
  <c r="O113" i="38"/>
  <c r="O114" i="23"/>
  <c r="O115" i="24"/>
  <c r="O114" i="38"/>
  <c r="O115" i="23"/>
  <c r="O116" i="24"/>
  <c r="O163" i="24"/>
  <c r="O162" i="23"/>
  <c r="Q109" i="25"/>
  <c r="Q108" i="25" s="1"/>
  <c r="J20" i="30" s="1"/>
  <c r="O86" i="23"/>
  <c r="O87" i="24"/>
  <c r="O88" i="23"/>
  <c r="O89" i="24"/>
  <c r="O92" i="38"/>
  <c r="O92" i="23"/>
  <c r="O91" i="23" s="1"/>
  <c r="O93" i="25"/>
  <c r="O92" i="25" s="1"/>
  <c r="O93" i="24"/>
  <c r="O92" i="24" s="1"/>
  <c r="O109" i="23"/>
  <c r="O110" i="24"/>
  <c r="O161" i="38"/>
  <c r="O160" i="23"/>
  <c r="O71" i="38"/>
  <c r="O70" i="23"/>
  <c r="O66" i="23" s="1"/>
  <c r="O87" i="38"/>
  <c r="O87" i="23"/>
  <c r="O88" i="25"/>
  <c r="O86" i="25" s="1"/>
  <c r="O88" i="24"/>
  <c r="O102" i="23"/>
  <c r="O103" i="24"/>
  <c r="O103" i="23"/>
  <c r="O104" i="24"/>
  <c r="O148" i="38"/>
  <c r="O147" i="23"/>
  <c r="O148" i="25"/>
  <c r="Q148" i="25" s="1"/>
  <c r="O148" i="24"/>
  <c r="O63" i="38"/>
  <c r="O62" i="23"/>
  <c r="O63" i="25"/>
  <c r="Q63" i="25" s="1"/>
  <c r="O62" i="24"/>
  <c r="O82" i="38"/>
  <c r="O80" i="23"/>
  <c r="O78" i="23" s="1"/>
  <c r="O81" i="25"/>
  <c r="O79" i="25" s="1"/>
  <c r="O81" i="24"/>
  <c r="O79" i="24" s="1"/>
  <c r="O64" i="38"/>
  <c r="O63" i="23"/>
  <c r="O64" i="25"/>
  <c r="Q64" i="25" s="1"/>
  <c r="O63" i="24"/>
  <c r="O89" i="38"/>
  <c r="O89" i="23"/>
  <c r="O108" i="23"/>
  <c r="O109" i="24"/>
  <c r="O149" i="38"/>
  <c r="O148" i="23"/>
  <c r="O149" i="25"/>
  <c r="Q149" i="25" s="1"/>
  <c r="O149" i="24"/>
  <c r="O65" i="38"/>
  <c r="O64" i="23"/>
  <c r="O65" i="25"/>
  <c r="Q65" i="25" s="1"/>
  <c r="O64" i="24"/>
  <c r="CI116" i="10"/>
  <c r="CI150" i="10"/>
  <c r="CI104" i="10"/>
  <c r="CI110" i="10"/>
  <c r="V55" i="27"/>
  <c r="M56" i="38"/>
  <c r="AS69" i="10"/>
  <c r="O70" i="38"/>
  <c r="AS86" i="10"/>
  <c r="O86" i="38"/>
  <c r="AS109" i="10"/>
  <c r="O108" i="38"/>
  <c r="AS137" i="10"/>
  <c r="O131" i="38"/>
  <c r="AI68" i="10"/>
  <c r="J69" i="38"/>
  <c r="AS79" i="10"/>
  <c r="CM79" i="10" s="1"/>
  <c r="O81" i="38"/>
  <c r="AS88" i="10"/>
  <c r="AT88" i="10" s="1"/>
  <c r="O88" i="38"/>
  <c r="AS135" i="10"/>
  <c r="V140" i="10" s="1"/>
  <c r="O129" i="38"/>
  <c r="AS75" i="10"/>
  <c r="CN75" i="10" s="1"/>
  <c r="O77" i="38"/>
  <c r="AS122" i="10"/>
  <c r="CM122" i="10" s="1"/>
  <c r="O121" i="38"/>
  <c r="AS162" i="10"/>
  <c r="O162" i="38"/>
  <c r="Z55" i="27"/>
  <c r="N56" i="38"/>
  <c r="AS65" i="10"/>
  <c r="AT65" i="10" s="1"/>
  <c r="O66" i="38"/>
  <c r="AS102" i="10"/>
  <c r="O101" i="38"/>
  <c r="AS123" i="10"/>
  <c r="CM123" i="10" s="1"/>
  <c r="O122" i="38"/>
  <c r="AS163" i="10"/>
  <c r="AH163" i="10" s="1"/>
  <c r="O163" i="38"/>
  <c r="N55" i="27"/>
  <c r="K56" i="38"/>
  <c r="AS67" i="10"/>
  <c r="AT67" i="10" s="1"/>
  <c r="O68" i="38"/>
  <c r="AS103" i="10"/>
  <c r="O102" i="38"/>
  <c r="R55" i="27"/>
  <c r="L56" i="38"/>
  <c r="AS68" i="10"/>
  <c r="O69" i="38"/>
  <c r="AS74" i="10"/>
  <c r="CN74" i="10" s="1"/>
  <c r="O76" i="38"/>
  <c r="AS81" i="10"/>
  <c r="CM81" i="10" s="1"/>
  <c r="O83" i="38"/>
  <c r="AS108" i="10"/>
  <c r="O107" i="38"/>
  <c r="AS121" i="10"/>
  <c r="AS120" i="10" s="1"/>
  <c r="O120" i="38"/>
  <c r="AS136" i="10"/>
  <c r="O130" i="38"/>
  <c r="AH162" i="10"/>
  <c r="AS89" i="10"/>
  <c r="AM90" i="2"/>
  <c r="AS161" i="10"/>
  <c r="AH161" i="10" s="1"/>
  <c r="AA161" i="2"/>
  <c r="O160" i="38" s="1"/>
  <c r="AS80" i="10"/>
  <c r="V80" i="10" s="1"/>
  <c r="AD81" i="2"/>
  <c r="AV156" i="10"/>
  <c r="AD150" i="2"/>
  <c r="AS149" i="10"/>
  <c r="AT149" i="10" s="1"/>
  <c r="AS63" i="10"/>
  <c r="AT63" i="10" s="1"/>
  <c r="AM116" i="2"/>
  <c r="AS115" i="10"/>
  <c r="AS64" i="10"/>
  <c r="AT64" i="10" s="1"/>
  <c r="AD93" i="2"/>
  <c r="AD92" i="2" s="1"/>
  <c r="Z18" i="30" s="1"/>
  <c r="AS92" i="10"/>
  <c r="AS91" i="10" s="1"/>
  <c r="AS62" i="10"/>
  <c r="AT62" i="10" s="1"/>
  <c r="AS70" i="10"/>
  <c r="X70" i="10" s="1"/>
  <c r="AM71" i="2"/>
  <c r="AD88" i="2"/>
  <c r="AD86" i="2" s="1"/>
  <c r="Z17" i="30" s="1"/>
  <c r="AS87" i="10"/>
  <c r="AM115" i="2"/>
  <c r="AS114" i="10"/>
  <c r="AD149" i="2"/>
  <c r="AS148" i="10"/>
  <c r="AT148" i="10" s="1"/>
  <c r="W68" i="11"/>
  <c r="AM70" i="2"/>
  <c r="AD69" i="27"/>
  <c r="AF69" i="27" s="1"/>
  <c r="AD93" i="27"/>
  <c r="AL93" i="2"/>
  <c r="W135" i="11"/>
  <c r="AM137" i="2"/>
  <c r="AD136" i="27"/>
  <c r="AF136" i="27" s="1"/>
  <c r="V67" i="11"/>
  <c r="J68" i="27"/>
  <c r="L68" i="27" s="1"/>
  <c r="AD65" i="27"/>
  <c r="AF65" i="27" s="1"/>
  <c r="AM66" i="2"/>
  <c r="AM62" i="2" s="1"/>
  <c r="F12" i="19" s="1"/>
  <c r="W69" i="11"/>
  <c r="AD70" i="27"/>
  <c r="AF70" i="27" s="1"/>
  <c r="AL71" i="2"/>
  <c r="E13" i="13"/>
  <c r="AD80" i="27"/>
  <c r="AM80" i="2"/>
  <c r="AD88" i="27"/>
  <c r="AL88" i="2"/>
  <c r="W108" i="11"/>
  <c r="AD110" i="27"/>
  <c r="AL110" i="2"/>
  <c r="W121" i="11"/>
  <c r="AD123" i="27"/>
  <c r="AF123" i="27" s="1"/>
  <c r="W136" i="11"/>
  <c r="AM138" i="2"/>
  <c r="AD137" i="27"/>
  <c r="AF137" i="27" s="1"/>
  <c r="AD162" i="27"/>
  <c r="AF162" i="27" s="1"/>
  <c r="AM163" i="2"/>
  <c r="AD64" i="27"/>
  <c r="AL65" i="2"/>
  <c r="AD87" i="27"/>
  <c r="AF87" i="27" s="1"/>
  <c r="AM87" i="2"/>
  <c r="AD122" i="27"/>
  <c r="AF122" i="27" s="1"/>
  <c r="AD74" i="27"/>
  <c r="AF74" i="27" s="1"/>
  <c r="AG74" i="27" s="1"/>
  <c r="O74" i="26"/>
  <c r="O74" i="24"/>
  <c r="W79" i="11"/>
  <c r="AD81" i="27"/>
  <c r="AL81" i="2"/>
  <c r="E16" i="19" s="1"/>
  <c r="AD89" i="27"/>
  <c r="AF89" i="27" s="1"/>
  <c r="AL89" i="2"/>
  <c r="AD103" i="27"/>
  <c r="AL103" i="2"/>
  <c r="W122" i="11"/>
  <c r="AD124" i="27"/>
  <c r="AF124" i="27" s="1"/>
  <c r="AD148" i="27"/>
  <c r="AL149" i="2"/>
  <c r="AD163" i="27"/>
  <c r="AF163" i="27" s="1"/>
  <c r="AM164" i="2"/>
  <c r="AD76" i="27"/>
  <c r="AF76" i="27" s="1"/>
  <c r="AM76" i="2"/>
  <c r="AD109" i="27"/>
  <c r="AL109" i="2"/>
  <c r="AD161" i="27"/>
  <c r="AL162" i="2"/>
  <c r="AL63" i="2"/>
  <c r="AD62" i="27"/>
  <c r="W66" i="11"/>
  <c r="AD67" i="27"/>
  <c r="AF67" i="27" s="1"/>
  <c r="AM68" i="2"/>
  <c r="AD63" i="27"/>
  <c r="AL64" i="2"/>
  <c r="AD68" i="27"/>
  <c r="AF68" i="27" s="1"/>
  <c r="AM69" i="2"/>
  <c r="AD75" i="27"/>
  <c r="AF75" i="27" s="1"/>
  <c r="AM75" i="2"/>
  <c r="AD82" i="27"/>
  <c r="AF82" i="27" s="1"/>
  <c r="AM82" i="2"/>
  <c r="AD90" i="27"/>
  <c r="AF90" i="27" s="1"/>
  <c r="AL90" i="2"/>
  <c r="AD104" i="27"/>
  <c r="AL104" i="2"/>
  <c r="W134" i="11"/>
  <c r="AM136" i="2"/>
  <c r="AD135" i="27"/>
  <c r="AF135" i="27" s="1"/>
  <c r="AD149" i="27"/>
  <c r="AL150" i="2"/>
  <c r="AD115" i="27"/>
  <c r="AF115" i="27" s="1"/>
  <c r="AD116" i="27"/>
  <c r="AF116" i="27" s="1"/>
  <c r="W67" i="11"/>
  <c r="O119" i="38"/>
  <c r="W78" i="11"/>
  <c r="W80" i="11"/>
  <c r="W114" i="11"/>
  <c r="W107" i="11"/>
  <c r="W101" i="11"/>
  <c r="W162" i="11"/>
  <c r="W64" i="11"/>
  <c r="W102" i="11"/>
  <c r="W61" i="11"/>
  <c r="W85" i="11"/>
  <c r="W91" i="11"/>
  <c r="W147" i="11"/>
  <c r="W160" i="11"/>
  <c r="W63" i="11"/>
  <c r="W74" i="11"/>
  <c r="W87" i="11"/>
  <c r="W153" i="11"/>
  <c r="AK154" i="2"/>
  <c r="D26" i="19" s="1"/>
  <c r="W88" i="11"/>
  <c r="W62" i="11"/>
  <c r="W73" i="11"/>
  <c r="W86" i="11"/>
  <c r="W148" i="11"/>
  <c r="W161" i="11"/>
  <c r="D14" i="13"/>
  <c r="W113" i="11"/>
  <c r="W154" i="11"/>
  <c r="W120" i="11"/>
  <c r="W50" i="11"/>
  <c r="AA56" i="2"/>
  <c r="O56" i="38" s="1"/>
  <c r="AN74" i="2" l="1"/>
  <c r="G14" i="19" s="1"/>
  <c r="F15" i="19"/>
  <c r="AB74" i="10"/>
  <c r="AH74" i="10"/>
  <c r="W70" i="10"/>
  <c r="X66" i="10"/>
  <c r="AB75" i="10"/>
  <c r="AH75" i="10"/>
  <c r="R102" i="25"/>
  <c r="M19" i="30" s="1"/>
  <c r="P19" i="30" s="1"/>
  <c r="S19" i="30" s="1"/>
  <c r="V19" i="30" s="1"/>
  <c r="AH81" i="10"/>
  <c r="AC81" i="10" s="1"/>
  <c r="AB81" i="10"/>
  <c r="W81" i="10" s="1"/>
  <c r="AH123" i="10"/>
  <c r="AC123" i="10" s="1"/>
  <c r="AB123" i="10"/>
  <c r="W123" i="10" s="1"/>
  <c r="AB122" i="10"/>
  <c r="W122" i="10" s="1"/>
  <c r="AH122" i="10"/>
  <c r="AC122" i="10" s="1"/>
  <c r="AH79" i="10"/>
  <c r="AC79" i="10" s="1"/>
  <c r="AB79" i="10"/>
  <c r="W79" i="10" s="1"/>
  <c r="CM121" i="10"/>
  <c r="AS78" i="10"/>
  <c r="M20" i="30"/>
  <c r="P20" i="30" s="1"/>
  <c r="S20" i="30" s="1"/>
  <c r="V20" i="30" s="1"/>
  <c r="O108" i="25"/>
  <c r="AF80" i="27"/>
  <c r="AD79" i="27"/>
  <c r="W77" i="11"/>
  <c r="AM86" i="2"/>
  <c r="F17" i="19" s="1"/>
  <c r="AD108" i="2"/>
  <c r="Z20" i="30" s="1"/>
  <c r="AF73" i="27"/>
  <c r="AF110" i="27"/>
  <c r="AG110" i="27"/>
  <c r="AF109" i="27"/>
  <c r="AG109" i="27"/>
  <c r="V70" i="10"/>
  <c r="AH70" i="10"/>
  <c r="AD70" i="10" s="1"/>
  <c r="AT75" i="10"/>
  <c r="V75" i="10"/>
  <c r="Q80" i="10"/>
  <c r="Q78" i="10" s="1"/>
  <c r="AB65" i="10"/>
  <c r="AH65" i="10"/>
  <c r="AH61" i="10" s="1"/>
  <c r="V65" i="10"/>
  <c r="V63" i="10"/>
  <c r="CI63" i="10" s="1"/>
  <c r="CJ63" i="10" s="1"/>
  <c r="V64" i="10"/>
  <c r="CI64" i="10" s="1"/>
  <c r="CJ64" i="10" s="1"/>
  <c r="V62" i="10"/>
  <c r="CI62" i="10" s="1"/>
  <c r="CJ62" i="10" s="1"/>
  <c r="AF104" i="27"/>
  <c r="AG104" i="27"/>
  <c r="AD102" i="2"/>
  <c r="Z19" i="30" s="1"/>
  <c r="AF103" i="27"/>
  <c r="AG103" i="27"/>
  <c r="AF161" i="27"/>
  <c r="AG161" i="27"/>
  <c r="AG160" i="27" s="1"/>
  <c r="AG159" i="27" s="1"/>
  <c r="AL92" i="2"/>
  <c r="E18" i="19" s="1"/>
  <c r="O160" i="24"/>
  <c r="O159" i="24" s="1"/>
  <c r="O160" i="25"/>
  <c r="O159" i="25" s="1"/>
  <c r="R161" i="25"/>
  <c r="R160" i="25" s="1"/>
  <c r="M27" i="30" s="1"/>
  <c r="P27" i="30" s="1"/>
  <c r="S27" i="30" s="1"/>
  <c r="V27" i="30" s="1"/>
  <c r="Q93" i="25"/>
  <c r="Q92" i="25" s="1"/>
  <c r="J18" i="30" s="1"/>
  <c r="M18" i="30" s="1"/>
  <c r="P18" i="30" s="1"/>
  <c r="S18" i="30" s="1"/>
  <c r="V18" i="30" s="1"/>
  <c r="AD148" i="2"/>
  <c r="Z25" i="30" s="1"/>
  <c r="O86" i="24"/>
  <c r="O72" i="24" s="1"/>
  <c r="O159" i="23"/>
  <c r="O158" i="23" s="1"/>
  <c r="O113" i="23"/>
  <c r="O114" i="24"/>
  <c r="V149" i="10"/>
  <c r="AB149" i="10"/>
  <c r="AB148" i="10"/>
  <c r="V148" i="10"/>
  <c r="Q81" i="25"/>
  <c r="J16" i="30" s="1"/>
  <c r="M16" i="30" s="1"/>
  <c r="P16" i="30" s="1"/>
  <c r="S16" i="30" s="1"/>
  <c r="V16" i="30" s="1"/>
  <c r="Q88" i="25"/>
  <c r="Q86" i="25" s="1"/>
  <c r="J17" i="30" s="1"/>
  <c r="M17" i="30" s="1"/>
  <c r="P17" i="30" s="1"/>
  <c r="S17" i="30" s="1"/>
  <c r="V17" i="30" s="1"/>
  <c r="AM135" i="2"/>
  <c r="F24" i="19" s="1"/>
  <c r="O108" i="24"/>
  <c r="AT68" i="10"/>
  <c r="V68" i="10"/>
  <c r="AJ68" i="10"/>
  <c r="Q69" i="10"/>
  <c r="Q71" i="10"/>
  <c r="CQ71" i="10" s="1"/>
  <c r="Q68" i="10"/>
  <c r="AB69" i="10"/>
  <c r="V69" i="10"/>
  <c r="J36" i="1"/>
  <c r="R36" i="1" s="1"/>
  <c r="I23" i="19"/>
  <c r="O102" i="24"/>
  <c r="AL108" i="2"/>
  <c r="E20" i="19" s="1"/>
  <c r="I20" i="19" s="1"/>
  <c r="K20" i="19" s="1"/>
  <c r="CI141" i="10"/>
  <c r="CJ141" i="10" s="1"/>
  <c r="O85" i="23"/>
  <c r="O72" i="23" s="1"/>
  <c r="O73" i="25"/>
  <c r="O61" i="24"/>
  <c r="O147" i="24"/>
  <c r="O146" i="24" s="1"/>
  <c r="O140" i="24" s="1"/>
  <c r="O101" i="23"/>
  <c r="AH136" i="10"/>
  <c r="V136" i="10"/>
  <c r="AB136" i="10"/>
  <c r="AS73" i="10"/>
  <c r="AT74" i="10"/>
  <c r="AH135" i="10"/>
  <c r="AB135" i="10"/>
  <c r="V135" i="10"/>
  <c r="V137" i="10"/>
  <c r="AH137" i="10"/>
  <c r="AB137" i="10"/>
  <c r="AT86" i="10"/>
  <c r="V86" i="10"/>
  <c r="O62" i="25"/>
  <c r="O147" i="25"/>
  <c r="O146" i="25" s="1"/>
  <c r="AH80" i="10"/>
  <c r="V89" i="10"/>
  <c r="CI89" i="10" s="1"/>
  <c r="AT89" i="10"/>
  <c r="O61" i="23"/>
  <c r="O146" i="23"/>
  <c r="V87" i="10"/>
  <c r="Q87" i="10" s="1"/>
  <c r="AT87" i="10"/>
  <c r="AB88" i="10"/>
  <c r="V88" i="10"/>
  <c r="AB114" i="10"/>
  <c r="V114" i="10"/>
  <c r="AB115" i="10"/>
  <c r="AH115" i="10"/>
  <c r="AH113" i="10" s="1"/>
  <c r="V115" i="10"/>
  <c r="AB103" i="10"/>
  <c r="V103" i="10"/>
  <c r="AH109" i="10"/>
  <c r="V109" i="10"/>
  <c r="AB109" i="10"/>
  <c r="AS107" i="10"/>
  <c r="AH108" i="10"/>
  <c r="V108" i="10"/>
  <c r="AB108" i="10"/>
  <c r="AS101" i="10"/>
  <c r="AB102" i="10"/>
  <c r="AH102" i="10"/>
  <c r="AH101" i="10" s="1"/>
  <c r="V102" i="10"/>
  <c r="AS134" i="10"/>
  <c r="AS160" i="10"/>
  <c r="AS159" i="10" s="1"/>
  <c r="AH160" i="10"/>
  <c r="AH159" i="10" s="1"/>
  <c r="AB68" i="10"/>
  <c r="W68" i="10"/>
  <c r="AT69" i="10"/>
  <c r="E27" i="19"/>
  <c r="AL161" i="2"/>
  <c r="AM161" i="2"/>
  <c r="F27" i="19"/>
  <c r="AT92" i="10"/>
  <c r="V74" i="10"/>
  <c r="AH67" i="10"/>
  <c r="V67" i="10"/>
  <c r="AB67" i="10"/>
  <c r="AM74" i="2"/>
  <c r="F14" i="19" s="1"/>
  <c r="AF93" i="27"/>
  <c r="AF92" i="27" s="1"/>
  <c r="AG93" i="27"/>
  <c r="AG92" i="27" s="1"/>
  <c r="AF149" i="27"/>
  <c r="AG149" i="27"/>
  <c r="AF62" i="27"/>
  <c r="AG62" i="27"/>
  <c r="AF148" i="27"/>
  <c r="AG148" i="27"/>
  <c r="AG147" i="27" s="1"/>
  <c r="AG146" i="27" s="1"/>
  <c r="AF88" i="27"/>
  <c r="AF86" i="27" s="1"/>
  <c r="AG88" i="27"/>
  <c r="AG86" i="27" s="1"/>
  <c r="AD62" i="2"/>
  <c r="Z12" i="30" s="1"/>
  <c r="AF81" i="27"/>
  <c r="AG81" i="27"/>
  <c r="AG79" i="27" s="1"/>
  <c r="Z16" i="30"/>
  <c r="AD79" i="2"/>
  <c r="AF63" i="27"/>
  <c r="AG63" i="27"/>
  <c r="AF64" i="27"/>
  <c r="AG64" i="27"/>
  <c r="AM114" i="2"/>
  <c r="F21" i="19" s="1"/>
  <c r="I21" i="19" s="1"/>
  <c r="K21" i="19" s="1"/>
  <c r="L21" i="19" s="1"/>
  <c r="AH85" i="10"/>
  <c r="AS66" i="10"/>
  <c r="AS113" i="10"/>
  <c r="AH147" i="10"/>
  <c r="AH146" i="10" s="1"/>
  <c r="AS147" i="10"/>
  <c r="AS146" i="10" s="1"/>
  <c r="AS61" i="10"/>
  <c r="AS85" i="10"/>
  <c r="W133" i="11"/>
  <c r="Q62" i="25"/>
  <c r="J12" i="30" s="1"/>
  <c r="M12" i="30" s="1"/>
  <c r="P12" i="30" s="1"/>
  <c r="S12" i="30" s="1"/>
  <c r="V12" i="30" s="1"/>
  <c r="AD121" i="27"/>
  <c r="AF134" i="27"/>
  <c r="AF66" i="27"/>
  <c r="AF160" i="27"/>
  <c r="AF159" i="27" s="1"/>
  <c r="AD55" i="27"/>
  <c r="Q147" i="25"/>
  <c r="AF121" i="27"/>
  <c r="AF114" i="27"/>
  <c r="W112" i="11"/>
  <c r="D79" i="10"/>
  <c r="J79" i="10"/>
  <c r="AT79" i="10"/>
  <c r="W146" i="11"/>
  <c r="W139" i="11" s="1"/>
  <c r="AL86" i="2"/>
  <c r="E17" i="19" s="1"/>
  <c r="W159" i="11"/>
  <c r="AL62" i="2"/>
  <c r="E12" i="19" s="1"/>
  <c r="AL102" i="2"/>
  <c r="E19" i="19" s="1"/>
  <c r="AL148" i="2"/>
  <c r="E25" i="19" s="1"/>
  <c r="AL74" i="2"/>
  <c r="E14" i="19" s="1"/>
  <c r="AM67" i="2"/>
  <c r="F13" i="19" s="1"/>
  <c r="AL67" i="2"/>
  <c r="E13" i="19" s="1"/>
  <c r="E14" i="13"/>
  <c r="D8" i="13"/>
  <c r="E8" i="13" s="1"/>
  <c r="W119" i="11"/>
  <c r="W152" i="11"/>
  <c r="W106" i="11"/>
  <c r="J163" i="10"/>
  <c r="P163" i="10"/>
  <c r="K162" i="10"/>
  <c r="E162" i="10"/>
  <c r="Q162" i="10"/>
  <c r="J162" i="10"/>
  <c r="P162" i="10"/>
  <c r="AC163" i="10"/>
  <c r="E163" i="10"/>
  <c r="Q163" i="10"/>
  <c r="K163" i="10"/>
  <c r="CI154" i="10"/>
  <c r="CJ154" i="10" s="1"/>
  <c r="V163" i="10"/>
  <c r="AB163" i="10"/>
  <c r="D163" i="10"/>
  <c r="W163" i="10"/>
  <c r="C163" i="10"/>
  <c r="AA49" i="2"/>
  <c r="AA48" i="2"/>
  <c r="AG108" i="27" l="1"/>
  <c r="AH73" i="10"/>
  <c r="AF79" i="27"/>
  <c r="CR74" i="10"/>
  <c r="CR69" i="10"/>
  <c r="AF108" i="27"/>
  <c r="CR75" i="10"/>
  <c r="CR67" i="10"/>
  <c r="CQ68" i="10"/>
  <c r="CR68" i="10"/>
  <c r="AC70" i="10"/>
  <c r="AD66" i="10"/>
  <c r="R70" i="10"/>
  <c r="CR70" i="10"/>
  <c r="CI137" i="10"/>
  <c r="CJ137" i="10" s="1"/>
  <c r="CI135" i="10"/>
  <c r="CJ135" i="10" s="1"/>
  <c r="AB121" i="10"/>
  <c r="AB120" i="10" s="1"/>
  <c r="AH121" i="10"/>
  <c r="AH120" i="10" s="1"/>
  <c r="CI136" i="10"/>
  <c r="CJ136" i="10" s="1"/>
  <c r="AH78" i="10"/>
  <c r="AH72" i="10" s="1"/>
  <c r="L20" i="19"/>
  <c r="AF102" i="27"/>
  <c r="AF101" i="27" s="1"/>
  <c r="CI65" i="10"/>
  <c r="CJ65" i="10" s="1"/>
  <c r="I56" i="19"/>
  <c r="K23" i="19"/>
  <c r="AG102" i="27"/>
  <c r="AG101" i="27" s="1"/>
  <c r="AG100" i="27" s="1"/>
  <c r="AD141" i="2"/>
  <c r="CI103" i="10"/>
  <c r="V92" i="10"/>
  <c r="V91" i="10" s="1"/>
  <c r="AB92" i="10"/>
  <c r="AB91" i="10" s="1"/>
  <c r="O101" i="24"/>
  <c r="CI70" i="10"/>
  <c r="CJ70" i="10" s="1"/>
  <c r="AG140" i="27"/>
  <c r="AH134" i="10"/>
  <c r="J25" i="30"/>
  <c r="M25" i="30" s="1"/>
  <c r="P25" i="30" s="1"/>
  <c r="S25" i="30" s="1"/>
  <c r="V25" i="30" s="1"/>
  <c r="CI88" i="10"/>
  <c r="AS119" i="10"/>
  <c r="AF147" i="27"/>
  <c r="AF146" i="27" s="1"/>
  <c r="AF140" i="27" s="1"/>
  <c r="CI68" i="10"/>
  <c r="CJ68" i="10" s="1"/>
  <c r="CI67" i="10"/>
  <c r="CJ67" i="10" s="1"/>
  <c r="O49" i="38"/>
  <c r="O48" i="23"/>
  <c r="O49" i="25"/>
  <c r="P49" i="25" s="1"/>
  <c r="O48" i="24"/>
  <c r="O48" i="38"/>
  <c r="O47" i="23"/>
  <c r="O48" i="25"/>
  <c r="P48" i="25" s="1"/>
  <c r="O47" i="24"/>
  <c r="CI69" i="10"/>
  <c r="CJ69" i="10" s="1"/>
  <c r="AH66" i="10"/>
  <c r="AS100" i="10"/>
  <c r="AH107" i="10"/>
  <c r="AH100" i="10" s="1"/>
  <c r="CI148" i="10"/>
  <c r="CI102" i="10"/>
  <c r="CI149" i="10"/>
  <c r="CI114" i="10"/>
  <c r="AU63" i="10"/>
  <c r="AU64" i="10"/>
  <c r="AU74" i="10"/>
  <c r="AU75" i="10"/>
  <c r="AU62" i="10"/>
  <c r="AU65" i="10"/>
  <c r="AS72" i="10"/>
  <c r="AV155" i="10"/>
  <c r="AF61" i="27"/>
  <c r="AG72" i="27"/>
  <c r="AV154" i="10"/>
  <c r="AG61" i="27"/>
  <c r="AU153" i="10"/>
  <c r="AD48" i="2"/>
  <c r="AS47" i="10"/>
  <c r="AD49" i="2"/>
  <c r="AS48" i="10"/>
  <c r="AF72" i="27"/>
  <c r="AF120" i="27"/>
  <c r="AD48" i="27"/>
  <c r="AK49" i="2"/>
  <c r="AD47" i="27"/>
  <c r="AK48" i="2"/>
  <c r="W47" i="11"/>
  <c r="W46" i="11"/>
  <c r="AA47" i="2"/>
  <c r="AA44" i="2"/>
  <c r="AA43" i="2"/>
  <c r="AA42" i="2"/>
  <c r="O42" i="38" s="1"/>
  <c r="AA40" i="2"/>
  <c r="AA36" i="2"/>
  <c r="AA35" i="2"/>
  <c r="AA34" i="2"/>
  <c r="L31" i="3"/>
  <c r="L81" i="2" s="1"/>
  <c r="L30" i="3"/>
  <c r="L80" i="2" s="1"/>
  <c r="L28" i="3"/>
  <c r="Q70" i="10" l="1"/>
  <c r="CQ70" i="10" s="1"/>
  <c r="R66" i="10"/>
  <c r="W121" i="10"/>
  <c r="W120" i="10" s="1"/>
  <c r="AC121" i="10"/>
  <c r="AC120" i="10" s="1"/>
  <c r="AH119" i="10"/>
  <c r="AH99" i="10" s="1"/>
  <c r="L79" i="2"/>
  <c r="AT48" i="10"/>
  <c r="V48" i="10"/>
  <c r="CI48" i="10" s="1"/>
  <c r="CJ48" i="10" s="1"/>
  <c r="AT47" i="10"/>
  <c r="V47" i="10"/>
  <c r="CI47" i="10" s="1"/>
  <c r="CJ47" i="10" s="1"/>
  <c r="L23" i="19"/>
  <c r="O43" i="25"/>
  <c r="R43" i="25" s="1"/>
  <c r="R39" i="25" s="1"/>
  <c r="AD43" i="2"/>
  <c r="CI92" i="10"/>
  <c r="O34" i="23"/>
  <c r="O32" i="23" s="1"/>
  <c r="O34" i="24"/>
  <c r="O32" i="24" s="1"/>
  <c r="AS99" i="10"/>
  <c r="J82" i="38"/>
  <c r="J80" i="23"/>
  <c r="J78" i="23" s="1"/>
  <c r="J81" i="25"/>
  <c r="J79" i="25" s="1"/>
  <c r="J81" i="24"/>
  <c r="J79" i="24" s="1"/>
  <c r="O40" i="38"/>
  <c r="O39" i="23"/>
  <c r="O40" i="25"/>
  <c r="O39" i="24"/>
  <c r="O43" i="38"/>
  <c r="O42" i="23"/>
  <c r="O42" i="24"/>
  <c r="O47" i="38"/>
  <c r="O46" i="23"/>
  <c r="O45" i="23" s="1"/>
  <c r="O46" i="24"/>
  <c r="O45" i="24" s="1"/>
  <c r="O47" i="25"/>
  <c r="O46" i="25" s="1"/>
  <c r="AF100" i="27"/>
  <c r="AS35" i="10"/>
  <c r="O36" i="38"/>
  <c r="AS43" i="10"/>
  <c r="O44" i="38"/>
  <c r="AM44" i="2"/>
  <c r="AI79" i="10"/>
  <c r="J81" i="38"/>
  <c r="AS33" i="10"/>
  <c r="O34" i="38"/>
  <c r="AS34" i="10"/>
  <c r="O35" i="38"/>
  <c r="AA39" i="2"/>
  <c r="O39" i="38" s="1"/>
  <c r="AI80" i="10"/>
  <c r="N81" i="2"/>
  <c r="N79" i="2" s="1"/>
  <c r="AS41" i="10"/>
  <c r="AM42" i="2"/>
  <c r="AS42" i="10"/>
  <c r="AL43" i="2"/>
  <c r="Z7" i="30"/>
  <c r="AF48" i="27"/>
  <c r="AG48" i="27"/>
  <c r="AF47" i="27"/>
  <c r="AG47" i="27"/>
  <c r="AH45" i="10"/>
  <c r="AD40" i="2"/>
  <c r="AS39" i="10"/>
  <c r="V39" i="10" s="1"/>
  <c r="Q39" i="10" s="1"/>
  <c r="AD47" i="2"/>
  <c r="AD46" i="2" s="1"/>
  <c r="AS46" i="10"/>
  <c r="V46" i="10" s="1"/>
  <c r="CI46" i="10" s="1"/>
  <c r="AV153" i="10"/>
  <c r="AD35" i="27"/>
  <c r="AF35" i="27" s="1"/>
  <c r="AM36" i="2"/>
  <c r="G7" i="30"/>
  <c r="J7" i="30" s="1"/>
  <c r="M7" i="30" s="1"/>
  <c r="P7" i="30" s="1"/>
  <c r="S7" i="30" s="1"/>
  <c r="V7" i="30" s="1"/>
  <c r="P46" i="25"/>
  <c r="V79" i="11"/>
  <c r="J81" i="27"/>
  <c r="M81" i="27" s="1"/>
  <c r="M79" i="27" s="1"/>
  <c r="AD39" i="27"/>
  <c r="AK40" i="2"/>
  <c r="AD46" i="27"/>
  <c r="AK47" i="2"/>
  <c r="D8" i="19" s="1"/>
  <c r="AD43" i="27"/>
  <c r="AF43" i="27" s="1"/>
  <c r="AN44" i="2"/>
  <c r="AD41" i="27"/>
  <c r="AF41" i="27" s="1"/>
  <c r="AN42" i="2"/>
  <c r="J80" i="27"/>
  <c r="AD33" i="27"/>
  <c r="AF33" i="27" s="1"/>
  <c r="AM34" i="2"/>
  <c r="AD34" i="27"/>
  <c r="AF34" i="27" s="1"/>
  <c r="AM35" i="2"/>
  <c r="AD42" i="27"/>
  <c r="AM43" i="2"/>
  <c r="D7" i="19"/>
  <c r="D6" i="13"/>
  <c r="E6" i="13" s="1"/>
  <c r="L75" i="2"/>
  <c r="L27" i="3"/>
  <c r="V78" i="11"/>
  <c r="W42" i="11"/>
  <c r="W38" i="11"/>
  <c r="W32" i="11"/>
  <c r="W40" i="11"/>
  <c r="W34" i="11"/>
  <c r="W33" i="11"/>
  <c r="AL33" i="2"/>
  <c r="E5" i="19" s="1"/>
  <c r="W41" i="11"/>
  <c r="W45" i="11"/>
  <c r="D5" i="13" s="1"/>
  <c r="E5" i="13" s="1"/>
  <c r="J7" i="19"/>
  <c r="E2" i="13"/>
  <c r="W65" i="3"/>
  <c r="AC162" i="10"/>
  <c r="AB162" i="10"/>
  <c r="W162" i="10"/>
  <c r="V162" i="10"/>
  <c r="D162" i="10"/>
  <c r="C162" i="10"/>
  <c r="CI109" i="10"/>
  <c r="AT70" i="10"/>
  <c r="AJ70" i="10"/>
  <c r="AA135" i="2"/>
  <c r="X135" i="2"/>
  <c r="X120" i="2" s="1"/>
  <c r="U135" i="2"/>
  <c r="U120" i="2" s="1"/>
  <c r="R135" i="2"/>
  <c r="R120" i="2" s="1"/>
  <c r="O135" i="2"/>
  <c r="O120" i="2" s="1"/>
  <c r="D20" i="13"/>
  <c r="E20" i="13" s="1"/>
  <c r="AA108" i="2"/>
  <c r="X108" i="2"/>
  <c r="N107" i="23" s="1"/>
  <c r="N100" i="23" s="1"/>
  <c r="U108" i="2"/>
  <c r="M107" i="23" s="1"/>
  <c r="M100" i="23" s="1"/>
  <c r="R108" i="2"/>
  <c r="L107" i="23" s="1"/>
  <c r="L100" i="23" s="1"/>
  <c r="O108" i="2"/>
  <c r="K107" i="23" s="1"/>
  <c r="K100" i="23" s="1"/>
  <c r="L108" i="2"/>
  <c r="AP170" i="2"/>
  <c r="AP161" i="2"/>
  <c r="AP154" i="2"/>
  <c r="AP148" i="2"/>
  <c r="AP135" i="2"/>
  <c r="AP121" i="2"/>
  <c r="AP114" i="2"/>
  <c r="AP108" i="2"/>
  <c r="AP102" i="2"/>
  <c r="AP92" i="2"/>
  <c r="AP94" i="2" s="1"/>
  <c r="AP86" i="2"/>
  <c r="AP79" i="2"/>
  <c r="AP74" i="2"/>
  <c r="AP67" i="2"/>
  <c r="AP58" i="2"/>
  <c r="AP56" i="2"/>
  <c r="AP50" i="2"/>
  <c r="AP46" i="2"/>
  <c r="AP39" i="2"/>
  <c r="AP9" i="2"/>
  <c r="AR9" i="2" s="1"/>
  <c r="F4" i="19" s="1"/>
  <c r="I4" i="19" s="1"/>
  <c r="K4" i="19" s="1"/>
  <c r="AP33" i="2"/>
  <c r="AA33" i="2"/>
  <c r="X33" i="2"/>
  <c r="Z32" i="27" s="1"/>
  <c r="U33" i="2"/>
  <c r="V32" i="27" s="1"/>
  <c r="R33" i="2"/>
  <c r="R32" i="27" s="1"/>
  <c r="O33" i="2"/>
  <c r="N32" i="27" s="1"/>
  <c r="W69" i="6"/>
  <c r="L69" i="6"/>
  <c r="K69" i="6"/>
  <c r="V69" i="6"/>
  <c r="O69" i="6"/>
  <c r="N69" i="6"/>
  <c r="M69" i="6"/>
  <c r="W67" i="6"/>
  <c r="W66" i="6" s="1"/>
  <c r="V66" i="6"/>
  <c r="O66" i="6"/>
  <c r="N66" i="6"/>
  <c r="M66" i="6"/>
  <c r="W62" i="6"/>
  <c r="X62" i="6"/>
  <c r="L62" i="6"/>
  <c r="K62" i="6"/>
  <c r="V62" i="6"/>
  <c r="O62" i="6"/>
  <c r="N62" i="6"/>
  <c r="M62" i="6"/>
  <c r="W60" i="6"/>
  <c r="P60" i="6"/>
  <c r="X60" i="6" s="1"/>
  <c r="L60" i="6"/>
  <c r="K60" i="6"/>
  <c r="W58" i="6"/>
  <c r="X58" i="6"/>
  <c r="V57" i="6"/>
  <c r="O57" i="6"/>
  <c r="N57" i="6"/>
  <c r="M57" i="6"/>
  <c r="W53" i="6"/>
  <c r="P53" i="6"/>
  <c r="X53" i="6" s="1"/>
  <c r="L53" i="6"/>
  <c r="K53" i="6"/>
  <c r="W50" i="6"/>
  <c r="P49" i="6"/>
  <c r="O49" i="6"/>
  <c r="N49" i="6"/>
  <c r="M49" i="6"/>
  <c r="L49" i="6"/>
  <c r="V49" i="6"/>
  <c r="W47" i="6"/>
  <c r="P47" i="6"/>
  <c r="X47" i="6" s="1"/>
  <c r="L47" i="6"/>
  <c r="K47" i="6"/>
  <c r="W45" i="6"/>
  <c r="P45" i="6"/>
  <c r="X45" i="6" s="1"/>
  <c r="L45" i="6"/>
  <c r="K45" i="6"/>
  <c r="W43" i="6"/>
  <c r="P43" i="6"/>
  <c r="X43" i="6" s="1"/>
  <c r="L43" i="6"/>
  <c r="L42" i="6" s="1"/>
  <c r="K43" i="6"/>
  <c r="V42" i="6"/>
  <c r="O42" i="6"/>
  <c r="N42" i="6"/>
  <c r="M42" i="6"/>
  <c r="W39" i="6"/>
  <c r="P39" i="6"/>
  <c r="X39" i="6" s="1"/>
  <c r="L39" i="6"/>
  <c r="K39" i="6"/>
  <c r="W37" i="6"/>
  <c r="P37" i="6"/>
  <c r="X37" i="6" s="1"/>
  <c r="L37" i="6"/>
  <c r="K37" i="6"/>
  <c r="W35" i="6"/>
  <c r="X35" i="6"/>
  <c r="O32" i="6"/>
  <c r="N32" i="6"/>
  <c r="M32" i="6"/>
  <c r="W33" i="6"/>
  <c r="P33" i="6"/>
  <c r="X33" i="6" s="1"/>
  <c r="L33" i="6"/>
  <c r="K33" i="6"/>
  <c r="V32" i="6"/>
  <c r="W30" i="6"/>
  <c r="P30" i="6"/>
  <c r="X30" i="6" s="1"/>
  <c r="K30" i="6"/>
  <c r="W28" i="6"/>
  <c r="X28" i="6"/>
  <c r="W26" i="6"/>
  <c r="P26" i="6"/>
  <c r="X26" i="6" s="1"/>
  <c r="L26" i="6"/>
  <c r="K26" i="6"/>
  <c r="W24" i="6"/>
  <c r="P24" i="6"/>
  <c r="X24" i="6" s="1"/>
  <c r="O24" i="6"/>
  <c r="N24" i="6"/>
  <c r="M24" i="6"/>
  <c r="L24" i="6"/>
  <c r="K24" i="6"/>
  <c r="W22" i="6"/>
  <c r="P22" i="6"/>
  <c r="AA55" i="2" s="1"/>
  <c r="O55" i="25" s="1"/>
  <c r="L22" i="6"/>
  <c r="O55" i="2" s="1"/>
  <c r="K55" i="25" s="1"/>
  <c r="K50" i="25" s="1"/>
  <c r="K8" i="25" s="1"/>
  <c r="K7" i="25" s="1"/>
  <c r="K22" i="6"/>
  <c r="L55" i="2" s="1"/>
  <c r="J55" i="25" s="1"/>
  <c r="J50" i="25" s="1"/>
  <c r="W20" i="6"/>
  <c r="W18" i="6"/>
  <c r="P18" i="6"/>
  <c r="X18" i="6" s="1"/>
  <c r="M18" i="6"/>
  <c r="L18" i="6"/>
  <c r="K18" i="6"/>
  <c r="W16" i="6"/>
  <c r="X16" i="6"/>
  <c r="W7" i="6"/>
  <c r="V6" i="6"/>
  <c r="AI78" i="10" l="1"/>
  <c r="L80" i="27"/>
  <c r="J79" i="27"/>
  <c r="V77" i="11"/>
  <c r="K49" i="6"/>
  <c r="AB41" i="10"/>
  <c r="AH41" i="10"/>
  <c r="V41" i="10"/>
  <c r="AB43" i="10"/>
  <c r="AH43" i="10"/>
  <c r="V43" i="10"/>
  <c r="O39" i="25"/>
  <c r="AF42" i="27"/>
  <c r="AG42" i="27"/>
  <c r="R55" i="25"/>
  <c r="R50" i="25" s="1"/>
  <c r="O50" i="25"/>
  <c r="P40" i="25"/>
  <c r="P39" i="25" s="1"/>
  <c r="G6" i="30" s="1"/>
  <c r="J6" i="30" s="1"/>
  <c r="M6" i="30" s="1"/>
  <c r="P6" i="30" s="1"/>
  <c r="S6" i="30" s="1"/>
  <c r="V6" i="30" s="1"/>
  <c r="O128" i="38"/>
  <c r="AA120" i="2"/>
  <c r="J106" i="38"/>
  <c r="J107" i="23"/>
  <c r="O38" i="24"/>
  <c r="O106" i="38"/>
  <c r="O107" i="23"/>
  <c r="O100" i="23" s="1"/>
  <c r="J76" i="38"/>
  <c r="J74" i="23"/>
  <c r="J73" i="23" s="1"/>
  <c r="O38" i="23"/>
  <c r="Q47" i="25"/>
  <c r="Q46" i="25" s="1"/>
  <c r="AH33" i="10"/>
  <c r="V33" i="10"/>
  <c r="AB33" i="10"/>
  <c r="V42" i="10"/>
  <c r="AB42" i="10"/>
  <c r="AB35" i="10"/>
  <c r="AH35" i="10"/>
  <c r="V35" i="10"/>
  <c r="AB34" i="10"/>
  <c r="AH34" i="10"/>
  <c r="V34" i="10"/>
  <c r="CI115" i="10"/>
  <c r="K55" i="38"/>
  <c r="K54" i="23"/>
  <c r="K49" i="23" s="1"/>
  <c r="K7" i="23" s="1"/>
  <c r="K6" i="23" s="1"/>
  <c r="K54" i="24"/>
  <c r="K49" i="24" s="1"/>
  <c r="K7" i="24" s="1"/>
  <c r="K6" i="24" s="1"/>
  <c r="O55" i="38"/>
  <c r="O54" i="23"/>
  <c r="O49" i="23" s="1"/>
  <c r="O54" i="24"/>
  <c r="O49" i="24" s="1"/>
  <c r="J55" i="38"/>
  <c r="J54" i="23"/>
  <c r="J49" i="23" s="1"/>
  <c r="J54" i="24"/>
  <c r="J49" i="24" s="1"/>
  <c r="V134" i="27"/>
  <c r="M128" i="38"/>
  <c r="R108" i="27"/>
  <c r="L106" i="38"/>
  <c r="Z134" i="27"/>
  <c r="N128" i="38"/>
  <c r="AS32" i="10"/>
  <c r="AS45" i="10"/>
  <c r="CJ46" i="10"/>
  <c r="V108" i="27"/>
  <c r="M106" i="38"/>
  <c r="N134" i="27"/>
  <c r="K128" i="38"/>
  <c r="N108" i="27"/>
  <c r="K106" i="38"/>
  <c r="Z108" i="27"/>
  <c r="N106" i="38"/>
  <c r="R134" i="27"/>
  <c r="L128" i="38"/>
  <c r="AD39" i="2"/>
  <c r="Z6" i="30" s="1"/>
  <c r="AN39" i="2"/>
  <c r="G6" i="19" s="1"/>
  <c r="AM39" i="2"/>
  <c r="F6" i="19" s="1"/>
  <c r="W37" i="11"/>
  <c r="AK39" i="2"/>
  <c r="D6" i="19" s="1"/>
  <c r="AL39" i="2"/>
  <c r="E6" i="19" s="1"/>
  <c r="AS38" i="10"/>
  <c r="L81" i="27"/>
  <c r="AK54" i="10"/>
  <c r="N54" i="27"/>
  <c r="P54" i="27" s="1"/>
  <c r="P49" i="27" s="1"/>
  <c r="P7" i="27" s="1"/>
  <c r="P6" i="27" s="1"/>
  <c r="AF39" i="27"/>
  <c r="AG39" i="27"/>
  <c r="AF46" i="27"/>
  <c r="AF45" i="27" s="1"/>
  <c r="AG46" i="27"/>
  <c r="Z8" i="30"/>
  <c r="AI54" i="10"/>
  <c r="N55" i="2"/>
  <c r="AK46" i="2"/>
  <c r="V73" i="11"/>
  <c r="E10" i="12" s="1"/>
  <c r="AI74" i="10"/>
  <c r="CL74" i="10" s="1"/>
  <c r="AD55" i="2"/>
  <c r="AD50" i="2" s="1"/>
  <c r="Z9" i="30" s="1"/>
  <c r="AS54" i="10"/>
  <c r="AT54" i="10" s="1"/>
  <c r="AH38" i="10"/>
  <c r="J108" i="27"/>
  <c r="D18" i="13"/>
  <c r="E18" i="13" s="1"/>
  <c r="AD108" i="27"/>
  <c r="AA50" i="2"/>
  <c r="O50" i="38" s="1"/>
  <c r="AD54" i="27"/>
  <c r="Q55" i="25"/>
  <c r="Q50" i="25" s="1"/>
  <c r="J9" i="30" s="1"/>
  <c r="AL55" i="2"/>
  <c r="AL50" i="2" s="1"/>
  <c r="E9" i="19" s="1"/>
  <c r="L50" i="2"/>
  <c r="J50" i="38" s="1"/>
  <c r="J54" i="27"/>
  <c r="M54" i="27" s="1"/>
  <c r="D3" i="13"/>
  <c r="E3" i="13" s="1"/>
  <c r="AD32" i="27"/>
  <c r="AF32" i="27"/>
  <c r="J75" i="27"/>
  <c r="L75" i="27" s="1"/>
  <c r="L73" i="27" s="1"/>
  <c r="O50" i="2"/>
  <c r="D21" i="13"/>
  <c r="E21" i="13" s="1"/>
  <c r="AD134" i="27"/>
  <c r="W42" i="6"/>
  <c r="N65" i="6"/>
  <c r="W57" i="6"/>
  <c r="C79" i="10"/>
  <c r="E79" i="10"/>
  <c r="AJ79" i="10"/>
  <c r="X42" i="6"/>
  <c r="W31" i="11"/>
  <c r="AM33" i="2"/>
  <c r="F5" i="19" s="1"/>
  <c r="V5" i="6"/>
  <c r="V53" i="11"/>
  <c r="X22" i="6"/>
  <c r="X70" i="6"/>
  <c r="X69" i="6" s="1"/>
  <c r="P69" i="6"/>
  <c r="X57" i="6"/>
  <c r="K57" i="6"/>
  <c r="N41" i="6"/>
  <c r="V65" i="6"/>
  <c r="L32" i="6"/>
  <c r="O65" i="6"/>
  <c r="O6" i="6"/>
  <c r="O5" i="6" s="1"/>
  <c r="X50" i="6"/>
  <c r="X49" i="6" s="1"/>
  <c r="K6" i="6"/>
  <c r="M6" i="6"/>
  <c r="M5" i="6" s="1"/>
  <c r="W6" i="6"/>
  <c r="W49" i="6"/>
  <c r="M65" i="6"/>
  <c r="L57" i="6"/>
  <c r="V41" i="6"/>
  <c r="N6" i="6"/>
  <c r="N5" i="6" s="1"/>
  <c r="K42" i="6"/>
  <c r="L6" i="6"/>
  <c r="M41" i="6"/>
  <c r="O41" i="6"/>
  <c r="P42" i="6"/>
  <c r="P32" i="6"/>
  <c r="K32" i="6"/>
  <c r="L33" i="2"/>
  <c r="W32" i="6"/>
  <c r="P57" i="6"/>
  <c r="P62" i="6"/>
  <c r="W65" i="6"/>
  <c r="X32" i="6"/>
  <c r="CR35" i="10" l="1"/>
  <c r="CR34" i="10"/>
  <c r="O8" i="25"/>
  <c r="O7" i="25" s="1"/>
  <c r="W74" i="10"/>
  <c r="AC74" i="10"/>
  <c r="CR33" i="10"/>
  <c r="CI41" i="10"/>
  <c r="CJ41" i="10" s="1"/>
  <c r="L79" i="27"/>
  <c r="AF38" i="27"/>
  <c r="AG38" i="27"/>
  <c r="AJ74" i="10"/>
  <c r="CI43" i="10"/>
  <c r="CJ43" i="10" s="1"/>
  <c r="AH54" i="10"/>
  <c r="V54" i="10"/>
  <c r="AB54" i="10"/>
  <c r="M9" i="30"/>
  <c r="P9" i="30" s="1"/>
  <c r="S9" i="30" s="1"/>
  <c r="V9" i="30" s="1"/>
  <c r="O7" i="24"/>
  <c r="O6" i="24" s="1"/>
  <c r="J8" i="30"/>
  <c r="M8" i="30" s="1"/>
  <c r="P8" i="30" s="1"/>
  <c r="S8" i="30" s="1"/>
  <c r="V8" i="30" s="1"/>
  <c r="AI49" i="10"/>
  <c r="AJ54" i="10"/>
  <c r="V72" i="11"/>
  <c r="O7" i="23"/>
  <c r="O6" i="23" s="1"/>
  <c r="AL54" i="10"/>
  <c r="AD54" i="10" s="1"/>
  <c r="AH32" i="10"/>
  <c r="CI35" i="10"/>
  <c r="CJ35" i="10" s="1"/>
  <c r="AI73" i="10"/>
  <c r="N49" i="27"/>
  <c r="K50" i="38"/>
  <c r="L49" i="10"/>
  <c r="AG45" i="27"/>
  <c r="L54" i="27"/>
  <c r="AF54" i="27"/>
  <c r="AF49" i="27" s="1"/>
  <c r="AG54" i="27"/>
  <c r="AG49" i="27" s="1"/>
  <c r="AS49" i="10"/>
  <c r="AS7" i="10" s="1"/>
  <c r="AS6" i="10" s="1"/>
  <c r="AS186" i="10" s="1"/>
  <c r="J49" i="27"/>
  <c r="J32" i="27"/>
  <c r="AD49" i="27"/>
  <c r="W41" i="6"/>
  <c r="X41" i="6"/>
  <c r="W53" i="11"/>
  <c r="D7" i="13"/>
  <c r="E6" i="12"/>
  <c r="V48" i="11"/>
  <c r="W54" i="11"/>
  <c r="V73" i="6"/>
  <c r="N73" i="6"/>
  <c r="L5" i="6"/>
  <c r="K5" i="6"/>
  <c r="W5" i="6"/>
  <c r="O73" i="6"/>
  <c r="M73" i="6"/>
  <c r="K41" i="6"/>
  <c r="L41" i="6"/>
  <c r="P41" i="6"/>
  <c r="O35" i="1"/>
  <c r="O34" i="1"/>
  <c r="O32" i="1"/>
  <c r="O31" i="1"/>
  <c r="O20" i="1"/>
  <c r="J11" i="19"/>
  <c r="O15" i="1"/>
  <c r="Y13" i="9"/>
  <c r="P6" i="9"/>
  <c r="P5" i="9" s="1"/>
  <c r="P79" i="9" s="1"/>
  <c r="O6" i="9"/>
  <c r="O5" i="9" s="1"/>
  <c r="O79" i="9" s="1"/>
  <c r="X76" i="9"/>
  <c r="X75" i="9" s="1"/>
  <c r="M75" i="9"/>
  <c r="L75" i="9"/>
  <c r="W75" i="9"/>
  <c r="X73" i="9"/>
  <c r="X72" i="9" s="1"/>
  <c r="M72" i="9"/>
  <c r="L72" i="9"/>
  <c r="W72" i="9"/>
  <c r="AP141" i="2" s="1"/>
  <c r="AQ141" i="2" s="1"/>
  <c r="X69" i="9"/>
  <c r="X68" i="9" s="1"/>
  <c r="Q69" i="9"/>
  <c r="M69" i="9"/>
  <c r="M68" i="9" s="1"/>
  <c r="L69" i="9"/>
  <c r="L68" i="9" s="1"/>
  <c r="W68" i="9"/>
  <c r="X66" i="9"/>
  <c r="Q66" i="9"/>
  <c r="Y66" i="9" s="1"/>
  <c r="M66" i="9"/>
  <c r="L66" i="9"/>
  <c r="L63" i="9" s="1"/>
  <c r="X64" i="9"/>
  <c r="X63" i="9" s="1"/>
  <c r="W63" i="9"/>
  <c r="X58" i="9"/>
  <c r="Q58" i="9"/>
  <c r="M58" i="9"/>
  <c r="L58" i="9"/>
  <c r="X55" i="9"/>
  <c r="X54" i="9" s="1"/>
  <c r="Q54" i="9"/>
  <c r="M54" i="9"/>
  <c r="L54" i="9"/>
  <c r="W54" i="9"/>
  <c r="X52" i="9"/>
  <c r="Q52" i="9"/>
  <c r="Y52" i="9" s="1"/>
  <c r="M52" i="9"/>
  <c r="L52" i="9"/>
  <c r="X50" i="9"/>
  <c r="Y50" i="9"/>
  <c r="X48" i="9"/>
  <c r="Q48" i="9"/>
  <c r="M48" i="9"/>
  <c r="L48" i="9"/>
  <c r="W47" i="9"/>
  <c r="X44" i="9"/>
  <c r="Q44" i="9"/>
  <c r="Y44" i="9" s="1"/>
  <c r="M44" i="9"/>
  <c r="L44" i="9"/>
  <c r="X42" i="9"/>
  <c r="Q42" i="9"/>
  <c r="Y42" i="9" s="1"/>
  <c r="M42" i="9"/>
  <c r="L42" i="9"/>
  <c r="X40" i="9"/>
  <c r="Q40" i="9"/>
  <c r="Y40" i="9" s="1"/>
  <c r="M40" i="9"/>
  <c r="L40" i="9"/>
  <c r="X38" i="9"/>
  <c r="Q38" i="9"/>
  <c r="M38" i="9"/>
  <c r="L38" i="9"/>
  <c r="W37" i="9"/>
  <c r="X35" i="9"/>
  <c r="Q35" i="9"/>
  <c r="Y35" i="9" s="1"/>
  <c r="M35" i="9"/>
  <c r="L35" i="9"/>
  <c r="X33" i="9"/>
  <c r="Q33" i="9"/>
  <c r="Y33" i="9" s="1"/>
  <c r="M33" i="9"/>
  <c r="L33" i="9"/>
  <c r="X29" i="9"/>
  <c r="Y29" i="9"/>
  <c r="X27" i="9"/>
  <c r="X25" i="9"/>
  <c r="Y25" i="9"/>
  <c r="X23" i="9"/>
  <c r="X16" i="9"/>
  <c r="X13" i="9"/>
  <c r="X7" i="9"/>
  <c r="W6" i="9"/>
  <c r="AF7" i="27" l="1"/>
  <c r="AF6" i="27" s="1"/>
  <c r="CQ74" i="10"/>
  <c r="CR54" i="10"/>
  <c r="L47" i="9"/>
  <c r="Q54" i="10"/>
  <c r="AC54" i="10"/>
  <c r="W54" i="10"/>
  <c r="CI54" i="10"/>
  <c r="CJ54" i="10" s="1"/>
  <c r="AH49" i="10"/>
  <c r="AH7" i="10" s="1"/>
  <c r="AH6" i="10" s="1"/>
  <c r="AH186" i="10" s="1"/>
  <c r="J31" i="19"/>
  <c r="Y16" i="9"/>
  <c r="Y6" i="9"/>
  <c r="AG7" i="27"/>
  <c r="AG6" i="27" s="1"/>
  <c r="AG181" i="27" s="1"/>
  <c r="W73" i="6"/>
  <c r="W71" i="9"/>
  <c r="X47" i="9"/>
  <c r="X46" i="9" s="1"/>
  <c r="E7" i="13"/>
  <c r="X37" i="9"/>
  <c r="M37" i="9"/>
  <c r="P15" i="1"/>
  <c r="P35" i="1"/>
  <c r="M75" i="6"/>
  <c r="P161" i="10"/>
  <c r="P160" i="10" s="1"/>
  <c r="J161" i="10"/>
  <c r="J160" i="10" s="1"/>
  <c r="K161" i="10"/>
  <c r="E161" i="10"/>
  <c r="Q161" i="10"/>
  <c r="X71" i="9"/>
  <c r="W46" i="9"/>
  <c r="L71" i="9"/>
  <c r="M47" i="9"/>
  <c r="M71" i="9"/>
  <c r="L46" i="9"/>
  <c r="Y58" i="9"/>
  <c r="P20" i="1"/>
  <c r="P30" i="1"/>
  <c r="P31" i="1"/>
  <c r="P32" i="1"/>
  <c r="P34" i="1"/>
  <c r="L6" i="9"/>
  <c r="Y38" i="9"/>
  <c r="Y37" i="9" s="1"/>
  <c r="Q37" i="9"/>
  <c r="L37" i="9"/>
  <c r="Y73" i="9"/>
  <c r="Y72" i="9" s="1"/>
  <c r="Q72" i="9"/>
  <c r="Y76" i="9"/>
  <c r="Y75" i="9" s="1"/>
  <c r="Q75" i="9"/>
  <c r="N6" i="9"/>
  <c r="N5" i="9" s="1"/>
  <c r="N79" i="9" s="1"/>
  <c r="Q6" i="9"/>
  <c r="Y48" i="9"/>
  <c r="Y47" i="9" s="1"/>
  <c r="Q47" i="9"/>
  <c r="Y55" i="9"/>
  <c r="Y64" i="9"/>
  <c r="Y63" i="9" s="1"/>
  <c r="Q63" i="9"/>
  <c r="Y69" i="9"/>
  <c r="Y68" i="9" s="1"/>
  <c r="Q68" i="9"/>
  <c r="M63" i="9"/>
  <c r="M6" i="9"/>
  <c r="W5" i="9"/>
  <c r="X6" i="9"/>
  <c r="X69" i="8"/>
  <c r="X68" i="8" s="1"/>
  <c r="M68" i="8"/>
  <c r="L68" i="8"/>
  <c r="W68" i="8"/>
  <c r="X66" i="8"/>
  <c r="X65" i="8" s="1"/>
  <c r="M65" i="8"/>
  <c r="L65" i="8"/>
  <c r="W65" i="8"/>
  <c r="X62" i="8"/>
  <c r="Q62" i="8"/>
  <c r="M62" i="8"/>
  <c r="M61" i="8" s="1"/>
  <c r="L62" i="8"/>
  <c r="L61" i="8" s="1"/>
  <c r="X61" i="8"/>
  <c r="W61" i="8"/>
  <c r="X59" i="8"/>
  <c r="Q59" i="8"/>
  <c r="Y59" i="8" s="1"/>
  <c r="M59" i="8"/>
  <c r="L59" i="8"/>
  <c r="X57" i="8"/>
  <c r="X56" i="8" s="1"/>
  <c r="Q57" i="8"/>
  <c r="M57" i="8"/>
  <c r="L57" i="8"/>
  <c r="L56" i="8" s="1"/>
  <c r="W56" i="8"/>
  <c r="X52" i="8"/>
  <c r="Y52" i="8"/>
  <c r="X50" i="8"/>
  <c r="Q50" i="8"/>
  <c r="M50" i="8"/>
  <c r="L50" i="8"/>
  <c r="L49" i="8" s="1"/>
  <c r="W49" i="8"/>
  <c r="X47" i="8"/>
  <c r="Y47" i="8"/>
  <c r="X45" i="8"/>
  <c r="Y45" i="8"/>
  <c r="X43" i="8"/>
  <c r="Q43" i="8"/>
  <c r="M43" i="8"/>
  <c r="M42" i="8" s="1"/>
  <c r="L43" i="8"/>
  <c r="W42" i="8"/>
  <c r="X39" i="8"/>
  <c r="Q39" i="8"/>
  <c r="Y39" i="8" s="1"/>
  <c r="M39" i="8"/>
  <c r="L39" i="8"/>
  <c r="L38" i="8"/>
  <c r="L89" i="2" s="1"/>
  <c r="J89" i="25" s="1"/>
  <c r="J86" i="25" s="1"/>
  <c r="X37" i="8"/>
  <c r="Q37" i="8"/>
  <c r="Y37" i="8" s="1"/>
  <c r="M37" i="8"/>
  <c r="X35" i="8"/>
  <c r="Q35" i="8"/>
  <c r="Y35" i="8" s="1"/>
  <c r="P35" i="8"/>
  <c r="P32" i="8" s="1"/>
  <c r="O35" i="8"/>
  <c r="O32" i="8" s="1"/>
  <c r="N35" i="8"/>
  <c r="N32" i="8" s="1"/>
  <c r="M35" i="8"/>
  <c r="L35" i="8"/>
  <c r="X33" i="8"/>
  <c r="Q33" i="8"/>
  <c r="M33" i="8"/>
  <c r="L33" i="8"/>
  <c r="W32" i="8"/>
  <c r="L31" i="8"/>
  <c r="L70" i="2" s="1"/>
  <c r="J69" i="23" s="1"/>
  <c r="J66" i="23" s="1"/>
  <c r="X30" i="8"/>
  <c r="Q30" i="8"/>
  <c r="Y30" i="8" s="1"/>
  <c r="M30" i="8"/>
  <c r="L66" i="2"/>
  <c r="X28" i="8"/>
  <c r="Q28" i="8"/>
  <c r="Y28" i="8" s="1"/>
  <c r="M28" i="8"/>
  <c r="X24" i="8"/>
  <c r="Y24" i="8"/>
  <c r="X22" i="8"/>
  <c r="Q22" i="8"/>
  <c r="Y22" i="8" s="1"/>
  <c r="P22" i="8"/>
  <c r="O22" i="8"/>
  <c r="N22" i="8"/>
  <c r="M22" i="8"/>
  <c r="L22" i="8"/>
  <c r="X20" i="8"/>
  <c r="Q20" i="8"/>
  <c r="Y20" i="8" s="1"/>
  <c r="P20" i="8"/>
  <c r="O20" i="8"/>
  <c r="M20" i="8"/>
  <c r="L20" i="8"/>
  <c r="L19" i="8"/>
  <c r="X18" i="8"/>
  <c r="Q18" i="8"/>
  <c r="Y18" i="8" s="1"/>
  <c r="P18" i="8"/>
  <c r="O18" i="8"/>
  <c r="N18" i="8"/>
  <c r="M18" i="8"/>
  <c r="X16" i="8"/>
  <c r="Q16" i="8"/>
  <c r="Y16" i="8" s="1"/>
  <c r="N16" i="8"/>
  <c r="M16" i="8"/>
  <c r="L16" i="8"/>
  <c r="X14" i="8"/>
  <c r="Q14" i="8"/>
  <c r="Y14" i="8" s="1"/>
  <c r="X7" i="8"/>
  <c r="Q7" i="8"/>
  <c r="Y7" i="8" s="1"/>
  <c r="L7" i="8"/>
  <c r="W6" i="8"/>
  <c r="CQ54" i="10" l="1"/>
  <c r="J65" i="23"/>
  <c r="J61" i="23" s="1"/>
  <c r="J65" i="24"/>
  <c r="J61" i="24" s="1"/>
  <c r="J88" i="23"/>
  <c r="J85" i="23" s="1"/>
  <c r="J89" i="24"/>
  <c r="J86" i="24" s="1"/>
  <c r="M49" i="8"/>
  <c r="N18" i="1"/>
  <c r="E160" i="10"/>
  <c r="E159" i="10" s="1"/>
  <c r="K160" i="10"/>
  <c r="K159" i="10" s="1"/>
  <c r="AI65" i="10"/>
  <c r="AJ65" i="10" s="1"/>
  <c r="J66" i="38"/>
  <c r="AI69" i="10"/>
  <c r="W69" i="10" s="1"/>
  <c r="CQ69" i="10" s="1"/>
  <c r="J70" i="38"/>
  <c r="AI88" i="10"/>
  <c r="AJ88" i="10" s="1"/>
  <c r="J88" i="38"/>
  <c r="Q160" i="10"/>
  <c r="Q159" i="10" s="1"/>
  <c r="Y5" i="9"/>
  <c r="V68" i="11"/>
  <c r="V65" i="11" s="1"/>
  <c r="J69" i="27"/>
  <c r="L69" i="27" s="1"/>
  <c r="L66" i="27" s="1"/>
  <c r="J89" i="27"/>
  <c r="L89" i="27" s="1"/>
  <c r="L86" i="27" s="1"/>
  <c r="V64" i="11"/>
  <c r="E26" i="12" s="1"/>
  <c r="J65" i="27"/>
  <c r="L65" i="27" s="1"/>
  <c r="L61" i="27" s="1"/>
  <c r="M5" i="9"/>
  <c r="L64" i="8"/>
  <c r="X49" i="8"/>
  <c r="X5" i="9"/>
  <c r="X79" i="9" s="1"/>
  <c r="W79" i="9"/>
  <c r="E172" i="10"/>
  <c r="K172" i="10"/>
  <c r="V87" i="11"/>
  <c r="E14" i="12" s="1"/>
  <c r="J159" i="10"/>
  <c r="P159" i="10"/>
  <c r="W64" i="8"/>
  <c r="L42" i="8"/>
  <c r="L41" i="8" s="1"/>
  <c r="L37" i="8"/>
  <c r="L32" i="8" s="1"/>
  <c r="W5" i="8"/>
  <c r="Y54" i="9"/>
  <c r="Y46" i="9" s="1"/>
  <c r="Q5" i="9"/>
  <c r="L30" i="8"/>
  <c r="M46" i="9"/>
  <c r="X42" i="8"/>
  <c r="W41" i="8"/>
  <c r="M56" i="8"/>
  <c r="P6" i="8"/>
  <c r="P5" i="8" s="1"/>
  <c r="P72" i="8" s="1"/>
  <c r="L28" i="8"/>
  <c r="N6" i="8"/>
  <c r="N5" i="8" s="1"/>
  <c r="N72" i="8" s="1"/>
  <c r="L18" i="8"/>
  <c r="L49" i="2"/>
  <c r="P21" i="1"/>
  <c r="P19" i="1"/>
  <c r="X64" i="8"/>
  <c r="O6" i="8"/>
  <c r="O5" i="8" s="1"/>
  <c r="O72" i="8" s="1"/>
  <c r="M64" i="8"/>
  <c r="L5" i="9"/>
  <c r="L79" i="9" s="1"/>
  <c r="Y6" i="8"/>
  <c r="Q6" i="8"/>
  <c r="M6" i="8"/>
  <c r="Q46" i="9"/>
  <c r="Y71" i="9"/>
  <c r="X6" i="8"/>
  <c r="X32" i="8"/>
  <c r="Q71" i="9"/>
  <c r="M32" i="8"/>
  <c r="Y33" i="8"/>
  <c r="Y32" i="8" s="1"/>
  <c r="Q32" i="8"/>
  <c r="Y43" i="8"/>
  <c r="Y42" i="8" s="1"/>
  <c r="Q42" i="8"/>
  <c r="Y50" i="8"/>
  <c r="Y49" i="8" s="1"/>
  <c r="Q49" i="8"/>
  <c r="Y57" i="8"/>
  <c r="Y56" i="8" s="1"/>
  <c r="Q56" i="8"/>
  <c r="Y62" i="8"/>
  <c r="Y61" i="8" s="1"/>
  <c r="Q61" i="8"/>
  <c r="Y66" i="8"/>
  <c r="Y65" i="8" s="1"/>
  <c r="Q65" i="8"/>
  <c r="Y69" i="8"/>
  <c r="Y68" i="8" s="1"/>
  <c r="Q68" i="8"/>
  <c r="W75" i="7"/>
  <c r="W74" i="7" s="1"/>
  <c r="L74" i="7"/>
  <c r="K74" i="7"/>
  <c r="V74" i="7"/>
  <c r="W71" i="7"/>
  <c r="L71" i="7"/>
  <c r="K71" i="7"/>
  <c r="V71" i="7"/>
  <c r="W68" i="7"/>
  <c r="W67" i="7" s="1"/>
  <c r="P68" i="7"/>
  <c r="L68" i="7"/>
  <c r="L67" i="7" s="1"/>
  <c r="K68" i="7"/>
  <c r="K67" i="7" s="1"/>
  <c r="V67" i="7"/>
  <c r="W63" i="7"/>
  <c r="W62" i="7" s="1"/>
  <c r="P63" i="7"/>
  <c r="L63" i="7"/>
  <c r="L62" i="7" s="1"/>
  <c r="K63" i="7"/>
  <c r="V62" i="7"/>
  <c r="W58" i="7"/>
  <c r="P58" i="7"/>
  <c r="X58" i="7" s="1"/>
  <c r="L58" i="7"/>
  <c r="K58" i="7"/>
  <c r="W53" i="7"/>
  <c r="P52" i="7"/>
  <c r="L52" i="7"/>
  <c r="K52" i="7"/>
  <c r="V52" i="7"/>
  <c r="W50" i="7"/>
  <c r="P50" i="7"/>
  <c r="X50" i="7" s="1"/>
  <c r="L50" i="7"/>
  <c r="K50" i="7"/>
  <c r="W48" i="7"/>
  <c r="P48" i="7"/>
  <c r="X48" i="7" s="1"/>
  <c r="L48" i="7"/>
  <c r="K48" i="7"/>
  <c r="W46" i="7"/>
  <c r="W45" i="7" s="1"/>
  <c r="P46" i="7"/>
  <c r="L46" i="7"/>
  <c r="K46" i="7"/>
  <c r="K45" i="7" s="1"/>
  <c r="W41" i="7"/>
  <c r="X41" i="7"/>
  <c r="W39" i="7"/>
  <c r="P39" i="7"/>
  <c r="X39" i="7" s="1"/>
  <c r="L39" i="7"/>
  <c r="K39" i="7"/>
  <c r="W34" i="7"/>
  <c r="O31" i="7"/>
  <c r="N31" i="7"/>
  <c r="M31" i="7"/>
  <c r="W32" i="7"/>
  <c r="P32" i="7"/>
  <c r="L32" i="7"/>
  <c r="K32" i="7"/>
  <c r="V31" i="7"/>
  <c r="W29" i="7"/>
  <c r="P29" i="7"/>
  <c r="X29" i="7" s="1"/>
  <c r="L29" i="7"/>
  <c r="K29" i="7"/>
  <c r="W27" i="7"/>
  <c r="P27" i="7"/>
  <c r="X27" i="7" s="1"/>
  <c r="L27" i="7"/>
  <c r="K27" i="7"/>
  <c r="W23" i="7"/>
  <c r="X23" i="7"/>
  <c r="W21" i="7"/>
  <c r="P21" i="7"/>
  <c r="X21" i="7" s="1"/>
  <c r="O21" i="7"/>
  <c r="N21" i="7"/>
  <c r="M21" i="7"/>
  <c r="L21" i="7"/>
  <c r="K21" i="7"/>
  <c r="W19" i="7"/>
  <c r="P19" i="7"/>
  <c r="X19" i="7" s="1"/>
  <c r="O19" i="7"/>
  <c r="N19" i="7"/>
  <c r="L19" i="7"/>
  <c r="K19" i="7"/>
  <c r="W17" i="7"/>
  <c r="P17" i="7"/>
  <c r="O17" i="7"/>
  <c r="N17" i="7"/>
  <c r="M17" i="7"/>
  <c r="L17" i="7"/>
  <c r="K17" i="7"/>
  <c r="W15" i="7"/>
  <c r="P15" i="7"/>
  <c r="X15" i="7" s="1"/>
  <c r="M15" i="7"/>
  <c r="L15" i="7"/>
  <c r="K15" i="7"/>
  <c r="W12" i="7"/>
  <c r="X12" i="7"/>
  <c r="W7" i="7"/>
  <c r="P7" i="7"/>
  <c r="X7" i="7" s="1"/>
  <c r="L7" i="7"/>
  <c r="K7" i="7"/>
  <c r="V6" i="7"/>
  <c r="M41" i="8" l="1"/>
  <c r="Q65" i="10"/>
  <c r="W65" i="10"/>
  <c r="AC65" i="10"/>
  <c r="E32" i="12"/>
  <c r="J49" i="38"/>
  <c r="J48" i="23"/>
  <c r="J45" i="23" s="1"/>
  <c r="J49" i="25"/>
  <c r="J46" i="25" s="1"/>
  <c r="J8" i="25" s="1"/>
  <c r="J48" i="24"/>
  <c r="J45" i="24" s="1"/>
  <c r="J7" i="24" s="1"/>
  <c r="Q88" i="10"/>
  <c r="W88" i="10"/>
  <c r="AI66" i="10"/>
  <c r="AJ69" i="10"/>
  <c r="AI85" i="10"/>
  <c r="AI61" i="10"/>
  <c r="AI48" i="10"/>
  <c r="Q48" i="10" s="1"/>
  <c r="N49" i="2"/>
  <c r="N46" i="2" s="1"/>
  <c r="V60" i="11"/>
  <c r="V47" i="11"/>
  <c r="E22" i="12" s="1"/>
  <c r="J48" i="27"/>
  <c r="M48" i="27" s="1"/>
  <c r="M45" i="27" s="1"/>
  <c r="L45" i="7"/>
  <c r="M79" i="9"/>
  <c r="X41" i="8"/>
  <c r="P45" i="7"/>
  <c r="W52" i="7"/>
  <c r="W44" i="7" s="1"/>
  <c r="W72" i="8"/>
  <c r="V84" i="11"/>
  <c r="L31" i="7"/>
  <c r="V5" i="7"/>
  <c r="W70" i="7"/>
  <c r="L70" i="7"/>
  <c r="K62" i="7"/>
  <c r="W6" i="7"/>
  <c r="V44" i="7"/>
  <c r="X5" i="8"/>
  <c r="L6" i="8"/>
  <c r="L5" i="8" s="1"/>
  <c r="L72" i="8" s="1"/>
  <c r="Q5" i="8"/>
  <c r="M6" i="7"/>
  <c r="M5" i="7" s="1"/>
  <c r="M78" i="7" s="1"/>
  <c r="Y79" i="9"/>
  <c r="V70" i="7"/>
  <c r="K70" i="7"/>
  <c r="Y5" i="8"/>
  <c r="Q79" i="9"/>
  <c r="M5" i="8"/>
  <c r="Q41" i="8"/>
  <c r="N6" i="7"/>
  <c r="N5" i="7" s="1"/>
  <c r="N78" i="7" s="1"/>
  <c r="K31" i="7"/>
  <c r="X32" i="7"/>
  <c r="X31" i="7" s="1"/>
  <c r="P31" i="7"/>
  <c r="L6" i="7"/>
  <c r="W31" i="7"/>
  <c r="X46" i="7"/>
  <c r="X45" i="7" s="1"/>
  <c r="X53" i="7"/>
  <c r="X52" i="7" s="1"/>
  <c r="X63" i="7"/>
  <c r="X62" i="7" s="1"/>
  <c r="P62" i="7"/>
  <c r="X68" i="7"/>
  <c r="X67" i="7" s="1"/>
  <c r="P67" i="7"/>
  <c r="X71" i="7"/>
  <c r="P71" i="7"/>
  <c r="X75" i="7"/>
  <c r="X74" i="7" s="1"/>
  <c r="P74" i="7"/>
  <c r="O6" i="7"/>
  <c r="O5" i="7" s="1"/>
  <c r="O78" i="7" s="1"/>
  <c r="K6" i="7"/>
  <c r="X17" i="7"/>
  <c r="X6" i="7" s="1"/>
  <c r="P6" i="7"/>
  <c r="Q64" i="8"/>
  <c r="Y64" i="8"/>
  <c r="Y41" i="8"/>
  <c r="D19" i="1"/>
  <c r="L56" i="2"/>
  <c r="J56" i="38" s="1"/>
  <c r="L35" i="3"/>
  <c r="M72" i="8" l="1"/>
  <c r="J7" i="23"/>
  <c r="AJ48" i="10"/>
  <c r="AI45" i="10"/>
  <c r="AI7" i="10" s="1"/>
  <c r="L48" i="27"/>
  <c r="L45" i="27" s="1"/>
  <c r="V44" i="11"/>
  <c r="J55" i="27"/>
  <c r="L44" i="7"/>
  <c r="X72" i="8"/>
  <c r="L5" i="7"/>
  <c r="W5" i="7"/>
  <c r="W78" i="7" s="1"/>
  <c r="P5" i="7"/>
  <c r="K44" i="7"/>
  <c r="V78" i="7"/>
  <c r="Q72" i="8"/>
  <c r="L34" i="3"/>
  <c r="L94" i="2"/>
  <c r="L92" i="2" s="1"/>
  <c r="P55" i="10"/>
  <c r="AB55" i="10"/>
  <c r="J55" i="10"/>
  <c r="V55" i="10"/>
  <c r="K5" i="7"/>
  <c r="Y72" i="8"/>
  <c r="P70" i="7"/>
  <c r="P44" i="7"/>
  <c r="X70" i="7"/>
  <c r="X44" i="7"/>
  <c r="X5" i="7"/>
  <c r="O14" i="1"/>
  <c r="O26" i="1"/>
  <c r="AT81" i="10"/>
  <c r="J81" i="10"/>
  <c r="D81" i="10"/>
  <c r="C15" i="19" s="1"/>
  <c r="C48" i="19" s="1"/>
  <c r="C15" i="30" s="1"/>
  <c r="E15" i="30" s="1"/>
  <c r="AC80" i="10"/>
  <c r="AC78" i="10" s="1"/>
  <c r="AB80" i="10"/>
  <c r="W80" i="10"/>
  <c r="AT80" i="10"/>
  <c r="AJ80" i="10"/>
  <c r="J80" i="10"/>
  <c r="E80" i="10"/>
  <c r="D80" i="10"/>
  <c r="C16" i="19" s="1"/>
  <c r="C49" i="19" s="1"/>
  <c r="C80" i="10"/>
  <c r="P25" i="1"/>
  <c r="O24" i="1"/>
  <c r="P17" i="1"/>
  <c r="W48" i="11"/>
  <c r="Q32" i="3"/>
  <c r="P32" i="3"/>
  <c r="O32" i="3"/>
  <c r="N32" i="3"/>
  <c r="L32" i="3"/>
  <c r="Q34" i="3"/>
  <c r="P34" i="3"/>
  <c r="O34" i="3"/>
  <c r="N34" i="3"/>
  <c r="M34" i="3"/>
  <c r="Q29" i="3"/>
  <c r="Y29" i="3" s="1"/>
  <c r="P29" i="3"/>
  <c r="O29" i="3"/>
  <c r="N29" i="3"/>
  <c r="N26" i="3" s="1"/>
  <c r="M29" i="3"/>
  <c r="L29" i="3"/>
  <c r="Q13" i="3"/>
  <c r="P13" i="3"/>
  <c r="P11" i="3" s="1"/>
  <c r="O13" i="3"/>
  <c r="O11" i="3" s="1"/>
  <c r="N13" i="3"/>
  <c r="M13" i="3"/>
  <c r="L13" i="3"/>
  <c r="AB78" i="10" l="1"/>
  <c r="V81" i="10"/>
  <c r="V78" i="10" s="1"/>
  <c r="J93" i="38"/>
  <c r="J93" i="23"/>
  <c r="J91" i="23" s="1"/>
  <c r="J94" i="25"/>
  <c r="J94" i="24"/>
  <c r="O17" i="1"/>
  <c r="AI93" i="10"/>
  <c r="AI91" i="10" s="1"/>
  <c r="N94" i="2"/>
  <c r="N92" i="2" s="1"/>
  <c r="C7" i="19"/>
  <c r="C40" i="19" s="1"/>
  <c r="D40" i="19" s="1"/>
  <c r="E40" i="19" s="1"/>
  <c r="F40" i="19" s="1"/>
  <c r="K45" i="10"/>
  <c r="G17" i="1" s="1"/>
  <c r="D49" i="19"/>
  <c r="E49" i="19" s="1"/>
  <c r="F49" i="19" s="1"/>
  <c r="C16" i="30"/>
  <c r="E16" i="30" s="1"/>
  <c r="W45" i="10"/>
  <c r="K17" i="1" s="1"/>
  <c r="J94" i="27"/>
  <c r="M94" i="27" s="1"/>
  <c r="M92" i="27" s="1"/>
  <c r="M72" i="27" s="1"/>
  <c r="L78" i="7"/>
  <c r="Q45" i="10"/>
  <c r="I17" i="1" s="1"/>
  <c r="E45" i="10"/>
  <c r="E17" i="1" s="1"/>
  <c r="AC45" i="10"/>
  <c r="M17" i="1" s="1"/>
  <c r="L26" i="3"/>
  <c r="P26" i="3"/>
  <c r="O26" i="3"/>
  <c r="M26" i="3"/>
  <c r="Q26" i="3"/>
  <c r="K78" i="7"/>
  <c r="I16" i="19"/>
  <c r="K16" i="19" s="1"/>
  <c r="L16" i="19" s="1"/>
  <c r="P14" i="1"/>
  <c r="L19" i="1"/>
  <c r="P26" i="1"/>
  <c r="N19" i="1"/>
  <c r="H19" i="1"/>
  <c r="J19" i="1"/>
  <c r="D45" i="10"/>
  <c r="D17" i="1" s="1"/>
  <c r="C8" i="19"/>
  <c r="C41" i="19" s="1"/>
  <c r="F19" i="1"/>
  <c r="V92" i="11"/>
  <c r="AB45" i="10"/>
  <c r="L17" i="1" s="1"/>
  <c r="P45" i="10"/>
  <c r="H17" i="1" s="1"/>
  <c r="J45" i="10"/>
  <c r="F17" i="1" s="1"/>
  <c r="C45" i="10"/>
  <c r="C17" i="1" s="1"/>
  <c r="N17" i="1"/>
  <c r="J66" i="10"/>
  <c r="V66" i="10"/>
  <c r="J91" i="38"/>
  <c r="P24" i="1"/>
  <c r="P22" i="1"/>
  <c r="P27" i="1"/>
  <c r="P78" i="7"/>
  <c r="O19" i="1"/>
  <c r="C19" i="1"/>
  <c r="X78" i="7"/>
  <c r="V45" i="10"/>
  <c r="J17" i="1" s="1"/>
  <c r="D66" i="10"/>
  <c r="P66" i="10"/>
  <c r="AB66" i="10"/>
  <c r="AC66" i="10"/>
  <c r="M22" i="1" s="1"/>
  <c r="O21" i="1"/>
  <c r="O22" i="1"/>
  <c r="O25" i="1"/>
  <c r="C81" i="10"/>
  <c r="C78" i="10" s="1"/>
  <c r="E81" i="10"/>
  <c r="AJ81" i="10"/>
  <c r="W78" i="10" s="1"/>
  <c r="Q22" i="3"/>
  <c r="Y22" i="3" s="1"/>
  <c r="P22" i="3"/>
  <c r="O22" i="3"/>
  <c r="N22" i="3"/>
  <c r="M22" i="3"/>
  <c r="L22" i="3"/>
  <c r="L6" i="3" s="1"/>
  <c r="Y7" i="3"/>
  <c r="Y11" i="3"/>
  <c r="Y9" i="3"/>
  <c r="Y74" i="3"/>
  <c r="Y73" i="3" s="1"/>
  <c r="Y71" i="3"/>
  <c r="Y70" i="3" s="1"/>
  <c r="Y66" i="3"/>
  <c r="Y65" i="3" s="1"/>
  <c r="Y63" i="3"/>
  <c r="Y60" i="3" s="1"/>
  <c r="Y51" i="3"/>
  <c r="Y46" i="3"/>
  <c r="Y43" i="3"/>
  <c r="Y41" i="3"/>
  <c r="Y39" i="3"/>
  <c r="Y34" i="3"/>
  <c r="Y32" i="3"/>
  <c r="Y13" i="3"/>
  <c r="Y17" i="3"/>
  <c r="Y27" i="3"/>
  <c r="Q24" i="3"/>
  <c r="Y24" i="3" s="1"/>
  <c r="P24" i="3"/>
  <c r="O24" i="3"/>
  <c r="N24" i="3"/>
  <c r="M24" i="3"/>
  <c r="Q17" i="1" l="1"/>
  <c r="R19" i="1"/>
  <c r="R17" i="1"/>
  <c r="J92" i="24"/>
  <c r="J72" i="24" s="1"/>
  <c r="J6" i="24" s="1"/>
  <c r="J92" i="25"/>
  <c r="J73" i="25" s="1"/>
  <c r="J7" i="25" s="1"/>
  <c r="M6" i="3"/>
  <c r="N6" i="3"/>
  <c r="N5" i="3" s="1"/>
  <c r="O6" i="3"/>
  <c r="O5" i="3" s="1"/>
  <c r="O76" i="3" s="1"/>
  <c r="P6" i="3"/>
  <c r="J72" i="23"/>
  <c r="J6" i="23" s="1"/>
  <c r="Q6" i="3"/>
  <c r="Q5" i="3" s="1"/>
  <c r="Q76" i="3" s="1"/>
  <c r="M5" i="3"/>
  <c r="M76" i="3" s="1"/>
  <c r="P5" i="3"/>
  <c r="L5" i="3"/>
  <c r="AI72" i="10"/>
  <c r="AI6" i="10" s="1"/>
  <c r="AJ93" i="10"/>
  <c r="AJ91" i="10" s="1"/>
  <c r="L94" i="27"/>
  <c r="L92" i="27" s="1"/>
  <c r="L72" i="27" s="1"/>
  <c r="I7" i="19"/>
  <c r="C7" i="30"/>
  <c r="E7" i="30" s="1"/>
  <c r="F7" i="30"/>
  <c r="H7" i="30" s="1"/>
  <c r="D41" i="19"/>
  <c r="F8" i="30" s="1"/>
  <c r="H8" i="30" s="1"/>
  <c r="C8" i="30"/>
  <c r="E8" i="30" s="1"/>
  <c r="F16" i="30"/>
  <c r="H16" i="30" s="1"/>
  <c r="J92" i="27"/>
  <c r="G40" i="19"/>
  <c r="L7" i="30"/>
  <c r="N7" i="30" s="1"/>
  <c r="G49" i="19"/>
  <c r="L16" i="30"/>
  <c r="N16" i="30" s="1"/>
  <c r="I49" i="19"/>
  <c r="U16" i="30" s="1"/>
  <c r="L22" i="1"/>
  <c r="H22" i="1"/>
  <c r="I10" i="19"/>
  <c r="K10" i="19" s="1"/>
  <c r="L10" i="19" s="1"/>
  <c r="D22" i="1"/>
  <c r="C13" i="19"/>
  <c r="C46" i="19" s="1"/>
  <c r="J22" i="1"/>
  <c r="E11" i="12"/>
  <c r="V90" i="11"/>
  <c r="N22" i="1"/>
  <c r="F22" i="1"/>
  <c r="I8" i="19"/>
  <c r="K8" i="19" s="1"/>
  <c r="L8" i="19" s="1"/>
  <c r="P76" i="3"/>
  <c r="K55" i="10"/>
  <c r="G19" i="1" s="1"/>
  <c r="W55" i="10"/>
  <c r="K19" i="1" s="1"/>
  <c r="AC55" i="10"/>
  <c r="M19" i="1" s="1"/>
  <c r="E55" i="10"/>
  <c r="E19" i="1" s="1"/>
  <c r="Q55" i="10"/>
  <c r="I19" i="1" s="1"/>
  <c r="Y69" i="3"/>
  <c r="Y45" i="3"/>
  <c r="Y38" i="3"/>
  <c r="Y6" i="3"/>
  <c r="Y26" i="3"/>
  <c r="W66" i="10"/>
  <c r="K22" i="1" s="1"/>
  <c r="K66" i="10"/>
  <c r="G22" i="1" s="1"/>
  <c r="C66" i="10"/>
  <c r="C22" i="1" s="1"/>
  <c r="Q66" i="10"/>
  <c r="I22" i="1" s="1"/>
  <c r="E66" i="10"/>
  <c r="E22" i="1" s="1"/>
  <c r="AC170" i="10"/>
  <c r="AC161" i="10"/>
  <c r="AC160" i="10" s="1"/>
  <c r="AB161" i="10"/>
  <c r="AB160" i="10" s="1"/>
  <c r="W161" i="10"/>
  <c r="W160" i="10" s="1"/>
  <c r="V161" i="10"/>
  <c r="V160" i="10" s="1"/>
  <c r="D161" i="10"/>
  <c r="C161" i="10"/>
  <c r="C160" i="10" s="1"/>
  <c r="AB153" i="10"/>
  <c r="K39" i="1"/>
  <c r="V153" i="10"/>
  <c r="P153" i="10"/>
  <c r="K153" i="10"/>
  <c r="G39" i="1" s="1"/>
  <c r="J153" i="10"/>
  <c r="D153" i="10"/>
  <c r="C153" i="10"/>
  <c r="C39" i="1" s="1"/>
  <c r="AC147" i="10"/>
  <c r="AB147" i="10"/>
  <c r="W147" i="10"/>
  <c r="V147" i="10"/>
  <c r="Q147" i="10"/>
  <c r="P147" i="10"/>
  <c r="K147" i="10"/>
  <c r="J147" i="10"/>
  <c r="E147" i="10"/>
  <c r="D147" i="10"/>
  <c r="C25" i="19" s="1"/>
  <c r="C58" i="19" s="1"/>
  <c r="C147" i="10"/>
  <c r="O39" i="1"/>
  <c r="AC153" i="10"/>
  <c r="M39" i="1" s="1"/>
  <c r="Q153" i="10"/>
  <c r="I39" i="1" s="1"/>
  <c r="E153" i="10"/>
  <c r="E39" i="1" s="1"/>
  <c r="N33" i="1"/>
  <c r="P33" i="1"/>
  <c r="O33" i="1"/>
  <c r="AC113" i="10"/>
  <c r="M32" i="1" s="1"/>
  <c r="AB113" i="10"/>
  <c r="W113" i="10"/>
  <c r="K32" i="1" s="1"/>
  <c r="V113" i="10"/>
  <c r="Q113" i="10"/>
  <c r="I32" i="1" s="1"/>
  <c r="P113" i="10"/>
  <c r="K113" i="10"/>
  <c r="G32" i="1" s="1"/>
  <c r="J113" i="10"/>
  <c r="E113" i="10"/>
  <c r="E32" i="1" s="1"/>
  <c r="D113" i="10"/>
  <c r="C113" i="10"/>
  <c r="C32" i="1" s="1"/>
  <c r="V107" i="10"/>
  <c r="P107" i="10"/>
  <c r="K107" i="10"/>
  <c r="G31" i="1" s="1"/>
  <c r="E107" i="10"/>
  <c r="E31" i="1" s="1"/>
  <c r="D107" i="10"/>
  <c r="C107" i="10"/>
  <c r="C31" i="1" s="1"/>
  <c r="P29" i="1"/>
  <c r="AB101" i="10"/>
  <c r="V101" i="10"/>
  <c r="P101" i="10"/>
  <c r="J101" i="10"/>
  <c r="D101" i="10"/>
  <c r="C19" i="19" s="1"/>
  <c r="M27" i="1"/>
  <c r="AC85" i="10"/>
  <c r="M26" i="1" s="1"/>
  <c r="AB85" i="10"/>
  <c r="W85" i="10"/>
  <c r="K26" i="1" s="1"/>
  <c r="V85" i="10"/>
  <c r="Q85" i="10"/>
  <c r="I26" i="1" s="1"/>
  <c r="P85" i="10"/>
  <c r="K85" i="10"/>
  <c r="G26" i="1" s="1"/>
  <c r="J85" i="10"/>
  <c r="E85" i="10"/>
  <c r="E26" i="1" s="1"/>
  <c r="D85" i="10"/>
  <c r="C85" i="10"/>
  <c r="C26" i="1" s="1"/>
  <c r="M25" i="1"/>
  <c r="K25" i="1"/>
  <c r="I25" i="1"/>
  <c r="G25" i="1"/>
  <c r="E78" i="10"/>
  <c r="E25" i="1" s="1"/>
  <c r="C25" i="1"/>
  <c r="AC73" i="10"/>
  <c r="M24" i="1" s="1"/>
  <c r="AB73" i="10"/>
  <c r="W73" i="10"/>
  <c r="K24" i="1" s="1"/>
  <c r="V73" i="10"/>
  <c r="Q73" i="10"/>
  <c r="I24" i="1" s="1"/>
  <c r="P73" i="10"/>
  <c r="K73" i="10"/>
  <c r="G24" i="1" s="1"/>
  <c r="J73" i="10"/>
  <c r="E73" i="10"/>
  <c r="E24" i="1" s="1"/>
  <c r="D73" i="10"/>
  <c r="C73" i="10"/>
  <c r="C24" i="1" s="1"/>
  <c r="P23" i="1"/>
  <c r="AC61" i="10"/>
  <c r="M21" i="1" s="1"/>
  <c r="AB61" i="10"/>
  <c r="W61" i="10"/>
  <c r="K21" i="1" s="1"/>
  <c r="V61" i="10"/>
  <c r="Q61" i="10"/>
  <c r="I21" i="1" s="1"/>
  <c r="P61" i="10"/>
  <c r="K61" i="10"/>
  <c r="G21" i="1" s="1"/>
  <c r="J61" i="10"/>
  <c r="E61" i="10"/>
  <c r="E21" i="1" s="1"/>
  <c r="D61" i="10"/>
  <c r="C61" i="10"/>
  <c r="C21" i="1" s="1"/>
  <c r="AB57" i="10"/>
  <c r="W57" i="10"/>
  <c r="K20" i="1" s="1"/>
  <c r="V57" i="10"/>
  <c r="Q57" i="10"/>
  <c r="I20" i="1" s="1"/>
  <c r="P57" i="10"/>
  <c r="K57" i="10"/>
  <c r="G20" i="1" s="1"/>
  <c r="J57" i="10"/>
  <c r="E57" i="10"/>
  <c r="E20" i="1" s="1"/>
  <c r="D57" i="10"/>
  <c r="C11" i="19" s="1"/>
  <c r="C44" i="19" s="1"/>
  <c r="C57" i="10"/>
  <c r="C20" i="1" s="1"/>
  <c r="AC49" i="10"/>
  <c r="M18" i="1" s="1"/>
  <c r="AB49" i="10"/>
  <c r="W49" i="10"/>
  <c r="K18" i="1" s="1"/>
  <c r="V49" i="10"/>
  <c r="Q49" i="10"/>
  <c r="I18" i="1" s="1"/>
  <c r="P49" i="10"/>
  <c r="K49" i="10"/>
  <c r="G18" i="1" s="1"/>
  <c r="E49" i="10"/>
  <c r="E18" i="1" s="1"/>
  <c r="C49" i="10"/>
  <c r="C18" i="1" s="1"/>
  <c r="O18" i="1"/>
  <c r="CI42" i="10"/>
  <c r="CJ42" i="10" s="1"/>
  <c r="CI39" i="10"/>
  <c r="CJ39" i="10" s="1"/>
  <c r="O16" i="1"/>
  <c r="CI34" i="10"/>
  <c r="CJ34" i="10" s="1"/>
  <c r="CI33" i="10"/>
  <c r="CJ33" i="10" s="1"/>
  <c r="Q8" i="10"/>
  <c r="I14" i="1" s="1"/>
  <c r="C8" i="10"/>
  <c r="C14" i="1" s="1"/>
  <c r="X172" i="2"/>
  <c r="U172" i="2"/>
  <c r="R172" i="2"/>
  <c r="O172" i="2"/>
  <c r="L172" i="2"/>
  <c r="J171" i="38" s="1"/>
  <c r="X170" i="2"/>
  <c r="U170" i="2"/>
  <c r="R170" i="2"/>
  <c r="Z160" i="27"/>
  <c r="V160" i="27"/>
  <c r="R160" i="27"/>
  <c r="N160" i="27"/>
  <c r="AA154" i="2"/>
  <c r="O153" i="38" s="1"/>
  <c r="X154" i="2"/>
  <c r="U154" i="2"/>
  <c r="R154" i="2"/>
  <c r="O154" i="2"/>
  <c r="L154" i="2"/>
  <c r="J153" i="38" s="1"/>
  <c r="AA148" i="2"/>
  <c r="O147" i="38" s="1"/>
  <c r="X148" i="2"/>
  <c r="U148" i="2"/>
  <c r="R148" i="2"/>
  <c r="O148" i="2"/>
  <c r="L148" i="2"/>
  <c r="J147" i="38" s="1"/>
  <c r="O118" i="38"/>
  <c r="J118" i="38"/>
  <c r="AA114" i="2"/>
  <c r="O112" i="38" s="1"/>
  <c r="X114" i="2"/>
  <c r="U114" i="2"/>
  <c r="R114" i="2"/>
  <c r="O114" i="2"/>
  <c r="L114" i="2"/>
  <c r="J112" i="38" s="1"/>
  <c r="AA102" i="2"/>
  <c r="O100" i="38" s="1"/>
  <c r="X102" i="2"/>
  <c r="U102" i="2"/>
  <c r="O102" i="2"/>
  <c r="O91" i="38"/>
  <c r="AA86" i="2"/>
  <c r="X86" i="2"/>
  <c r="Z86" i="27" s="1"/>
  <c r="U86" i="2"/>
  <c r="V86" i="27" s="1"/>
  <c r="R86" i="2"/>
  <c r="R86" i="27" s="1"/>
  <c r="O86" i="2"/>
  <c r="N86" i="27" s="1"/>
  <c r="L86" i="2"/>
  <c r="O80" i="38"/>
  <c r="J80" i="38"/>
  <c r="AA74" i="2"/>
  <c r="O74" i="38" s="1"/>
  <c r="X74" i="2"/>
  <c r="U74" i="2"/>
  <c r="R74" i="2"/>
  <c r="O74" i="2"/>
  <c r="L74" i="2"/>
  <c r="J74" i="38" s="1"/>
  <c r="AA67" i="2"/>
  <c r="O67" i="38" s="1"/>
  <c r="X67" i="2"/>
  <c r="U67" i="2"/>
  <c r="R67" i="2"/>
  <c r="O67" i="2"/>
  <c r="L67" i="2"/>
  <c r="J67" i="38" s="1"/>
  <c r="AA62" i="2"/>
  <c r="O62" i="38" s="1"/>
  <c r="X62" i="2"/>
  <c r="U62" i="2"/>
  <c r="R62" i="2"/>
  <c r="O62" i="2"/>
  <c r="L62" i="2"/>
  <c r="J62" i="38" s="1"/>
  <c r="AA58" i="2"/>
  <c r="O58" i="38" s="1"/>
  <c r="X58" i="2"/>
  <c r="U58" i="2"/>
  <c r="R58" i="2"/>
  <c r="O58" i="2"/>
  <c r="L58" i="2"/>
  <c r="J58" i="38" s="1"/>
  <c r="AR56" i="2"/>
  <c r="Z38" i="27"/>
  <c r="V38" i="27"/>
  <c r="AA46" i="2"/>
  <c r="O46" i="38" s="1"/>
  <c r="X46" i="2"/>
  <c r="U46" i="2"/>
  <c r="R46" i="2"/>
  <c r="O46" i="2"/>
  <c r="L46" i="2"/>
  <c r="J46" i="38" s="1"/>
  <c r="R38" i="27"/>
  <c r="N38" i="27"/>
  <c r="AQ172" i="2"/>
  <c r="AQ170" i="2"/>
  <c r="AQ169" i="2" s="1"/>
  <c r="AQ161" i="2"/>
  <c r="AQ160" i="2" s="1"/>
  <c r="AQ154" i="2"/>
  <c r="AQ148" i="2"/>
  <c r="AQ135" i="2"/>
  <c r="AQ121" i="2"/>
  <c r="AQ114" i="2"/>
  <c r="AR108" i="2"/>
  <c r="AQ102" i="2"/>
  <c r="AQ92" i="2"/>
  <c r="AQ86" i="2"/>
  <c r="AQ79" i="2"/>
  <c r="AQ74" i="2"/>
  <c r="AR50" i="2"/>
  <c r="AR33" i="2"/>
  <c r="AP169" i="2"/>
  <c r="AQ108" i="2"/>
  <c r="AP73" i="2"/>
  <c r="AQ67" i="2"/>
  <c r="AQ62" i="2"/>
  <c r="AQ58" i="2"/>
  <c r="AQ56" i="2"/>
  <c r="AQ50" i="2"/>
  <c r="AQ39" i="2"/>
  <c r="AQ9" i="2"/>
  <c r="X74" i="3"/>
  <c r="X73" i="3" s="1"/>
  <c r="X71" i="3"/>
  <c r="X70" i="3" s="1"/>
  <c r="X66" i="3"/>
  <c r="X65" i="3" s="1"/>
  <c r="X63" i="3"/>
  <c r="X60" i="3" s="1"/>
  <c r="X51" i="3"/>
  <c r="X46" i="3"/>
  <c r="X43" i="3"/>
  <c r="X41" i="3"/>
  <c r="X39" i="3"/>
  <c r="X34" i="3"/>
  <c r="X32" i="3"/>
  <c r="X29" i="3"/>
  <c r="X27" i="3"/>
  <c r="X24" i="3"/>
  <c r="X22" i="3"/>
  <c r="X17" i="3"/>
  <c r="X13" i="3"/>
  <c r="X11" i="3"/>
  <c r="X9" i="3"/>
  <c r="X7" i="3"/>
  <c r="W45" i="3"/>
  <c r="W38" i="3"/>
  <c r="W26" i="3"/>
  <c r="W6" i="3"/>
  <c r="Q18" i="1" l="1"/>
  <c r="Q21" i="1"/>
  <c r="Q26" i="1"/>
  <c r="Q32" i="1"/>
  <c r="Q19" i="1"/>
  <c r="Q24" i="1"/>
  <c r="Q39" i="1"/>
  <c r="Q22" i="1"/>
  <c r="R22" i="1"/>
  <c r="Q25" i="1"/>
  <c r="E41" i="19"/>
  <c r="F41" i="19" s="1"/>
  <c r="G41" i="19" s="1"/>
  <c r="W93" i="10"/>
  <c r="W91" i="10" s="1"/>
  <c r="Q93" i="10"/>
  <c r="O85" i="38"/>
  <c r="AD86" i="27"/>
  <c r="J85" i="38"/>
  <c r="J86" i="27"/>
  <c r="J49" i="10"/>
  <c r="F18" i="1" s="1"/>
  <c r="CI50" i="10"/>
  <c r="CJ50" i="10" s="1"/>
  <c r="CI9" i="10"/>
  <c r="CJ9" i="10" s="1"/>
  <c r="J107" i="10"/>
  <c r="F31" i="1" s="1"/>
  <c r="CI108" i="10"/>
  <c r="O27" i="1"/>
  <c r="R61" i="27"/>
  <c r="L62" i="38"/>
  <c r="Z66" i="27"/>
  <c r="N67" i="38"/>
  <c r="N80" i="38"/>
  <c r="N92" i="27"/>
  <c r="K91" i="38"/>
  <c r="N120" i="27"/>
  <c r="K118" i="38"/>
  <c r="V147" i="27"/>
  <c r="M147" i="38"/>
  <c r="R45" i="27"/>
  <c r="L46" i="38"/>
  <c r="N57" i="27"/>
  <c r="K58" i="38"/>
  <c r="V61" i="27"/>
  <c r="M62" i="38"/>
  <c r="N66" i="27"/>
  <c r="K67" i="38"/>
  <c r="V73" i="27"/>
  <c r="M74" i="38"/>
  <c r="M85" i="38"/>
  <c r="N102" i="27"/>
  <c r="K100" i="38"/>
  <c r="Z114" i="27"/>
  <c r="N112" i="38"/>
  <c r="R120" i="27"/>
  <c r="L118" i="38"/>
  <c r="Z147" i="27"/>
  <c r="N147" i="38"/>
  <c r="R169" i="27"/>
  <c r="L169" i="38"/>
  <c r="N171" i="27"/>
  <c r="K171" i="38"/>
  <c r="V45" i="27"/>
  <c r="M46" i="38"/>
  <c r="R57" i="27"/>
  <c r="L58" i="38"/>
  <c r="Z61" i="27"/>
  <c r="N62" i="38"/>
  <c r="R66" i="27"/>
  <c r="L67" i="38"/>
  <c r="Z73" i="27"/>
  <c r="N74" i="38"/>
  <c r="L80" i="38"/>
  <c r="N85" i="38"/>
  <c r="V92" i="27"/>
  <c r="M91" i="38"/>
  <c r="V102" i="27"/>
  <c r="M100" i="38"/>
  <c r="N114" i="27"/>
  <c r="K112" i="38"/>
  <c r="V120" i="27"/>
  <c r="M118" i="38"/>
  <c r="N147" i="27"/>
  <c r="K147" i="38"/>
  <c r="V153" i="27"/>
  <c r="M153" i="38"/>
  <c r="V169" i="27"/>
  <c r="M169" i="38"/>
  <c r="R171" i="27"/>
  <c r="L171" i="38"/>
  <c r="N45" i="27"/>
  <c r="K46" i="38"/>
  <c r="Z57" i="27"/>
  <c r="N58" i="38"/>
  <c r="R73" i="27"/>
  <c r="L74" i="38"/>
  <c r="L85" i="38"/>
  <c r="V114" i="27"/>
  <c r="M112" i="38"/>
  <c r="N153" i="27"/>
  <c r="K153" i="38"/>
  <c r="Z171" i="27"/>
  <c r="N171" i="38"/>
  <c r="K80" i="38"/>
  <c r="R92" i="27"/>
  <c r="L91" i="38"/>
  <c r="R153" i="27"/>
  <c r="L153" i="38"/>
  <c r="D160" i="10"/>
  <c r="C27" i="19" s="1"/>
  <c r="Z45" i="27"/>
  <c r="N46" i="38"/>
  <c r="V57" i="27"/>
  <c r="M58" i="38"/>
  <c r="N61" i="27"/>
  <c r="K62" i="38"/>
  <c r="V66" i="27"/>
  <c r="M67" i="38"/>
  <c r="N73" i="27"/>
  <c r="K74" i="38"/>
  <c r="M80" i="38"/>
  <c r="K85" i="38"/>
  <c r="Z92" i="27"/>
  <c r="N91" i="38"/>
  <c r="Z102" i="27"/>
  <c r="N100" i="38"/>
  <c r="R114" i="27"/>
  <c r="L112" i="38"/>
  <c r="Z120" i="27"/>
  <c r="N118" i="38"/>
  <c r="R147" i="27"/>
  <c r="L147" i="38"/>
  <c r="Z153" i="27"/>
  <c r="N153" i="38"/>
  <c r="Z169" i="27"/>
  <c r="N169" i="38"/>
  <c r="V171" i="27"/>
  <c r="M171" i="38"/>
  <c r="AC38" i="10"/>
  <c r="M16" i="1" s="1"/>
  <c r="K38" i="10"/>
  <c r="G16" i="1" s="1"/>
  <c r="P38" i="10"/>
  <c r="H16" i="1" s="1"/>
  <c r="AB38" i="10"/>
  <c r="L16" i="1" s="1"/>
  <c r="V38" i="10"/>
  <c r="J16" i="1" s="1"/>
  <c r="W38" i="10"/>
  <c r="K16" i="1" s="1"/>
  <c r="Q38" i="10"/>
  <c r="I16" i="1" s="1"/>
  <c r="I40" i="19"/>
  <c r="U7" i="30" s="1"/>
  <c r="W7" i="30" s="1"/>
  <c r="K7" i="19"/>
  <c r="L7" i="19" s="1"/>
  <c r="J134" i="10"/>
  <c r="F35" i="1" s="1"/>
  <c r="V134" i="10"/>
  <c r="J38" i="10"/>
  <c r="F16" i="1" s="1"/>
  <c r="C134" i="10"/>
  <c r="C35" i="1" s="1"/>
  <c r="W134" i="10"/>
  <c r="K35" i="1" s="1"/>
  <c r="D134" i="10"/>
  <c r="D35" i="1" s="1"/>
  <c r="P134" i="10"/>
  <c r="H35" i="1" s="1"/>
  <c r="AB134" i="10"/>
  <c r="L35" i="1" s="1"/>
  <c r="Q134" i="10"/>
  <c r="I35" i="1" s="1"/>
  <c r="AC134" i="10"/>
  <c r="M35" i="1" s="1"/>
  <c r="D10" i="13"/>
  <c r="E10" i="13" s="1"/>
  <c r="AD61" i="27"/>
  <c r="D12" i="13"/>
  <c r="E12" i="13" s="1"/>
  <c r="AD73" i="27"/>
  <c r="J120" i="27"/>
  <c r="J153" i="27"/>
  <c r="J152" i="23"/>
  <c r="J145" i="23" s="1"/>
  <c r="R169" i="2"/>
  <c r="D46" i="19"/>
  <c r="F13" i="30" s="1"/>
  <c r="H13" i="30" s="1"/>
  <c r="C13" i="30"/>
  <c r="E13" i="30" s="1"/>
  <c r="AD45" i="27"/>
  <c r="J57" i="27"/>
  <c r="J66" i="27"/>
  <c r="AD92" i="27"/>
  <c r="D17" i="13"/>
  <c r="E17" i="13" s="1"/>
  <c r="AD102" i="27"/>
  <c r="O102" i="25"/>
  <c r="O101" i="25" s="1"/>
  <c r="O100" i="25" s="1"/>
  <c r="AD120" i="27"/>
  <c r="K152" i="23"/>
  <c r="K145" i="23" s="1"/>
  <c r="D23" i="13"/>
  <c r="E23" i="13" s="1"/>
  <c r="AD153" i="27"/>
  <c r="O152" i="23"/>
  <c r="O145" i="23" s="1"/>
  <c r="U160" i="2"/>
  <c r="U169" i="2"/>
  <c r="D44" i="19"/>
  <c r="E44" i="19" s="1"/>
  <c r="F44" i="19" s="1"/>
  <c r="C11" i="30"/>
  <c r="E11" i="30" s="1"/>
  <c r="J45" i="27"/>
  <c r="R160" i="2"/>
  <c r="D9" i="13"/>
  <c r="E9" i="13" s="1"/>
  <c r="AD57" i="27"/>
  <c r="D11" i="13"/>
  <c r="E11" i="13" s="1"/>
  <c r="AD66" i="27"/>
  <c r="K102" i="25"/>
  <c r="K101" i="25" s="1"/>
  <c r="K100" i="25" s="1"/>
  <c r="J147" i="27"/>
  <c r="L152" i="23"/>
  <c r="L145" i="23" s="1"/>
  <c r="L160" i="2"/>
  <c r="J159" i="38" s="1"/>
  <c r="J160" i="27"/>
  <c r="X160" i="2"/>
  <c r="X169" i="2"/>
  <c r="N168" i="38" s="1"/>
  <c r="J38" i="27"/>
  <c r="N102" i="25"/>
  <c r="N101" i="25" s="1"/>
  <c r="N100" i="25" s="1"/>
  <c r="N152" i="23"/>
  <c r="N145" i="23" s="1"/>
  <c r="D4" i="13"/>
  <c r="E4" i="13" s="1"/>
  <c r="AD38" i="27"/>
  <c r="J61" i="27"/>
  <c r="J73" i="27"/>
  <c r="M102" i="25"/>
  <c r="M101" i="25" s="1"/>
  <c r="M100" i="25" s="1"/>
  <c r="D22" i="13"/>
  <c r="E22" i="13" s="1"/>
  <c r="AD147" i="27"/>
  <c r="M152" i="23"/>
  <c r="M145" i="23" s="1"/>
  <c r="AD160" i="27"/>
  <c r="J171" i="27"/>
  <c r="D58" i="19"/>
  <c r="F25" i="30" s="1"/>
  <c r="H25" i="30" s="1"/>
  <c r="C25" i="30"/>
  <c r="E25" i="30" s="1"/>
  <c r="H40" i="19"/>
  <c r="R7" i="30" s="1"/>
  <c r="T7" i="30" s="1"/>
  <c r="O7" i="30"/>
  <c r="Q7" i="30" s="1"/>
  <c r="I7" i="30"/>
  <c r="K7" i="30" s="1"/>
  <c r="Y16" i="30"/>
  <c r="AA16" i="30" s="1"/>
  <c r="W16" i="30"/>
  <c r="H49" i="19"/>
  <c r="R16" i="30" s="1"/>
  <c r="T16" i="30" s="1"/>
  <c r="I16" i="30"/>
  <c r="K16" i="30" s="1"/>
  <c r="O16" i="30"/>
  <c r="Q16" i="30" s="1"/>
  <c r="J114" i="27"/>
  <c r="D19" i="13"/>
  <c r="E19" i="13" s="1"/>
  <c r="AD114" i="27"/>
  <c r="E134" i="10"/>
  <c r="E35" i="1" s="1"/>
  <c r="AC107" i="10"/>
  <c r="M31" i="1" s="1"/>
  <c r="AB107" i="10"/>
  <c r="AB100" i="10" s="1"/>
  <c r="L29" i="1" s="1"/>
  <c r="K27" i="1"/>
  <c r="I41" i="19"/>
  <c r="U8" i="30" s="1"/>
  <c r="I43" i="19"/>
  <c r="U10" i="30" s="1"/>
  <c r="AA160" i="2"/>
  <c r="O159" i="38" s="1"/>
  <c r="D24" i="13"/>
  <c r="E24" i="13" s="1"/>
  <c r="W90" i="11"/>
  <c r="D16" i="13"/>
  <c r="E16" i="13" s="1"/>
  <c r="W84" i="11"/>
  <c r="D15" i="13"/>
  <c r="E15" i="13" s="1"/>
  <c r="C29" i="19"/>
  <c r="C62" i="19" s="1"/>
  <c r="D39" i="1"/>
  <c r="C26" i="19"/>
  <c r="C59" i="19" s="1"/>
  <c r="D38" i="10"/>
  <c r="J78" i="10"/>
  <c r="F25" i="1" s="1"/>
  <c r="J25" i="1"/>
  <c r="N25" i="1"/>
  <c r="N39" i="1"/>
  <c r="D78" i="10"/>
  <c r="D25" i="1" s="1"/>
  <c r="D48" i="19"/>
  <c r="H25" i="1"/>
  <c r="L25" i="1"/>
  <c r="N26" i="1"/>
  <c r="J24" i="1"/>
  <c r="N24" i="1"/>
  <c r="F26" i="1"/>
  <c r="J30" i="1"/>
  <c r="I13" i="19"/>
  <c r="K13" i="19" s="1"/>
  <c r="L13" i="19" s="1"/>
  <c r="D21" i="1"/>
  <c r="C12" i="19"/>
  <c r="C45" i="19" s="1"/>
  <c r="H21" i="1"/>
  <c r="L21" i="1"/>
  <c r="J31" i="1"/>
  <c r="N31" i="1"/>
  <c r="F32" i="1"/>
  <c r="J32" i="1"/>
  <c r="N32" i="1"/>
  <c r="N34" i="1"/>
  <c r="N35" i="1"/>
  <c r="F24" i="1"/>
  <c r="D24" i="1"/>
  <c r="C14" i="19"/>
  <c r="C47" i="19" s="1"/>
  <c r="H24" i="1"/>
  <c r="L24" i="1"/>
  <c r="D26" i="1"/>
  <c r="C17" i="19"/>
  <c r="C50" i="19" s="1"/>
  <c r="H26" i="1"/>
  <c r="L26" i="1"/>
  <c r="D30" i="1"/>
  <c r="C52" i="19"/>
  <c r="H30" i="1"/>
  <c r="L30" i="1"/>
  <c r="J26" i="1"/>
  <c r="F30" i="1"/>
  <c r="N30" i="1"/>
  <c r="F21" i="1"/>
  <c r="J21" i="1"/>
  <c r="N21" i="1"/>
  <c r="D31" i="1"/>
  <c r="C53" i="19"/>
  <c r="H31" i="1"/>
  <c r="D32" i="1"/>
  <c r="C54" i="19"/>
  <c r="C21" i="30" s="1"/>
  <c r="E21" i="30" s="1"/>
  <c r="H32" i="1"/>
  <c r="L32" i="1"/>
  <c r="L18" i="1"/>
  <c r="D49" i="10"/>
  <c r="N16" i="1"/>
  <c r="L39" i="1"/>
  <c r="J39" i="1"/>
  <c r="H39" i="1"/>
  <c r="F39" i="1"/>
  <c r="I25" i="19"/>
  <c r="K25" i="19" s="1"/>
  <c r="L25" i="19" s="1"/>
  <c r="F27" i="1"/>
  <c r="D27" i="1"/>
  <c r="C18" i="19"/>
  <c r="C51" i="19" s="1"/>
  <c r="L27" i="1"/>
  <c r="H27" i="1"/>
  <c r="I11" i="19"/>
  <c r="K11" i="19" s="1"/>
  <c r="H18" i="1"/>
  <c r="J18" i="1"/>
  <c r="N27" i="1"/>
  <c r="AR62" i="2"/>
  <c r="W60" i="11"/>
  <c r="AR39" i="2"/>
  <c r="AR46" i="2"/>
  <c r="W44" i="11"/>
  <c r="AR58" i="2"/>
  <c r="W56" i="11"/>
  <c r="AR67" i="2"/>
  <c r="W65" i="11"/>
  <c r="AR79" i="2"/>
  <c r="O23" i="1"/>
  <c r="G27" i="1"/>
  <c r="K8" i="10"/>
  <c r="G14" i="1" s="1"/>
  <c r="C27" i="1"/>
  <c r="E27" i="1"/>
  <c r="W107" i="10"/>
  <c r="K31" i="1" s="1"/>
  <c r="K134" i="10"/>
  <c r="G35" i="1" s="1"/>
  <c r="Q107" i="10"/>
  <c r="I31" i="1" s="1"/>
  <c r="C38" i="10"/>
  <c r="C16" i="1" s="1"/>
  <c r="E38" i="10"/>
  <c r="E16" i="1" s="1"/>
  <c r="F20" i="1"/>
  <c r="J20" i="1"/>
  <c r="N20" i="1"/>
  <c r="D20" i="1"/>
  <c r="H20" i="1"/>
  <c r="L20" i="1"/>
  <c r="L147" i="2"/>
  <c r="U101" i="2"/>
  <c r="AA147" i="2"/>
  <c r="AA101" i="2"/>
  <c r="O99" i="38" s="1"/>
  <c r="X101" i="2"/>
  <c r="AC72" i="10"/>
  <c r="M23" i="1" s="1"/>
  <c r="W8" i="10"/>
  <c r="K14" i="1" s="1"/>
  <c r="AC8" i="10"/>
  <c r="M14" i="1" s="1"/>
  <c r="O147" i="2"/>
  <c r="O160" i="2"/>
  <c r="P16" i="1"/>
  <c r="P18" i="1"/>
  <c r="P39" i="1"/>
  <c r="X73" i="2"/>
  <c r="R73" i="2"/>
  <c r="O73" i="2"/>
  <c r="U73" i="2"/>
  <c r="AA73" i="2"/>
  <c r="O73" i="38" s="1"/>
  <c r="D146" i="10"/>
  <c r="D37" i="1" s="1"/>
  <c r="D38" i="1"/>
  <c r="J146" i="10"/>
  <c r="F37" i="1" s="1"/>
  <c r="F38" i="1"/>
  <c r="P146" i="10"/>
  <c r="H38" i="1"/>
  <c r="V146" i="10"/>
  <c r="J38" i="1"/>
  <c r="AB146" i="10"/>
  <c r="L38" i="1"/>
  <c r="N37" i="1"/>
  <c r="N38" i="1"/>
  <c r="P37" i="1"/>
  <c r="P38" i="1"/>
  <c r="F40" i="1"/>
  <c r="F41" i="1"/>
  <c r="H40" i="1"/>
  <c r="H41" i="1"/>
  <c r="V159" i="10"/>
  <c r="J40" i="1" s="1"/>
  <c r="J41" i="1"/>
  <c r="AB159" i="10"/>
  <c r="L40" i="1" s="1"/>
  <c r="L41" i="1"/>
  <c r="N40" i="1"/>
  <c r="N41" i="1"/>
  <c r="P40" i="1"/>
  <c r="P41" i="1"/>
  <c r="N45" i="1"/>
  <c r="N46" i="1"/>
  <c r="P45" i="1"/>
  <c r="P46" i="1"/>
  <c r="C146" i="10"/>
  <c r="C37" i="1" s="1"/>
  <c r="C38" i="1"/>
  <c r="E146" i="10"/>
  <c r="E37" i="1" s="1"/>
  <c r="E38" i="1"/>
  <c r="K146" i="10"/>
  <c r="G38" i="1"/>
  <c r="Q146" i="10"/>
  <c r="I38" i="1"/>
  <c r="W146" i="10"/>
  <c r="K38" i="1"/>
  <c r="AC146" i="10"/>
  <c r="M37" i="1" s="1"/>
  <c r="M38" i="1"/>
  <c r="O37" i="1"/>
  <c r="O38" i="1"/>
  <c r="C159" i="10"/>
  <c r="C40" i="1" s="1"/>
  <c r="C41" i="1"/>
  <c r="E40" i="1"/>
  <c r="E41" i="1"/>
  <c r="G40" i="1"/>
  <c r="G41" i="1"/>
  <c r="I40" i="1"/>
  <c r="I41" i="1"/>
  <c r="W159" i="10"/>
  <c r="K40" i="1" s="1"/>
  <c r="K41" i="1"/>
  <c r="AC159" i="10"/>
  <c r="M40" i="1" s="1"/>
  <c r="M41" i="1"/>
  <c r="O40" i="1"/>
  <c r="O41" i="1"/>
  <c r="C172" i="10"/>
  <c r="C45" i="1" s="1"/>
  <c r="C46" i="1"/>
  <c r="E45" i="1"/>
  <c r="E46" i="1"/>
  <c r="G45" i="1"/>
  <c r="G46" i="1"/>
  <c r="AC172" i="10"/>
  <c r="M45" i="1" s="1"/>
  <c r="M46" i="1"/>
  <c r="O45" i="1"/>
  <c r="O46" i="1"/>
  <c r="V8" i="10"/>
  <c r="AB8" i="10"/>
  <c r="P100" i="10"/>
  <c r="H29" i="1" s="1"/>
  <c r="W69" i="3"/>
  <c r="D100" i="10"/>
  <c r="D29" i="1" s="1"/>
  <c r="V100" i="10"/>
  <c r="J29" i="1" s="1"/>
  <c r="N29" i="1"/>
  <c r="O101" i="2"/>
  <c r="D32" i="10"/>
  <c r="D15" i="1" s="1"/>
  <c r="J32" i="10"/>
  <c r="F15" i="1" s="1"/>
  <c r="P32" i="10"/>
  <c r="H15" i="1" s="1"/>
  <c r="V32" i="10"/>
  <c r="AB32" i="10"/>
  <c r="C32" i="10"/>
  <c r="C15" i="1" s="1"/>
  <c r="E32" i="10"/>
  <c r="E15" i="1" s="1"/>
  <c r="K32" i="10"/>
  <c r="G15" i="1" s="1"/>
  <c r="Q32" i="10"/>
  <c r="I15" i="1" s="1"/>
  <c r="W32" i="10"/>
  <c r="AC32" i="10"/>
  <c r="D8" i="10"/>
  <c r="C37" i="19" s="1"/>
  <c r="C4" i="30" s="1"/>
  <c r="E4" i="30" s="1"/>
  <c r="J8" i="10"/>
  <c r="P8" i="10"/>
  <c r="E8" i="10"/>
  <c r="L73" i="2"/>
  <c r="J73" i="38" s="1"/>
  <c r="Y37" i="3"/>
  <c r="W37" i="3"/>
  <c r="W5" i="3"/>
  <c r="Y5" i="3"/>
  <c r="U147" i="2"/>
  <c r="R147" i="2"/>
  <c r="X147" i="2"/>
  <c r="L8" i="2"/>
  <c r="J8" i="38" s="1"/>
  <c r="O8" i="2"/>
  <c r="AA8" i="2"/>
  <c r="O8" i="38" s="1"/>
  <c r="R8" i="2"/>
  <c r="X8" i="2"/>
  <c r="U8" i="2"/>
  <c r="AQ33" i="2"/>
  <c r="AQ46" i="2"/>
  <c r="AR135" i="2"/>
  <c r="AR154" i="2"/>
  <c r="AR121" i="2"/>
  <c r="AR148" i="2"/>
  <c r="AR161" i="2"/>
  <c r="AR160" i="2" s="1"/>
  <c r="AR74" i="2"/>
  <c r="AR92" i="2"/>
  <c r="AR114" i="2"/>
  <c r="AR86" i="2"/>
  <c r="AR102" i="2"/>
  <c r="AP172" i="2"/>
  <c r="AP168" i="2" s="1"/>
  <c r="AQ168" i="2"/>
  <c r="AP160" i="2"/>
  <c r="AQ120" i="2"/>
  <c r="AP120" i="2"/>
  <c r="AP101" i="2"/>
  <c r="AQ101" i="2"/>
  <c r="AQ73" i="2"/>
  <c r="AP8" i="2"/>
  <c r="AP7" i="2" s="1"/>
  <c r="X69" i="3"/>
  <c r="X45" i="3"/>
  <c r="X38" i="3"/>
  <c r="X26" i="3"/>
  <c r="X6" i="3"/>
  <c r="Q16" i="1" l="1"/>
  <c r="Q31" i="1"/>
  <c r="R30" i="1"/>
  <c r="R24" i="1"/>
  <c r="R21" i="1"/>
  <c r="Q41" i="1"/>
  <c r="R38" i="1"/>
  <c r="R39" i="1"/>
  <c r="R26" i="1"/>
  <c r="Q40" i="1"/>
  <c r="Q35" i="1"/>
  <c r="Q38" i="1"/>
  <c r="R20" i="1"/>
  <c r="R32" i="1"/>
  <c r="R25" i="1"/>
  <c r="J100" i="10"/>
  <c r="F29" i="1" s="1"/>
  <c r="R29" i="1" s="1"/>
  <c r="L8" i="30"/>
  <c r="N8" i="30" s="1"/>
  <c r="W119" i="10"/>
  <c r="K33" i="1" s="1"/>
  <c r="Q91" i="10"/>
  <c r="I27" i="1" s="1"/>
  <c r="Q27" i="1" s="1"/>
  <c r="Q119" i="10"/>
  <c r="I33" i="1" s="1"/>
  <c r="AB119" i="10"/>
  <c r="L33" i="1" s="1"/>
  <c r="K34" i="1"/>
  <c r="G34" i="1"/>
  <c r="K119" i="10"/>
  <c r="G33" i="1" s="1"/>
  <c r="C34" i="1"/>
  <c r="C119" i="10"/>
  <c r="C33" i="1" s="1"/>
  <c r="V119" i="10"/>
  <c r="J33" i="1" s="1"/>
  <c r="M34" i="1"/>
  <c r="AC119" i="10"/>
  <c r="M33" i="1" s="1"/>
  <c r="J119" i="10"/>
  <c r="F33" i="1" s="1"/>
  <c r="E34" i="1"/>
  <c r="E119" i="10"/>
  <c r="E33" i="1" s="1"/>
  <c r="P119" i="10"/>
  <c r="H33" i="1" s="1"/>
  <c r="C55" i="19"/>
  <c r="C22" i="30" s="1"/>
  <c r="E22" i="30" s="1"/>
  <c r="D119" i="10"/>
  <c r="D33" i="1" s="1"/>
  <c r="I37" i="1"/>
  <c r="L37" i="1"/>
  <c r="H37" i="1"/>
  <c r="K37" i="1"/>
  <c r="G37" i="1"/>
  <c r="J37" i="1"/>
  <c r="O146" i="38"/>
  <c r="AR141" i="2"/>
  <c r="J146" i="38"/>
  <c r="H34" i="1"/>
  <c r="D41" i="1"/>
  <c r="R41" i="1" s="1"/>
  <c r="C60" i="19"/>
  <c r="I27" i="19"/>
  <c r="K27" i="19" s="1"/>
  <c r="L27" i="19" s="1"/>
  <c r="V7" i="27"/>
  <c r="M8" i="38"/>
  <c r="N7" i="27"/>
  <c r="K8" i="38"/>
  <c r="V146" i="27"/>
  <c r="M146" i="38"/>
  <c r="R168" i="27"/>
  <c r="L168" i="38"/>
  <c r="Z7" i="27"/>
  <c r="N8" i="38"/>
  <c r="N101" i="27"/>
  <c r="K99" i="38"/>
  <c r="N72" i="27"/>
  <c r="K73" i="38"/>
  <c r="C6" i="19"/>
  <c r="C39" i="19" s="1"/>
  <c r="C6" i="30" s="1"/>
  <c r="E6" i="30" s="1"/>
  <c r="D16" i="1"/>
  <c r="R16" i="1" s="1"/>
  <c r="V168" i="27"/>
  <c r="M168" i="38"/>
  <c r="R146" i="27"/>
  <c r="L146" i="38"/>
  <c r="Z72" i="27"/>
  <c r="N73" i="38"/>
  <c r="N159" i="27"/>
  <c r="K159" i="38"/>
  <c r="V101" i="27"/>
  <c r="M99" i="38"/>
  <c r="Z159" i="27"/>
  <c r="N159" i="38"/>
  <c r="D159" i="10"/>
  <c r="D40" i="1" s="1"/>
  <c r="R40" i="1" s="1"/>
  <c r="D34" i="1"/>
  <c r="V72" i="27"/>
  <c r="M73" i="38"/>
  <c r="N146" i="27"/>
  <c r="K146" i="38"/>
  <c r="Z101" i="27"/>
  <c r="N99" i="38"/>
  <c r="R159" i="27"/>
  <c r="L159" i="38"/>
  <c r="R7" i="27"/>
  <c r="L8" i="38"/>
  <c r="Z146" i="27"/>
  <c r="N146" i="38"/>
  <c r="R168" i="2"/>
  <c r="R72" i="27"/>
  <c r="L73" i="38"/>
  <c r="J35" i="1"/>
  <c r="R35" i="1" s="1"/>
  <c r="V159" i="27"/>
  <c r="M159" i="38"/>
  <c r="U168" i="2"/>
  <c r="F34" i="1"/>
  <c r="Y7" i="30"/>
  <c r="AA7" i="30" s="1"/>
  <c r="X168" i="2"/>
  <c r="Z168" i="27"/>
  <c r="C57" i="19"/>
  <c r="C24" i="30" s="1"/>
  <c r="E24" i="30" s="1"/>
  <c r="F11" i="30"/>
  <c r="H11" i="30" s="1"/>
  <c r="J34" i="1"/>
  <c r="E46" i="19"/>
  <c r="F46" i="19" s="1"/>
  <c r="G46" i="19" s="1"/>
  <c r="D59" i="19"/>
  <c r="E59" i="19" s="1"/>
  <c r="F59" i="19" s="1"/>
  <c r="C26" i="30"/>
  <c r="E26" i="30" s="1"/>
  <c r="L34" i="1"/>
  <c r="E58" i="19"/>
  <c r="F58" i="19" s="1"/>
  <c r="G58" i="19" s="1"/>
  <c r="J72" i="27"/>
  <c r="AD7" i="27"/>
  <c r="J146" i="27"/>
  <c r="D50" i="19"/>
  <c r="E50" i="19" s="1"/>
  <c r="F50" i="19" s="1"/>
  <c r="C17" i="30"/>
  <c r="E17" i="30" s="1"/>
  <c r="D47" i="19"/>
  <c r="E47" i="19" s="1"/>
  <c r="F47" i="19" s="1"/>
  <c r="C14" i="30"/>
  <c r="E14" i="30" s="1"/>
  <c r="D45" i="19"/>
  <c r="F12" i="30" s="1"/>
  <c r="H12" i="30" s="1"/>
  <c r="C12" i="30"/>
  <c r="E12" i="30" s="1"/>
  <c r="D62" i="19"/>
  <c r="F29" i="30" s="1"/>
  <c r="H29" i="30" s="1"/>
  <c r="C29" i="30"/>
  <c r="E29" i="30" s="1"/>
  <c r="AD159" i="27"/>
  <c r="J159" i="27"/>
  <c r="J7" i="27"/>
  <c r="W72" i="11"/>
  <c r="AD72" i="27"/>
  <c r="AD146" i="27"/>
  <c r="D51" i="19"/>
  <c r="F18" i="30" s="1"/>
  <c r="H18" i="30" s="1"/>
  <c r="C18" i="30"/>
  <c r="E18" i="30" s="1"/>
  <c r="G44" i="19"/>
  <c r="L11" i="30"/>
  <c r="N11" i="30" s="1"/>
  <c r="Y10" i="30"/>
  <c r="AA10" i="30" s="1"/>
  <c r="W10" i="30"/>
  <c r="H41" i="19"/>
  <c r="R8" i="30" s="1"/>
  <c r="T8" i="30" s="1"/>
  <c r="O8" i="30"/>
  <c r="Q8" i="30" s="1"/>
  <c r="I8" i="30"/>
  <c r="K8" i="30" s="1"/>
  <c r="Y8" i="30"/>
  <c r="AA8" i="30" s="1"/>
  <c r="W8" i="30"/>
  <c r="E48" i="19"/>
  <c r="F48" i="19" s="1"/>
  <c r="F15" i="30"/>
  <c r="H15" i="30" s="1"/>
  <c r="D52" i="19"/>
  <c r="C19" i="30"/>
  <c r="E19" i="30" s="1"/>
  <c r="D53" i="19"/>
  <c r="C20" i="30"/>
  <c r="E20" i="30" s="1"/>
  <c r="AD101" i="27"/>
  <c r="W76" i="3"/>
  <c r="Y76" i="3"/>
  <c r="W72" i="10"/>
  <c r="K23" i="1" s="1"/>
  <c r="D172" i="10"/>
  <c r="D45" i="1" s="1"/>
  <c r="D54" i="19"/>
  <c r="L31" i="1"/>
  <c r="R31" i="1" s="1"/>
  <c r="D46" i="1"/>
  <c r="D37" i="19"/>
  <c r="I44" i="19"/>
  <c r="U11" i="30" s="1"/>
  <c r="I46" i="19"/>
  <c r="U13" i="30" s="1"/>
  <c r="I58" i="19"/>
  <c r="U25" i="30" s="1"/>
  <c r="V72" i="10"/>
  <c r="J23" i="1" s="1"/>
  <c r="P72" i="10"/>
  <c r="D72" i="10"/>
  <c r="D23" i="1" s="1"/>
  <c r="AB72" i="10"/>
  <c r="L23" i="1" s="1"/>
  <c r="J72" i="10"/>
  <c r="F23" i="1" s="1"/>
  <c r="N23" i="1"/>
  <c r="N14" i="1"/>
  <c r="AR8" i="2"/>
  <c r="L14" i="1"/>
  <c r="J14" i="1"/>
  <c r="I15" i="19"/>
  <c r="K15" i="19" s="1"/>
  <c r="L15" i="19" s="1"/>
  <c r="I19" i="19"/>
  <c r="K19" i="19" s="1"/>
  <c r="L19" i="19" s="1"/>
  <c r="I14" i="19"/>
  <c r="K14" i="19" s="1"/>
  <c r="L14" i="19" s="1"/>
  <c r="I17" i="19"/>
  <c r="K17" i="19" s="1"/>
  <c r="L17" i="19" s="1"/>
  <c r="I12" i="19"/>
  <c r="K12" i="19" s="1"/>
  <c r="L12" i="19" s="1"/>
  <c r="D18" i="1"/>
  <c r="R18" i="1" s="1"/>
  <c r="C9" i="19"/>
  <c r="C5" i="19"/>
  <c r="C38" i="19" s="1"/>
  <c r="I26" i="19"/>
  <c r="K26" i="19" s="1"/>
  <c r="L26" i="19" s="1"/>
  <c r="J27" i="1"/>
  <c r="R27" i="1" s="1"/>
  <c r="K72" i="10"/>
  <c r="G23" i="1" s="1"/>
  <c r="C72" i="10"/>
  <c r="C23" i="1" s="1"/>
  <c r="E72" i="10"/>
  <c r="E23" i="1" s="1"/>
  <c r="I34" i="1"/>
  <c r="U7" i="2"/>
  <c r="U100" i="2"/>
  <c r="Q7" i="10"/>
  <c r="I13" i="1" s="1"/>
  <c r="X7" i="2"/>
  <c r="P28" i="1"/>
  <c r="AA100" i="2"/>
  <c r="O98" i="38" s="1"/>
  <c r="R7" i="2"/>
  <c r="K7" i="10"/>
  <c r="X100" i="2"/>
  <c r="AA7" i="2"/>
  <c r="O100" i="2"/>
  <c r="O7" i="2"/>
  <c r="N28" i="1"/>
  <c r="W7" i="10"/>
  <c r="K15" i="1"/>
  <c r="C7" i="10"/>
  <c r="C13" i="1" s="1"/>
  <c r="AB7" i="10"/>
  <c r="L15" i="1"/>
  <c r="M15" i="1"/>
  <c r="N15" i="1"/>
  <c r="V7" i="10"/>
  <c r="J15" i="1"/>
  <c r="P13" i="1"/>
  <c r="O12" i="1"/>
  <c r="O13" i="1"/>
  <c r="E7" i="10"/>
  <c r="E14" i="1"/>
  <c r="Q14" i="1" s="1"/>
  <c r="J7" i="10"/>
  <c r="F14" i="1"/>
  <c r="P7" i="10"/>
  <c r="H14" i="1"/>
  <c r="D7" i="10"/>
  <c r="D14" i="1"/>
  <c r="L7" i="2"/>
  <c r="J7" i="38" s="1"/>
  <c r="AQ8" i="2"/>
  <c r="AQ7" i="2" s="1"/>
  <c r="AR147" i="2"/>
  <c r="AR101" i="2"/>
  <c r="AR120" i="2"/>
  <c r="AR73" i="2"/>
  <c r="AQ100" i="2"/>
  <c r="AP100" i="2"/>
  <c r="X37" i="3"/>
  <c r="X5" i="3"/>
  <c r="R37" i="1" l="1"/>
  <c r="Q15" i="1"/>
  <c r="Q33" i="1"/>
  <c r="R15" i="1"/>
  <c r="R33" i="1"/>
  <c r="Q37" i="1"/>
  <c r="R34" i="1"/>
  <c r="R14" i="1"/>
  <c r="Q34" i="1"/>
  <c r="Q72" i="10"/>
  <c r="I23" i="1" s="1"/>
  <c r="Q23" i="1" s="1"/>
  <c r="D55" i="19"/>
  <c r="F22" i="30" s="1"/>
  <c r="H22" i="30" s="1"/>
  <c r="X76" i="3"/>
  <c r="J99" i="10"/>
  <c r="F28" i="1" s="1"/>
  <c r="I60" i="19"/>
  <c r="U27" i="30" s="1"/>
  <c r="W27" i="30" s="1"/>
  <c r="I6" i="19"/>
  <c r="K6" i="19" s="1"/>
  <c r="L6" i="19" s="1"/>
  <c r="D39" i="19"/>
  <c r="E39" i="19" s="1"/>
  <c r="F39" i="19" s="1"/>
  <c r="L6" i="30" s="1"/>
  <c r="N6" i="30" s="1"/>
  <c r="L13" i="30"/>
  <c r="N13" i="30" s="1"/>
  <c r="Z6" i="27"/>
  <c r="N7" i="38"/>
  <c r="V6" i="27"/>
  <c r="M7" i="38"/>
  <c r="AB99" i="10"/>
  <c r="L28" i="1" s="1"/>
  <c r="R6" i="27"/>
  <c r="L7" i="38"/>
  <c r="R167" i="27"/>
  <c r="L167" i="38"/>
  <c r="D99" i="10"/>
  <c r="D28" i="1" s="1"/>
  <c r="N6" i="27"/>
  <c r="K7" i="38"/>
  <c r="AU6" i="10"/>
  <c r="O7" i="38"/>
  <c r="V100" i="27"/>
  <c r="M98" i="38"/>
  <c r="Z167" i="27"/>
  <c r="N167" i="38"/>
  <c r="N100" i="27"/>
  <c r="K98" i="38"/>
  <c r="Z100" i="27"/>
  <c r="N98" i="38"/>
  <c r="V167" i="27"/>
  <c r="M167" i="38"/>
  <c r="D60" i="19"/>
  <c r="C27" i="30"/>
  <c r="E27" i="30" s="1"/>
  <c r="D57" i="19"/>
  <c r="F24" i="30" s="1"/>
  <c r="H24" i="30" s="1"/>
  <c r="E62" i="19"/>
  <c r="F62" i="19" s="1"/>
  <c r="L29" i="30" s="1"/>
  <c r="N29" i="30" s="1"/>
  <c r="I24" i="19"/>
  <c r="K24" i="19" s="1"/>
  <c r="L24" i="19" s="1"/>
  <c r="L25" i="30"/>
  <c r="N25" i="30" s="1"/>
  <c r="P99" i="10"/>
  <c r="H28" i="1" s="1"/>
  <c r="V99" i="10"/>
  <c r="J28" i="1" s="1"/>
  <c r="F14" i="30"/>
  <c r="H14" i="30" s="1"/>
  <c r="E51" i="19"/>
  <c r="F51" i="19" s="1"/>
  <c r="G51" i="19" s="1"/>
  <c r="F26" i="30"/>
  <c r="H26" i="30" s="1"/>
  <c r="E45" i="19"/>
  <c r="F45" i="19" s="1"/>
  <c r="G45" i="19" s="1"/>
  <c r="AD6" i="27"/>
  <c r="F17" i="30"/>
  <c r="H17" i="30" s="1"/>
  <c r="J6" i="27"/>
  <c r="N100" i="24"/>
  <c r="M100" i="24"/>
  <c r="D38" i="19"/>
  <c r="E38" i="19" s="1"/>
  <c r="F38" i="19" s="1"/>
  <c r="C5" i="30"/>
  <c r="E5" i="30" s="1"/>
  <c r="G59" i="19"/>
  <c r="L26" i="30"/>
  <c r="N26" i="30" s="1"/>
  <c r="Y25" i="30"/>
  <c r="AA25" i="30" s="1"/>
  <c r="W25" i="30"/>
  <c r="H58" i="19"/>
  <c r="R25" i="30" s="1"/>
  <c r="T25" i="30" s="1"/>
  <c r="O25" i="30"/>
  <c r="Q25" i="30" s="1"/>
  <c r="I25" i="30"/>
  <c r="K25" i="30" s="1"/>
  <c r="G47" i="19"/>
  <c r="L14" i="30"/>
  <c r="N14" i="30" s="1"/>
  <c r="Y13" i="30"/>
  <c r="AA13" i="30" s="1"/>
  <c r="W13" i="30"/>
  <c r="H46" i="19"/>
  <c r="R13" i="30" s="1"/>
  <c r="T13" i="30" s="1"/>
  <c r="O13" i="30"/>
  <c r="Q13" i="30" s="1"/>
  <c r="I13" i="30"/>
  <c r="K13" i="30" s="1"/>
  <c r="Y11" i="30"/>
  <c r="AA11" i="30" s="1"/>
  <c r="W11" i="30"/>
  <c r="H44" i="19"/>
  <c r="R11" i="30" s="1"/>
  <c r="T11" i="30" s="1"/>
  <c r="I11" i="30"/>
  <c r="K11" i="30" s="1"/>
  <c r="O11" i="30"/>
  <c r="Q11" i="30" s="1"/>
  <c r="G39" i="19"/>
  <c r="E37" i="19"/>
  <c r="F37" i="19" s="1"/>
  <c r="F4" i="30"/>
  <c r="H4" i="30" s="1"/>
  <c r="G50" i="19"/>
  <c r="L17" i="30"/>
  <c r="N17" i="30" s="1"/>
  <c r="G48" i="19"/>
  <c r="L15" i="30"/>
  <c r="N15" i="30" s="1"/>
  <c r="E52" i="19"/>
  <c r="F52" i="19" s="1"/>
  <c r="F19" i="30"/>
  <c r="H19" i="30" s="1"/>
  <c r="E53" i="19"/>
  <c r="F53" i="19" s="1"/>
  <c r="F20" i="30"/>
  <c r="H20" i="30" s="1"/>
  <c r="K100" i="24"/>
  <c r="W100" i="11"/>
  <c r="AD100" i="27"/>
  <c r="O100" i="24"/>
  <c r="E54" i="19"/>
  <c r="F54" i="19" s="1"/>
  <c r="F21" i="30"/>
  <c r="H21" i="30" s="1"/>
  <c r="H23" i="1"/>
  <c r="R23" i="1" s="1"/>
  <c r="I22" i="19"/>
  <c r="AR7" i="2"/>
  <c r="I9" i="19"/>
  <c r="K9" i="19" s="1"/>
  <c r="L9" i="19" s="1"/>
  <c r="C42" i="19"/>
  <c r="I50" i="19"/>
  <c r="U17" i="30" s="1"/>
  <c r="I47" i="19"/>
  <c r="U14" i="30" s="1"/>
  <c r="I52" i="19"/>
  <c r="U19" i="30" s="1"/>
  <c r="I59" i="19"/>
  <c r="U26" i="30" s="1"/>
  <c r="I45" i="19"/>
  <c r="U12" i="30" s="1"/>
  <c r="I48" i="19"/>
  <c r="U15" i="30" s="1"/>
  <c r="I53" i="19"/>
  <c r="U20" i="30" s="1"/>
  <c r="I54" i="19"/>
  <c r="U21" i="30" s="1"/>
  <c r="P12" i="1"/>
  <c r="I29" i="19"/>
  <c r="K29" i="19" s="1"/>
  <c r="L29" i="19" s="1"/>
  <c r="I5" i="19"/>
  <c r="K5" i="19" s="1"/>
  <c r="L5" i="19" s="1"/>
  <c r="I18" i="19"/>
  <c r="K18" i="19" s="1"/>
  <c r="L18" i="19" s="1"/>
  <c r="K6" i="10"/>
  <c r="G12" i="1" s="1"/>
  <c r="U183" i="2"/>
  <c r="X183" i="2"/>
  <c r="G13" i="1"/>
  <c r="C6" i="10"/>
  <c r="C12" i="1" s="1"/>
  <c r="V6" i="10"/>
  <c r="J12" i="1" s="1"/>
  <c r="J13" i="1"/>
  <c r="N12" i="1"/>
  <c r="N13" i="1"/>
  <c r="AB6" i="10"/>
  <c r="L12" i="1" s="1"/>
  <c r="L13" i="1"/>
  <c r="W6" i="10"/>
  <c r="K12" i="1" s="1"/>
  <c r="K13" i="1"/>
  <c r="P6" i="10"/>
  <c r="H12" i="1" s="1"/>
  <c r="H13" i="1"/>
  <c r="J6" i="10"/>
  <c r="F12" i="1" s="1"/>
  <c r="F13" i="1"/>
  <c r="E6" i="10"/>
  <c r="E12" i="1" s="1"/>
  <c r="E13" i="1"/>
  <c r="D6" i="10"/>
  <c r="D12" i="1" s="1"/>
  <c r="D13" i="1"/>
  <c r="AR100" i="2"/>
  <c r="N39" i="3"/>
  <c r="N38" i="3" s="1"/>
  <c r="N37" i="3" s="1"/>
  <c r="N76" i="3" s="1"/>
  <c r="R102" i="2"/>
  <c r="L40" i="3"/>
  <c r="R28" i="1" l="1"/>
  <c r="R13" i="1"/>
  <c r="Q6" i="10"/>
  <c r="I12" i="1" s="1"/>
  <c r="E55" i="19"/>
  <c r="F55" i="19" s="1"/>
  <c r="F23" i="30"/>
  <c r="H23" i="30" s="1"/>
  <c r="Y27" i="30"/>
  <c r="AA27" i="30" s="1"/>
  <c r="F6" i="30"/>
  <c r="H6" i="30" s="1"/>
  <c r="Z181" i="27"/>
  <c r="I39" i="19"/>
  <c r="U6" i="30" s="1"/>
  <c r="E57" i="19"/>
  <c r="F57" i="19" s="1"/>
  <c r="L24" i="30" s="1"/>
  <c r="N24" i="30" s="1"/>
  <c r="V181" i="27"/>
  <c r="R102" i="27"/>
  <c r="L100" i="38"/>
  <c r="E60" i="19"/>
  <c r="F60" i="19" s="1"/>
  <c r="F27" i="30"/>
  <c r="H27" i="30" s="1"/>
  <c r="G62" i="19"/>
  <c r="I29" i="30" s="1"/>
  <c r="K29" i="30" s="1"/>
  <c r="I57" i="19"/>
  <c r="U24" i="30" s="1"/>
  <c r="W24" i="30" s="1"/>
  <c r="L12" i="30"/>
  <c r="N12" i="30" s="1"/>
  <c r="I55" i="19"/>
  <c r="K22" i="19"/>
  <c r="L22" i="19" s="1"/>
  <c r="L18" i="30"/>
  <c r="N18" i="30" s="1"/>
  <c r="F5" i="30"/>
  <c r="H5" i="30" s="1"/>
  <c r="L102" i="25"/>
  <c r="L101" i="25" s="1"/>
  <c r="L100" i="25" s="1"/>
  <c r="D42" i="19"/>
  <c r="E42" i="19" s="1"/>
  <c r="F42" i="19" s="1"/>
  <c r="C9" i="30"/>
  <c r="E9" i="30" s="1"/>
  <c r="Y26" i="30"/>
  <c r="AA26" i="30" s="1"/>
  <c r="W26" i="30"/>
  <c r="H59" i="19"/>
  <c r="R26" i="30" s="1"/>
  <c r="T26" i="30" s="1"/>
  <c r="O26" i="30"/>
  <c r="Q26" i="30" s="1"/>
  <c r="I26" i="30"/>
  <c r="K26" i="30" s="1"/>
  <c r="Y14" i="30"/>
  <c r="AA14" i="30" s="1"/>
  <c r="W14" i="30"/>
  <c r="H47" i="19"/>
  <c r="R14" i="30" s="1"/>
  <c r="T14" i="30" s="1"/>
  <c r="O14" i="30"/>
  <c r="Q14" i="30" s="1"/>
  <c r="I14" i="30"/>
  <c r="K14" i="30" s="1"/>
  <c r="Y12" i="30"/>
  <c r="AA12" i="30" s="1"/>
  <c r="W12" i="30"/>
  <c r="H45" i="19"/>
  <c r="R12" i="30" s="1"/>
  <c r="T12" i="30" s="1"/>
  <c r="O12" i="30"/>
  <c r="Q12" i="30" s="1"/>
  <c r="I12" i="30"/>
  <c r="K12" i="30" s="1"/>
  <c r="H39" i="19"/>
  <c r="R6" i="30" s="1"/>
  <c r="T6" i="30" s="1"/>
  <c r="I6" i="30"/>
  <c r="K6" i="30" s="1"/>
  <c r="O6" i="30"/>
  <c r="Q6" i="30" s="1"/>
  <c r="G38" i="19"/>
  <c r="L5" i="30"/>
  <c r="N5" i="30" s="1"/>
  <c r="G37" i="19"/>
  <c r="L4" i="30"/>
  <c r="N4" i="30" s="1"/>
  <c r="Y15" i="30"/>
  <c r="AA15" i="30" s="1"/>
  <c r="W15" i="30"/>
  <c r="Y17" i="30"/>
  <c r="AA17" i="30" s="1"/>
  <c r="W17" i="30"/>
  <c r="H50" i="19"/>
  <c r="R17" i="30" s="1"/>
  <c r="T17" i="30" s="1"/>
  <c r="O17" i="30"/>
  <c r="Q17" i="30" s="1"/>
  <c r="I17" i="30"/>
  <c r="K17" i="30" s="1"/>
  <c r="H51" i="19"/>
  <c r="R18" i="30" s="1"/>
  <c r="T18" i="30" s="1"/>
  <c r="O18" i="30"/>
  <c r="Q18" i="30" s="1"/>
  <c r="I18" i="30"/>
  <c r="K18" i="30" s="1"/>
  <c r="H48" i="19"/>
  <c r="R15" i="30" s="1"/>
  <c r="T15" i="30" s="1"/>
  <c r="I15" i="30"/>
  <c r="K15" i="30" s="1"/>
  <c r="O15" i="30"/>
  <c r="Q15" i="30" s="1"/>
  <c r="Y19" i="30"/>
  <c r="AA19" i="30" s="1"/>
  <c r="W19" i="30"/>
  <c r="G52" i="19"/>
  <c r="L19" i="30"/>
  <c r="N19" i="30" s="1"/>
  <c r="Y20" i="30"/>
  <c r="AA20" i="30" s="1"/>
  <c r="W20" i="30"/>
  <c r="G53" i="19"/>
  <c r="L20" i="30"/>
  <c r="N20" i="30" s="1"/>
  <c r="G54" i="19"/>
  <c r="L21" i="30"/>
  <c r="N21" i="30" s="1"/>
  <c r="Y21" i="30"/>
  <c r="AA21" i="30" s="1"/>
  <c r="W21" i="30"/>
  <c r="I62" i="19"/>
  <c r="U29" i="30" s="1"/>
  <c r="L4" i="19"/>
  <c r="I37" i="19"/>
  <c r="U4" i="30" s="1"/>
  <c r="I38" i="19"/>
  <c r="I51" i="19"/>
  <c r="U18" i="30" s="1"/>
  <c r="I42" i="19"/>
  <c r="U9" i="30" s="1"/>
  <c r="L39" i="3"/>
  <c r="L38" i="3" s="1"/>
  <c r="L37" i="3" s="1"/>
  <c r="L76" i="3" s="1"/>
  <c r="L105" i="2"/>
  <c r="R101" i="2"/>
  <c r="U22" i="30" l="1"/>
  <c r="Y22" i="30" s="1"/>
  <c r="AA22" i="30" s="1"/>
  <c r="U23" i="30"/>
  <c r="L22" i="30"/>
  <c r="N22" i="30" s="1"/>
  <c r="L23" i="30"/>
  <c r="N23" i="30" s="1"/>
  <c r="G55" i="19"/>
  <c r="J104" i="23"/>
  <c r="J101" i="23" s="1"/>
  <c r="J105" i="24"/>
  <c r="J102" i="24" s="1"/>
  <c r="J101" i="24" s="1"/>
  <c r="J100" i="24" s="1"/>
  <c r="Y24" i="30"/>
  <c r="AA24" i="30" s="1"/>
  <c r="G57" i="19"/>
  <c r="H57" i="19" s="1"/>
  <c r="R24" i="30" s="1"/>
  <c r="T24" i="30" s="1"/>
  <c r="H62" i="19"/>
  <c r="R29" i="30" s="1"/>
  <c r="T29" i="30" s="1"/>
  <c r="O29" i="30"/>
  <c r="Q29" i="30" s="1"/>
  <c r="AI104" i="10"/>
  <c r="J103" i="38"/>
  <c r="G60" i="19"/>
  <c r="L27" i="30"/>
  <c r="N27" i="30" s="1"/>
  <c r="R101" i="27"/>
  <c r="L99" i="38"/>
  <c r="F9" i="30"/>
  <c r="H9" i="30" s="1"/>
  <c r="J105" i="27"/>
  <c r="L105" i="27" s="1"/>
  <c r="L102" i="27" s="1"/>
  <c r="L101" i="27" s="1"/>
  <c r="L100" i="27" s="1"/>
  <c r="Y29" i="30"/>
  <c r="AA29" i="30" s="1"/>
  <c r="W29" i="30"/>
  <c r="G42" i="19"/>
  <c r="L9" i="30"/>
  <c r="N9" i="30" s="1"/>
  <c r="Y9" i="30"/>
  <c r="AA9" i="30" s="1"/>
  <c r="W9" i="30"/>
  <c r="J39" i="19"/>
  <c r="W6" i="30"/>
  <c r="Y6" i="30"/>
  <c r="AA6" i="30" s="1"/>
  <c r="U5" i="30"/>
  <c r="H38" i="19"/>
  <c r="R5" i="30" s="1"/>
  <c r="T5" i="30" s="1"/>
  <c r="O5" i="30"/>
  <c r="Q5" i="30" s="1"/>
  <c r="I5" i="30"/>
  <c r="K5" i="30" s="1"/>
  <c r="W4" i="30"/>
  <c r="Y4" i="30"/>
  <c r="AA4" i="30" s="1"/>
  <c r="H37" i="19"/>
  <c r="R4" i="30" s="1"/>
  <c r="T4" i="30" s="1"/>
  <c r="O4" i="30"/>
  <c r="Q4" i="30" s="1"/>
  <c r="I4" i="30"/>
  <c r="K4" i="30" s="1"/>
  <c r="W18" i="30"/>
  <c r="Y18" i="30"/>
  <c r="AA18" i="30" s="1"/>
  <c r="H52" i="19"/>
  <c r="R19" i="30" s="1"/>
  <c r="T19" i="30" s="1"/>
  <c r="O19" i="30"/>
  <c r="Q19" i="30" s="1"/>
  <c r="I19" i="30"/>
  <c r="K19" i="30" s="1"/>
  <c r="H53" i="19"/>
  <c r="R20" i="30" s="1"/>
  <c r="T20" i="30" s="1"/>
  <c r="O20" i="30"/>
  <c r="Q20" i="30" s="1"/>
  <c r="I20" i="30"/>
  <c r="K20" i="30" s="1"/>
  <c r="H54" i="19"/>
  <c r="R21" i="30" s="1"/>
  <c r="T21" i="30" s="1"/>
  <c r="I21" i="30"/>
  <c r="K21" i="30" s="1"/>
  <c r="O21" i="30"/>
  <c r="Q21" i="30" s="1"/>
  <c r="V103" i="11"/>
  <c r="L102" i="2"/>
  <c r="J100" i="38" s="1"/>
  <c r="R100" i="2"/>
  <c r="K101" i="10"/>
  <c r="J100" i="23" l="1"/>
  <c r="W22" i="30"/>
  <c r="I22" i="30"/>
  <c r="K22" i="30" s="1"/>
  <c r="O23" i="30"/>
  <c r="Q23" i="30" s="1"/>
  <c r="I23" i="30"/>
  <c r="K23" i="30" s="1"/>
  <c r="O22" i="30"/>
  <c r="Q22" i="30" s="1"/>
  <c r="H55" i="19"/>
  <c r="I24" i="30"/>
  <c r="K24" i="30" s="1"/>
  <c r="O24" i="30"/>
  <c r="Q24" i="30" s="1"/>
  <c r="AI101" i="10"/>
  <c r="AI100" i="10" s="1"/>
  <c r="AI99" i="10" s="1"/>
  <c r="AI186" i="10" s="1"/>
  <c r="AC104" i="10"/>
  <c r="AC101" i="10" s="1"/>
  <c r="Q104" i="10"/>
  <c r="Q101" i="10" s="1"/>
  <c r="W104" i="10"/>
  <c r="W101" i="10" s="1"/>
  <c r="R100" i="27"/>
  <c r="R181" i="27" s="1"/>
  <c r="L98" i="38"/>
  <c r="I27" i="30"/>
  <c r="K27" i="30" s="1"/>
  <c r="O27" i="30"/>
  <c r="Q27" i="30" s="1"/>
  <c r="H60" i="19"/>
  <c r="R27" i="30" s="1"/>
  <c r="T27" i="30" s="1"/>
  <c r="L101" i="2"/>
  <c r="L100" i="2" s="1"/>
  <c r="J98" i="38" s="1"/>
  <c r="J102" i="27"/>
  <c r="J102" i="25"/>
  <c r="J101" i="25" s="1"/>
  <c r="J100" i="25" s="1"/>
  <c r="H42" i="19"/>
  <c r="R9" i="30" s="1"/>
  <c r="T9" i="30" s="1"/>
  <c r="O9" i="30"/>
  <c r="Q9" i="30" s="1"/>
  <c r="I9" i="30"/>
  <c r="K9" i="30" s="1"/>
  <c r="W5" i="30"/>
  <c r="Y5" i="30"/>
  <c r="AA5" i="30" s="1"/>
  <c r="J38" i="19"/>
  <c r="L100" i="24"/>
  <c r="E15" i="12"/>
  <c r="V100" i="11"/>
  <c r="R183" i="2"/>
  <c r="K100" i="10"/>
  <c r="G30" i="1"/>
  <c r="C101" i="10"/>
  <c r="E101" i="10"/>
  <c r="X67" i="6"/>
  <c r="X66" i="6" s="1"/>
  <c r="X65" i="6" s="1"/>
  <c r="E38" i="12" l="1"/>
  <c r="R22" i="30"/>
  <c r="T22" i="30" s="1"/>
  <c r="R23" i="30"/>
  <c r="T23" i="30" s="1"/>
  <c r="J99" i="38"/>
  <c r="J101" i="27"/>
  <c r="J100" i="27"/>
  <c r="P169" i="10"/>
  <c r="J169" i="10"/>
  <c r="L67" i="6"/>
  <c r="L66" i="6" s="1"/>
  <c r="L65" i="6" s="1"/>
  <c r="L73" i="6" s="1"/>
  <c r="O170" i="2"/>
  <c r="W100" i="10"/>
  <c r="K30" i="1"/>
  <c r="E100" i="10"/>
  <c r="E30" i="1"/>
  <c r="C100" i="10"/>
  <c r="C30" i="1"/>
  <c r="K99" i="10"/>
  <c r="G28" i="1" s="1"/>
  <c r="G29" i="1"/>
  <c r="AC100" i="10"/>
  <c r="M30" i="1"/>
  <c r="O30" i="1"/>
  <c r="Q100" i="10"/>
  <c r="I30" i="1"/>
  <c r="AA170" i="2"/>
  <c r="O169" i="38" s="1"/>
  <c r="H31" i="19"/>
  <c r="D169" i="10"/>
  <c r="V169" i="10"/>
  <c r="F31" i="19" s="1"/>
  <c r="AB169" i="10"/>
  <c r="G31" i="19" s="1"/>
  <c r="P66" i="6"/>
  <c r="P65" i="6" s="1"/>
  <c r="Q30" i="1" l="1"/>
  <c r="N169" i="27"/>
  <c r="K169" i="38"/>
  <c r="AD169" i="27"/>
  <c r="AA169" i="2"/>
  <c r="O168" i="38" s="1"/>
  <c r="D25" i="13"/>
  <c r="D168" i="10"/>
  <c r="D167" i="10" s="1"/>
  <c r="C28" i="19"/>
  <c r="J168" i="10"/>
  <c r="P168" i="10"/>
  <c r="AR170" i="2"/>
  <c r="AR169" i="2" s="1"/>
  <c r="K67" i="6"/>
  <c r="K66" i="6" s="1"/>
  <c r="K65" i="6" s="1"/>
  <c r="K73" i="6" s="1"/>
  <c r="O169" i="2"/>
  <c r="H44" i="1"/>
  <c r="AB168" i="10"/>
  <c r="L44" i="1"/>
  <c r="P44" i="1"/>
  <c r="N44" i="1"/>
  <c r="Q99" i="10"/>
  <c r="I28" i="1" s="1"/>
  <c r="I29" i="1"/>
  <c r="O28" i="1"/>
  <c r="O29" i="1"/>
  <c r="AC99" i="10"/>
  <c r="M28" i="1" s="1"/>
  <c r="M29" i="1"/>
  <c r="C99" i="10"/>
  <c r="C28" i="1" s="1"/>
  <c r="C29" i="1"/>
  <c r="E99" i="10"/>
  <c r="E28" i="1" s="1"/>
  <c r="E29" i="1"/>
  <c r="W99" i="10"/>
  <c r="K28" i="1" s="1"/>
  <c r="K29" i="1"/>
  <c r="F44" i="1"/>
  <c r="V168" i="10"/>
  <c r="J44" i="1"/>
  <c r="Q29" i="1" l="1"/>
  <c r="R44" i="1"/>
  <c r="Q28" i="1"/>
  <c r="N168" i="27"/>
  <c r="K168" i="38"/>
  <c r="AD168" i="27"/>
  <c r="E25" i="13"/>
  <c r="C31" i="19"/>
  <c r="C61" i="19"/>
  <c r="C28" i="30" s="1"/>
  <c r="E28" i="30" s="1"/>
  <c r="D43" i="1"/>
  <c r="D31" i="19"/>
  <c r="I28" i="19"/>
  <c r="K28" i="19" s="1"/>
  <c r="E31" i="19"/>
  <c r="L170" i="2"/>
  <c r="J169" i="38" s="1"/>
  <c r="O168" i="2"/>
  <c r="D186" i="10"/>
  <c r="D50" i="1" s="1"/>
  <c r="D42" i="1"/>
  <c r="J43" i="1"/>
  <c r="F43" i="1"/>
  <c r="N43" i="1"/>
  <c r="P43" i="1"/>
  <c r="L43" i="1"/>
  <c r="H43" i="1"/>
  <c r="R43" i="1" l="1"/>
  <c r="N167" i="27"/>
  <c r="N181" i="27" s="1"/>
  <c r="K167" i="38"/>
  <c r="L28" i="19"/>
  <c r="L31" i="19" s="1"/>
  <c r="K31" i="19"/>
  <c r="L169" i="2"/>
  <c r="J168" i="38" s="1"/>
  <c r="J169" i="27"/>
  <c r="I61" i="19"/>
  <c r="D61" i="19"/>
  <c r="F28" i="30" s="1"/>
  <c r="H28" i="30" s="1"/>
  <c r="C64" i="19"/>
  <c r="I31" i="19"/>
  <c r="E169" i="10"/>
  <c r="E168" i="10" s="1"/>
  <c r="E167" i="10" s="1"/>
  <c r="Q169" i="10"/>
  <c r="Q168" i="10" s="1"/>
  <c r="K169" i="10"/>
  <c r="K168" i="10" s="1"/>
  <c r="K167" i="10" s="1"/>
  <c r="W169" i="10"/>
  <c r="AC169" i="10"/>
  <c r="C169" i="10"/>
  <c r="C168" i="10" s="1"/>
  <c r="O183" i="2"/>
  <c r="P50" i="1"/>
  <c r="P42" i="1"/>
  <c r="N50" i="1"/>
  <c r="N42" i="1"/>
  <c r="L168" i="2" l="1"/>
  <c r="J167" i="38" s="1"/>
  <c r="J168" i="27"/>
  <c r="I64" i="19"/>
  <c r="U28" i="30"/>
  <c r="E61" i="19"/>
  <c r="F61" i="19" s="1"/>
  <c r="D64" i="19"/>
  <c r="AC168" i="10"/>
  <c r="M44" i="1"/>
  <c r="I44" i="1"/>
  <c r="W168" i="10"/>
  <c r="K44" i="1"/>
  <c r="C167" i="10"/>
  <c r="C43" i="1"/>
  <c r="G44" i="1"/>
  <c r="E44" i="1"/>
  <c r="O44" i="1"/>
  <c r="Q44" i="1" l="1"/>
  <c r="L183" i="2"/>
  <c r="J167" i="27"/>
  <c r="J181" i="27" s="1"/>
  <c r="Y28" i="30"/>
  <c r="AA28" i="30" s="1"/>
  <c r="W28" i="30"/>
  <c r="G61" i="19"/>
  <c r="L28" i="30"/>
  <c r="N28" i="30" s="1"/>
  <c r="F64" i="19"/>
  <c r="E64" i="19"/>
  <c r="G64" i="19"/>
  <c r="E43" i="1"/>
  <c r="C186" i="10"/>
  <c r="C50" i="1" s="1"/>
  <c r="C42" i="1"/>
  <c r="I43" i="1"/>
  <c r="O43" i="1"/>
  <c r="G43" i="1"/>
  <c r="K43" i="1"/>
  <c r="AC167" i="10"/>
  <c r="M43" i="1"/>
  <c r="Q43" i="1" l="1"/>
  <c r="H61" i="19"/>
  <c r="O28" i="30"/>
  <c r="Q28" i="30" s="1"/>
  <c r="I28" i="30"/>
  <c r="K28" i="30" s="1"/>
  <c r="O50" i="1"/>
  <c r="O42" i="1"/>
  <c r="M42" i="1"/>
  <c r="K186" i="10"/>
  <c r="G50" i="1" s="1"/>
  <c r="G42" i="1"/>
  <c r="E186" i="10"/>
  <c r="E50" i="1" s="1"/>
  <c r="E42" i="1"/>
  <c r="X7" i="6"/>
  <c r="X6" i="6" s="1"/>
  <c r="X5" i="6" s="1"/>
  <c r="X73" i="6" s="1"/>
  <c r="P6" i="6"/>
  <c r="P5" i="6" s="1"/>
  <c r="P73" i="6" s="1"/>
  <c r="L48" i="21"/>
  <c r="L101" i="21" s="1"/>
  <c r="S49" i="28"/>
  <c r="X50" i="27"/>
  <c r="R28" i="30" l="1"/>
  <c r="T28" i="30" s="1"/>
  <c r="H64" i="19"/>
  <c r="J49" i="28"/>
  <c r="K48" i="28" l="1"/>
  <c r="K6" i="28" s="1"/>
  <c r="K5" i="28" s="1"/>
  <c r="K179" i="28" s="1"/>
  <c r="L49" i="28"/>
  <c r="T48" i="28" l="1"/>
  <c r="T6" i="28" s="1"/>
  <c r="U49" i="28"/>
  <c r="T5" i="28" l="1"/>
  <c r="T179" i="28" s="1"/>
  <c r="C116" i="27"/>
  <c r="C114" i="11"/>
  <c r="B115" i="10"/>
  <c r="C116" i="25"/>
  <c r="C114" i="28"/>
  <c r="C115" i="23"/>
  <c r="C116" i="24"/>
  <c r="D116" i="20"/>
  <c r="C116" i="26"/>
  <c r="M52" i="2"/>
  <c r="N52" i="2" s="1"/>
  <c r="N50" i="2" s="1"/>
  <c r="M51" i="27"/>
  <c r="M49" i="27" s="1"/>
  <c r="M7" i="27" s="1"/>
  <c r="M6" i="27" s="1"/>
  <c r="M181" i="27" s="1"/>
  <c r="J50" i="28"/>
  <c r="L50" i="28" s="1"/>
  <c r="L48" i="28" s="1"/>
  <c r="K49" i="27"/>
  <c r="J48" i="28" s="1"/>
  <c r="L51" i="27"/>
  <c r="L49" i="27" s="1"/>
  <c r="L7" i="27" s="1"/>
  <c r="L6" i="27" s="1"/>
  <c r="L181" i="27" s="1"/>
  <c r="X51" i="27"/>
  <c r="X49" i="27" s="1"/>
  <c r="X7" i="27" s="1"/>
  <c r="X6" i="27" s="1"/>
  <c r="S50" i="28"/>
  <c r="U50" i="28" s="1"/>
  <c r="U48" i="28" s="1"/>
  <c r="Y51" i="27" l="1"/>
  <c r="Y49" i="27" s="1"/>
  <c r="Y7" i="27" s="1"/>
  <c r="Y6" i="27" s="1"/>
  <c r="Y181" i="27" s="1"/>
  <c r="K7" i="27"/>
  <c r="V52" i="2"/>
  <c r="M50" i="2"/>
  <c r="W49" i="27"/>
  <c r="S48" i="28" l="1"/>
  <c r="W7" i="27"/>
  <c r="W52" i="2"/>
  <c r="W50" i="2" s="1"/>
  <c r="V50" i="2"/>
  <c r="J6" i="28"/>
  <c r="L6" i="28" s="1"/>
  <c r="K6" i="27"/>
  <c r="S6" i="28" l="1"/>
  <c r="U6" i="28" s="1"/>
  <c r="W6" i="27"/>
  <c r="K181" i="27"/>
  <c r="W182" i="20" s="1"/>
  <c r="J5" i="28"/>
  <c r="L5" i="28" l="1"/>
  <c r="L179" i="28" s="1"/>
  <c r="J179" i="28"/>
  <c r="S5" i="28"/>
  <c r="W181" i="27"/>
  <c r="U5" i="28" l="1"/>
  <c r="U179" i="28" s="1"/>
  <c r="S179" i="28"/>
  <c r="B135" i="38" l="1"/>
  <c r="B137" i="38"/>
  <c r="B139" i="38"/>
  <c r="B134" i="38"/>
  <c r="B136" i="38"/>
  <c r="B138" i="38"/>
  <c r="L133" i="23" l="1"/>
  <c r="L119" i="23" s="1"/>
  <c r="L99" i="23" s="1"/>
  <c r="M133" i="23"/>
  <c r="M119" i="23" s="1"/>
  <c r="M99" i="23" s="1"/>
  <c r="N133" i="23"/>
  <c r="N119" i="23" s="1"/>
  <c r="N99" i="23" s="1"/>
  <c r="K133" i="23"/>
  <c r="K119" i="23" s="1"/>
  <c r="K99" i="23" s="1"/>
  <c r="O133" i="23"/>
  <c r="O119" i="23" s="1"/>
  <c r="O99" i="23" s="1"/>
  <c r="J133" i="23"/>
  <c r="J119" i="23" l="1"/>
  <c r="J99" i="23" s="1"/>
  <c r="J181" i="23"/>
  <c r="AC57" i="10"/>
  <c r="AC7" i="10" s="1"/>
  <c r="M13" i="1" s="1"/>
  <c r="Q13" i="1" s="1"/>
  <c r="M20" i="1" l="1"/>
  <c r="Q20" i="1" s="1"/>
  <c r="AC6" i="10"/>
  <c r="M12" i="1" l="1"/>
  <c r="AC186" i="10"/>
  <c r="M50" i="1" s="1"/>
  <c r="O172" i="38"/>
  <c r="AD172" i="27"/>
  <c r="D26" i="13"/>
  <c r="D27" i="13" s="1"/>
  <c r="AA172" i="2"/>
  <c r="AD171" i="27" s="1"/>
  <c r="AR173" i="2"/>
  <c r="AR172" i="2" s="1"/>
  <c r="AR168" i="2" s="1"/>
  <c r="AA168" i="2" l="1"/>
  <c r="AD167" i="27" s="1"/>
  <c r="AD181" i="27" s="1"/>
  <c r="E26" i="13"/>
  <c r="O171" i="38"/>
  <c r="O167" i="38" l="1"/>
  <c r="AA183" i="2"/>
  <c r="AK183" i="2" s="1"/>
  <c r="J173" i="10"/>
  <c r="F46" i="1" s="1"/>
  <c r="P179" i="10"/>
  <c r="AT179" i="10" s="1"/>
  <c r="AB179" i="10" s="1"/>
  <c r="AB173" i="10" l="1"/>
  <c r="AB172" i="10" s="1"/>
  <c r="W179" i="10"/>
  <c r="W173" i="10" s="1"/>
  <c r="J172" i="10"/>
  <c r="P173" i="10"/>
  <c r="V179" i="10"/>
  <c r="L46" i="1" l="1"/>
  <c r="K46" i="1"/>
  <c r="W172" i="10"/>
  <c r="V173" i="10"/>
  <c r="Q179" i="10"/>
  <c r="AB167" i="10"/>
  <c r="L45" i="1"/>
  <c r="CI179" i="10"/>
  <c r="F45" i="1"/>
  <c r="J167" i="10"/>
  <c r="H46" i="1"/>
  <c r="P172" i="10"/>
  <c r="CR179" i="10"/>
  <c r="K45" i="1" l="1"/>
  <c r="W167" i="10"/>
  <c r="J186" i="10"/>
  <c r="F50" i="1" s="1"/>
  <c r="F42" i="1"/>
  <c r="L42" i="1"/>
  <c r="AB186" i="10"/>
  <c r="L50" i="1" s="1"/>
  <c r="CQ179" i="10"/>
  <c r="Q173" i="10"/>
  <c r="P167" i="10"/>
  <c r="H45" i="1"/>
  <c r="J46" i="1"/>
  <c r="R46" i="1" s="1"/>
  <c r="AV183" i="10"/>
  <c r="V172" i="10"/>
  <c r="K42" i="1" l="1"/>
  <c r="W186" i="10"/>
  <c r="K50" i="1" s="1"/>
  <c r="V167" i="10"/>
  <c r="J45" i="1"/>
  <c r="R45" i="1" s="1"/>
  <c r="Q172" i="10"/>
  <c r="I46" i="1"/>
  <c r="Q46" i="1" s="1"/>
  <c r="P186" i="10"/>
  <c r="H50" i="1" s="1"/>
  <c r="H42" i="1"/>
  <c r="Q167" i="10" l="1"/>
  <c r="I45" i="1"/>
  <c r="Q45" i="1" s="1"/>
  <c r="J42" i="1"/>
  <c r="R42" i="1" s="1"/>
  <c r="V186" i="10"/>
  <c r="J50" i="1" s="1"/>
  <c r="I42" i="1" l="1"/>
  <c r="Q42" i="1" s="1"/>
  <c r="Q186" i="10"/>
  <c r="I50" i="1" s="1"/>
</calcChain>
</file>

<file path=xl/sharedStrings.xml><?xml version="1.0" encoding="utf-8"?>
<sst xmlns="http://schemas.openxmlformats.org/spreadsheetml/2006/main" count="6606" uniqueCount="1805">
  <si>
    <t>2015 m.</t>
  </si>
  <si>
    <t>2016 m.</t>
  </si>
  <si>
    <t>2017 m.</t>
  </si>
  <si>
    <t>2018 m.</t>
  </si>
  <si>
    <t>2019 m.</t>
  </si>
  <si>
    <t>2020 m.</t>
  </si>
  <si>
    <t>Iš viso 2014-2020 m. (be rezervinių projektų)</t>
  </si>
  <si>
    <t>Nr.</t>
  </si>
  <si>
    <t>Lėšų poreikis:</t>
  </si>
  <si>
    <t>Iš viso</t>
  </si>
  <si>
    <t>ES lėšos</t>
  </si>
  <si>
    <t>1.1.</t>
  </si>
  <si>
    <t>1.1.1.</t>
  </si>
  <si>
    <t xml:space="preserve">1.1.1.1 </t>
  </si>
  <si>
    <t>1.1.1.2</t>
  </si>
  <si>
    <t xml:space="preserve">1.1.1.3 </t>
  </si>
  <si>
    <t>1.1.1.4</t>
  </si>
  <si>
    <t>1.1.1.5.</t>
  </si>
  <si>
    <t>1.1.1.6.</t>
  </si>
  <si>
    <t>1.1.1.7.</t>
  </si>
  <si>
    <t>1.1.1.8.</t>
  </si>
  <si>
    <t>1.1.1.9.</t>
  </si>
  <si>
    <t>1.1.2.</t>
  </si>
  <si>
    <t>1.1.2.1.</t>
  </si>
  <si>
    <t>1.1.2.2.</t>
  </si>
  <si>
    <t>1.1.2.3.</t>
  </si>
  <si>
    <t>1.1.2.4.</t>
  </si>
  <si>
    <t>2.1.</t>
  </si>
  <si>
    <t>2.1.1.</t>
  </si>
  <si>
    <t>2.1.1.1.</t>
  </si>
  <si>
    <t>2.1.1.2.</t>
  </si>
  <si>
    <t>2.1.1.3.</t>
  </si>
  <si>
    <t>2.1.2.</t>
  </si>
  <si>
    <t>2.1.2.1</t>
  </si>
  <si>
    <t>2.1.2.2</t>
  </si>
  <si>
    <t>2.1.3.</t>
  </si>
  <si>
    <t>2.1.3.1</t>
  </si>
  <si>
    <t>2.1.3.2</t>
  </si>
  <si>
    <t>2.1.4.</t>
  </si>
  <si>
    <t>2.1.4.1.</t>
  </si>
  <si>
    <t>3.1.</t>
  </si>
  <si>
    <t>3.1.1.</t>
  </si>
  <si>
    <t>3.1.1.1</t>
  </si>
  <si>
    <t>3.1.2.</t>
  </si>
  <si>
    <t>3.1.2.1.</t>
  </si>
  <si>
    <t>Iš viso planui įgyvendinti:</t>
  </si>
  <si>
    <t>Požymiai</t>
  </si>
  <si>
    <t>Lėšų poreikis ir finansavimo šaltiniai (Lt)</t>
  </si>
  <si>
    <t>Projekto etapai</t>
  </si>
  <si>
    <t>Projektas</t>
  </si>
  <si>
    <t>Pareiškėjas</t>
  </si>
  <si>
    <t>Ministerija</t>
  </si>
  <si>
    <t>Įgyvendinimo teritorija</t>
  </si>
  <si>
    <t>Veiksmų programos įgyvendinimo plano priemonė arba  Kaimo plėtros programos priemonė (Nr.)</t>
  </si>
  <si>
    <t>R/V*</t>
  </si>
  <si>
    <t>ITI**</t>
  </si>
  <si>
    <t>rez.***</t>
  </si>
  <si>
    <t>Iš viso:</t>
  </si>
  <si>
    <t>Savivaldybės biudžetas</t>
  </si>
  <si>
    <t>Valstybės biudžetas</t>
  </si>
  <si>
    <t>Privačios lėšos</t>
  </si>
  <si>
    <t>Kitos viešosios lėšos</t>
  </si>
  <si>
    <t>Įtraukimas į sąrašą (metai/mėnuo)</t>
  </si>
  <si>
    <t>Paraiškos pateikimas įgyvendinančiajai institucijai (metai/mėnuo)</t>
  </si>
  <si>
    <t>Finansavimo sutarties sudarymas (metai/mėnuo)</t>
  </si>
  <si>
    <t>Projekto užbaigimas (metai)</t>
  </si>
  <si>
    <t>-</t>
  </si>
  <si>
    <t>1.1.1.1</t>
  </si>
  <si>
    <t>1.1.1.1.1</t>
  </si>
  <si>
    <t>1.1.1.2.1</t>
  </si>
  <si>
    <t>1.1.1.3</t>
  </si>
  <si>
    <t>1.1.1.3.1</t>
  </si>
  <si>
    <t>1.1.1.4.1</t>
  </si>
  <si>
    <t>2 lentelė. Projektams įgyvendinti reikalingų lėšų poreikis, finansavimo šaltiniai ir pagrindinių projektų įgyvendinimo etapų terminai.</t>
  </si>
  <si>
    <t>Lietuvos Respublikos žemės ūkio ministerija</t>
  </si>
  <si>
    <t>Lietuvos Respublikos vidaus reikalų ministerija</t>
  </si>
  <si>
    <t>1.1.1.5</t>
  </si>
  <si>
    <t>Lietuvos Respublikos aplinkos ministerija</t>
  </si>
  <si>
    <t>1.1.1.5.1</t>
  </si>
  <si>
    <t>1.1.1.6</t>
  </si>
  <si>
    <t>1.1.1.6.1</t>
  </si>
  <si>
    <t>1.1.1.7</t>
  </si>
  <si>
    <t>Lietuvos Respublikos ūkio ministerija</t>
  </si>
  <si>
    <t>1.1.1.7.1</t>
  </si>
  <si>
    <t>1.1.1.8</t>
  </si>
  <si>
    <t>1.1.1.8.1</t>
  </si>
  <si>
    <t>1.1.1.9</t>
  </si>
  <si>
    <t>1.1.1.9.1</t>
  </si>
  <si>
    <t>1.1.2.1</t>
  </si>
  <si>
    <t>1.1.2.1.1</t>
  </si>
  <si>
    <t>1.1.2.2</t>
  </si>
  <si>
    <t>1.1.2.2.1</t>
  </si>
  <si>
    <t>1.1.2.3</t>
  </si>
  <si>
    <t>1.1.2.3.1</t>
  </si>
  <si>
    <t>1.1.2.4</t>
  </si>
  <si>
    <t>1.1.2.4.1</t>
  </si>
  <si>
    <t>2.1.1.1</t>
  </si>
  <si>
    <t>Lietuvos Respublikos švietimo ir mokslo ministerija</t>
  </si>
  <si>
    <t>2.1.1.1.1</t>
  </si>
  <si>
    <t>2.1.1.2</t>
  </si>
  <si>
    <t>2.1.1.2.1</t>
  </si>
  <si>
    <t>2.1.1.3</t>
  </si>
  <si>
    <t>2.1.1.3.1</t>
  </si>
  <si>
    <t>Lietuvos Respublikos Sveikatos apsaugos ministerija</t>
  </si>
  <si>
    <t>2.1.2.1.1</t>
  </si>
  <si>
    <t>2.1.2.1.2</t>
  </si>
  <si>
    <t>Lietuvos Respublikos socialinės apsaugos ir darbo ministerija</t>
  </si>
  <si>
    <t>2.1.3.1.1</t>
  </si>
  <si>
    <t>2.1.3.1.2</t>
  </si>
  <si>
    <t>2.1.4.1</t>
  </si>
  <si>
    <t>2.1.4.1.1</t>
  </si>
  <si>
    <t>05.2.1-APVA-R-008 „Komunalinių atliekų tvarkymo infrastruktūros plėtra“</t>
  </si>
  <si>
    <t>3.1.1.1.1</t>
  </si>
  <si>
    <t>3.1.2.1</t>
  </si>
  <si>
    <t>3.1.2.1.1</t>
  </si>
  <si>
    <t>Lietuvos Respublikos susisiekimo ministerija</t>
  </si>
  <si>
    <t>Lietuvos Respublikos kultūros ministerija</t>
  </si>
  <si>
    <t>savivaldybės ES lėšų limitas</t>
  </si>
  <si>
    <t>savivaldybės ES lėšų limitas + 20 proc.</t>
  </si>
  <si>
    <t>R</t>
  </si>
  <si>
    <t>1.1.1.1.2</t>
  </si>
  <si>
    <t>1.1.1.1.3</t>
  </si>
  <si>
    <t>savivaldybės ES lėšų limito likutis</t>
  </si>
  <si>
    <t>1.1.1.2.2</t>
  </si>
  <si>
    <t>Matuizų kaimo viešosios infrastruktūros atnaujinimas ir pritaikymas bendruomenės poreikiams</t>
  </si>
  <si>
    <t>Senosios Varėnos kaimo viešosios infrastruktūros atnaujinimas ir pritaikymas bendruomenės poreikiams</t>
  </si>
  <si>
    <t>1.1.1.3.2</t>
  </si>
  <si>
    <t>1.1.1.3.3</t>
  </si>
  <si>
    <t>1.1.1.3.4</t>
  </si>
  <si>
    <t>1.1.1.5.2.</t>
  </si>
  <si>
    <t>1.1.1.5.3</t>
  </si>
  <si>
    <t>1.1.1.5.4.</t>
  </si>
  <si>
    <t>1.1.1.5.5.</t>
  </si>
  <si>
    <t>Savivaldybes jungiančių turizmo trasų ir turizmo maršrutų informacinės infrastruktūros plėtra</t>
  </si>
  <si>
    <t>Kultūros įstaigų infrastruktūros modernizavimas Varėnos mieste</t>
  </si>
  <si>
    <t>04.5.1-TID-R-518</t>
  </si>
  <si>
    <t>09.1.3-CPVA-R-724</t>
  </si>
  <si>
    <t>2.1.1.2.2</t>
  </si>
  <si>
    <t>Varėnos "Pasakos" vaikų lopšelio-darželio pastato modernizavimas</t>
  </si>
  <si>
    <t>09.13.CPVA-R-725</t>
  </si>
  <si>
    <t>09.1.3-CPVA-R-705</t>
  </si>
  <si>
    <t>06.2.1-TID-R-511</t>
  </si>
  <si>
    <t>05.4.1-LVPA-R-831</t>
  </si>
  <si>
    <t>07.1.1-CPVA-R-305</t>
  </si>
  <si>
    <t>05.3.2-APVA-R-014</t>
  </si>
  <si>
    <t>07.1.1-CPVA-R-905</t>
  </si>
  <si>
    <t>8.2.1-CPVA-R-908</t>
  </si>
  <si>
    <t>04.5.1.-TID-R-514</t>
  </si>
  <si>
    <t>04.5.1-TID-R-516</t>
  </si>
  <si>
    <t>2.1.2.2.1</t>
  </si>
  <si>
    <t>Pirminės asmens sveikatos priežiūros veiklos efektyvumo didinimas Varėnos rajono savivaldybėje</t>
  </si>
  <si>
    <t>VšĮ Varėnos pirminės sveikatos priežiūros centras</t>
  </si>
  <si>
    <t>2.1.2.2.2</t>
  </si>
  <si>
    <t>08.1.3-CPVA-R-609</t>
  </si>
  <si>
    <t>08.1.2-CPVA-R-407</t>
  </si>
  <si>
    <t>08.1.1-CPVA·R-408</t>
  </si>
  <si>
    <t>10.1.3- ESFA-R-921</t>
  </si>
  <si>
    <t>Regionos ES lėšų limitas</t>
  </si>
  <si>
    <t>Regiono ES lėšų limitas + 20 proc.</t>
  </si>
  <si>
    <t>2.1.3.2.1</t>
  </si>
  <si>
    <t>Amatų centro „Menų kalvė“ Druskininkuose įkūrimas</t>
  </si>
  <si>
    <t>Lazdijų rajono savivaldybės administracija</t>
  </si>
  <si>
    <t>V</t>
  </si>
  <si>
    <t>Alytaus m.</t>
  </si>
  <si>
    <t>1.1.2.2.2</t>
  </si>
  <si>
    <t>1.1.2.2.3</t>
  </si>
  <si>
    <t>1.1.1.4.2</t>
  </si>
  <si>
    <t>1.1.1.4.3</t>
  </si>
  <si>
    <t>ITI</t>
  </si>
  <si>
    <t>1.1.1.8.2</t>
  </si>
  <si>
    <t>1.1.2.1.2</t>
  </si>
  <si>
    <t>1.1.2.2.4</t>
  </si>
  <si>
    <t>1.1.1.8.3</t>
  </si>
  <si>
    <t>1.1.2.3.2</t>
  </si>
  <si>
    <t>1.1.2.3.3</t>
  </si>
  <si>
    <t>Regiono ES lėšų limito likutis</t>
  </si>
  <si>
    <t>1.1.1.8.4</t>
  </si>
  <si>
    <t>1.1.1.9.2</t>
  </si>
  <si>
    <t>1.1.1.9.3</t>
  </si>
  <si>
    <t>07.1.1-CPVA-V-902</t>
  </si>
  <si>
    <t>05.1.1-APVA-R-007</t>
  </si>
  <si>
    <t>1.1.2.4.2</t>
  </si>
  <si>
    <t xml:space="preserve">Druskininkų savivaldybės administracija  </t>
  </si>
  <si>
    <t>05.4.1-CPVA-R-302</t>
  </si>
  <si>
    <t>Kompleksinė Miklusėnų gyvenvietės plėtra</t>
  </si>
  <si>
    <t>Alytaus rajono savivaldybės administracija</t>
  </si>
  <si>
    <t>Alytaus rajonas</t>
  </si>
  <si>
    <t>Alytaus regionas</t>
  </si>
  <si>
    <t>Eismo saugos priemonių diegimas Alytaus rajone</t>
  </si>
  <si>
    <t>Alytaus rajono bendrojo ugdymo įstaigų aprūpinimas gamtos, technologijų, menų ir kitų mokslų laboratorijų įranga</t>
  </si>
  <si>
    <t>Alytaus r. ikimokyklinio ir priešmokyklinio ugdymo prieinamumo didinimas įkuriant ir atnaujinant edukacines erdves</t>
  </si>
  <si>
    <t>Alytaus rajono savivaldybė</t>
  </si>
  <si>
    <t>Būsto prieinamumo pažeidžiamoms gyventojų grupėms didinimas Alytaus rajone</t>
  </si>
  <si>
    <t>Alytaus regiono atliekų tvarkymo centras</t>
  </si>
  <si>
    <t>05.2.1-APVA-R-008</t>
  </si>
  <si>
    <t>Bešeimininkių apleistų pastatų ir įrenginių tvarkymas Alytaus rajono savivaldybėje</t>
  </si>
  <si>
    <t>05.5.1-APVA-R-019</t>
  </si>
  <si>
    <t>1.1.1.2.3</t>
  </si>
  <si>
    <t>1.1.1.7.2</t>
  </si>
  <si>
    <t>1.1.1.9.4</t>
  </si>
  <si>
    <t>1.1.2.1.3</t>
  </si>
  <si>
    <t>1.1.2.3.4</t>
  </si>
  <si>
    <t>2.1.1.2.3</t>
  </si>
  <si>
    <t>2.1.1.1.2</t>
  </si>
  <si>
    <t>2.1.1.2.4</t>
  </si>
  <si>
    <t>2.1.1.3.2</t>
  </si>
  <si>
    <t>2.1.2.1.3</t>
  </si>
  <si>
    <t>2.1.2.1.4</t>
  </si>
  <si>
    <t>2.1.2.1.5</t>
  </si>
  <si>
    <t>2.1.2.1.6</t>
  </si>
  <si>
    <t>2.1.2.1.7</t>
  </si>
  <si>
    <t>2.1.2.2.3</t>
  </si>
  <si>
    <t>2.1.3.2.2</t>
  </si>
  <si>
    <t>2.1.4.1.2</t>
  </si>
  <si>
    <t>3.1.2.1.2</t>
  </si>
  <si>
    <t>2.1.4.1.3</t>
  </si>
  <si>
    <t>1.1.1.7.3</t>
  </si>
  <si>
    <t>1.1.2.4.3.</t>
  </si>
  <si>
    <t>1.1.2.4.4</t>
  </si>
  <si>
    <t>Alytaus muzikos mokyklos pastato modernizavimas ir ugdymo aplinkos gerinimas</t>
  </si>
  <si>
    <t>2.1.2.1.8</t>
  </si>
  <si>
    <t>Socialinių paslaugų plėtra Alytaus mieste</t>
  </si>
  <si>
    <t>2.1.3.1.3</t>
  </si>
  <si>
    <t>Socialinio būsto plėtra Alytaus mieste</t>
  </si>
  <si>
    <t>2.1.4.1.4</t>
  </si>
  <si>
    <t>Alytaus miestas</t>
  </si>
  <si>
    <t>3.1.2.1.3</t>
  </si>
  <si>
    <t>2.1.1.1.3</t>
  </si>
  <si>
    <t>2.1.1.2.5</t>
  </si>
  <si>
    <t>2.1.1.3.3</t>
  </si>
  <si>
    <t>Druskininkų savivaldybė, Viečiūnų seniūnija</t>
  </si>
  <si>
    <t>1.1.1.2.4</t>
  </si>
  <si>
    <t>1.1.1.2.5</t>
  </si>
  <si>
    <t>UAB "Druskininkų vandenys"</t>
  </si>
  <si>
    <t>Druskininkų savivaldybė</t>
  </si>
  <si>
    <t>1.1.2.1.4</t>
  </si>
  <si>
    <t>1.1.2.3.5</t>
  </si>
  <si>
    <t>M. K. Čiurlionio gatvės atkarpos Druskininkų m. rekonstrukcija</t>
  </si>
  <si>
    <t>Modernių ir saugių erdvių sukūrimas bendrojo ugdymo mokyklose Druskininkų sav.</t>
  </si>
  <si>
    <t>2.1.1.1.4</t>
  </si>
  <si>
    <t>Druskininkų M. K. Čiurlionio meno mokyklos infrastruktūros tobulinimas</t>
  </si>
  <si>
    <t>Pirminės asmens sveikatos priežiūros kokybės ir prieinamumo gerinimas Druskininkų savivaldybėje</t>
  </si>
  <si>
    <t>Druskininkų savivaldybės administracija</t>
  </si>
  <si>
    <t>2.1.3.1.4</t>
  </si>
  <si>
    <t>Socialinio būsto fondo plėtra Druskininkų savivaldybėje</t>
  </si>
  <si>
    <t>2.1.3.2.4</t>
  </si>
  <si>
    <t>Paslaugų teikimo ir asmenų aptarnavimo kokybės gerinimas Druskininkų savivaldybėje</t>
  </si>
  <si>
    <t>2.1.4.1.5</t>
  </si>
  <si>
    <t>Lazdijų rajono savivaldybė</t>
  </si>
  <si>
    <t>2.1.3.1.5</t>
  </si>
  <si>
    <t>1.1.1.9.5</t>
  </si>
  <si>
    <t>1.1.2.4.5</t>
  </si>
  <si>
    <t>1.1.2.4.6</t>
  </si>
  <si>
    <t>2.1.1.3.4</t>
  </si>
  <si>
    <t>3.1.2.1.4</t>
  </si>
  <si>
    <t>Veiksmų programos įgyvendinimo plano priemonė (Nr.)</t>
  </si>
  <si>
    <t>Veiksmų programos įgyvendinimo plano priemonės pavadinimas</t>
  </si>
  <si>
    <t>Kaimo gyvenamųjų vietovių (turinčių iki 1 tūkst. gyventojų) atnaujinimas</t>
  </si>
  <si>
    <t>Pereinamojo laikotarpio teritorijų vystymas. I</t>
  </si>
  <si>
    <t>Pereinamojo laikotarpio teritorijų vystymas. II</t>
  </si>
  <si>
    <t>Paviršinių nuotekų sistemų tvarkymas</t>
  </si>
  <si>
    <t>Modernizuoti savivaldybių kultūros infrastruktūrą</t>
  </si>
  <si>
    <t>Aktualizuoti savivaldybių kultūros paveldo objektus</t>
  </si>
  <si>
    <t>Vietinio susisiekimo viešojo transporto priemonių parko atnaujinimas</t>
  </si>
  <si>
    <t>Darnaus judumo priemonių diegimas</t>
  </si>
  <si>
    <t>Pėsčiųjų ir dviračių takų rekonstrukcija ir plėtra</t>
  </si>
  <si>
    <t>Neformaliojo švietimo infrastruktūros tobulinimas</t>
  </si>
  <si>
    <t>Ikimokyklinio ir priešmokyklinio ugdymo prieinamumo didinimas</t>
  </si>
  <si>
    <t>Pirminės asmens ir visuomenės sveikatos priežiūros veiklos efektyvumo didinimas</t>
  </si>
  <si>
    <t>Socialinių paslaugų  infrastruktūros  plėtra</t>
  </si>
  <si>
    <t>Socialinio būsto fondo plėtra</t>
  </si>
  <si>
    <t>Paslaugų teikimo ir asmenų aptarnavimo kokybės gerinimas savivaldybėse</t>
  </si>
  <si>
    <t>Komunalinių atliekų tvarkymo infrastruktūros plėtra</t>
  </si>
  <si>
    <t>Kraštovaizdžio apsauga</t>
  </si>
  <si>
    <t>07.1.1-CPVA-R-903</t>
  </si>
  <si>
    <t>Darnaus judumo plano Druskininkuose parengimas</t>
  </si>
  <si>
    <t>04.5.1-TID-V-513</t>
  </si>
  <si>
    <t xml:space="preserve">Varėnos miesto Dainų slėnio infrastruktūros atnaujinimas ir pritaikymas visuomenės poreikiams </t>
  </si>
  <si>
    <t>Alytaus regiono turizmo informacinės infrastruktūros plėtra</t>
  </si>
  <si>
    <t>1.1.1.1.4</t>
  </si>
  <si>
    <t>Paslaugų teikimo ir asmenų aptarnavimo kokybės gerinimas Varėnos rajono savivaldybėje</t>
  </si>
  <si>
    <t>Darnaus judumo sistemų kūrimas</t>
  </si>
  <si>
    <t>Lėšų poreikis ir finansavimo šaltiniai (EUR)</t>
  </si>
  <si>
    <r>
      <t xml:space="preserve">Priemonė: </t>
    </r>
    <r>
      <rPr>
        <sz val="10"/>
        <rFont val="Times New Roman"/>
        <family val="1"/>
      </rPr>
      <t xml:space="preserve">   Komunalinių atliekų tvarkymo infrastruktūros plėtra</t>
    </r>
  </si>
  <si>
    <t>Druskininkų savivaldybė, Leipalingio seniūnija</t>
  </si>
  <si>
    <t>Saugaus eismo priemonių diegimas, Alytuje</t>
  </si>
  <si>
    <t>Varėnos rajono savivaldybės visuomenės sveikatos biuras</t>
  </si>
  <si>
    <t>Socialinio būsto plėtra Varėnos rajone</t>
  </si>
  <si>
    <t>Geriamojo vandens tiekimo ir nuotekų tvarkymo sistemų renovavimas ir plėtra Lazdijų rajono savivaldybėje</t>
  </si>
  <si>
    <t>Modernių ir saugių erdvių sukūrimas bendrojo ugdymo įstaigose Lazdijų rajono savivaldybėje</t>
  </si>
  <si>
    <t>Neformaliojo švietimo įstaigų Lazdijų rajono savivaldybėje infrastruktūros tobulinimas</t>
  </si>
  <si>
    <t>Socialinio būsto fondo plėtra Lazdijų rajono savivaldybėje</t>
  </si>
  <si>
    <t>Varėnos rajono savivaldybės administracija</t>
  </si>
  <si>
    <t>Varėnos rajono savivaldybė</t>
  </si>
  <si>
    <t>Alytaus rajono  savivaldybė</t>
  </si>
  <si>
    <t>2.1.1.1.5</t>
  </si>
  <si>
    <t>2.1.1.3.5</t>
  </si>
  <si>
    <t>2.1.3.2.5</t>
  </si>
  <si>
    <t>3.1.2.1.5</t>
  </si>
  <si>
    <t>3.1.2.1.6</t>
  </si>
  <si>
    <t>2.1.2.2.4.</t>
  </si>
  <si>
    <t>2.1.2.2.5</t>
  </si>
  <si>
    <t>Kraštovaizdžio formavimas Lazdijų rajono savivaldybėje</t>
  </si>
  <si>
    <t>1.1.1.1.5</t>
  </si>
  <si>
    <t>Vietinių kelių vystymas</t>
  </si>
  <si>
    <t>Geriamojo vandens tiekimo ir nuotekų tvarkymo sistemų renovavimas ir plėtra Varėnos rajone</t>
  </si>
  <si>
    <t>UAB „Varėnos vandenys“</t>
  </si>
  <si>
    <t>UAB “Dzūkijos vandenys“</t>
  </si>
  <si>
    <t>UAB „Lazdijų vanduo“</t>
  </si>
  <si>
    <t>Vandens tiekimo ir nuotekų šalinimo infrastruktūros renovavimas ir plėtra Druskininkų savivaldybėje</t>
  </si>
  <si>
    <t>Druskininkų miestas</t>
  </si>
  <si>
    <t>SĮ „Simno komunalininkas“</t>
  </si>
  <si>
    <t>Alytaus  rajono savivaldybė</t>
  </si>
  <si>
    <t>Lazdijų miesto kompleksinė infrastruktūros plėtra, III etapas</t>
  </si>
  <si>
    <t>Motiejaus  Gustaičio  memorialinio  namo  kompleksinis sutvarkymas</t>
  </si>
  <si>
    <t>Varėnos miesto centrinės dalies modernizavimas ir pritaikymas visuomenės poreikiams (I etapas)</t>
  </si>
  <si>
    <t>1.1.1.3.5</t>
  </si>
  <si>
    <t>Varėnos miesto centrinės dalies modernizavimas ir pritaikymas visuomenės poreikiams (II etapas)</t>
  </si>
  <si>
    <t>Vandens tiekimo ir nuotekų tvarkymo infrastruktūros plėtra Alytaus rajone (Krokialaukyje)</t>
  </si>
  <si>
    <t>Paviršinių nuotekų sistemų tvarkymas Alytaus mieste</t>
  </si>
  <si>
    <t>Kraštovaizdžio formavimas ir tvarkymas Varėnos r. savivaldybėje (I etapas)</t>
  </si>
  <si>
    <t>Varėnos  rajono savivaldybė</t>
  </si>
  <si>
    <t>Kraštovaizdžio formavimas ir tvarkymas Varėnos r. savivaldybėje (II etapas)</t>
  </si>
  <si>
    <t>Komunalinių atliekų tvarkymo sistemos plėtra Alytaus regione</t>
  </si>
  <si>
    <t>Alytaus atliekų tvarkymo regionas</t>
  </si>
  <si>
    <t xml:space="preserve">Alytaus miesto savivaldybės administracija </t>
  </si>
  <si>
    <t xml:space="preserve">Lazdijų, Varėnos rajonų ir Druskininkų savivaldybės </t>
  </si>
  <si>
    <t>Socialinių paslaugų infrastruktūros plėtra Varėnos rajono savivaldybėje</t>
  </si>
  <si>
    <t>Psichosocialinės pagalbos centro įkūrimas</t>
  </si>
  <si>
    <t>Alytaus  miestas</t>
  </si>
  <si>
    <t>Socialinių paslaugų infrastruktūros plėtra Druskininkų savivaldybėje</t>
  </si>
  <si>
    <t>Socialinių paslaugų infrastruktūros modernizavimas ir plėtra VšĮ Kapčiamiesčio globos namuose</t>
  </si>
  <si>
    <t>VšĮ Kapčiamiesčio globos namai</t>
  </si>
  <si>
    <t>Buvusios pramoninės teritorijos Pramonės g. 1 Alytuje, pritaikymas verslo vystymui ir plėtrai.</t>
  </si>
  <si>
    <t>VšĮ Alytaus kultūros ir komunikacijos centro pastato Alytuje, Pramonės g. 1B, rekonstravimas</t>
  </si>
  <si>
    <t>Pastato rekonstrukcija ir pritaikymas kultūrinėms, muziejinėms ir edukacinėms reikmėms</t>
  </si>
  <si>
    <t xml:space="preserve">Nekenksmingų aplinkai viešojo transporto priemonių įsigijimas Alytaus mieste </t>
  </si>
  <si>
    <t>Varėnos miesto J. Basanavičiaus, Savanorių ir M. K. Čiurlionio gatvių rekonstrukcija</t>
  </si>
  <si>
    <t>Lazdijų miesto Seinų ir Lazdijos gatvių bei vietinės reikšmės kelio nuo Janonio gatvės iki Lazdijų hipodromo rekonstravimas</t>
  </si>
  <si>
    <t>Dviračių ir pėsčiųjų takų plėtra Lazdijų miesto Turistų gatvėje iki sodų bendrijos „Baltasis“ Lazdijų seniūnijoje</t>
  </si>
  <si>
    <t>3 lentelė. Projektams priskirtos veiklų grupės.</t>
  </si>
  <si>
    <t>R/V</t>
  </si>
  <si>
    <t>rez.</t>
  </si>
  <si>
    <t>Kodas*</t>
  </si>
  <si>
    <t>Pagrindinė veiklų grupė (pavadinimas)</t>
  </si>
  <si>
    <t>Kodas (I)</t>
  </si>
  <si>
    <t>Susijusi veiklų grupė (I) (pavadinimas)</t>
  </si>
  <si>
    <t>Kodas (II)</t>
  </si>
  <si>
    <t>Susijusi veiklų grupė (II) (pavadinimas)</t>
  </si>
  <si>
    <t>Kodas (III)</t>
  </si>
  <si>
    <t>Kiekis</t>
  </si>
  <si>
    <t>Viso</t>
  </si>
  <si>
    <t>ES parama</t>
  </si>
  <si>
    <t>Kitos viešosios infrastruktūros modernizavimas (viešosios erdvės): gyvenamosios paskirties teritorijos</t>
  </si>
  <si>
    <t>Kitos viešosios infrastruktūros modernizavimas (viešosios erdvės): visuomeninės, komercinės ir bendro naudojimo paskirties teritorijos</t>
  </si>
  <si>
    <t>Kitos viešosios infrastruktūros modernizavimas (pastatai ir statiniai): bendruomenės, nevyriausybinių organizacijų veiklai pritaikomi pastatai</t>
  </si>
  <si>
    <t>Kitos viešosios infrastruktūros modernizavimas (viešosios erdvės): gyvenamosios, visuomeninės, komercinės ir bendro naudojimo paskirties teritorijos</t>
  </si>
  <si>
    <t xml:space="preserve">Kitos viešosios infrastruktūros modernizavimas (viešosios erdvės): rekreacinės teritorijos ir gamtinis karkasas </t>
  </si>
  <si>
    <t xml:space="preserve">Kitos viešosios infrastruktūros modernizavimas (viešosios erdvės): visuomeninės, komercinės ir bendro naudojimo paskirties teritorijos </t>
  </si>
  <si>
    <t>Kitos viešosios infrastruktūros modernizavimas (viešosios erdvės): rekreacinės teritorijos ir gamtinis karkasas</t>
  </si>
  <si>
    <t>Viešoji verslui skirta infrastruktūra (pramoniniai parkai, pramonės zonos ir pan.)</t>
  </si>
  <si>
    <t>Kitos viešosios infrastruktūros modernizavimas (viešosios erdvės): pramoninių, buvusių karinių, inžinerinių ir pan. objektų teritorijų pritaikymas ar konversija</t>
  </si>
  <si>
    <t>Vandentvarka (esamų geriamo vandens ir nuotekų tinklų modernizavimas)</t>
  </si>
  <si>
    <t>Vandentvarka (naujų tinklų įrengimas)</t>
  </si>
  <si>
    <t>Lietaus nuotekų sistemų modernizavimas ir plėtra</t>
  </si>
  <si>
    <t xml:space="preserve">Varėnos rajono savivaldybės administracija </t>
  </si>
  <si>
    <t>Viešoji turizmo infrastruktūra</t>
  </si>
  <si>
    <t>Kitos viešosios infrastruktūros modernizavimas (pastatai ir statiniai): kultūros objektai</t>
  </si>
  <si>
    <t>Alytaus miesto savivaldybės administracija</t>
  </si>
  <si>
    <t>Druskininkų  miestas</t>
  </si>
  <si>
    <t>Viešųjų pastatų energinio efektyvumo didinimas</t>
  </si>
  <si>
    <t>Kultūros paveldo objektų sutvarkymas ir pritaikymas</t>
  </si>
  <si>
    <t>Viešojo transporto priemonių įsigijimas</t>
  </si>
  <si>
    <t>Darnaus judumo priemonės miestuose (pėsčiųjų ir dviračių takų infrastruktūra, Park and Ride, Bike and Ride aikštelės, elektromobilių įkrovimo stotelių įrengimas ir kita)</t>
  </si>
  <si>
    <t>Vietinės reikšmės keliai ir gatvės (rekonstrukcija)</t>
  </si>
  <si>
    <t>Viešojo transporto infrastruktūra</t>
  </si>
  <si>
    <t>Darnaus judumo priemonės miestuose (pėsčiųjų ir dviračių takų infrastruktūra, Park and Ride, Bike and Ride aikštelės, elektromobilių įkrovimo stotelių įrengimas ir kita)</t>
  </si>
  <si>
    <t>Pėsčiųjų ir dviračių takai (ne miesto vietovėse)</t>
  </si>
  <si>
    <t>Vietinės reikšmės keliai ir gatvės (statyba)</t>
  </si>
  <si>
    <t>Kita (nepriskirta kitoms grupėms)</t>
  </si>
  <si>
    <t>Bendrojo lavinimo mokyklų modernizavimas</t>
  </si>
  <si>
    <t>Neformaliojo švietimo įstaigų modernizavimas</t>
  </si>
  <si>
    <t>Ikimokyklinio ar priešmokyklinio ugdymo įstaigų modernizavimas</t>
  </si>
  <si>
    <t>Varėnos miestas</t>
  </si>
  <si>
    <t>Kitos viešosios infrastruktūros modernizavimas (pastatai ir statiniai): sveikatinimo ir sporto objektai</t>
  </si>
  <si>
    <t>Sveikatos paslaugų plėtra (ne infrastruktūra)</t>
  </si>
  <si>
    <t>Socialinių paslaugų infrastruktūra</t>
  </si>
  <si>
    <t>Socialinių paslaugų plėtra (ne infrastruktūra)</t>
  </si>
  <si>
    <t>Socialinio būsto įsigijimas</t>
  </si>
  <si>
    <t>Socialinio būsto infrastruktūra (nauja statyba arba pritaikymas)</t>
  </si>
  <si>
    <t>Viešojo valdymo tobulinimas</t>
  </si>
  <si>
    <t>Atliekų tvarkymas (mažinimo, rūšiavimo ir perdirbimo skatinimo priemonės)</t>
  </si>
  <si>
    <t>Kraštovaizdžio tvarkymas (kraštovaizdžio etalonai, pažeistos teritorijos ir pan.)</t>
  </si>
  <si>
    <t>Kodas</t>
  </si>
  <si>
    <t>Pavadinimas</t>
  </si>
  <si>
    <t>Projektų, kuriems priskirta veiklų grupė skaičius</t>
  </si>
  <si>
    <t>Projektų, kuriems veiklų grupė priskirta kaip pagrindinė, skaičius</t>
  </si>
  <si>
    <t>Atsinaujinančių energijos šaltinių diegimas</t>
  </si>
  <si>
    <t>Limitas</t>
  </si>
  <si>
    <t>Likutis</t>
  </si>
  <si>
    <t>Kaimo gyvenamųjų vietovių atnaujinimas</t>
  </si>
  <si>
    <t>Miestų kompleksinė plėtra</t>
  </si>
  <si>
    <t>Geriamojo vandens tiekimo ir nuotekų tvarkymo sistemų renovavimas ir plėtra, įmonių valdymo tobulinimas</t>
  </si>
  <si>
    <t>Mokyklų tinklo efektyvumo didinimas</t>
  </si>
  <si>
    <t>Kurnėnų Lauryno Radziukyno mokyklos pritaikymas kultūrinėms ir turistinėms reikmėms</t>
  </si>
  <si>
    <t>Bešeimininkių apleistų pastatų Druskininkų savivaldybės teritorijoje likvidavimas</t>
  </si>
  <si>
    <t>3.1.2.1.7</t>
  </si>
  <si>
    <t>Dviračių ir pėsčiųjų tako, esančio šalia Ratnyčios upelio, Druskininkų mieste, rekonstrukcija</t>
  </si>
  <si>
    <t>Pėsčiųjų ir dviračių takų plėtra Simno seniūnijoje</t>
  </si>
  <si>
    <t>P.S.364</t>
  </si>
  <si>
    <t>P.S.365</t>
  </si>
  <si>
    <t>Atnaujinti ir pritaikyti naujai paskirčiai pastatai ir statiniai kaimo vietovėse (vietovėse nuo 1 iki 6 tūkst. gyv. išskyrus savivaldybių centrus), m2</t>
  </si>
  <si>
    <t>Leipalingio viešosios erdvės pritaikymas bendruomenės poreikiams</t>
  </si>
  <si>
    <t>Viečiūnų viešosios erdvės pritaikymas bendruomenės poreikiams</t>
  </si>
  <si>
    <t>Darnaus judumo priemonių diegimas Alytaus mieste</t>
  </si>
  <si>
    <t>Geriamojo vandens ir nuotekų tvarkymo sistemų renovavimas Alytaus mieste</t>
  </si>
  <si>
    <t>Alytaus miesto bendrojo plano korektūra zonuojant kraštovaizdžio struktūrą, nustatant reglamentus ir principus</t>
  </si>
  <si>
    <t>Mažosios dailės galerijos, M.K.Čiurlionio g. 37, Druskininkai, modernizavimas ir pritaikymas kultūros poreikiams</t>
  </si>
  <si>
    <t>Varėnos moksleivių kūrybos centro pastato J. Basanavičiaus g. 38, Varėnoje, modernizavimas</t>
  </si>
  <si>
    <t xml:space="preserve">Finansavimo sutarties sudarymas (metai/mėnuo) </t>
  </si>
  <si>
    <t>Paslaugų ir asmenų aptarnavimo kokybės gerinimas Alytaus rajono savivaldybėje</t>
  </si>
  <si>
    <t>Lazdijų rajono savivaldybės administracijos ir jos viešojo valdymo institucijų teikiamų paslaugų procesų tobulinimas</t>
  </si>
  <si>
    <t>1.1.1.1.6</t>
  </si>
  <si>
    <t>1.1.1.1.7</t>
  </si>
  <si>
    <t>1.1.1.1.8</t>
  </si>
  <si>
    <t>1.1.1.1.9</t>
  </si>
  <si>
    <t>1.1.1.1.10</t>
  </si>
  <si>
    <t>1.1.1.1.11</t>
  </si>
  <si>
    <t>1.1.1.1.12</t>
  </si>
  <si>
    <t>1.1.1.1.13</t>
  </si>
  <si>
    <t>1.1.1.1.14</t>
  </si>
  <si>
    <t>1.1.1.1.15</t>
  </si>
  <si>
    <t>1.1.1.1.16</t>
  </si>
  <si>
    <t>1.1.1.1.17</t>
  </si>
  <si>
    <t>1.1.1.1.18</t>
  </si>
  <si>
    <t>1.1.1.1.19</t>
  </si>
  <si>
    <t>1.1.1.1.20</t>
  </si>
  <si>
    <t>1.1.1.1.21</t>
  </si>
  <si>
    <t>1.1.1.1.22</t>
  </si>
  <si>
    <t>1.1.1.1.23</t>
  </si>
  <si>
    <t xml:space="preserve">Druskininkų savivaldybės Viečiūnų seniūnijos Ilgio ir Raigardo seniūnaitijų kelių būklės gerinimas  </t>
  </si>
  <si>
    <t>Druskininkų savivaldybės Viečiūnų seniūnijos Ratnyčėlės seniūnaitijos kelių būklės gerinimas</t>
  </si>
  <si>
    <t>Druskininkų savivaldybės Leipalingio seniūnijos Klonio seniūnaitijos kelių būklės gerinimas</t>
  </si>
  <si>
    <t>Rudaminos laisvalaikio salės pritaikymas bendruomenės poreikiams ir liaudies amatų plėtrai</t>
  </si>
  <si>
    <t>Druskininkų savivaldybės Leipalingio seniūnijos Bilso seniūnaitijos kelių būklės gerinimas</t>
  </si>
  <si>
    <t>Lazdijų rajono kaimų patrauklumo didinimas atnaujinant bibliotekas</t>
  </si>
  <si>
    <t>Alytaus rajono Miroslavo kaimo multifunkcinės sporto aikštės įrengimas ir gatvių bei šaligatvių rekonstrukcija</t>
  </si>
  <si>
    <t>Alytaus rajono Luksnėnų kaimo multifunkcinės sporto aikštės įrengimas ir gatvių rekonstrukcija</t>
  </si>
  <si>
    <t>Krikštonių laisvalaikio salės pritaikymas bendruomenės poreikiams</t>
  </si>
  <si>
    <t>Kučiūnų laisvalaikio salės pritaikymas bendruomenės poreikiams</t>
  </si>
  <si>
    <t>Laisvalaikio infrastruktūros sukūrimas Lazdijų rajono kaimo gyvenamosiose vietovėse</t>
  </si>
  <si>
    <t>Alytaus rajono Butrimonių miestelio šaligatvių kapitalinis remontas ir gyvenvietės apšvietimo įrengimas</t>
  </si>
  <si>
    <t>Alytaus rajono Genių kaimo sporto aikštės įrengimas ir gatvių rekonstrukcija</t>
  </si>
  <si>
    <t>Varėnos r. Dargužių kaimo Liepų gatvės ir viešosios erdvės įrengimas</t>
  </si>
  <si>
    <t>Alytaus rajono Vaisodžių kaimo sporto aikštės įrengimas ir gatvių apšvietimo atnaujinimas bei plėtra</t>
  </si>
  <si>
    <t>Alytaus rajono Talokių kaimo sporto aikštės įrengimas ir Plytinės gatvės apšvietimas</t>
  </si>
  <si>
    <t>Varėnos r. Rudnios kaimo Pušyno gatvės įrengimas</t>
  </si>
  <si>
    <t>Varėnos kultūros centro Žilinų filialo pastato atnaujinimas ir pritaikymas bendruomenės poreikiams</t>
  </si>
  <si>
    <t>Alytaus rajono Pivašiūnų kaimo šaligatvių, laiptų kapitalinis remontas ir gyvenvietės apšvietimo įrengimas</t>
  </si>
  <si>
    <t>Pastato, esančio Pušelės g. 11, Naujųjų Valkininkų k., Varėnos r., atnaujinimas ir pritaikymas bendruomenės poreikiams</t>
  </si>
  <si>
    <t>Kaimo gyvenamųjų vietovių Lazdijų rajono savivaldybėje patrauklumo gerinimas</t>
  </si>
  <si>
    <t>Alytaus rajono Makniūnų kaimo šaligatvių atnaujinimas ir plėtra</t>
  </si>
  <si>
    <t>Varėnos r. Vazgirdonių kaimo Klevų gatvės įrengimas</t>
  </si>
  <si>
    <t>Viešoji įstaiga Lazdijų kultūros centras</t>
  </si>
  <si>
    <t xml:space="preserve">Biudžetinė įstaiga Lazdijų rajono savivaldybės viešoji biblioteka </t>
  </si>
  <si>
    <t xml:space="preserve">Viešoji įstaiga Lazdijų kultūros centras </t>
  </si>
  <si>
    <t xml:space="preserve">Pagrindinės paslaugos ir kaimų atnaujinimas kaimo vietovėse </t>
  </si>
  <si>
    <t>Kodas (I)*</t>
  </si>
  <si>
    <t>Siekiama reikšmė (I)</t>
  </si>
  <si>
    <t>Produkto vertinimo kriterijus (II)</t>
  </si>
  <si>
    <t>Siekiama reikšmė (II)</t>
  </si>
  <si>
    <t>Produkto vertinimo kriterijus (III)</t>
  </si>
  <si>
    <t>Siekiama reikšmė (III)</t>
  </si>
  <si>
    <t>Kodas (IV)</t>
  </si>
  <si>
    <t>Produkto vertinimo kriterijus (IV)</t>
  </si>
  <si>
    <t>Siekiama reikšmė (IV)</t>
  </si>
  <si>
    <t>(pavadinimas)</t>
  </si>
  <si>
    <t>KP.1</t>
  </si>
  <si>
    <t>Veiksmų, kuriais remiamos investicijos į mažos apimties infrastruktūrą, skaičius (planuojamų sutvarkyti objektų skaičius)</t>
  </si>
  <si>
    <t>KP.3</t>
  </si>
  <si>
    <t>Gyventojų, kurie naudojasi geresnėmis paslaugomis/infrastruktūra, skaičius (gyventojų skaičius (kaimo vietovėje, kurioje planuojama sutvarkyti objektą (-us))</t>
  </si>
  <si>
    <t>KP.4</t>
  </si>
  <si>
    <t xml:space="preserve">Regioninio planavimo būdu įgyvendintų mažos apimties infrastruktūros projektų skaičius (regioninių projektų skaičius) </t>
  </si>
  <si>
    <t>Naujos atviros erdvės vietovėse nuo 1 iki 6 tūkst. gyv. (išskyrus savivaldybių centrus) m2</t>
  </si>
  <si>
    <t>Atnaujinti ir pritaikyti naujai paskirčiai pastatai ir statiniai kaimo vietovėse m2</t>
  </si>
  <si>
    <t>Naujos atviros erdvės vietovėse nuo 1 iki 6 tūkst. gyv. (išskyrus savivaldybių centrus)</t>
  </si>
  <si>
    <t xml:space="preserve">P.B.238 </t>
  </si>
  <si>
    <t xml:space="preserve">Sukurtos arba atnaujintos atviros erdvės miestų vietovėse, m2 </t>
  </si>
  <si>
    <t>Sukurtos arba atnaujintos atviros erdvės miestų vietovėse m2</t>
  </si>
  <si>
    <t>P.B.238</t>
  </si>
  <si>
    <t>Sukurtos arba atnaujintos atviros erdvės miestų vietovėse, m²</t>
  </si>
  <si>
    <t>P.B.239</t>
  </si>
  <si>
    <t>Pastatyti arba atnaujinti viešieji arba komerciniai pastatai miestų vietovėse,  m2</t>
  </si>
  <si>
    <t>Lazdijų miestas</t>
  </si>
  <si>
    <t>„Sukurtos arba atnaujintos atviros erdvės miestų vietovėse“  m2</t>
  </si>
  <si>
    <t>P.N.050</t>
  </si>
  <si>
    <t>Gyventojai, kuriems teikiamos vandens tiekimo paslaugos naujai pastatytais geriamojo vandens tiekimo tinklais (skaičius)</t>
  </si>
  <si>
    <t>P.N.053</t>
  </si>
  <si>
    <t>Gyventojai, kuriems teikiamos paslaugos naujai pastatytais nuotekų surinkimo tinklais (GE)</t>
  </si>
  <si>
    <t>P.N.054</t>
  </si>
  <si>
    <t>Gyventojai, kuriems teikiamos nuotekų valymo paslaugos naujai pastatytais ir (arba) rekonstruotais nuotekų valymo įrenginiais (GE)</t>
  </si>
  <si>
    <t>P.S.333</t>
  </si>
  <si>
    <t>Rekonstruotų vandens tiekimo ir nuotekų surinkimo tinklų ilgis, km</t>
  </si>
  <si>
    <t>P.N.051</t>
  </si>
  <si>
    <t>Gyventojai, kuriems teikiamos vandens tiekimo paslaugos iš naujai pastatytų ir (arba) rekonstruotų geriamojo vandens gerinimo įrenginių (skaičius)</t>
  </si>
  <si>
    <t>Gyventojai, kuriems teikiamos vandens tiekimo paslaugos naujai pastatytais geriamojo vandens tiekimo tinklais</t>
  </si>
  <si>
    <t>Gyventojai, kuriems teikiamos paslaugos naujai pastatytais nuotekų surinkimo tinklais</t>
  </si>
  <si>
    <t>Gyventojai, kuriems teikiamos nuotekų valymo paslaugos naujai pastatytais ir (arba) rekonstruotais nuotekų valymo įrenginiais</t>
  </si>
  <si>
    <t>P.S.328</t>
  </si>
  <si>
    <t>Lietaus nuotėkio plotas, iš kurio surenkamam paviršiniam (lietaus) vandeniui tvarkyti, įrengta ir (ar) rekonstruota infrastruktūra, ha</t>
  </si>
  <si>
    <t>P.N.028</t>
  </si>
  <si>
    <t>Inventorizuota neapskaityto paviršinių nuotekų nuotakyno dalis, proc.</t>
  </si>
  <si>
    <t>P.N.817</t>
  </si>
  <si>
    <t>Įrengti ženklinimo infrastruktūros objektai</t>
  </si>
  <si>
    <t>P.N.304</t>
  </si>
  <si>
    <t xml:space="preserve">„Modernizuoti kultūros infrastruktūros objektai, vnt.  </t>
  </si>
  <si>
    <t>P.S.335</t>
  </si>
  <si>
    <t>Sutvarkyti, įrengti ir pritaikyti lankymui gamtos ir kultūros paveldo objektai ir teritorijos</t>
  </si>
  <si>
    <t>„Sutvarkyti, įrengti ir pritaikyti lankymui gamtos ir kultūros paveldo objektai ir teritorijos“</t>
  </si>
  <si>
    <t>P.S.325</t>
  </si>
  <si>
    <t>Įsigytos naujos ekologiškos viešojo transporto priemonės</t>
  </si>
  <si>
    <t xml:space="preserve">Įsigytos naujos ekologiškos viešojo transporto priemonės </t>
  </si>
  <si>
    <t>P.S.323</t>
  </si>
  <si>
    <t>Įgyvendintos darnaus judumo priemonės</t>
  </si>
  <si>
    <t>P.S.321</t>
  </si>
  <si>
    <t>Įrengtų naujų pėsčiųjų/dviračių takų ir/ar trasų ilgis, km</t>
  </si>
  <si>
    <t>Įrengtų naujų pėsčiųjų/dviračių takų ir/ar trasų ilgis,  km</t>
  </si>
  <si>
    <t>P.S.322</t>
  </si>
  <si>
    <t>„Rekonstruotų dviračių ir / ar pėsčiųjų takų ir / ar trasų ilgis“</t>
  </si>
  <si>
    <t>P.B.214</t>
  </si>
  <si>
    <t>Bendras rekonstruotų arba atnaujintų kelių ilgis, km</t>
  </si>
  <si>
    <t>P.S.342</t>
  </si>
  <si>
    <t>Įdiegtos saugų eismą gerinančios ir aplinkosaugos priemonės</t>
  </si>
  <si>
    <t>P.N.508</t>
  </si>
  <si>
    <t>Bendras naujai nutiestų kelių ilgis, km</t>
  </si>
  <si>
    <t xml:space="preserve">P.N.722 </t>
  </si>
  <si>
    <t xml:space="preserve">Pagal veiksmų programą ERPF lėšomis atnaujintos bendrojo ugdymo mokyklos </t>
  </si>
  <si>
    <t>P.B.235</t>
  </si>
  <si>
    <t>Investicijas gavusios vaikų priežiūros arba švietimo infrastruktūros pajėgumas</t>
  </si>
  <si>
    <t xml:space="preserve">P.N.723 </t>
  </si>
  <si>
    <t>Pagal veiksmų programą ERPF lėšomis atnaujintos neformaliojo įstaigos</t>
  </si>
  <si>
    <t>P.N.717</t>
  </si>
  <si>
    <t xml:space="preserve">Pagal veiksmų programą ERPF lėšomis atnaujintos ikimokyklinio ugdymo mokyklos </t>
  </si>
  <si>
    <t>P.B.236</t>
  </si>
  <si>
    <t>Gyventojai, turintys galimybę pasinaudoti pagerintomis sveikatos priežiūros paslaugomis</t>
  </si>
  <si>
    <t>„Gyventojai, turintys galimybę pasinaudoti pagerintomis sveikatos priežiūros paslaugomis“</t>
  </si>
  <si>
    <t>P.N.602</t>
  </si>
  <si>
    <t>Apmokytų sveikatos ir kitų specialistų skaičius</t>
  </si>
  <si>
    <t>P.N.603</t>
  </si>
  <si>
    <t>Parengtų metodikų, tvarkų ir kt. dokumentų skaičius</t>
  </si>
  <si>
    <t>R.N.655</t>
  </si>
  <si>
    <t>Tikslinės populiacijos dalis, dalyvavusi vaikų krūminių dantų dengimo silantinėmis medžiagomis programoje, proc</t>
  </si>
  <si>
    <t>P.S.361</t>
  </si>
  <si>
    <t>Investicijas gavę socialinių paslaugų infrastruktūros objektai</t>
  </si>
  <si>
    <t>Investicijas gavę socialinių paslaugų infrastruktūros objektai,skaičius</t>
  </si>
  <si>
    <t>P.S.362</t>
  </si>
  <si>
    <t>Naujai įrengti ar įsigyti socialiniai būstai (Skaičius)</t>
  </si>
  <si>
    <t>P.S.415</t>
  </si>
  <si>
    <t>Viešojo valdymo institucijos, veiksmų programos lėšomis įgyvendinusios paslaugų ir aptarnavimo kokybės gerinimo priemones, Skč.</t>
  </si>
  <si>
    <t>P.S.416</t>
  </si>
  <si>
    <t>Viešojo valdymo institucijų darbuotojai, kurie dalyvavo pagal programą ESF lėšomis vykdytose veiklose, skirtose stiprinti teikiamų paslaugų ir (ar) aptarnavimo kokybės gerinimui reikalingas kompetencijas</t>
  </si>
  <si>
    <t>P.N. 910</t>
  </si>
  <si>
    <t>Parengtos piliečių chartijos</t>
  </si>
  <si>
    <t xml:space="preserve">Viešojo valdymo institucijos, pagal programą  ESF lėšomis įgyvendinusios paslaugų ir (ar) aptarnavimo kokybei gerinti skirtas priemones </t>
  </si>
  <si>
    <t>P.S.329</t>
  </si>
  <si>
    <t>Sukurti /pagerinti atskiro komunalinių atliekų surinkimo pajėgumai, tonos/metai</t>
  </si>
  <si>
    <t>R.N.091</t>
  </si>
  <si>
    <t>Teritorijų, kuriose įgyvendintos kraštovaizdžio formavimo priemonės, plotas, Ha</t>
  </si>
  <si>
    <t>P.N.093</t>
  </si>
  <si>
    <t>Likviduoti kraštovaizdį darkantys bešeimininkiai apleisti statiniai ir įrenginiai, Skč.</t>
  </si>
  <si>
    <t>P.N.094</t>
  </si>
  <si>
    <t>Rekultivuotos atvirais kasiniais pažeistos žemės, skaičius</t>
  </si>
  <si>
    <t>P.S.338</t>
  </si>
  <si>
    <t>Išsaugoti, sutvarkyti ar atkurti įvairaus teritorinio lygmens kraštovaizdžio arealai</t>
  </si>
  <si>
    <t>Likviduoti kraštovaizdį darkantys bešeimininkiai apleisti statiniai ir įrenginiai,Skč.</t>
  </si>
  <si>
    <t>P.N.092</t>
  </si>
  <si>
    <t>Kraštovaizdžio ir (ar) gamtinio karkaso formavimo aspektais pakeisti ar pakoreguoti savivaldybių ar jų dalių bendrieji planai, skaičius</t>
  </si>
  <si>
    <t>Teritorijų, kuriose įgyvendintos kraštovaizdžio formavimopriemonės, plotas , ha</t>
  </si>
  <si>
    <t>Likviduoti kraštovaizdį darkantys bešeimininkiai apleisti statiniai ir įrenginiai</t>
  </si>
  <si>
    <t>Kraštovaizdžio ir (ar) gamtinio karkaso formavimo aspektais pakeisti ar pakoreguoti savivaldybių ar jų dalių bendrieji planai</t>
  </si>
  <si>
    <t>Produkto vertinimo kriterijus (pavadinimas)</t>
  </si>
  <si>
    <t>Siekiama reikšmė (projektams priskirtų kriterijų reikšmių suma)</t>
  </si>
  <si>
    <t>Gyventojai, turintys galimybę pasinaudoti pagerintomis sveikatos priežiūros paslaugomis, asmenys</t>
  </si>
  <si>
    <t>Sukurtos arba atnaujintos atviros erdvės miestų vietovėse, m2</t>
  </si>
  <si>
    <t>Inventorizuota neapskaityto paviršinių nuotekų nuotakyno dalis, proc</t>
  </si>
  <si>
    <t>Gyventojų, kuriems teikiamos vandens tiekimo paslaugos naujai pastatytais geriamojo vandens tiekimo tinklais, skaičius</t>
  </si>
  <si>
    <t>Gyventojų, kuriems teikiamos vandens tiekimo paslaugos iš naujai pastatytų ir (arba) rekonstruotų geriamojo vandens gerinimo įrenginių, skaičius</t>
  </si>
  <si>
    <t>Gyventojų, kuriems teikiamos vandens tiekimo paslaugos naujai pastatytais nuotekų surinkimo tinklais, skaičius</t>
  </si>
  <si>
    <t>Gyventojų, kuriems teikiamos nuotekų valymo paslaugos naujai pastatytais ir (arba) rekonstruotais nuotekų valymo įrenginiais, skaičius</t>
  </si>
  <si>
    <t>Likviduoti kraštovaizdį darkantys bešeimininkiai apleisti statiniai ir įrenginiai, skaičius</t>
  </si>
  <si>
    <t>Modernizuoti kultūros infrastruktūros objektai, vnt.</t>
  </si>
  <si>
    <t>Pagal veiksmų programą ERPF lėšomis atnaujintos ikimokyklinio ugdymo mokyklos, vnt.</t>
  </si>
  <si>
    <t>P.N.722</t>
  </si>
  <si>
    <t>Pagal veiksmų programą ERPF lėšomis atnaujintos bendrojo ugdymo mokyklos, vnt.</t>
  </si>
  <si>
    <t>P.N.723</t>
  </si>
  <si>
    <t>Pagal veiksmų programą ERPF lėšomis atnaujintos neformaliojo įstaigos, vnt.</t>
  </si>
  <si>
    <t xml:space="preserve">P.N.817  </t>
  </si>
  <si>
    <t>Įrengtų ar rekonstruotų dviračių ir/ar pėsčiųjų takų ir/ar trasų ilgis, km</t>
  </si>
  <si>
    <t>Rekonstruotų dviračių ir / ar pėsčiųjų takų ir / ar trasų ilgis, km</t>
  </si>
  <si>
    <t>Įgyvendintos darnaus judumo priemonės, vnt.</t>
  </si>
  <si>
    <t>Įsigytos naujos ekologiškos viešojo transporto priemonės, vnt.</t>
  </si>
  <si>
    <t>Sukurti/pagerinti atskiro komunalinių atliekų surinkimo pajėgumai, tonos/metai</t>
  </si>
  <si>
    <t>Rekonstruotų vandens tiekimo ir nuotekų  surinkimo tinklų ilgis, km</t>
  </si>
  <si>
    <t>Išsaugoti, sutvarkyti ar atkurti įvairaus teritorinio lygmens kraštovaizdžio arealai, skaičius</t>
  </si>
  <si>
    <t>Investicijas gavę socialinių paslaugų infrastruktūros objektai, vnt.</t>
  </si>
  <si>
    <t>Naujai įrengti ar įsigyti socialiniai būstai, skaičius</t>
  </si>
  <si>
    <t>Viešojo valdymo institucijos, pagal programą  ESF lėšomis įgyvendinusios paslaugų ir (ar) aptarnavimo kokybei gerinti skirtas priemones, skaičius</t>
  </si>
  <si>
    <t>Viešojo valdymo institucijų darbuotojai, kurie dalyvavo pagal programą ESF lėšomis vykdytose veiklose, skirtose stiprinti teikiamų paslaugų ir (ar) aptarnavimo kokybės gerinimui reikalingas kompetencijas, vnt.</t>
  </si>
  <si>
    <t>Teritorijų, kuriose įgyvendintos kraštovaizdžio formavimo priemonės, plotas, ha</t>
  </si>
  <si>
    <t>Bendras rekonstruotų arba atnaujintų kelių ilgis (km)</t>
  </si>
  <si>
    <t>Sukurtos arba atnaujintos atviros erdvės miestų vietovėse</t>
  </si>
  <si>
    <t>Gyventojai, kuriems teikiamos vandens tiekimo paslaugos naujai pastatytais geriamojo vandens tiekimo tinklais(skaičius)</t>
  </si>
  <si>
    <t>Gyventojai, kuriems teikiamos vandens tiekimo paslaugos naujai pastatytais nuotekų surinkimo tinklais</t>
  </si>
  <si>
    <t>Likviduoti kraštovaizdį darkantys bešeimininkiai apleisti statiniai ir įrenginiai (Skaičius)</t>
  </si>
  <si>
    <t>Modernizuoti kultūros infrastruktūros objektai (vnt.)</t>
  </si>
  <si>
    <t>Pagal veiksmų programą ERPF lėšomis atnaujintos ikimokyklinio ugdymo mokyklos (vnt.)</t>
  </si>
  <si>
    <t>Pagal veiksmų programą ERPF lėšomis atnaujintos bendrojo ugdymo mokyklos  (vnt.)</t>
  </si>
  <si>
    <t>Pagal veiksmų programą ERPF lėšomis atnaujintos neformaliojo įstaigos (vnt.)</t>
  </si>
  <si>
    <t>Įrengtų ar rekonstruotų dviračių ir/ar pėsčiųjų takų ir/ar trasų ilgis (km)</t>
  </si>
  <si>
    <t>Įgyvendintos darnaus judumo priemonės (vnt.)</t>
  </si>
  <si>
    <t>Įsigytos naujos ekologiškos viešojo transporto priemonės (vnt.)</t>
  </si>
  <si>
    <t>Sukurti/pagerinti atskiro komunalinių atliekų surinkimo pajėgumai (tonos/metai)</t>
  </si>
  <si>
    <t>Rekonstruotų vandens tiekimo ir nuotekų  surinkimo tinklų ilgis (km)</t>
  </si>
  <si>
    <t>Išsaugoti, sutvarkyti ar atkurti įvairaus teritorinio lygmens kraštovaizdžio arealai (skaičius)</t>
  </si>
  <si>
    <t>Investicijas gavę socialinių paslaugų infrastruktūros objektai (vnt.)</t>
  </si>
  <si>
    <t>Atnaujinti ir pritaikyti naujai paskirčiai pastatai ir statiniai kaimo vietovėse (vietovėse nuo 1 iki 6 tūkst. gyv. išskyrus savivaldybių centrus) (m2)</t>
  </si>
  <si>
    <t>Viešojo valdymo institucijos, pagal programą  ESF lėšomis įgyvendinusios paslaugų ir (ar) aptarnavimo kokybei gerinti skirtas priemones, Skaičius</t>
  </si>
  <si>
    <t>Viešojo valdymo institucijų darbuotojai, kurie dalyvavo pagal programą ESF lėšomis vykdytose veiklose, skirtose stiprinti teikiamų paslaugų ir (ar) aptarnavimo kokybės gerinimui reikalingas kompetencijas (vnt.)</t>
  </si>
  <si>
    <t xml:space="preserve">P.N.817 </t>
  </si>
  <si>
    <t>P.N.743</t>
  </si>
  <si>
    <t>Pagal veiksmų     programą ERPF lėšomis atnaujintos ikimokyklinio ir/ar priešmokyklinio ugdymo grupės</t>
  </si>
  <si>
    <r>
      <t>Naujos atviros erdvės (vietovėse nuo 1 iki 6 tūkst. gyv. išskyrus savivaldybių centrus), m</t>
    </r>
    <r>
      <rPr>
        <vertAlign val="superscript"/>
        <sz val="11"/>
        <rFont val="Calibri"/>
        <family val="1"/>
        <charset val="186"/>
        <scheme val="minor"/>
      </rPr>
      <t>2</t>
    </r>
  </si>
  <si>
    <r>
      <t>Naujos atviros erdvės (vietovėse nuo 1 iki 6 tūkst. gyv. išskyrus savivaldybių centrus) (m</t>
    </r>
    <r>
      <rPr>
        <vertAlign val="superscript"/>
        <sz val="12"/>
        <rFont val="Times New Roman"/>
        <family val="1"/>
        <charset val="186"/>
      </rPr>
      <t>2</t>
    </r>
    <r>
      <rPr>
        <sz val="12"/>
        <rFont val="Times New Roman"/>
        <family val="1"/>
        <charset val="186"/>
      </rPr>
      <t>)</t>
    </r>
  </si>
  <si>
    <r>
      <rPr>
        <b/>
        <u/>
        <sz val="14"/>
        <rFont val="Times New Roman"/>
        <family val="1"/>
        <charset val="186"/>
      </rPr>
      <t xml:space="preserve">Tikslas: </t>
    </r>
    <r>
      <rPr>
        <b/>
        <sz val="14"/>
        <rFont val="Times New Roman"/>
        <family val="1"/>
      </rPr>
      <t xml:space="preserve">
Didinti ūkinės veiklos įvairovę ir pagerinti sąlygas investicijų pritraukimui, mažinant geografinių sąlygų ir demografinių procesų sukeliamus gyvenimo kokybės netolygumus</t>
    </r>
  </si>
  <si>
    <r>
      <rPr>
        <b/>
        <u/>
        <sz val="12"/>
        <rFont val="Times New Roman"/>
        <family val="1"/>
        <charset val="186"/>
      </rPr>
      <t>Uždavinys:</t>
    </r>
    <r>
      <rPr>
        <b/>
        <sz val="12"/>
        <rFont val="Times New Roman"/>
        <family val="1"/>
      </rPr>
      <t xml:space="preserve"> 
Sudaryti sąlygas darbo vietų kūrimui, kuriant ir atnaujinant viešąją ir ekoinžinerinę  infrastruktūrą,  gamtos, kultūros paveldo objektus ir kultūros įstaigas</t>
    </r>
  </si>
  <si>
    <r>
      <t xml:space="preserve">Priemonė:
</t>
    </r>
    <r>
      <rPr>
        <b/>
        <sz val="9"/>
        <rFont val="Times New Roman"/>
        <family val="1"/>
        <charset val="186"/>
      </rPr>
      <t>Kaimo gyvenamųjų vietovių (turinčių iki 1 tūkst. gyventojų) atnaujinimas</t>
    </r>
  </si>
  <si>
    <r>
      <t xml:space="preserve">Priemonė:
</t>
    </r>
    <r>
      <rPr>
        <b/>
        <sz val="9"/>
        <rFont val="Times New Roman"/>
        <family val="1"/>
        <charset val="186"/>
      </rPr>
      <t>Kaimo gyvenamųjų vietovių (turinčių 1-6 tūkst. gyventojų) atnaujinimas ir plėtra</t>
    </r>
  </si>
  <si>
    <r>
      <rPr>
        <b/>
        <u/>
        <sz val="9"/>
        <rFont val="Times New Roman"/>
        <family val="1"/>
        <charset val="186"/>
      </rPr>
      <t>Priemonė:</t>
    </r>
    <r>
      <rPr>
        <b/>
        <sz val="9"/>
        <rFont val="Times New Roman"/>
        <family val="1"/>
        <charset val="186"/>
      </rPr>
      <t xml:space="preserve">
Komunalinių atliekų tvarkymo infrastruktūros plėtra</t>
    </r>
  </si>
  <si>
    <r>
      <rPr>
        <b/>
        <u/>
        <sz val="14"/>
        <rFont val="Times New Roman"/>
        <family val="1"/>
        <charset val="186"/>
      </rPr>
      <t xml:space="preserve">Tikslas: </t>
    </r>
    <r>
      <rPr>
        <b/>
        <sz val="14"/>
        <rFont val="Times New Roman"/>
        <family val="1"/>
        <charset val="186"/>
      </rPr>
      <t xml:space="preserve">
Darniai tvarkyti ir vystyti regiono teritoriją</t>
    </r>
  </si>
  <si>
    <r>
      <rPr>
        <b/>
        <u/>
        <sz val="12"/>
        <rFont val="Times New Roman"/>
        <family val="1"/>
        <charset val="186"/>
      </rPr>
      <t>Uždavinys:</t>
    </r>
    <r>
      <rPr>
        <b/>
        <sz val="12"/>
        <rFont val="Times New Roman"/>
        <family val="1"/>
        <charset val="186"/>
      </rPr>
      <t xml:space="preserve">
Sumažinti sąvartynuose šalinamų komunalinių atliekų kiekį</t>
    </r>
  </si>
  <si>
    <r>
      <rPr>
        <b/>
        <u/>
        <sz val="12"/>
        <rFont val="Times New Roman"/>
        <family val="1"/>
        <charset val="186"/>
      </rPr>
      <t>Uždavinys:</t>
    </r>
    <r>
      <rPr>
        <b/>
        <sz val="12"/>
        <rFont val="Times New Roman"/>
        <family val="1"/>
        <charset val="186"/>
      </rPr>
      <t xml:space="preserve">
Kraštovaizdžio apsauga, planavimas ir tvarkymas</t>
    </r>
  </si>
  <si>
    <r>
      <rPr>
        <b/>
        <u/>
        <sz val="9"/>
        <rFont val="Times New Roman"/>
        <family val="1"/>
        <charset val="186"/>
      </rPr>
      <t>Priemonė:</t>
    </r>
    <r>
      <rPr>
        <b/>
        <sz val="9"/>
        <rFont val="Times New Roman"/>
        <family val="1"/>
        <charset val="186"/>
      </rPr>
      <t xml:space="preserve">
Kraštovaizdžio apsauga/plėtra</t>
    </r>
  </si>
  <si>
    <t>3.1.2.1.8</t>
  </si>
  <si>
    <t>Bešeimininkių apleistų pastatų ir įrenginių tvarkymas Alytaus rajono savivaldybėje (II etapas)</t>
  </si>
  <si>
    <t xml:space="preserve">sutartis </t>
  </si>
  <si>
    <r>
      <t xml:space="preserve">Priemonė:
</t>
    </r>
    <r>
      <rPr>
        <b/>
        <sz val="9"/>
        <rFont val="Times New Roman"/>
        <family val="1"/>
        <charset val="186"/>
      </rPr>
      <t>Varėnos miesto kompleksinė plėtra</t>
    </r>
  </si>
  <si>
    <r>
      <t xml:space="preserve">Priemonė:
</t>
    </r>
    <r>
      <rPr>
        <b/>
        <sz val="9"/>
        <rFont val="Times New Roman"/>
        <family val="1"/>
        <charset val="186"/>
      </rPr>
      <t xml:space="preserve">Alytaus, Druskininkų ir Lazdijų miestų kompleksinė plėtra
</t>
    </r>
  </si>
  <si>
    <r>
      <rPr>
        <b/>
        <u/>
        <sz val="9"/>
        <rFont val="Times New Roman"/>
        <family val="1"/>
        <charset val="186"/>
      </rPr>
      <t>Priemonė:</t>
    </r>
    <r>
      <rPr>
        <b/>
        <sz val="9"/>
        <rFont val="Times New Roman"/>
        <family val="1"/>
        <charset val="186"/>
      </rPr>
      <t xml:space="preserve">
Geriamojo vandens tiekimo ir nuotekų tvarkymo sistemų renovavimas ir plėtra, įmonių valdymo tobulinimas </t>
    </r>
  </si>
  <si>
    <r>
      <t xml:space="preserve">Priemonė:
</t>
    </r>
    <r>
      <rPr>
        <b/>
        <sz val="9"/>
        <rFont val="Times New Roman"/>
        <family val="1"/>
        <charset val="186"/>
      </rPr>
      <t>Paviršinių nuotekų sistemų tvarkymas</t>
    </r>
  </si>
  <si>
    <r>
      <rPr>
        <b/>
        <u/>
        <sz val="9"/>
        <rFont val="Times New Roman"/>
        <family val="1"/>
        <charset val="186"/>
      </rPr>
      <t xml:space="preserve">Priemonė:
</t>
    </r>
    <r>
      <rPr>
        <b/>
        <sz val="9"/>
        <rFont val="Times New Roman"/>
        <family val="1"/>
        <charset val="186"/>
      </rPr>
      <t>Savivaldybes jungiančių turizmo trasų ir turizmo maršrutų informacinės infrastruktūros plėtra</t>
    </r>
  </si>
  <si>
    <r>
      <rPr>
        <b/>
        <u/>
        <sz val="9"/>
        <rFont val="Times New Roman"/>
        <family val="1"/>
        <charset val="186"/>
      </rPr>
      <t>Priemonė:</t>
    </r>
    <r>
      <rPr>
        <b/>
        <sz val="9"/>
        <rFont val="Times New Roman"/>
        <family val="1"/>
        <charset val="186"/>
      </rPr>
      <t xml:space="preserve">
Modernizuoti savivaldybių kultūros infrastruktūrą</t>
    </r>
  </si>
  <si>
    <r>
      <t xml:space="preserve">Priemonė:
</t>
    </r>
    <r>
      <rPr>
        <b/>
        <sz val="9"/>
        <rFont val="Times New Roman"/>
        <family val="1"/>
        <charset val="186"/>
      </rPr>
      <t>Aktualizuoti savivaldybių kultūros paveldo objektu</t>
    </r>
    <r>
      <rPr>
        <b/>
        <u/>
        <sz val="9"/>
        <rFont val="Times New Roman"/>
        <family val="1"/>
        <charset val="186"/>
      </rPr>
      <t>s</t>
    </r>
  </si>
  <si>
    <r>
      <rPr>
        <b/>
        <u/>
        <sz val="12"/>
        <rFont val="Times New Roman"/>
        <family val="1"/>
        <charset val="186"/>
      </rPr>
      <t>Uždavinys:</t>
    </r>
    <r>
      <rPr>
        <b/>
        <sz val="12"/>
        <rFont val="Times New Roman"/>
        <family val="1"/>
        <charset val="186"/>
      </rPr>
      <t xml:space="preserve">
Pagerinti darbo jėgos judėjimo galimybes gerinant susisiekimo sistemas</t>
    </r>
  </si>
  <si>
    <r>
      <rPr>
        <b/>
        <u/>
        <sz val="9"/>
        <rFont val="Times New Roman"/>
        <family val="1"/>
        <charset val="186"/>
      </rPr>
      <t xml:space="preserve">Priemonė:
</t>
    </r>
    <r>
      <rPr>
        <b/>
        <sz val="9"/>
        <rFont val="Times New Roman"/>
        <family val="1"/>
        <charset val="186"/>
      </rPr>
      <t>Vietinio susisiekimo viešojo transporto priemonių parko atnaujinimas</t>
    </r>
  </si>
  <si>
    <r>
      <t xml:space="preserve">Priemonė:
</t>
    </r>
    <r>
      <rPr>
        <b/>
        <sz val="9"/>
        <rFont val="Times New Roman"/>
        <family val="1"/>
        <charset val="186"/>
      </rPr>
      <t>Darnaus judumo priemonių diegimas</t>
    </r>
  </si>
  <si>
    <r>
      <t xml:space="preserve">Priemonė:
</t>
    </r>
    <r>
      <rPr>
        <b/>
        <sz val="9"/>
        <rFont val="Times New Roman"/>
        <family val="1"/>
        <charset val="186"/>
      </rPr>
      <t>Pėsčiųjų ir dviračių takų rekonstrukcija ir plėtra</t>
    </r>
  </si>
  <si>
    <r>
      <t xml:space="preserve">Priemonė:
</t>
    </r>
    <r>
      <rPr>
        <b/>
        <sz val="9"/>
        <rFont val="Times New Roman"/>
        <family val="1"/>
        <charset val="186"/>
      </rPr>
      <t>Vietinių kelių techninių parametrų ir eismo saugos gerinimas</t>
    </r>
  </si>
  <si>
    <r>
      <t xml:space="preserve">Tikslas:
</t>
    </r>
    <r>
      <rPr>
        <b/>
        <sz val="14"/>
        <rFont val="Times New Roman"/>
        <family val="1"/>
        <charset val="186"/>
      </rPr>
      <t>Gerinti viešųjų  paslaugų kokybę ir prieinamumą</t>
    </r>
  </si>
  <si>
    <r>
      <t xml:space="preserve">Uždavinys:
</t>
    </r>
    <r>
      <rPr>
        <b/>
        <sz val="12"/>
        <rFont val="Times New Roman"/>
        <family val="1"/>
        <charset val="186"/>
      </rPr>
      <t xml:space="preserve">Bendrojo ugdymo ir neformaliojo švietimo įstaigų (ypač vykdančių ikimokyklinio ir priešmokyklinio ugdymo programas) tinklo veiklos efektyvumo didinimas </t>
    </r>
  </si>
  <si>
    <r>
      <t xml:space="preserve">Priemonė:
</t>
    </r>
    <r>
      <rPr>
        <b/>
        <sz val="9"/>
        <rFont val="Times New Roman"/>
        <family val="1"/>
        <charset val="186"/>
      </rPr>
      <t>Mokyklų tinklo efektyvumo didinimas</t>
    </r>
  </si>
  <si>
    <r>
      <t xml:space="preserve">Priemonė:
</t>
    </r>
    <r>
      <rPr>
        <b/>
        <sz val="9"/>
        <rFont val="Times New Roman"/>
        <family val="1"/>
        <charset val="186"/>
      </rPr>
      <t>Neformaliojo švietimo infrastruktūros tobulinimas</t>
    </r>
  </si>
  <si>
    <r>
      <t xml:space="preserve">Uždavinys:
</t>
    </r>
    <r>
      <rPr>
        <b/>
        <sz val="12"/>
        <rFont val="Times New Roman"/>
        <family val="1"/>
        <charset val="186"/>
      </rPr>
      <t>Sveikatos netolygumų sumažinimas, gerinant sveikatos priežiūros kokybę ir prieinamumą tikslinėms gyventojų grupėms ir sveiko senėjimo skatinimas</t>
    </r>
  </si>
  <si>
    <r>
      <t xml:space="preserve">Priemonė:
</t>
    </r>
    <r>
      <rPr>
        <b/>
        <sz val="9"/>
        <rFont val="Times New Roman"/>
        <family val="1"/>
        <charset val="186"/>
      </rPr>
      <t>Pirminės asmens ir visuomenės sveikatos priežiūros veiklos efektyvumo didinimas gerinant jų infrastruktūrą</t>
    </r>
  </si>
  <si>
    <r>
      <t xml:space="preserve">Priemonė:
</t>
    </r>
    <r>
      <rPr>
        <b/>
        <sz val="9"/>
        <rFont val="Times New Roman"/>
        <family val="1"/>
        <charset val="186"/>
      </rPr>
      <t>Socialinių paslaugų infrastruktūros plėtra</t>
    </r>
  </si>
  <si>
    <r>
      <t xml:space="preserve">Priemonė:
</t>
    </r>
    <r>
      <rPr>
        <b/>
        <sz val="9"/>
        <rFont val="Times New Roman"/>
        <family val="1"/>
        <charset val="186"/>
      </rPr>
      <t>Socialinio būsto fondo plėtra</t>
    </r>
  </si>
  <si>
    <r>
      <t xml:space="preserve">Uždavinys:
</t>
    </r>
    <r>
      <rPr>
        <b/>
        <sz val="12"/>
        <rFont val="Times New Roman"/>
        <family val="1"/>
        <charset val="186"/>
      </rPr>
      <t>Visuomenei teikiamų paslaugų kokybės, didinant jų atitikimo visuomenės poreikiams pagerinimas</t>
    </r>
  </si>
  <si>
    <r>
      <t xml:space="preserve">Priemonė:
</t>
    </r>
    <r>
      <rPr>
        <b/>
        <sz val="9"/>
        <rFont val="Times New Roman"/>
        <family val="1"/>
        <charset val="186"/>
      </rPr>
      <t>Paslaugų teikimo ir asmenų aptarnavimo kokybės gerinimas savivaldybėse</t>
    </r>
  </si>
  <si>
    <r>
      <t xml:space="preserve">Uždavinys:
</t>
    </r>
    <r>
      <rPr>
        <b/>
        <sz val="12"/>
        <rFont val="Times New Roman"/>
        <family val="1"/>
        <charset val="186"/>
      </rPr>
      <t>Socialinio būsto ir socialinių paslaugų prieinamumo pažeidžiamiausioms gyventojų grupėms padidinimas</t>
    </r>
  </si>
  <si>
    <r>
      <rPr>
        <b/>
        <u/>
        <sz val="10"/>
        <rFont val="Times New Roman"/>
        <family val="1"/>
        <charset val="186"/>
      </rPr>
      <t>Priemonė:</t>
    </r>
    <r>
      <rPr>
        <b/>
        <sz val="10"/>
        <rFont val="Times New Roman"/>
        <family val="1"/>
        <charset val="186"/>
      </rPr>
      <t xml:space="preserve">
Geriamojo vandens tiekimo ir nuotekų tvarkymo sistemų renovavimas ir plėtra, įmonių valdymo tobulinimas </t>
    </r>
  </si>
  <si>
    <t>Ekologiškų transporto priemonių įsigijimas Druskininkų savivaldybėje</t>
  </si>
  <si>
    <t>Ekologiškų transporto priemonių įsigijimas  Lazdijų rajono savivaldybėje</t>
  </si>
  <si>
    <t xml:space="preserve"> -</t>
  </si>
  <si>
    <t>Buvusios sinagogos pastato Kauno g. 9A Alytuje rekonstravimas ir aplinkinės teritorijos sutvarkymas</t>
  </si>
  <si>
    <t>Alytaus miesto darnaus judumo plano parengimas</t>
  </si>
  <si>
    <t>Dviračių trasų infrastruktūros įrengimas nuo Putinų g. žiedo Pramonės gatvėje, Alytaus mieste</t>
  </si>
  <si>
    <t>Perspektyvinės gatvės nuo Pramonės  g. iki Naujosios g. Alytuje įrengimas</t>
  </si>
  <si>
    <t>Modernių ir saugių erdvių kūrimas Dzūkijos pagrindinėje mokykloje, Alytuje</t>
  </si>
  <si>
    <t>Alytaus r. meno ir sporto mokyklos edukacinių erdvių įkūrimas ir atnaujinimas</t>
  </si>
  <si>
    <t>„Turizmo trasų ir maršrutų informacinės infrastruktūros plėtra  Lazdijų, Varėnos rajonų ir Druskininkų savivaldybėse“</t>
  </si>
  <si>
    <t>Lazdijų, Varėnos rajonų ir Druskininkų savivaldybės</t>
  </si>
  <si>
    <t>„Turizmo trasų ir maršrutų informacinės infrastruktūros plėtra  Lazdijų, Varėnos rajonų ir Druskininkų savivaldybėse II etapas“</t>
  </si>
  <si>
    <t>Druskininkų kultūros centro lauko scenos, Vilniaus al. 24, Druskininkai, modernizavimas ir pritaikymas kultūros  poreikiams</t>
  </si>
  <si>
    <t>VšĮ „Lazdijų sporto centras“</t>
  </si>
  <si>
    <t>Ikimokyklinio ir priešmokyklinio ugdymo įstaigų Lazdijų rajono savivaldybėje modernizavimas</t>
  </si>
  <si>
    <t>Karloniškės ežero ir jo prieigų sutvarkymas ir pritaikymas aktyviam poilsiui</t>
  </si>
  <si>
    <t>Vinco Krėvės-Mickevičiaus memorialinio muziejaus atnaujinimas</t>
  </si>
  <si>
    <t>Dviračių ir pėsčiųjų takų įrengimas Varėnos miesto J. Basanavičiaus ir Žiedo gatvėse</t>
  </si>
  <si>
    <t>Varėnos r. Merkinės Vinco Krėvės gimnazijos laisvų patalpų pritaikymas ikimokyklinio ir priešmokyklinio ugdymo grupėms įrengti</t>
  </si>
  <si>
    <t xml:space="preserve"> „Kaimo gyvenamųjų vietovių atnaujinimas“  </t>
  </si>
  <si>
    <t xml:space="preserve"> „Miestų kompleksinė plėtra“</t>
  </si>
  <si>
    <t xml:space="preserve"> „Pereinamojo laikotarpio tikslinių teritorijų vystymas. II“</t>
  </si>
  <si>
    <t>07.1.1-CPVA-V-903</t>
  </si>
  <si>
    <t xml:space="preserve"> „Pereinamojo laikotarpio teritorijų vystymas. I“</t>
  </si>
  <si>
    <t xml:space="preserve"> „Geriamojo vandens tiekimo ir nuotekų tvarkymo sistemų renovavimas ir plėtra, įmonių valdymo tobulinimas“</t>
  </si>
  <si>
    <t xml:space="preserve"> „Paviršinių nuotekų sistemų tvarkymas“</t>
  </si>
  <si>
    <t xml:space="preserve"> „Savivaldybes jungiančių turizmo trasų ir turizmo maršrutų informacinės infrastruktūros plėtra“</t>
  </si>
  <si>
    <t xml:space="preserve">  „Modernizuoti savivaldybių kultūros infrastruktūrą“</t>
  </si>
  <si>
    <t xml:space="preserve">  „Aktualizuoti savivaldybių kultūros paveldo objektus“</t>
  </si>
  <si>
    <t>"Vietinio susisiekimo viešojo transporto priemonių parko atnaujinimas" (išskyrus penkis didžiuosius miestus)</t>
  </si>
  <si>
    <t xml:space="preserve">04.5.1-TID-R-518 </t>
  </si>
  <si>
    <t xml:space="preserve"> "Darnaus judumo priemonių diegimas"</t>
  </si>
  <si>
    <t>„Darnaus judrumo sistemų kūrimas“</t>
  </si>
  <si>
    <t xml:space="preserve"> Pėsčiųjų ir dviračių takų rekonstrukcija ir plėtra</t>
  </si>
  <si>
    <t xml:space="preserve">06.2.1-TID-R-511 </t>
  </si>
  <si>
    <t xml:space="preserve">
„Vietinių kelių techninių parametrų ir eismo saugos gerinimas"</t>
  </si>
  <si>
    <t xml:space="preserve"> „Mokyklų tinklo efektyvumo didinimas“</t>
  </si>
  <si>
    <t xml:space="preserve">09.1.3-CPVA-R-724 </t>
  </si>
  <si>
    <t xml:space="preserve"> „Neformaliojo švietimo infrastruktūros tobulinimas“</t>
  </si>
  <si>
    <t xml:space="preserve"> „Ikimokyklinio ir priešmokyklinio ugdymo prieinamumo didinimas"</t>
  </si>
  <si>
    <t xml:space="preserve"> ,,Pirminės asmens ir visuomenės sveikatos priežiūros veiklos efektyvumo didinimas“</t>
  </si>
  <si>
    <t xml:space="preserve">08.1.2-CPVA-R-407 </t>
  </si>
  <si>
    <t xml:space="preserve"> „Socialinio būsto fondo plėtra"</t>
  </si>
  <si>
    <t xml:space="preserve"> „Paslaugų teikimo ir asmenų aptarnavimo kokybės gerinimas savivaldybėse“</t>
  </si>
  <si>
    <t xml:space="preserve"> „Komunalinių atliekų tvarkymo infrastruktūros plėtra“</t>
  </si>
  <si>
    <t xml:space="preserve"> „Kraštovaizdžio apsauga“</t>
  </si>
  <si>
    <t>Metai</t>
  </si>
  <si>
    <t>Projektų, kuriems veiklų grupė priskirta kaip pagrindinė, lėšų poreikis, EUR (iš viso)</t>
  </si>
  <si>
    <r>
      <t>Darnaus judumo priemonės miestuose (pėsčiųjų ir dviračių takų infrastruktūra, </t>
    </r>
    <r>
      <rPr>
        <i/>
        <sz val="12"/>
        <rFont val="Times New Roman"/>
        <family val="1"/>
      </rPr>
      <t>Park and Ride</t>
    </r>
    <r>
      <rPr>
        <sz val="12"/>
        <rFont val="Times New Roman"/>
        <family val="1"/>
      </rPr>
      <t>, </t>
    </r>
    <r>
      <rPr>
        <i/>
        <sz val="12"/>
        <rFont val="Times New Roman"/>
        <family val="1"/>
      </rPr>
      <t>Bike and Ride</t>
    </r>
    <r>
      <rPr>
        <sz val="12"/>
        <rFont val="Times New Roman"/>
        <family val="1"/>
      </rPr>
      <t> aikštelės, elektromobilių įkrovimo stotelių įrengimas ir kita)</t>
    </r>
  </si>
  <si>
    <t>Suplanuota (be rezervinių)</t>
  </si>
  <si>
    <t xml:space="preserve">P.B.235  </t>
  </si>
  <si>
    <t>2 lentelė. Pagrindinių projektų įgyvendinimo etapų terminai – projektų įtraukimas į regiono arba valstybės projektų sąrašus*</t>
  </si>
  <si>
    <t>Projektų įtraukimas į regiono arba valstybės projektų sąrašus</t>
  </si>
  <si>
    <t>Veiksmų programos įgyvendinimo plano arba Kaimo plėtros programos priemonė (Nr.)</t>
  </si>
  <si>
    <t>R/V**</t>
  </si>
  <si>
    <t>ITI***</t>
  </si>
  <si>
    <t> </t>
  </si>
  <si>
    <t>1.1.1</t>
  </si>
  <si>
    <t>Uždavinys: 
Sudaryti sąlygas darbo vietų kūrimui, kuriant ir atnaujinant viešąją ir ekoinžinerinę  infrastruktūrą,  gamtos, kultūros paveldo objektus ir kultūros įstaigas</t>
  </si>
  <si>
    <t> metai</t>
  </si>
  <si>
    <t>metai</t>
  </si>
  <si>
    <t xml:space="preserve">Finansavimo sutarties sudarymas  </t>
  </si>
  <si>
    <t>++</t>
  </si>
  <si>
    <t xml:space="preserve">Vėlavimas </t>
  </si>
  <si>
    <t> (metais)</t>
  </si>
  <si>
    <t>Vėlavimas )</t>
  </si>
  <si>
    <t>(menesiais)</t>
  </si>
  <si>
    <t>Planuota (metai,mėnuo, diena)</t>
  </si>
  <si>
    <t>Faktiškai įvykdyta (metai,mėnuo, diena)</t>
  </si>
  <si>
    <t>07.1.1-CPVA-V-902-01-0008</t>
  </si>
  <si>
    <t>Projekto kodas</t>
  </si>
  <si>
    <t>Projektų paraiškų pateikimas įgyvendinančiajai institucijai</t>
  </si>
  <si>
    <t>3  lentelė. Pagrindinių projektų įgyvendinimo etapų terminai – projektų paraiškų pateikimas įgyvendinančiajai institucijai*.</t>
  </si>
  <si>
    <t>Projektų finansavimo sutarčių sudarymas</t>
  </si>
  <si>
    <t>5 lentelė. Pagrindinių projektų įgyvendinimo etapų terminai – projektų užbaigimas*.</t>
  </si>
  <si>
    <t>Projektų užbaigimas</t>
  </si>
  <si>
    <t>6 lentelė. Planui įgyvendinti skirti asignavimai*.</t>
  </si>
  <si>
    <t>Planuota</t>
  </si>
  <si>
    <t>Skirta**</t>
  </si>
  <si>
    <t>Skirta</t>
  </si>
  <si>
    <t>Panaudota**</t>
  </si>
  <si>
    <t>05.3.2-APVA-R-014-11-0001</t>
  </si>
  <si>
    <t>05.3.2-APVA-R-014-11-0002</t>
  </si>
  <si>
    <t>05.3.2-APVA-R-014-11-0005</t>
  </si>
  <si>
    <t>05.3.2-APVA-R-014-11-0004</t>
  </si>
  <si>
    <t>05.3.2-APVA-R-014-11-0003</t>
  </si>
  <si>
    <t>05.1.1-APVA-R-007-11-0001</t>
  </si>
  <si>
    <t>05.4.1-LVPA-R-821-11-0001</t>
  </si>
  <si>
    <t>05.4.1-LVPA-R-821-11-0002</t>
  </si>
  <si>
    <t>07.1.1-CPVA-R-905-11-0001</t>
  </si>
  <si>
    <t>07.1.1-CPVA-R-905-11-0002</t>
  </si>
  <si>
    <t>07.1.1-CPVA-R-903-11-0001</t>
  </si>
  <si>
    <t>07.1.1-CPVA-R-903-11-0002</t>
  </si>
  <si>
    <t>07.1.1-CPVA-R-305-11-0001</t>
  </si>
  <si>
    <t>07.1.1-CPVA-R-305-11-0002</t>
  </si>
  <si>
    <t>07.1.1-CPVA-R-305-11-0003</t>
  </si>
  <si>
    <t>04.5.1-TID-V-513-01-0006</t>
  </si>
  <si>
    <t>04.5.1-TID-V-513-01-0015</t>
  </si>
  <si>
    <t>04.5.1-TID-R-516-11-0001</t>
  </si>
  <si>
    <t>06.2.1-TID-R-511-11-0001</t>
  </si>
  <si>
    <t>06.2.1-TID-R-511-11-0002</t>
  </si>
  <si>
    <t>08.1.1-CPVA-R-407-11-0002</t>
  </si>
  <si>
    <t>08.1.1-CPVA-R-407-11-0001</t>
  </si>
  <si>
    <t>08.1.1-CPVA-R-407-11-0003</t>
  </si>
  <si>
    <t>08.1.1-CPVA-R-407-11-0004</t>
  </si>
  <si>
    <t>08.1.1-CPVA-R-407-11-0005</t>
  </si>
  <si>
    <t>08.1.2-CPVA-R-408-11-0001</t>
  </si>
  <si>
    <t>08.1.2-CPVA-R-408-11-0002</t>
  </si>
  <si>
    <t>08.1.2-CPVA-R-408-11-0003</t>
  </si>
  <si>
    <t>08.1.2-CPVA-R-408-11-0004</t>
  </si>
  <si>
    <t>08.1.2-CPVA-R-408-11-0005</t>
  </si>
  <si>
    <t>05.2.1-APVA-R-008-11-0001</t>
  </si>
  <si>
    <t>05.5.1-APVA-R-019-11-0001</t>
  </si>
  <si>
    <t>05.5.1-APVA-R-019-11-0002</t>
  </si>
  <si>
    <t>05.5.1-APVA-R-019-11-0003</t>
  </si>
  <si>
    <t>05.5.1-APVA-R-019-11-0004</t>
  </si>
  <si>
    <t>05.5.1-APVA-R-019-11-0005</t>
  </si>
  <si>
    <t>1 lentelė. Efekto ir rezultato vertinimo kriterijų pasiekimas.</t>
  </si>
  <si>
    <t>Metai:</t>
  </si>
  <si>
    <t>Vertinimo kriterijaus pavadinimas</t>
  </si>
  <si>
    <t>Nuokrypio intervalai</t>
  </si>
  <si>
    <t>Faktinė reikšmė:</t>
  </si>
  <si>
    <t xml:space="preserve">7 lentelė. Planui įgyvendinti panaudoti asignavimai*.
</t>
  </si>
  <si>
    <t>8 lentelė. Lėšų paskirstymas pagal Veiksmų programos įgyvendinimo plano priemones (tūkst. Lt) (sudarytos projektų finansavimo sutartys, kaupiamuoju būdu).</t>
  </si>
  <si>
    <t>9 lentelė. Baigti projektai pagal pagrindinę veiklų grupę (kaupiamuoju būdu, nuo plano įgyvendinimo pradžios).</t>
  </si>
  <si>
    <t>Projektų, kuriems veiklų grupė priskirta kaip pagrindinė, panaudotas finansavimas (iš viso)</t>
  </si>
  <si>
    <t>10 lentelė. Pasiektos produkto vertinimo kriterijų reikšmės kaupiamuoju būdu (nuo plano įgyvendinimo pradžios).</t>
  </si>
  <si>
    <t>Vertinimo kriterijaus pavadinimas ir matavimo vienetai</t>
  </si>
  <si>
    <t>Pagrindinės paslaugos ir kaimų atnaujinimas kaimo vietovėse </t>
  </si>
  <si>
    <t>2015 planuota</t>
  </si>
  <si>
    <t>2015 skirtumas</t>
  </si>
  <si>
    <t>2016 planuota</t>
  </si>
  <si>
    <t>2017 planuota</t>
  </si>
  <si>
    <t>2018 planuota</t>
  </si>
  <si>
    <t>2019 planuota</t>
  </si>
  <si>
    <t>2020 planuota</t>
  </si>
  <si>
    <t>Iš viso planuota</t>
  </si>
  <si>
    <t>2016 skirtumas</t>
  </si>
  <si>
    <t>2017 skirumas</t>
  </si>
  <si>
    <t>2018 skirtumas</t>
  </si>
  <si>
    <t>2019 skirumas</t>
  </si>
  <si>
    <t>2020 skirtumas</t>
  </si>
  <si>
    <t>Sutarčių sumos pamečiui</t>
  </si>
  <si>
    <t>Skirtumas Iš viso nuo planuoto</t>
  </si>
  <si>
    <t>Regiono limitas</t>
  </si>
  <si>
    <t>05.4.1-LVPA-R-821</t>
  </si>
  <si>
    <t>Limito likutis nuo suplanuotų</t>
  </si>
  <si>
    <t>Alytaus lopšelio-darželio " Girinukas" ugdymo aplinkos modernizavimas</t>
  </si>
  <si>
    <t>Limito likutis nuo sutarčių</t>
  </si>
  <si>
    <t>Viso limito likutis</t>
  </si>
  <si>
    <t>Kitos viešosios lėšos sutarties suma</t>
  </si>
  <si>
    <t>Kitos viešosios lėšos Likutis</t>
  </si>
  <si>
    <t>Privačios lėšos sutarties suma</t>
  </si>
  <si>
    <t>Privačios lėšos Likutis</t>
  </si>
  <si>
    <t>Valstybės biudžetas sutarties suma</t>
  </si>
  <si>
    <t>Valstybės biudžetas Likutis</t>
  </si>
  <si>
    <t>Savivaldybės biudžetas sutarties suma</t>
  </si>
  <si>
    <t>Savivaldybės biudžetas Likutis</t>
  </si>
  <si>
    <t>Iš viso: sutarties suma</t>
  </si>
  <si>
    <t>Iš viso: Likutis</t>
  </si>
  <si>
    <t>ES lėšos sutarties suma</t>
  </si>
  <si>
    <t>ES lėšos Likutis nuo sutarties</t>
  </si>
  <si>
    <t>Pasiektos reikšmės</t>
  </si>
  <si>
    <t>Regioninio planavimo būdu įgyvendintų mažos apimties infrastruktūros projektų skaičius (regioninių projektų skaičius)</t>
  </si>
  <si>
    <t>P.N.910</t>
  </si>
  <si>
    <t>Naujos atviros erdvės (vietovėse nuo 1 iki 6 tūkst. gyv. išskyrus savivaldybių centrus), m2</t>
  </si>
  <si>
    <t>R.N.403</t>
  </si>
  <si>
    <t>Tikslinių grupių asmenys, gavę tiesioginės naudos iš investicijų į socialinių paslaugų infrastruktūrą</t>
  </si>
  <si>
    <t>P.S.380</t>
  </si>
  <si>
    <t>Pagal veiksmų programą ERPF lėšomis sukurtos naujos ikimokyklinio ir priešmokyklinio ugdymo vietos</t>
  </si>
  <si>
    <t>skirtumas tarp plano sumos ir pasirašytos sutarties</t>
  </si>
  <si>
    <t>ES paramos likutis dėl kurių nepasirašytos sutartys</t>
  </si>
  <si>
    <t xml:space="preserve">ES paramos limitas </t>
  </si>
  <si>
    <r>
      <t xml:space="preserve">Es paramos likutis bendras </t>
    </r>
    <r>
      <rPr>
        <b/>
        <sz val="10"/>
        <rFont val="Times New Roman"/>
        <family val="1"/>
        <charset val="186"/>
      </rPr>
      <t>(nesuplanuotas ir po sutarčių pasirašymo)</t>
    </r>
  </si>
  <si>
    <t>„Vietinių kelių vystymas"</t>
  </si>
  <si>
    <t>09.1.3-CPVA-R-725-11-0001</t>
  </si>
  <si>
    <r>
      <t xml:space="preserve">Es paramos likutis nesuplanuotas </t>
    </r>
    <r>
      <rPr>
        <sz val="10"/>
        <rFont val="Times New Roman"/>
        <family val="1"/>
        <charset val="186"/>
      </rPr>
      <t>(be rezervinių)</t>
    </r>
  </si>
  <si>
    <t>P.N.507</t>
  </si>
  <si>
    <t xml:space="preserve">Parengti darnaus judumo mieste planai (Skaičius) </t>
  </si>
  <si>
    <t xml:space="preserve">Nenaudojamų teritorijų Varėnos mieste sutvarkymas ir pritaikymas verslui </t>
  </si>
  <si>
    <t>1.1.1.3.6</t>
  </si>
  <si>
    <t xml:space="preserve">Teritorijų prie daugiabučių gyvenamųjų pastatų Varėnos mieste sutvarkymas ir pritaikymas visuomenės poreikiams  </t>
  </si>
  <si>
    <t>Teikiamų paslaugų procesų tobulinimas ir asmenų aptarnavimo kokybės gerinimas Alytaus miesto savivaldybės administracijoje ir jai pavaldžiose įstaigose. I etapas</t>
  </si>
  <si>
    <t>2.1.4.1.6</t>
  </si>
  <si>
    <t>Teikiamų paslaugų procesų tobulinimas ir asmenų aptarnavimo kokybės gerinimas Alytaus miesto savivaldybės administracijoje ir jai pavaldžiose įstaigose. II etapas</t>
  </si>
  <si>
    <t>Druskininkų sav. Viečiūnų progimnazijos ikimokyklinio ugdymo skyriaus „Linelis“ ugdymo prieinamumo didinimas</t>
  </si>
  <si>
    <t>Siekiama reikšmė sutartis(I)</t>
  </si>
  <si>
    <t>Siekiama reikšmė sutartis (II)</t>
  </si>
  <si>
    <t>Siekiama reikšmė sutartis (III)</t>
  </si>
  <si>
    <t>Siekiama reikšmė sutartis (IV)</t>
  </si>
  <si>
    <t>Siekiama reikšmė sutartis (V)</t>
  </si>
  <si>
    <t>skirtumas (sutartis-planas) sutartis(I)</t>
  </si>
  <si>
    <t>skirtumas (sutartis-planas) sutartis(II)</t>
  </si>
  <si>
    <t>skirtumas (sutartis-planas) sutartis(III)</t>
  </si>
  <si>
    <t>skirtumas (sutartis-planas) sutartis(IV)</t>
  </si>
  <si>
    <t>skirtumas (sutartis-planas) sutartis(V)</t>
  </si>
  <si>
    <t xml:space="preserve">09.1.3-CPVA-R-724-11-0001 </t>
  </si>
  <si>
    <t xml:space="preserve">09.1.3-CPVA-R-724-11-0002 </t>
  </si>
  <si>
    <t xml:space="preserve">09.1.3-CPVA-R-724-11-0003 </t>
  </si>
  <si>
    <t>09.1.3-CPVA-R-724-11-0004</t>
  </si>
  <si>
    <t>09.1.3-CPVA-R-725-11-0002</t>
  </si>
  <si>
    <t>07.1.1-CPVA-R-905-11-0003</t>
  </si>
  <si>
    <t>09.1.3-CPVA-R-724-11-0005</t>
  </si>
  <si>
    <t>09.1.3-CPVA-R-725-11-0003</t>
  </si>
  <si>
    <t>09.1.3-CPVA-R-725-11-0004</t>
  </si>
  <si>
    <t>09.1.3-CPVA-R-725-11-0005</t>
  </si>
  <si>
    <t>Tikslas: 
Didinti ūkinės veiklos įvairovę ir pagerinti sąlygas investicijų pritraukimui, mažinant geografinių sąlygų ir demografinių procesų sukeliamus gyvenimo kokybės netolygumus</t>
  </si>
  <si>
    <r>
      <rPr>
        <b/>
        <u/>
        <sz val="10"/>
        <rFont val="Times New Roman"/>
        <family val="1"/>
        <charset val="186"/>
      </rPr>
      <t>Priemonė:</t>
    </r>
    <r>
      <rPr>
        <b/>
        <sz val="10"/>
        <rFont val="Times New Roman"/>
        <family val="1"/>
        <charset val="186"/>
      </rPr>
      <t xml:space="preserve">
Komunalinių atliekų tvarkymo infrastruktūros plėtra</t>
    </r>
  </si>
  <si>
    <r>
      <rPr>
        <b/>
        <u/>
        <sz val="10"/>
        <rFont val="Times New Roman"/>
        <family val="1"/>
        <charset val="186"/>
      </rPr>
      <t>Priemonė:</t>
    </r>
    <r>
      <rPr>
        <b/>
        <sz val="10"/>
        <rFont val="Times New Roman"/>
        <family val="1"/>
        <charset val="186"/>
      </rPr>
      <t xml:space="preserve">
Kraštovaizdžio apsauga/plėtra</t>
    </r>
  </si>
  <si>
    <r>
      <t xml:space="preserve">Priemonė:
</t>
    </r>
    <r>
      <rPr>
        <b/>
        <sz val="10"/>
        <rFont val="Times New Roman"/>
        <family val="1"/>
        <charset val="186"/>
      </rPr>
      <t>Paslaugų teikimo ir asmenų aptarnavimo kokybės gerinimas savivaldybėse</t>
    </r>
  </si>
  <si>
    <r>
      <t xml:space="preserve">Priemonė:
</t>
    </r>
    <r>
      <rPr>
        <b/>
        <sz val="10"/>
        <rFont val="Times New Roman"/>
        <family val="1"/>
        <charset val="186"/>
      </rPr>
      <t>Socialinio būsto fondo plėtra</t>
    </r>
  </si>
  <si>
    <r>
      <t xml:space="preserve">Priemonė:
</t>
    </r>
    <r>
      <rPr>
        <b/>
        <sz val="10"/>
        <rFont val="Times New Roman"/>
        <family val="1"/>
        <charset val="186"/>
      </rPr>
      <t>Pirminės asmens ir visuomenės sveikatos priežiūros veiklos efektyvumo didinimas gerinant jų infrastruktūrą</t>
    </r>
  </si>
  <si>
    <r>
      <t xml:space="preserve">Priemonė:
</t>
    </r>
    <r>
      <rPr>
        <b/>
        <sz val="10"/>
        <rFont val="Times New Roman"/>
        <family val="1"/>
        <charset val="186"/>
      </rPr>
      <t>Neformaliojo švietimo infrastruktūros tobulinimas</t>
    </r>
  </si>
  <si>
    <r>
      <t xml:space="preserve">Priemonė:
</t>
    </r>
    <r>
      <rPr>
        <b/>
        <sz val="10"/>
        <rFont val="Times New Roman"/>
        <family val="1"/>
        <charset val="186"/>
      </rPr>
      <t>Mokyklų tinklo efektyvumo didinimas</t>
    </r>
  </si>
  <si>
    <r>
      <t xml:space="preserve">Priemonė:
</t>
    </r>
    <r>
      <rPr>
        <b/>
        <sz val="10"/>
        <rFont val="Times New Roman"/>
        <family val="1"/>
        <charset val="186"/>
      </rPr>
      <t>Pėsčiųjų ir dviračių takų rekonstrukcija ir plėtra</t>
    </r>
  </si>
  <si>
    <r>
      <t xml:space="preserve">Priemonė:
</t>
    </r>
    <r>
      <rPr>
        <b/>
        <sz val="10"/>
        <rFont val="Times New Roman"/>
        <family val="1"/>
        <charset val="186"/>
      </rPr>
      <t>Darnaus judumo priemonių diegimas</t>
    </r>
  </si>
  <si>
    <r>
      <t xml:space="preserve">Priemonė:
</t>
    </r>
    <r>
      <rPr>
        <b/>
        <sz val="10"/>
        <rFont val="Times New Roman"/>
        <family val="1"/>
        <charset val="186"/>
      </rPr>
      <t>Aktualizuoti savivaldybių kultūros paveldo objektu</t>
    </r>
    <r>
      <rPr>
        <b/>
        <u/>
        <sz val="10"/>
        <rFont val="Times New Roman"/>
        <family val="1"/>
        <charset val="186"/>
      </rPr>
      <t>s</t>
    </r>
  </si>
  <si>
    <r>
      <rPr>
        <b/>
        <u/>
        <sz val="10"/>
        <rFont val="Times New Roman"/>
        <family val="1"/>
        <charset val="186"/>
      </rPr>
      <t>Priemonė:</t>
    </r>
    <r>
      <rPr>
        <b/>
        <sz val="10"/>
        <rFont val="Times New Roman"/>
        <family val="1"/>
        <charset val="186"/>
      </rPr>
      <t xml:space="preserve">
Modernizuoti savivaldybių kultūros infrastruktūrą</t>
    </r>
  </si>
  <si>
    <r>
      <t xml:space="preserve">Priemonė:
</t>
    </r>
    <r>
      <rPr>
        <b/>
        <sz val="10"/>
        <rFont val="Times New Roman"/>
        <family val="1"/>
        <charset val="186"/>
      </rPr>
      <t xml:space="preserve">Alytaus, Druskininkų ir Lazdijų miestų kompleksinė plėtra
</t>
    </r>
  </si>
  <si>
    <r>
      <t xml:space="preserve">Priemonė:
</t>
    </r>
    <r>
      <rPr>
        <b/>
        <sz val="10"/>
        <rFont val="Times New Roman"/>
        <family val="1"/>
        <charset val="186"/>
      </rPr>
      <t>Kaimo gyvenamųjų vietovių (turinčių iki 1 tūkst. gyventojų) atnaujinimas</t>
    </r>
  </si>
  <si>
    <r>
      <t xml:space="preserve">Priemonė:
</t>
    </r>
    <r>
      <rPr>
        <b/>
        <sz val="10"/>
        <rFont val="Times New Roman"/>
        <family val="1"/>
        <charset val="186"/>
      </rPr>
      <t>Kaimo gyvenamųjų vietovių (turinčių 1-6 tūkst. gyventojų) atnaujinimas ir plėtra</t>
    </r>
  </si>
  <si>
    <r>
      <t xml:space="preserve">Priemonė:
</t>
    </r>
    <r>
      <rPr>
        <b/>
        <sz val="10"/>
        <rFont val="Times New Roman"/>
        <family val="1"/>
        <charset val="186"/>
      </rPr>
      <t>Paviršinių nuotekų sistemų tvarkymas</t>
    </r>
  </si>
  <si>
    <r>
      <rPr>
        <b/>
        <u/>
        <sz val="10"/>
        <rFont val="Times New Roman"/>
        <family val="1"/>
        <charset val="186"/>
      </rPr>
      <t xml:space="preserve">Priemonė:
</t>
    </r>
    <r>
      <rPr>
        <b/>
        <sz val="10"/>
        <rFont val="Times New Roman"/>
        <family val="1"/>
        <charset val="186"/>
      </rPr>
      <t>Savivaldybes jungiančių turizmo trasų ir turizmo maršrutų informacinės infrastruktūros plėtra</t>
    </r>
  </si>
  <si>
    <r>
      <rPr>
        <b/>
        <u/>
        <sz val="10"/>
        <rFont val="Times New Roman"/>
        <family val="1"/>
        <charset val="186"/>
      </rPr>
      <t xml:space="preserve">Priemonė:
</t>
    </r>
    <r>
      <rPr>
        <b/>
        <sz val="10"/>
        <rFont val="Times New Roman"/>
        <family val="1"/>
        <charset val="186"/>
      </rPr>
      <t>Vietinio susisiekimo viešojo transporto priemonių parko atnaujinimas</t>
    </r>
  </si>
  <si>
    <r>
      <rPr>
        <b/>
        <u/>
        <sz val="12"/>
        <rFont val="Times New Roman"/>
        <family val="1"/>
        <charset val="186"/>
      </rPr>
      <t>Uždavinys:</t>
    </r>
    <r>
      <rPr>
        <b/>
        <sz val="12"/>
        <rFont val="Times New Roman"/>
        <family val="1"/>
        <charset val="186"/>
      </rPr>
      <t xml:space="preserve"> 
Sudaryti sąlygas darbo vietų kūrimui, kuriant ir atnaujinant viešąją ir ekoinžinerinę  infrastruktūrą,  gamtos, kultūros paveldo objektus ir kultūros įstaigas</t>
    </r>
  </si>
  <si>
    <t>Naujos atviros erdvės (vietovėse nuo 1 iki 6 tūkst. gyv. išskyrus savivaldybių centrus) (m2)</t>
  </si>
  <si>
    <t>Numatyti pasiekimo metai</t>
  </si>
  <si>
    <t xml:space="preserve">Produkto vertinimo kriterijus (I) </t>
  </si>
  <si>
    <t xml:space="preserve">05.3.2-APVA-R-014 </t>
  </si>
  <si>
    <t xml:space="preserve">07.1.1-CPVA-R-905 </t>
  </si>
  <si>
    <t>Kodas (V)</t>
  </si>
  <si>
    <t>Produkto vertinimo kriterijus (V)</t>
  </si>
  <si>
    <t>Siekiama reikšmė (V)</t>
  </si>
  <si>
    <t xml:space="preserve">Patvirtinta </t>
  </si>
  <si>
    <t>Alytaus regiono plėtros tarybos</t>
  </si>
  <si>
    <t xml:space="preserve">2015 m. spalio 26 d. </t>
  </si>
  <si>
    <t>sprendimu Nr. 51/6S-34</t>
  </si>
  <si>
    <t>PRIEMONIŲ PLANAS</t>
  </si>
  <si>
    <t>4.</t>
  </si>
  <si>
    <t xml:space="preserve">5.1. VERTINIMO KRITERIJAI </t>
  </si>
  <si>
    <t>1 lentelė. Efekto vertinimo kriterijai.</t>
  </si>
  <si>
    <t>Prioritetai ir tikslai</t>
  </si>
  <si>
    <t>Pradinė reikšmė</t>
  </si>
  <si>
    <t>Siekiama reikšmė</t>
  </si>
  <si>
    <t>(2023 m.)</t>
  </si>
  <si>
    <t>Nuokrypio intervalų ribos ir įvertinimas*</t>
  </si>
  <si>
    <t>Prioritetas: KONKURENCINGA EKONOMIKA</t>
  </si>
  <si>
    <t>1.1-ef-1</t>
  </si>
  <si>
    <t>Tikslas: Didinti ūkinės veiklos įvairovę ir pagerinti sąlygas investicijų pritraukimui, mažinant geografinių sąlygų ir demografinių procesų sukeliamus gyvenimo kokybės netolygumus</t>
  </si>
  <si>
    <t>BVP, tenkantis vienam gyventojui, palyginti su šalies vidurkiu, proc.</t>
  </si>
  <si>
    <t>65,5 proc.</t>
  </si>
  <si>
    <t>Prioritetas: DARNI BENDRUOMENĖ</t>
  </si>
  <si>
    <t>2.1-ef-1</t>
  </si>
  <si>
    <t>Tikslas: Gerinti viešųjų  paslaugų kokybę ir prieinamumą</t>
  </si>
  <si>
    <t>Vidutinis Alytaus apskrities savivaldybių indeksas palyginti su Lietuvos vidurkiu, proc.</t>
  </si>
  <si>
    <t>(2014 m.)</t>
  </si>
  <si>
    <t>100,0 proc.</t>
  </si>
  <si>
    <t>Prioritetas: SAUGI, ŠVARI IR PATOGI GYVENTI APLINKA</t>
  </si>
  <si>
    <t>3.1-ef-1</t>
  </si>
  <si>
    <t>Tikslas: Darniai tvarkyti ir vystyti regiono teritoriją</t>
  </si>
  <si>
    <t>Išmetamų į atmosferą šiltnamio efektą sukeliančių dujų kiekis CO2 ekvivalentu mažėjimas (proc.)</t>
  </si>
  <si>
    <t>10 proc.</t>
  </si>
  <si>
    <t>&lt; 1 blogai</t>
  </si>
  <si>
    <t>64,8 proc.
(2013 m.)</t>
  </si>
  <si>
    <t>&gt; 65,5 labai gerai
[65,1; 65,5] gerai
[64,8; 65,0]  patenkinamai
&lt; 64,8 blogai</t>
  </si>
  <si>
    <t>96,2 proc.
(2014 m.)</t>
  </si>
  <si>
    <t>100,0 labai gerai
[99,9; 98,1] gerai
[98,0; 96,2] patenkinamai
&lt; 96,2 blogai</t>
  </si>
  <si>
    <t>2 lentelė. Rezultato vertinimo kriterijai.</t>
  </si>
  <si>
    <t>1.1.1-r-1</t>
  </si>
  <si>
    <t>Uždavinys: Sudaryti sąlygas darbo vietų kūrimui, kuriant ir atnaujinant viešąją ir ekoinžinerinę  infrastruktūrą,  gamtos, kultūros paveldo objektus ir kultūros įstaigas</t>
  </si>
  <si>
    <t>Pritrauktos papildomos materialinės investicijos į tikslines teritorijas, (tūkst. Eur)</t>
  </si>
  <si>
    <t>1.1.1-r-2</t>
  </si>
  <si>
    <t>Užimtųjų dalis tikslinėse teritorijose (proc.)</t>
  </si>
  <si>
    <t>54.5</t>
  </si>
  <si>
    <t>&gt; 54.5 labai gerai</t>
  </si>
  <si>
    <t>[51; 54.4] gerai</t>
  </si>
  <si>
    <t>[48; 50] patenkinamai</t>
  </si>
  <si>
    <t>&lt; 48 blogai</t>
  </si>
  <si>
    <t>1.1.2-r-1</t>
  </si>
  <si>
    <t>Uždavinys: Pagerinti darbo jėgos judėjimo galimybes gerinant susisiekimo sistemas</t>
  </si>
  <si>
    <t>Keleivių apyvartos kelių transportu - Iš viso pagal reiso tipą- padidėjimas proc. (tūkst. keleivio km)</t>
  </si>
  <si>
    <t>&gt; 10 labai gerai</t>
  </si>
  <si>
    <t>[5; 10] gerai</t>
  </si>
  <si>
    <t>[1; 5) patenkinamai</t>
  </si>
  <si>
    <t>1.1.2-r-2</t>
  </si>
  <si>
    <t>Žuvusiųjų ne TEN-T tinklo keliuose skaičius</t>
  </si>
  <si>
    <t>&lt; 3 labai gerai</t>
  </si>
  <si>
    <t>[8; 3] gerai</t>
  </si>
  <si>
    <t>[13; 8) patenkinamai</t>
  </si>
  <si>
    <t>&gt; 13 blogai</t>
  </si>
  <si>
    <t>2.1.1-r-1</t>
  </si>
  <si>
    <t>Uždavinys: Bendrojo ugdymo ir neformaliojo švietimo įstaigų (ypač vykdančių ikimokyklinio ir priešmokyklinio ugdymo programas) tinklo veiklos efektyvumo didinimas</t>
  </si>
  <si>
    <t>Bendrojo ugdymo mokinių, kurie mokosi bent už 289 tūkst. eurų pagal veiksmų programą ERPF lėšomis atnaujintose įstaigose, dalis (proc.)</t>
  </si>
  <si>
    <t>&gt; 48 labai gerai</t>
  </si>
  <si>
    <t>[36; 48] gerai</t>
  </si>
  <si>
    <t>[0; 36) patenkinamai</t>
  </si>
  <si>
    <t>= 0 blogai</t>
  </si>
  <si>
    <t>Neformaliojo ugdymo paslaugomis mokykloje ir kitur pasinaudojančių vaikų dalis (proc.)</t>
  </si>
  <si>
    <t>&gt; 38,4 labai gerai</t>
  </si>
  <si>
    <t>[34; 38,4] gerai</t>
  </si>
  <si>
    <t>[31,4; 34) patenkinamai</t>
  </si>
  <si>
    <t>&lt; 31,4 blogai</t>
  </si>
  <si>
    <t>2.1.1-r-3</t>
  </si>
  <si>
    <t>1-6 metų vaikų, ugdomų pagal veiksmų programą ERPF lėšomis atnaujintose ikimokyklinio ir priešmokyklinio ugdymo įstaigose, dalis (proc.)</t>
  </si>
  <si>
    <t>&gt; 46 labai gerai</t>
  </si>
  <si>
    <t>[25; 46] gerai</t>
  </si>
  <si>
    <t>[0; 25) patenkinamai</t>
  </si>
  <si>
    <t>2.1.2-r-1</t>
  </si>
  <si>
    <t>Uždavinys: Sveikatos netolygumų sumažinimas, gerinant sveikatos priežiūros kokybę ir prieinamumą tikslinėms gyventojų grupėms ir sveiko senėjimo skatinimas</t>
  </si>
  <si>
    <t>Apsilankymų pas gydytojus skaičiaus, tenkančio vienam gyventojui, skirtumas tarp miestų ir rajonų savivaldybių gyventojų (Apsilankymų skaičius, tenkantis 1 gyventojui)</t>
  </si>
  <si>
    <t>[3; 4] gerai</t>
  </si>
  <si>
    <t>(4; 5] patenkinamai</t>
  </si>
  <si>
    <t>&gt; 5 blogai</t>
  </si>
  <si>
    <t>2.1.2-r-2</t>
  </si>
  <si>
    <t>Standartizuoto 0-64 m. amžiaus gyventojų mirtingumo sumažėjimas tikslinėse teritorijose dėl išorinių mirties priežasčių (Atvejų skaičius 100000 gyv.)</t>
  </si>
  <si>
    <t>&lt; 110 labai gerai</t>
  </si>
  <si>
    <t>[110; 82] gerai</t>
  </si>
  <si>
    <t>[130; 110) patenkinamai</t>
  </si>
  <si>
    <t>&gt; 130 blogai</t>
  </si>
  <si>
    <t>2.1.3-r-1</t>
  </si>
  <si>
    <t>Uždavinys: Padidinti socialinio būsto ir socialinių paslaugų prieinamumą pažeidžiamiausioms gyventojų grupėms</t>
  </si>
  <si>
    <t>Tikslinių grupių asmenys, gavę tiesioginės naudos iš investicijų į socialinių paslaugų infrastruktūrą (Skaičius) (R.N.403)</t>
  </si>
  <si>
    <t>&gt; 62 labai gerai</t>
  </si>
  <si>
    <t>[28; 62) gerai</t>
  </si>
  <si>
    <t>[0; 28) patenkinamai</t>
  </si>
  <si>
    <t>2.1.3-r-2</t>
  </si>
  <si>
    <t>Investicijas gavusiose įstaigose esančios vietos socialinių paslaugų gavėjams</t>
  </si>
  <si>
    <t>(Skaičius) (R.N.404)</t>
  </si>
  <si>
    <t>&gt; 47 labai gerai</t>
  </si>
  <si>
    <t>[25; 47] gerai</t>
  </si>
  <si>
    <t>[0; 25] patenkinamai</t>
  </si>
  <si>
    <t>2.1.3-r-3</t>
  </si>
  <si>
    <t>Asmenų (šeimų), kuriems išnuomotas savivaldybės socialinis būstas, dalis nuo visų socialinio būsto nuomos laukiančių asmenų (šeimų) (Procentai)</t>
  </si>
  <si>
    <t>&gt; 14 labai gerai</t>
  </si>
  <si>
    <t>[7; 14] gerai</t>
  </si>
  <si>
    <t>[0; 7) patenkinamai</t>
  </si>
  <si>
    <t>3.1.1-r-1</t>
  </si>
  <si>
    <t>Uždavinys. Kraštovaizdžio apsauga, planavimas ir tvarkymas</t>
  </si>
  <si>
    <t>Teritorijų, kuriose įgyvendintos kraštovaizdžio formavimo priemonės, plotas (ha)</t>
  </si>
  <si>
    <t>&gt; 320 labai gerai</t>
  </si>
  <si>
    <t>[160; 320) gerai</t>
  </si>
  <si>
    <t>[0; 160) patenkinamai</t>
  </si>
  <si>
    <t>3.1.2-r-1</t>
  </si>
  <si>
    <t>Uždavinys. Sumažinti sąvartynuose šalinamų komunalinių atliekų kiekį</t>
  </si>
  <si>
    <t>Sąvartynuose šalinamų komunalinių atliekų dalis (proc.)</t>
  </si>
  <si>
    <t>&lt; 35 labai gerai</t>
  </si>
  <si>
    <t>[45; 35] gerai</t>
  </si>
  <si>
    <t>[55; 45) patenkinamai</t>
  </si>
  <si>
    <t>&gt; 55 blogai</t>
  </si>
  <si>
    <t>3  lentelė. Efekto ir rezultato vertinimo kriterijų pasiekimo grafikas.</t>
  </si>
  <si>
    <t>a = 64.8</t>
  </si>
  <si>
    <t>b = 64</t>
  </si>
  <si>
    <t>c = 63</t>
  </si>
  <si>
    <t>a = 64.9</t>
  </si>
  <si>
    <t>b = 64.1</t>
  </si>
  <si>
    <t>a = 65</t>
  </si>
  <si>
    <t>b = 64.2</t>
  </si>
  <si>
    <t>c = 63.2</t>
  </si>
  <si>
    <t>a = 65.1</t>
  </si>
  <si>
    <t>b = 64.3</t>
  </si>
  <si>
    <t>c =63.3</t>
  </si>
  <si>
    <t>a = 65.2</t>
  </si>
  <si>
    <t>b = 64.4</t>
  </si>
  <si>
    <t>c = 63.4</t>
  </si>
  <si>
    <t>a = 65.3</t>
  </si>
  <si>
    <t>b = 64.5</t>
  </si>
  <si>
    <t>c = 63.5</t>
  </si>
  <si>
    <t>a = 65.4</t>
  </si>
  <si>
    <t>b = 64.6</t>
  </si>
  <si>
    <t>c = 63.6</t>
  </si>
  <si>
    <t>a = 65.5</t>
  </si>
  <si>
    <t>b = 64,7</t>
  </si>
  <si>
    <t>c = 63.7</t>
  </si>
  <si>
    <t>a = 0</t>
  </si>
  <si>
    <t>a = 2039</t>
  </si>
  <si>
    <t>b = 1000</t>
  </si>
  <si>
    <t>c = 500</t>
  </si>
  <si>
    <t>a = 3000</t>
  </si>
  <si>
    <t>b = 2750</t>
  </si>
  <si>
    <t>c =2500</t>
  </si>
  <si>
    <t>a = 4000</t>
  </si>
  <si>
    <t>b = 87,2</t>
  </si>
  <si>
    <t>c = 2700</t>
  </si>
  <si>
    <t>a = 6000</t>
  </si>
  <si>
    <t>b = 5500</t>
  </si>
  <si>
    <t>c = 5000</t>
  </si>
  <si>
    <t>a = 9000</t>
  </si>
  <si>
    <t>b = 8000</t>
  </si>
  <si>
    <t>c = 7000</t>
  </si>
  <si>
    <t>a = 9394</t>
  </si>
  <si>
    <t>b = 9000</t>
  </si>
  <si>
    <t>c = 8000</t>
  </si>
  <si>
    <t>a = 45</t>
  </si>
  <si>
    <t>b = 40</t>
  </si>
  <si>
    <t>c = 35</t>
  </si>
  <si>
    <t>a = 46</t>
  </si>
  <si>
    <t>b = 41</t>
  </si>
  <si>
    <t>c = 36</t>
  </si>
  <si>
    <t>a = 47</t>
  </si>
  <si>
    <t>b = 42</t>
  </si>
  <si>
    <t>c = 37</t>
  </si>
  <si>
    <t>a = 48</t>
  </si>
  <si>
    <t>b = 43.5</t>
  </si>
  <si>
    <t>c = 38</t>
  </si>
  <si>
    <t>a = 49</t>
  </si>
  <si>
    <t>b = 44.5</t>
  </si>
  <si>
    <t>c =39</t>
  </si>
  <si>
    <t>a = 50</t>
  </si>
  <si>
    <t>b = 45</t>
  </si>
  <si>
    <t>c = 40</t>
  </si>
  <si>
    <t>a = 51.5</t>
  </si>
  <si>
    <t>b = 46</t>
  </si>
  <si>
    <t>c = 41</t>
  </si>
  <si>
    <t>a = 52</t>
  </si>
  <si>
    <t>b = 47</t>
  </si>
  <si>
    <t>c = 42</t>
  </si>
  <si>
    <t>a = 54.5</t>
  </si>
  <si>
    <t>b = 48</t>
  </si>
  <si>
    <t>c = 43</t>
  </si>
  <si>
    <t>a = 1</t>
  </si>
  <si>
    <t>b = 0</t>
  </si>
  <si>
    <t>a = 2</t>
  </si>
  <si>
    <t>b = 1</t>
  </si>
  <si>
    <t>c =0</t>
  </si>
  <si>
    <t>a = 3</t>
  </si>
  <si>
    <t>b = 2</t>
  </si>
  <si>
    <t>c =1</t>
  </si>
  <si>
    <t>a = 5</t>
  </si>
  <si>
    <t>b = 3</t>
  </si>
  <si>
    <t>c =2</t>
  </si>
  <si>
    <t>a = 7</t>
  </si>
  <si>
    <t>b = 4</t>
  </si>
  <si>
    <t>c =3</t>
  </si>
  <si>
    <t>a = 9</t>
  </si>
  <si>
    <t>b = 6</t>
  </si>
  <si>
    <t>c =4</t>
  </si>
  <si>
    <t>a = 10</t>
  </si>
  <si>
    <t>b = 7</t>
  </si>
  <si>
    <t>c =5</t>
  </si>
  <si>
    <t>a = 11</t>
  </si>
  <si>
    <t>b = 12</t>
  </si>
  <si>
    <t>c = 13</t>
  </si>
  <si>
    <t>b = 11</t>
  </si>
  <si>
    <t>c = 12</t>
  </si>
  <si>
    <t>b = 10</t>
  </si>
  <si>
    <t>c = 11</t>
  </si>
  <si>
    <t>a = 8</t>
  </si>
  <si>
    <t>b = 9</t>
  </si>
  <si>
    <t>c = 10</t>
  </si>
  <si>
    <t>a = 6</t>
  </si>
  <si>
    <t>c = 8</t>
  </si>
  <si>
    <t>c = 7</t>
  </si>
  <si>
    <t>a = 4</t>
  </si>
  <si>
    <t>b = 5</t>
  </si>
  <si>
    <t>c = 6</t>
  </si>
  <si>
    <t>c = 5</t>
  </si>
  <si>
    <t>a = 96,2</t>
  </si>
  <si>
    <t>b = 96</t>
  </si>
  <si>
    <t>c = 95.5</t>
  </si>
  <si>
    <t>a = 96.5</t>
  </si>
  <si>
    <t>b = 96.2</t>
  </si>
  <si>
    <t>c = 95.6</t>
  </si>
  <si>
    <t>a = 97</t>
  </si>
  <si>
    <t>b = 96.3</t>
  </si>
  <si>
    <t>c = 95.8</t>
  </si>
  <si>
    <t>a = 97.5</t>
  </si>
  <si>
    <t>b = 96.5</t>
  </si>
  <si>
    <t>c = 96</t>
  </si>
  <si>
    <t>a = 98</t>
  </si>
  <si>
    <t>b = 96.7</t>
  </si>
  <si>
    <t>c =96.2</t>
  </si>
  <si>
    <t>a = 98.5</t>
  </si>
  <si>
    <t>b = 96.9</t>
  </si>
  <si>
    <t>c = 96.4</t>
  </si>
  <si>
    <t>a = 99</t>
  </si>
  <si>
    <t>b = 97.5</t>
  </si>
  <si>
    <t>c = 96.6</t>
  </si>
  <si>
    <t>a = 99.5</t>
  </si>
  <si>
    <t>b = 98.3</t>
  </si>
  <si>
    <t>c = 96.8</t>
  </si>
  <si>
    <t>a = 100</t>
  </si>
  <si>
    <t>b = 98.5</t>
  </si>
  <si>
    <t>c = 97</t>
  </si>
  <si>
    <t>c = 0</t>
  </si>
  <si>
    <t>a = 17</t>
  </si>
  <si>
    <t>a = 36.24</t>
  </si>
  <si>
    <t>b = 30</t>
  </si>
  <si>
    <t>c = 25</t>
  </si>
  <si>
    <t>a = 40</t>
  </si>
  <si>
    <t>b = 37</t>
  </si>
  <si>
    <t>a = 41</t>
  </si>
  <si>
    <t>b = 38</t>
  </si>
  <si>
    <t>a = 43</t>
  </si>
  <si>
    <t>b = 39</t>
  </si>
  <si>
    <t>c = 39</t>
  </si>
  <si>
    <t>2.1.1-r-2</t>
  </si>
  <si>
    <t>a = 30</t>
  </si>
  <si>
    <t>b = 24</t>
  </si>
  <si>
    <t>c = 19</t>
  </si>
  <si>
    <t>a = 30.5</t>
  </si>
  <si>
    <t>b = 25</t>
  </si>
  <si>
    <t>c = 19.5</t>
  </si>
  <si>
    <t>a = 30.8</t>
  </si>
  <si>
    <t>b = 25.5</t>
  </si>
  <si>
    <t>c = 19.8</t>
  </si>
  <si>
    <t>a = 31,4</t>
  </si>
  <si>
    <t>c = 20</t>
  </si>
  <si>
    <t>b = 27</t>
  </si>
  <si>
    <t>a = 31</t>
  </si>
  <si>
    <t>b = 28</t>
  </si>
  <si>
    <t>c = 26</t>
  </si>
  <si>
    <t>a = 33</t>
  </si>
  <si>
    <t>b = 29</t>
  </si>
  <si>
    <t>c = 27</t>
  </si>
  <si>
    <t>a = 35</t>
  </si>
  <si>
    <t>c = 28</t>
  </si>
  <si>
    <t>a = 38.4</t>
  </si>
  <si>
    <t>b = 32</t>
  </si>
  <si>
    <t>c = 29</t>
  </si>
  <si>
    <t>a = 25</t>
  </si>
  <si>
    <t>b = 20</t>
  </si>
  <si>
    <t>c = 17</t>
  </si>
  <si>
    <t>b = 36</t>
  </si>
  <si>
    <t>c = 33</t>
  </si>
  <si>
    <t>Tikslinės populiacijos, dalyvavusios vaikų krūminių dantų dengimo silantinėmis medžiagomis programoje, dalis, (proc.)</t>
  </si>
  <si>
    <t>b=5</t>
  </si>
  <si>
    <t>a = 18</t>
  </si>
  <si>
    <t>b =15</t>
  </si>
  <si>
    <t>a = 19</t>
  </si>
  <si>
    <t>b =18</t>
  </si>
  <si>
    <t>c = 15</t>
  </si>
  <si>
    <t>b =17</t>
  </si>
  <si>
    <t>c = 16</t>
  </si>
  <si>
    <t>a = 20</t>
  </si>
  <si>
    <t>b =19</t>
  </si>
  <si>
    <t>c = 18</t>
  </si>
  <si>
    <t>a = 23</t>
  </si>
  <si>
    <t>b =21</t>
  </si>
  <si>
    <r>
      <t xml:space="preserve">Tikslinės grupės asmenų,  dalyvavusių storosios žarnos vėžio ankstyvosios diagnostikos finansavimo programoje, dalis, </t>
    </r>
    <r>
      <rPr>
        <sz val="12"/>
        <rFont val="Times New Roman"/>
        <family val="1"/>
        <charset val="186"/>
      </rPr>
      <t>(proc.)</t>
    </r>
  </si>
  <si>
    <t>a = 15</t>
  </si>
  <si>
    <t>b=15</t>
  </si>
  <si>
    <t>b =20</t>
  </si>
  <si>
    <t>b = 17</t>
  </si>
  <si>
    <t>a = 27</t>
  </si>
  <si>
    <t>b =22</t>
  </si>
  <si>
    <t>b = 18</t>
  </si>
  <si>
    <t>a = 32</t>
  </si>
  <si>
    <t>b =27</t>
  </si>
  <si>
    <t>b =30</t>
  </si>
  <si>
    <t>a = 12</t>
  </si>
  <si>
    <t>c =  6</t>
  </si>
  <si>
    <t>a = 38</t>
  </si>
  <si>
    <t>a = 51</t>
  </si>
  <si>
    <t>a = 62</t>
  </si>
  <si>
    <t xml:space="preserve">b = 47 </t>
  </si>
  <si>
    <t xml:space="preserve">a = 30 </t>
  </si>
  <si>
    <t xml:space="preserve">b = 20 </t>
  </si>
  <si>
    <t xml:space="preserve">a = 40 </t>
  </si>
  <si>
    <t xml:space="preserve">b = 25 </t>
  </si>
  <si>
    <t xml:space="preserve">c = 15 </t>
  </si>
  <si>
    <t xml:space="preserve">b = 35  </t>
  </si>
  <si>
    <t xml:space="preserve">c = 25 </t>
  </si>
  <si>
    <t>Asmenų (šeimų), kuriems išnuomotas savivaldybės socialinis būstas, dalis nuo visų socialinio būsto nuomos laukiančių asmenų (šeimų) (procentai)</t>
  </si>
  <si>
    <t>a = 3.9</t>
  </si>
  <si>
    <t>c=1</t>
  </si>
  <si>
    <t>c = 3.9</t>
  </si>
  <si>
    <t>c = 4</t>
  </si>
  <si>
    <t>b = 8</t>
  </si>
  <si>
    <t>a = 14</t>
  </si>
  <si>
    <t>b = 0.5</t>
  </si>
  <si>
    <t>b = 1.5</t>
  </si>
  <si>
    <t>c = 0.5</t>
  </si>
  <si>
    <t>b = 2.5</t>
  </si>
  <si>
    <t>c = 1</t>
  </si>
  <si>
    <t>c = 2</t>
  </si>
  <si>
    <t>b = 50</t>
  </si>
  <si>
    <t>a = 150</t>
  </si>
  <si>
    <t>b = 100</t>
  </si>
  <si>
    <t>c = 50</t>
  </si>
  <si>
    <t>a = 250</t>
  </si>
  <si>
    <t>b = 150</t>
  </si>
  <si>
    <t>c = 100</t>
  </si>
  <si>
    <t>a = 290</t>
  </si>
  <si>
    <t>b = 200</t>
  </si>
  <si>
    <t>c = 150</t>
  </si>
  <si>
    <t>a = 320</t>
  </si>
  <si>
    <t>b = 250</t>
  </si>
  <si>
    <t>c = 200</t>
  </si>
  <si>
    <t>a = 55</t>
  </si>
  <si>
    <t>b = 57</t>
  </si>
  <si>
    <t>c = 60</t>
  </si>
  <si>
    <t>a = 53</t>
  </si>
  <si>
    <t>b = 56</t>
  </si>
  <si>
    <t>c = 59</t>
  </si>
  <si>
    <t>b = 55</t>
  </si>
  <si>
    <t>c = 57</t>
  </si>
  <si>
    <t>b = 43</t>
  </si>
  <si>
    <t>c = 45</t>
  </si>
  <si>
    <t>a = 37</t>
  </si>
  <si>
    <t>a = 36</t>
  </si>
  <si>
    <t>PRIORITETAS 1: KONKURENCINGA EKONOMIKA</t>
  </si>
  <si>
    <t>Eil. Nr.</t>
  </si>
  <si>
    <t>Vertinimo kriterijaus apskaičiavimo formulė arba tyrimo pavadinimas</t>
  </si>
  <si>
    <t>Vertinimo kriterijaus reikšmei apskaičiuoti arba tyrimui atlikti naudojami duomenys (kintamieji)</t>
  </si>
  <si>
    <t>Duomenis pateikiančios institucijos</t>
  </si>
  <si>
    <t>Duomenų gavimo šaltiniai</t>
  </si>
  <si>
    <t>Vertinimo kriterijaus reikšmę apskaičiuojanti institucija</t>
  </si>
  <si>
    <t>Vertinimo kriterijaus reikšmės apskaičiavimo periodiškumas</t>
  </si>
  <si>
    <t>1.</t>
  </si>
  <si>
    <t>(BVP, tenkantis vienam gyventojui apskrityje/ BVP, tenkantis vienam gyventojui šalyje)*100</t>
  </si>
  <si>
    <t>Statistikos departamentas prie LRV</t>
  </si>
  <si>
    <t>Tinklalapis: http://osp.stat.gov.lt/</t>
  </si>
  <si>
    <t>Regioninės plėtros departamento prie VRM Alytaus apskrities skyrius</t>
  </si>
  <si>
    <t xml:space="preserve">2. </t>
  </si>
  <si>
    <t>Skaičiuojamas Lietuvos Respublikos vidaus reikalų ministerijai kas dvejus metus atliekant tyrimą, remiantis Lietuvos statistikos departamento teikiama informacija apie visų ūkio subjektų investicijas per praėjusius dvejus kalendorinius metus. Detali tyrimo metodika bus pateikta tyrimo ataskaitoje.</t>
  </si>
  <si>
    <t xml:space="preserve">- </t>
  </si>
  <si>
    <t>Lietuvos Respublikos vidaus reikalų ministerija, Lietuvos statistikos departamentas</t>
  </si>
  <si>
    <t>Pirminiai šaltiniai:</t>
  </si>
  <si>
    <t xml:space="preserve">Lietuvos Respublikos vidaus reikalų ministerijos kas dvejus metus atliekamo tyrimo ataskaita. </t>
  </si>
  <si>
    <r>
      <t>Antriniai šaltiniai:</t>
    </r>
    <r>
      <rPr>
        <sz val="12"/>
        <color theme="1"/>
        <rFont val="Times New Roman"/>
        <family val="1"/>
        <charset val="186"/>
      </rPr>
      <t xml:space="preserve"> metinės veiksmų programos įgyvendinimo ataskaitos, </t>
    </r>
  </si>
  <si>
    <t>2014–2020 metų Europos Sąjungos struktūrinių fondų posistemis (SFMIS2014).</t>
  </si>
  <si>
    <t xml:space="preserve">Du kartus per laikotarpį </t>
  </si>
  <si>
    <t xml:space="preserve">Skaičiuojamas Lietuvos Respublikos vidaus reikalų ministerijai kas dvejus metus atliekant tyrimą. Detali tyrimo metodika bus pateikta tyrimo ataskaitoje.  </t>
  </si>
  <si>
    <t>Lietuvos Respublikos vidaus reikalų ministerija.</t>
  </si>
  <si>
    <t xml:space="preserve">Lietuvos Respublikos vidaus reikalų ministerijos kas dvejus metus atliekamo </t>
  </si>
  <si>
    <t xml:space="preserve">tyrimo (apklausos) ataskaita. </t>
  </si>
  <si>
    <t>Pasiekta stebėsenos rodiklio reikšmė nustatoma, kai pasibaigus dvejiems kalendoriniams metams nuo bazinių metų (2014 m.) Lietuvos Respublikos vidaus reikalų ministerija atlieka tyrimą (apklausą), kurio metu apskaičiuojama pasiekta stebėsenos rodiklio reikšmė.</t>
  </si>
  <si>
    <t>(Keleivių apyvartos kelių transportu n-metais/ Keleivių apyvartos kelių transportu 2014 m.)*100</t>
  </si>
  <si>
    <t>Lietuvos statistikos departamentas, duomenys iš projektų</t>
  </si>
  <si>
    <t>5.</t>
  </si>
  <si>
    <t>Žuvusiųjų keliuose skaičius</t>
  </si>
  <si>
    <t>(Žuvusiųjų  keliuose skaičiaus n-metais/ Žuvusiųjų  keliuose skaičiaus 2014 m.)*100</t>
  </si>
  <si>
    <t>Lietuvos automobilių kelių direkcija</t>
  </si>
  <si>
    <t>http://www.lakd.lt/lt.php/eismo_saugumas/eismo_ivykiu_statistika/27</t>
  </si>
  <si>
    <t>PRIORITETAS 2: DARNI BENDRUOMENĖ</t>
  </si>
  <si>
    <t xml:space="preserve">(Vidutinis Alytaus apskrities savivaldybių indeksas/ vidutinis Lietuvos savivaldybių indeksas) * 100 </t>
  </si>
  <si>
    <t>Savivaldybės indeksas</t>
  </si>
  <si>
    <t>Lietuvos laisvosios rinkos institutas</t>
  </si>
  <si>
    <t xml:space="preserve">Tinklalapis: www.llri.lt </t>
  </si>
  <si>
    <t>Skaičiuojamas įgyvendinant projektų  veiklas atnaujintų bendrojo ugdymo įstaigų mokinių skaičių dalijant iš bendro bendrojo ugdymo mokinių skaičiaus apskrityje ir dauginant iš 100 proc.</t>
  </si>
  <si>
    <t xml:space="preserve">Projektų vykdytojas </t>
  </si>
  <si>
    <t xml:space="preserve">Pirminiai šaltiniai: </t>
  </si>
  <si>
    <t xml:space="preserve">projektų (atnaujintų įstaigų mokinių sąrašas, kurį projekto veiklų įgyvendinimo pabaigoje projekto vykdytojas teikia įgyvendinančiajai institucijai, o ši apibendrintą sąrašą teikia Lietuvos Respublikos švietimo ir mokslo ministerijai) duomenys, </t>
  </si>
  <si>
    <t>Švietimo valdymo informacinė sistema (duomenys apie bendrą bendrojo ugdymo įstaigų mokinių skaičių Lietuvoje).</t>
  </si>
  <si>
    <t xml:space="preserve">Antriniai šaltiniai: </t>
  </si>
  <si>
    <t xml:space="preserve">metinės veiksmų programos įgyvendinimo ataskaitos, </t>
  </si>
  <si>
    <t>3.</t>
  </si>
  <si>
    <t>Skaičiuojamas įgyvendinant projektų  veiklas atnaujintų neformaliojo ugdymo įstaigų mokinių skaičių dalijant iš bendro neformaliojo ugdymo mokinių skaičiaus apskrityje ir dauginant iš 100 proc.</t>
  </si>
  <si>
    <t xml:space="preserve">projektų vykdytojas teikia įgyvendinančiajai institucijai, o ši apibendrintą sąrašą teikia Lietuvos Respublikos švietimo ir mokslo ministerijai duomenys, </t>
  </si>
  <si>
    <t>Skaičiuojamas įgyvendinant projektų  veiklas atnaujintų 1-6 metų vaikų ugdymo įstaigų mokinių skaičių dalijant iš bendro 1-6 metų vaikų ugdymo mokinių skaičiaus apskrityje ir dauginant iš 100 proc.</t>
  </si>
  <si>
    <t xml:space="preserve">5. </t>
  </si>
  <si>
    <t>Skaičiuojamas pagal Higienos instituto Sveikatos informacijos centro metodiką, kuri paskelbta leidinyje „Pagrindinės sveikatos statistikos sąvokos, jų apibrėžimai ir skaičiavimas“, 2010 (http://sic.hi.lt/data/stat_leid.pdf).</t>
  </si>
  <si>
    <t>Lietuvos Respublikos sveikatos apsaugos ministerija.</t>
  </si>
  <si>
    <r>
      <t>Pirminiai šaltiniai</t>
    </r>
    <r>
      <rPr>
        <sz val="12"/>
        <color theme="1"/>
        <rFont val="Times New Roman"/>
        <family val="1"/>
        <charset val="186"/>
      </rPr>
      <t>:</t>
    </r>
  </si>
  <si>
    <t>Higienos instituto Sveikatos informacijos centro tvarkomi Lietuvos sveikatos statistikos duomenys.</t>
  </si>
  <si>
    <t>Antriniai šaltiniai:</t>
  </si>
  <si>
    <t>Higienos instituto Sveikatos informacijos centras</t>
  </si>
  <si>
    <t xml:space="preserve">Metai </t>
  </si>
  <si>
    <t>6.</t>
  </si>
  <si>
    <t>7.</t>
  </si>
  <si>
    <t>Tikslinių grupių asmenys, gavę tiesioginės naudos iš investicijų į socialinių paslaugų infrastruktūrą (Skaičius)</t>
  </si>
  <si>
    <t>Skaičiuojamas sumuojant unikalius tikslinių grupių asmenis, kurie per vienerių metų laikotarpį po projekto įgyvendinimo pabaigos:          - pasinaudojo investicijas gavusių įstaigų (įstaigų padalinių) paslaugomis;   - dirbo tokiose įstaigose</t>
  </si>
  <si>
    <t>projekto vykdytojas</t>
  </si>
  <si>
    <r>
      <t>Pirminiai šaltiniai</t>
    </r>
    <r>
      <rPr>
        <sz val="12"/>
        <color theme="1"/>
        <rFont val="Times New Roman"/>
        <family val="1"/>
        <charset val="186"/>
      </rPr>
      <t>: pažyma apie per metus socialines paslaugas gavusius asmenis ir įstaigoje (įstaigos padalinyje) dirbusius darbuotojus.</t>
    </r>
  </si>
  <si>
    <r>
      <t>Antriniai šaltiniai:</t>
    </r>
    <r>
      <rPr>
        <sz val="12"/>
        <color theme="1"/>
        <rFont val="Times New Roman"/>
        <family val="1"/>
        <charset val="186"/>
      </rPr>
      <t xml:space="preserve"> ataskaitos po projekto finansavimo pabaigos</t>
    </r>
  </si>
  <si>
    <t>8.</t>
  </si>
  <si>
    <t xml:space="preserve">Skaičiuojama asmenų (šeimų), kuriems nuo programavimo laikotarpio pradžios iki ataskaitinių metų pabaigos buvo išnuomotas savivaldybės socialinis būstas, dalis (procentais) nuo visų socialinio būsto nuomos laukiančių asmenų (šeimų) skaičiaus šalyje 2012 m. </t>
  </si>
  <si>
    <t>Lietuvos statistikos departamentas</t>
  </si>
  <si>
    <r>
      <t>Pirminiai šaltiniai</t>
    </r>
    <r>
      <rPr>
        <sz val="12"/>
        <color theme="1"/>
        <rFont val="Times New Roman"/>
        <family val="1"/>
        <charset val="186"/>
      </rPr>
      <t xml:space="preserve">: Lietuvos statistikos departamento interneto svetainėje (http://www.stat.gov.lt) skelbiama informacija ir (arba) savivaldybių teikiami duomenys apie asmenų (šeimų), kuriems buvo išnuomotas savivaldybės socialinis būstas, skaičių šalyje pasibaigus kiekvieniems kalendoriniams metams. </t>
    </r>
  </si>
  <si>
    <r>
      <t>Antriniai šaltiniai</t>
    </r>
    <r>
      <rPr>
        <sz val="12"/>
        <color theme="1"/>
        <rFont val="Times New Roman"/>
        <family val="1"/>
        <charset val="186"/>
      </rPr>
      <t>:</t>
    </r>
  </si>
  <si>
    <t>Prioritetas 3: SAUGI, ŠVARI IR PATOGI GYVENTI APLINKA</t>
  </si>
  <si>
    <t>Išmetamų į atmosferą šiltnamio efektą sukeliančių dujų kiekis CO2 ekvivalentu mažėjimas (proc.).</t>
  </si>
  <si>
    <t>(Išmetamų į atmosferą šiltnamio efektą sukeliančių dujų kiekis CO2 ekvivalentu  n-metais/ Išmetamų į atmosferą šiltnamio efektą sukeliančių dujų kiekis CO2 ekvivalentu 2014 m.)*100</t>
  </si>
  <si>
    <t>Aplinkos ministerija</t>
  </si>
  <si>
    <t>http://www.am.lt/VI/index.php</t>
  </si>
  <si>
    <t xml:space="preserve">Skaičiuojamas nustatant </t>
  </si>
  <si>
    <t>per kalendorinius metus sąvartynuose pašalintų komunalinių atliekų kiekio ir visų per kalendorinius metus susidariusių komunalinių atliekų kiekio santykį</t>
  </si>
  <si>
    <t>Oficialus Europos Sąjungos statistikos tarnybos (EUROSTAT)  leidinys „Europa skaičiais“ http://ec.europa.eu/eurostat/statistics-explained/index.php/Europe_in_figures_-_Eurostat_yearbook.</t>
  </si>
  <si>
    <t>9 lentelė. Visuomenės informavimo apie plano įgyvendinimą priemonės.</t>
  </si>
  <si>
    <t>Informacijos pobūdis</t>
  </si>
  <si>
    <t>Skelbimo periodiškumas</t>
  </si>
  <si>
    <t>Paskelbimo šaltinis</t>
  </si>
  <si>
    <t>Lėšų poreikis ir finansavimo šaltiniai</t>
  </si>
  <si>
    <t>Skelbimas internete</t>
  </si>
  <si>
    <t>Pranešimas spaudai</t>
  </si>
  <si>
    <t>Užsakomasis straipsnis</t>
  </si>
  <si>
    <t>Televizijos laida</t>
  </si>
  <si>
    <t>Radijo pranešimas</t>
  </si>
  <si>
    <t>Seminaras, konferencija</t>
  </si>
  <si>
    <t>Kita (nurodyti)</t>
  </si>
  <si>
    <t>Plano įgyvendinimo ataskaita</t>
  </si>
  <si>
    <t>Vieną kartą per metus</t>
  </si>
  <si>
    <t>X</t>
  </si>
  <si>
    <t>Periodinė apžvalga</t>
  </si>
  <si>
    <t>Vieną kartą per ketvirtį</t>
  </si>
  <si>
    <t>Informacinis pranešimas apie plano įgyvendinimą</t>
  </si>
  <si>
    <t>Informacinis pranešimas apie pradėtą/ įgyvendinimą/ įgyvendintą projektą</t>
  </si>
  <si>
    <t>Vieną kartą per mėnesį</t>
  </si>
  <si>
    <t xml:space="preserve">Parengė: Vidas Raštikis, tel. (8 315) 56990,  el. p. vidas.rastikis@vrm.lt </t>
  </si>
  <si>
    <r>
      <t>5.3.</t>
    </r>
    <r>
      <rPr>
        <b/>
        <sz val="7"/>
        <color theme="1"/>
        <rFont val="Times New Roman"/>
        <family val="1"/>
        <charset val="186"/>
      </rPr>
      <t xml:space="preserve">                               </t>
    </r>
    <r>
      <rPr>
        <b/>
        <sz val="12"/>
        <color theme="1"/>
        <rFont val="Times New Roman"/>
        <family val="1"/>
        <charset val="186"/>
      </rPr>
      <t>VISUOMENĖS INFORMAVIMO APIE PLANO ĮGYVENDINIMĄ PRIEMONĖS</t>
    </r>
  </si>
  <si>
    <r>
      <t>5.2.</t>
    </r>
    <r>
      <rPr>
        <b/>
        <sz val="7"/>
        <color theme="1"/>
        <rFont val="Times New Roman"/>
        <family val="1"/>
        <charset val="186"/>
      </rPr>
      <t xml:space="preserve">    </t>
    </r>
    <r>
      <rPr>
        <b/>
        <sz val="12"/>
        <color theme="1"/>
        <rFont val="Times New Roman"/>
        <family val="1"/>
        <charset val="186"/>
      </rPr>
      <t>VERTINIMO KRITERIJŲ REIKŠMIŲ APSKAIČIAVIMO METODAI, DALYVAUJANČIOS INSTITUCIJOS IR DUOMENŲ ŠALTINIAI</t>
    </r>
  </si>
  <si>
    <t>Investicijas gavusiose įstaigose esančios vietos socialinių paslaugų gavėjams (Skaičius) (R.N.404)</t>
  </si>
  <si>
    <t>0 proc.
(2014 m.)</t>
  </si>
  <si>
    <t>≥10 labai gerai
[5; 9] gerai
[1; 4] patenkinamai
&lt; 1 blogai</t>
  </si>
  <si>
    <t>&gt; 9394 labai gerai
[4500; 9393] gerai
[1; 4499] patenkinamai
&lt; 1 blogai</t>
  </si>
  <si>
    <t>0
(2014 m.)</t>
  </si>
  <si>
    <t>10.1.3-ESFA-R-920</t>
  </si>
  <si>
    <t>Projekto pradžia</t>
  </si>
  <si>
    <t>Projekto pabaiga</t>
  </si>
  <si>
    <t>Projektinių pasiūlymų pateikimas RPD prie VRM Alytaus skyriui</t>
  </si>
  <si>
    <t>Projektinių pasiūlymų pateikimas (metai/mėnuo/diena)</t>
  </si>
  <si>
    <t>Vėlavimas(-)
Anksčiau (+)</t>
  </si>
  <si>
    <t>Kvietime projektinių pasiūlymų pateikimas (metai/mėnuo/diena)</t>
  </si>
  <si>
    <t>Kvietime nurodytas projektinių pasiūlymų pateikimas (metai/mėnuo/diena)</t>
  </si>
  <si>
    <t>Kvietime planuota (metai,mėnuo, diena)</t>
  </si>
  <si>
    <t> (dienomis)</t>
  </si>
  <si>
    <r>
      <rPr>
        <b/>
        <u/>
        <sz val="10"/>
        <rFont val="Times New Roman"/>
        <family val="1"/>
        <charset val="186"/>
      </rPr>
      <t>Priemonė:</t>
    </r>
    <r>
      <rPr>
        <b/>
        <sz val="10"/>
        <rFont val="Times New Roman"/>
        <family val="1"/>
        <charset val="186"/>
      </rPr>
      <t xml:space="preserve">
Ikimokyklinio ir priešmokyklinio ugdymo prieinamumo didinimas</t>
    </r>
  </si>
  <si>
    <t>4 lentelė. Pagrindinių projektų įgyvendinimo etapų terminai – projektų finansavimo sutarčių sudarymas*.</t>
  </si>
  <si>
    <r>
      <t>a</t>
    </r>
    <r>
      <rPr>
        <sz val="11"/>
        <color rgb="FF000000"/>
        <rFont val="Times New Roman"/>
        <family val="1"/>
        <charset val="186"/>
      </rPr>
      <t xml:space="preserve"> </t>
    </r>
    <r>
      <rPr>
        <sz val="12"/>
        <color rgb="FF000000"/>
        <rFont val="Times New Roman"/>
        <family val="1"/>
        <charset val="186"/>
      </rPr>
      <t xml:space="preserve">&gt; 65,5 </t>
    </r>
    <r>
      <rPr>
        <sz val="11"/>
        <color rgb="FF000000"/>
        <rFont val="Times New Roman"/>
        <family val="1"/>
        <charset val="186"/>
      </rPr>
      <t>– labai gerai</t>
    </r>
  </si>
  <si>
    <r>
      <t>b</t>
    </r>
    <r>
      <rPr>
        <sz val="11"/>
        <color rgb="FF000000"/>
        <rFont val="Times New Roman"/>
        <family val="1"/>
        <charset val="186"/>
      </rPr>
      <t xml:space="preserve"> </t>
    </r>
    <r>
      <rPr>
        <sz val="12"/>
        <color rgb="FF000000"/>
        <rFont val="Times New Roman"/>
        <family val="1"/>
        <charset val="186"/>
      </rPr>
      <t xml:space="preserve">[65,1; 65,5] </t>
    </r>
    <r>
      <rPr>
        <sz val="11"/>
        <color rgb="FF000000"/>
        <rFont val="Times New Roman"/>
        <family val="1"/>
        <charset val="186"/>
      </rPr>
      <t>– gerai</t>
    </r>
  </si>
  <si>
    <r>
      <t>c</t>
    </r>
    <r>
      <rPr>
        <sz val="12"/>
        <color rgb="FF000000"/>
        <rFont val="Times New Roman"/>
        <family val="1"/>
        <charset val="186"/>
      </rPr>
      <t>[64,8; 65,0]  patenkinamai</t>
    </r>
  </si>
  <si>
    <t>&lt; 64,8 blogai</t>
  </si>
  <si>
    <t>–</t>
  </si>
  <si>
    <r>
      <t xml:space="preserve">Įvertinimas </t>
    </r>
    <r>
      <rPr>
        <i/>
        <sz val="11"/>
        <color rgb="FF000000"/>
        <rFont val="Times New Roman"/>
        <family val="1"/>
        <charset val="186"/>
      </rPr>
      <t>(labai gerai, gerai, patenkinamai, blogai)</t>
    </r>
  </si>
  <si>
    <t>gerai </t>
  </si>
  <si>
    <t>Pritrauktos papildomos materialinės investicijos į tikslines teritorijas, (tūkst. EUR)</t>
  </si>
  <si>
    <r>
      <t>a</t>
    </r>
    <r>
      <rPr>
        <sz val="11"/>
        <color rgb="FF000000"/>
        <rFont val="Times New Roman"/>
        <family val="1"/>
        <charset val="186"/>
      </rPr>
      <t xml:space="preserve"> </t>
    </r>
    <r>
      <rPr>
        <sz val="12"/>
        <color rgb="FF000000"/>
        <rFont val="Times New Roman"/>
        <family val="1"/>
        <charset val="186"/>
      </rPr>
      <t xml:space="preserve">100,0 </t>
    </r>
    <r>
      <rPr>
        <sz val="11"/>
        <color rgb="FF000000"/>
        <rFont val="Times New Roman"/>
        <family val="1"/>
        <charset val="186"/>
      </rPr>
      <t>– labai gerai</t>
    </r>
  </si>
  <si>
    <r>
      <t>b</t>
    </r>
    <r>
      <rPr>
        <sz val="11"/>
        <color rgb="FF000000"/>
        <rFont val="Times New Roman"/>
        <family val="1"/>
        <charset val="186"/>
      </rPr>
      <t xml:space="preserve"> </t>
    </r>
    <r>
      <rPr>
        <sz val="12"/>
        <color rgb="FF000000"/>
        <rFont val="Times New Roman"/>
        <family val="1"/>
        <charset val="186"/>
      </rPr>
      <t xml:space="preserve">[99,9; 98,1] </t>
    </r>
    <r>
      <rPr>
        <sz val="11"/>
        <color rgb="FF000000"/>
        <rFont val="Times New Roman"/>
        <family val="1"/>
        <charset val="186"/>
      </rPr>
      <t>– gerai</t>
    </r>
  </si>
  <si>
    <r>
      <t>c</t>
    </r>
    <r>
      <rPr>
        <sz val="11"/>
        <color rgb="FF000000"/>
        <rFont val="Times New Roman"/>
        <family val="1"/>
        <charset val="186"/>
      </rPr>
      <t xml:space="preserve"> </t>
    </r>
    <r>
      <rPr>
        <sz val="12"/>
        <color rgb="FF000000"/>
        <rFont val="Times New Roman"/>
        <family val="1"/>
        <charset val="186"/>
      </rPr>
      <t>[98,0; 96,2] patenkinamai</t>
    </r>
  </si>
  <si>
    <t>&lt; 96,2 blogai</t>
  </si>
  <si>
    <r>
      <t>–</t>
    </r>
    <r>
      <rPr>
        <b/>
        <sz val="12"/>
        <color rgb="FF000000"/>
        <rFont val="Times New Roman"/>
        <family val="1"/>
        <charset val="186"/>
      </rPr>
      <t> </t>
    </r>
  </si>
  <si>
    <r>
      <t xml:space="preserve">a   </t>
    </r>
    <r>
      <rPr>
        <sz val="12"/>
        <color rgb="FF000000"/>
        <rFont val="Times New Roman"/>
        <family val="1"/>
        <charset val="186"/>
      </rPr>
      <t>54.5 - labai gerai</t>
    </r>
    <r>
      <rPr>
        <sz val="11"/>
        <color rgb="FF000000"/>
        <rFont val="Times New Roman"/>
        <family val="1"/>
        <charset val="186"/>
      </rPr>
      <t xml:space="preserve"> </t>
    </r>
  </si>
  <si>
    <r>
      <t xml:space="preserve">b </t>
    </r>
    <r>
      <rPr>
        <sz val="12"/>
        <color rgb="FF000000"/>
        <rFont val="Times New Roman"/>
        <family val="1"/>
        <charset val="186"/>
      </rPr>
      <t>[51; 54.4] gerai</t>
    </r>
  </si>
  <si>
    <r>
      <t xml:space="preserve">c </t>
    </r>
    <r>
      <rPr>
        <sz val="12"/>
        <color rgb="FF000000"/>
        <rFont val="Times New Roman"/>
        <family val="1"/>
        <charset val="186"/>
      </rPr>
      <t>[48; 50] patenkinamai</t>
    </r>
  </si>
  <si>
    <t> -</t>
  </si>
  <si>
    <r>
      <t> </t>
    </r>
    <r>
      <rPr>
        <i/>
        <sz val="11"/>
        <color rgb="FF000000"/>
        <rFont val="Times New Roman"/>
        <family val="1"/>
        <charset val="186"/>
      </rPr>
      <t>gerai</t>
    </r>
  </si>
  <si>
    <t> labai gerai</t>
  </si>
  <si>
    <r>
      <t>labai gerai</t>
    </r>
    <r>
      <rPr>
        <b/>
        <sz val="12"/>
        <color rgb="FF000000"/>
        <rFont val="Times New Roman"/>
        <family val="1"/>
        <charset val="186"/>
      </rPr>
      <t> </t>
    </r>
  </si>
  <si>
    <r>
      <t xml:space="preserve">a </t>
    </r>
    <r>
      <rPr>
        <sz val="12"/>
        <color rgb="FF000000"/>
        <rFont val="Times New Roman"/>
        <family val="1"/>
        <charset val="186"/>
      </rPr>
      <t>&gt; 48 labai gerai</t>
    </r>
  </si>
  <si>
    <r>
      <t xml:space="preserve">b </t>
    </r>
    <r>
      <rPr>
        <sz val="12"/>
        <color rgb="FF000000"/>
        <rFont val="Times New Roman"/>
        <family val="1"/>
        <charset val="186"/>
      </rPr>
      <t>[36; 48] gerai</t>
    </r>
  </si>
  <si>
    <r>
      <t xml:space="preserve">c </t>
    </r>
    <r>
      <rPr>
        <sz val="12"/>
        <color rgb="FF000000"/>
        <rFont val="Times New Roman"/>
        <family val="1"/>
        <charset val="186"/>
      </rPr>
      <t>[0; 36) patenkinamai</t>
    </r>
  </si>
  <si>
    <t>a &gt; 38,4 labai gerai</t>
  </si>
  <si>
    <t>b [34; 38,4] gerai</t>
  </si>
  <si>
    <t>c [31,4; 34) patenkinamai</t>
  </si>
  <si>
    <t>a) &gt; 46 labai gerai</t>
  </si>
  <si>
    <t>b) [25; 46] gerai</t>
  </si>
  <si>
    <t>c [0; 25) patenkinamai</t>
  </si>
  <si>
    <t>a) &gt; 23 labai gerai</t>
  </si>
  <si>
    <t>b) [16; 23] gerai</t>
  </si>
  <si>
    <t>c) (5; 16] patenkinamai</t>
  </si>
  <si>
    <t xml:space="preserve"> &lt; 5 blogai</t>
  </si>
  <si>
    <t>Tikslinės grupės asmenų,  dalyvavusių storosios žarnos vėžio ankstyvosios diagnostikos finansavimo programoje, dalis, (proc.)</t>
  </si>
  <si>
    <t>Tikslinių grupių asmenys, gavę tiesioginės naudos iš investicijų į socialinių paslaugų infrastruktūrą (skaičius)</t>
  </si>
  <si>
    <t>&gt; 49 labai gerai</t>
  </si>
  <si>
    <t>[22; 49) gerai</t>
  </si>
  <si>
    <t>[0; 22) patenkinamai</t>
  </si>
  <si>
    <t>≥10 labai gerai</t>
  </si>
  <si>
    <t>[5; 9] gerai</t>
  </si>
  <si>
    <t>[1; 4] patenkinamai</t>
  </si>
  <si>
    <t xml:space="preserve"> [160; 320) gerai</t>
  </si>
  <si>
    <t xml:space="preserve">     = 0 blogai</t>
  </si>
  <si>
    <t xml:space="preserve">     &gt; 55 blogai</t>
  </si>
  <si>
    <r>
      <rPr>
        <b/>
        <u/>
        <sz val="12"/>
        <rFont val="Times New Roman"/>
        <family val="1"/>
        <charset val="186"/>
      </rPr>
      <t>Tikslas</t>
    </r>
    <r>
      <rPr>
        <b/>
        <sz val="12"/>
        <rFont val="Times New Roman"/>
        <family val="1"/>
      </rPr>
      <t xml:space="preserve">
DIDINTI ŪKINĖS VEIKLOS ĮVAIROVĘ IR PAGERINTI SĄLYGAS INVESTICIJŲ PRITRAUKIMUI, MAŽINANT GEOGRAFINIŲ SĄLYGŲ IR DEMOGRAFINIŲ PROCESŲ SUKELIAMUS GYVENIMO KOKYBĖS NETOLYGUMUS</t>
    </r>
  </si>
  <si>
    <r>
      <rPr>
        <b/>
        <u/>
        <sz val="11"/>
        <rFont val="Times New Roman"/>
        <family val="1"/>
        <charset val="186"/>
      </rPr>
      <t>Uždavinys</t>
    </r>
    <r>
      <rPr>
        <b/>
        <sz val="11"/>
        <rFont val="Times New Roman"/>
        <family val="1"/>
        <charset val="186"/>
      </rPr>
      <t xml:space="preserve">
Sudaryti sąlygas darbo vietų kūrimui, kuriant ir atnaujinant viešąją ir ekoinžinerinę  infrastruktūrą,  gamtos, kultūros paveldo objektus ir kultūros įstaigas</t>
    </r>
  </si>
  <si>
    <r>
      <rPr>
        <u/>
        <sz val="10"/>
        <rFont val="Times New Roman"/>
        <family val="1"/>
        <charset val="186"/>
      </rPr>
      <t>Priemonė</t>
    </r>
    <r>
      <rPr>
        <sz val="10"/>
        <rFont val="Times New Roman"/>
        <family val="1"/>
      </rPr>
      <t xml:space="preserve">
Kaimo gyvenamųjų vietovių (turinčių iki 1 tūkst. gyventojų) atnaujinimas</t>
    </r>
  </si>
  <si>
    <r>
      <rPr>
        <u/>
        <sz val="10"/>
        <rFont val="Times New Roman"/>
        <family val="1"/>
        <charset val="186"/>
      </rPr>
      <t>Priemonė</t>
    </r>
    <r>
      <rPr>
        <sz val="10"/>
        <rFont val="Times New Roman"/>
        <family val="1"/>
      </rPr>
      <t xml:space="preserve">
Kaimo gyvenamųjų vietovių (turinčių 1-6 tūkst. gyventojų) atnaujinimas ir plėtra</t>
    </r>
  </si>
  <si>
    <r>
      <rPr>
        <u/>
        <sz val="10"/>
        <rFont val="Times New Roman"/>
        <family val="1"/>
        <charset val="186"/>
      </rPr>
      <t>Priemonė</t>
    </r>
    <r>
      <rPr>
        <sz val="10"/>
        <rFont val="Times New Roman"/>
        <family val="1"/>
      </rPr>
      <t xml:space="preserve">
Varėnos miesto kompleksinė plėtra</t>
    </r>
  </si>
  <si>
    <r>
      <rPr>
        <u/>
        <sz val="10"/>
        <rFont val="Times New Roman"/>
        <family val="1"/>
        <charset val="186"/>
      </rPr>
      <t>Priemonė</t>
    </r>
    <r>
      <rPr>
        <sz val="10"/>
        <rFont val="Times New Roman"/>
        <family val="1"/>
      </rPr>
      <t xml:space="preserve">
Alytaus, Druskininkų ir Lazdijų miestų kompleksinė plėtra</t>
    </r>
  </si>
  <si>
    <r>
      <rPr>
        <u/>
        <sz val="10"/>
        <rFont val="Times New Roman"/>
        <family val="1"/>
        <charset val="186"/>
      </rPr>
      <t>Priemonė</t>
    </r>
    <r>
      <rPr>
        <sz val="10"/>
        <rFont val="Times New Roman"/>
        <family val="1"/>
      </rPr>
      <t xml:space="preserve">
Geriamojo vandens tiekimo ir nuotekų tvarkymo sistemų renovavimas ir plėtra, įmonių valdymo tobulinimas</t>
    </r>
  </si>
  <si>
    <r>
      <rPr>
        <u/>
        <sz val="10"/>
        <rFont val="Times New Roman"/>
        <family val="1"/>
        <charset val="186"/>
      </rPr>
      <t>Priemonė</t>
    </r>
    <r>
      <rPr>
        <sz val="10"/>
        <rFont val="Times New Roman"/>
        <family val="1"/>
      </rPr>
      <t xml:space="preserve">
Paviršinių nuotekų sistemų tvarkymas</t>
    </r>
  </si>
  <si>
    <r>
      <rPr>
        <u/>
        <sz val="10"/>
        <rFont val="Times New Roman"/>
        <family val="1"/>
        <charset val="186"/>
      </rPr>
      <t>Priemonė</t>
    </r>
    <r>
      <rPr>
        <sz val="10"/>
        <rFont val="Times New Roman"/>
        <family val="1"/>
      </rPr>
      <t xml:space="preserve">
Savivaldybes jungiančių turizmo trasų ir turizmo maršrutų informacinės infrastruktūros plėtra</t>
    </r>
  </si>
  <si>
    <r>
      <rPr>
        <u/>
        <sz val="10"/>
        <rFont val="Times New Roman"/>
        <family val="1"/>
        <charset val="186"/>
      </rPr>
      <t>Priemonė</t>
    </r>
    <r>
      <rPr>
        <sz val="10"/>
        <rFont val="Times New Roman"/>
        <family val="1"/>
      </rPr>
      <t xml:space="preserve">
Modernizuoti savivaldybių kultūros infrastruktūrą</t>
    </r>
  </si>
  <si>
    <r>
      <rPr>
        <u/>
        <sz val="10"/>
        <rFont val="Times New Roman"/>
        <family val="1"/>
        <charset val="186"/>
      </rPr>
      <t>Priemonė</t>
    </r>
    <r>
      <rPr>
        <sz val="10"/>
        <rFont val="Times New Roman"/>
        <family val="1"/>
      </rPr>
      <t xml:space="preserve">
Aktualizuoti savivaldybių kultūros paveldo objektus</t>
    </r>
  </si>
  <si>
    <r>
      <rPr>
        <b/>
        <u/>
        <sz val="11"/>
        <rFont val="Times New Roman"/>
        <family val="1"/>
        <charset val="186"/>
      </rPr>
      <t>Uždavinys</t>
    </r>
    <r>
      <rPr>
        <b/>
        <sz val="11"/>
        <rFont val="Times New Roman"/>
        <family val="1"/>
      </rPr>
      <t xml:space="preserve">
Pagerinti darbo jėgos judėjimo galimybes gerinant susisiekimo sistemas</t>
    </r>
  </si>
  <si>
    <r>
      <rPr>
        <u/>
        <sz val="10"/>
        <rFont val="Times New Roman"/>
        <family val="1"/>
        <charset val="186"/>
      </rPr>
      <t>Priemonė</t>
    </r>
    <r>
      <rPr>
        <sz val="10"/>
        <rFont val="Times New Roman"/>
        <family val="1"/>
      </rPr>
      <t xml:space="preserve">
Vietinio susisiekimo viešojo transporto priemonių parko atnaujinimas</t>
    </r>
  </si>
  <si>
    <r>
      <rPr>
        <u/>
        <sz val="10"/>
        <rFont val="Times New Roman"/>
        <family val="1"/>
        <charset val="186"/>
      </rPr>
      <t>Priemonė</t>
    </r>
    <r>
      <rPr>
        <sz val="10"/>
        <rFont val="Times New Roman"/>
        <family val="1"/>
      </rPr>
      <t xml:space="preserve">
Darnaus judumo priemonių diegimas</t>
    </r>
  </si>
  <si>
    <r>
      <rPr>
        <u/>
        <sz val="10"/>
        <rFont val="Times New Roman"/>
        <family val="1"/>
        <charset val="186"/>
      </rPr>
      <t>Priemonė</t>
    </r>
    <r>
      <rPr>
        <sz val="10"/>
        <rFont val="Times New Roman"/>
        <family val="1"/>
      </rPr>
      <t xml:space="preserve">
Pėsčiųjų ir dviračių takų rekonstrukcija ir plėtra</t>
    </r>
  </si>
  <si>
    <r>
      <rPr>
        <u/>
        <sz val="10"/>
        <rFont val="Times New Roman"/>
        <family val="1"/>
        <charset val="186"/>
      </rPr>
      <t>Priemonė</t>
    </r>
    <r>
      <rPr>
        <sz val="10"/>
        <rFont val="Times New Roman"/>
        <family val="1"/>
      </rPr>
      <t xml:space="preserve">
Vietinių kelių techninių parametrų ir eismo saugos gerinimas</t>
    </r>
  </si>
  <si>
    <r>
      <rPr>
        <b/>
        <u/>
        <sz val="12"/>
        <rFont val="Times New Roman"/>
        <family val="1"/>
        <charset val="186"/>
      </rPr>
      <t>Tikslas</t>
    </r>
    <r>
      <rPr>
        <b/>
        <sz val="12"/>
        <rFont val="Times New Roman"/>
        <family val="1"/>
      </rPr>
      <t xml:space="preserve">
GERINTI VIEŠŲJŲ  PASLAUGŲ KOKYBĘ IR PRIEINAMUMĄ</t>
    </r>
  </si>
  <si>
    <r>
      <rPr>
        <b/>
        <u/>
        <sz val="11"/>
        <rFont val="Times New Roman"/>
        <family val="1"/>
        <charset val="186"/>
      </rPr>
      <t>Uždavinys</t>
    </r>
    <r>
      <rPr>
        <b/>
        <sz val="11"/>
        <rFont val="Times New Roman"/>
        <family val="1"/>
      </rPr>
      <t xml:space="preserve">
Bendrojo ugdymo ir neformaliojo švietimo įstaigų (ypač vykdančių ikimokyklinio ir priešmokyklinio ugdymo programas) tinklo veiklos efektyvumo didinimas</t>
    </r>
  </si>
  <si>
    <r>
      <rPr>
        <u/>
        <sz val="10"/>
        <rFont val="Times New Roman"/>
        <family val="1"/>
        <charset val="186"/>
      </rPr>
      <t>Priemonė</t>
    </r>
    <r>
      <rPr>
        <sz val="10"/>
        <rFont val="Times New Roman"/>
        <family val="1"/>
      </rPr>
      <t xml:space="preserve">
Mokyklų tinklo efektyvumo didinimas</t>
    </r>
  </si>
  <si>
    <r>
      <rPr>
        <u/>
        <sz val="10"/>
        <rFont val="Times New Roman"/>
        <family val="1"/>
        <charset val="186"/>
      </rPr>
      <t>Priemonė</t>
    </r>
    <r>
      <rPr>
        <sz val="10"/>
        <rFont val="Times New Roman"/>
        <family val="1"/>
      </rPr>
      <t xml:space="preserve">
Neformaliojo švietimo infrastruktūros tobulinimas</t>
    </r>
  </si>
  <si>
    <r>
      <rPr>
        <u/>
        <sz val="10"/>
        <rFont val="Times New Roman"/>
        <family val="1"/>
        <charset val="186"/>
      </rPr>
      <t>Priemonė</t>
    </r>
    <r>
      <rPr>
        <sz val="10"/>
        <rFont val="Times New Roman"/>
        <family val="1"/>
      </rPr>
      <t xml:space="preserve">
Ikimokyklinio ir priešmokyklinio ugdymo prieinamumo didinimas</t>
    </r>
  </si>
  <si>
    <r>
      <rPr>
        <b/>
        <u/>
        <sz val="11"/>
        <rFont val="Times New Roman"/>
        <family val="1"/>
        <charset val="186"/>
      </rPr>
      <t>Uždavinys</t>
    </r>
    <r>
      <rPr>
        <b/>
        <sz val="11"/>
        <rFont val="Times New Roman"/>
        <family val="1"/>
      </rPr>
      <t xml:space="preserve">
Sveikatos netolygumų sumažinimas, gerinant sveikatos priežiūros kokybę ir prieinamumą tikslinėms gyventojų grupėms ir sveiko senėjimo skatinimas </t>
    </r>
  </si>
  <si>
    <r>
      <rPr>
        <u/>
        <sz val="10"/>
        <rFont val="Times New Roman"/>
        <family val="1"/>
        <charset val="186"/>
      </rPr>
      <t>Priemonė</t>
    </r>
    <r>
      <rPr>
        <sz val="10"/>
        <rFont val="Times New Roman"/>
        <family val="1"/>
      </rPr>
      <t xml:space="preserve">
Pirminės asmens ir visuomenės sveikatos priežiūros veiklos efektyvumo didinimas gerinant jų infrastruktūrą </t>
    </r>
  </si>
  <si>
    <r>
      <rPr>
        <b/>
        <u/>
        <sz val="11"/>
        <rFont val="Times New Roman"/>
        <family val="1"/>
        <charset val="186"/>
      </rPr>
      <t>Uždavinys</t>
    </r>
    <r>
      <rPr>
        <b/>
        <sz val="11"/>
        <rFont val="Times New Roman"/>
        <family val="1"/>
      </rPr>
      <t xml:space="preserve">
Socialinio būsto ir socialinių paslaugų prieinamumo pažeidžiamiausioms gyventojų grupėms padidinimas</t>
    </r>
  </si>
  <si>
    <r>
      <rPr>
        <u/>
        <sz val="10"/>
        <rFont val="Times New Roman"/>
        <family val="1"/>
        <charset val="186"/>
      </rPr>
      <t>Priemonė</t>
    </r>
    <r>
      <rPr>
        <sz val="10"/>
        <rFont val="Times New Roman"/>
        <family val="1"/>
      </rPr>
      <t xml:space="preserve">
Socialinių paslaugų infrastruktūros plėtra</t>
    </r>
  </si>
  <si>
    <r>
      <rPr>
        <u/>
        <sz val="10"/>
        <rFont val="Times New Roman"/>
        <family val="1"/>
        <charset val="186"/>
      </rPr>
      <t>Priemonė</t>
    </r>
    <r>
      <rPr>
        <sz val="10"/>
        <rFont val="Times New Roman"/>
        <family val="1"/>
      </rPr>
      <t xml:space="preserve">
Socialinio būsto fondo plėtra</t>
    </r>
  </si>
  <si>
    <r>
      <rPr>
        <b/>
        <u/>
        <sz val="11"/>
        <rFont val="Times New Roman"/>
        <family val="1"/>
        <charset val="186"/>
      </rPr>
      <t>Uždavinys</t>
    </r>
    <r>
      <rPr>
        <b/>
        <sz val="11"/>
        <rFont val="Times New Roman"/>
        <family val="1"/>
      </rPr>
      <t xml:space="preserve">
Visuomenei teikiamų paslaugų kokybės, didinant jų atitikimo visuomenės poreikiams pagerinimas  </t>
    </r>
  </si>
  <si>
    <r>
      <rPr>
        <u/>
        <sz val="10"/>
        <rFont val="Times New Roman"/>
        <family val="1"/>
        <charset val="186"/>
      </rPr>
      <t>Priemonė</t>
    </r>
    <r>
      <rPr>
        <sz val="10"/>
        <rFont val="Times New Roman"/>
        <family val="1"/>
      </rPr>
      <t xml:space="preserve">
Paslaugų teikimo ir asmenų aptarnavimo kokybės gerinimas savivaldybėse</t>
    </r>
  </si>
  <si>
    <r>
      <rPr>
        <b/>
        <u/>
        <sz val="12"/>
        <rFont val="Times New Roman"/>
        <family val="1"/>
        <charset val="186"/>
      </rPr>
      <t>Tikslas</t>
    </r>
    <r>
      <rPr>
        <b/>
        <sz val="12"/>
        <rFont val="Times New Roman"/>
        <family val="1"/>
      </rPr>
      <t xml:space="preserve">
DARNIAI TVARKYTI IR VYSTYTI REGIONO TERITORIJĄ </t>
    </r>
  </si>
  <si>
    <r>
      <rPr>
        <b/>
        <u/>
        <sz val="11"/>
        <rFont val="Times New Roman"/>
        <family val="1"/>
        <charset val="186"/>
      </rPr>
      <t>Uždavinys</t>
    </r>
    <r>
      <rPr>
        <b/>
        <sz val="11"/>
        <rFont val="Times New Roman"/>
        <family val="1"/>
      </rPr>
      <t xml:space="preserve">
Sumažinti sąvartynuose šalinamų komunalinių atliekų kiekį</t>
    </r>
  </si>
  <si>
    <r>
      <rPr>
        <u/>
        <sz val="10"/>
        <rFont val="Times New Roman"/>
        <family val="1"/>
        <charset val="186"/>
      </rPr>
      <t>Priemonė</t>
    </r>
    <r>
      <rPr>
        <sz val="10"/>
        <rFont val="Times New Roman"/>
        <family val="1"/>
      </rPr>
      <t xml:space="preserve">
Komunalinių atliekų tvarkymo infrastruktūros plėtra</t>
    </r>
  </si>
  <si>
    <r>
      <rPr>
        <b/>
        <u/>
        <sz val="11"/>
        <rFont val="Times New Roman"/>
        <family val="1"/>
        <charset val="186"/>
      </rPr>
      <t>Uždavinys</t>
    </r>
    <r>
      <rPr>
        <b/>
        <sz val="11"/>
        <rFont val="Times New Roman"/>
        <family val="1"/>
      </rPr>
      <t xml:space="preserve">
Kraštovaizdžio apsauga, planavimas ir tvarkymas</t>
    </r>
  </si>
  <si>
    <r>
      <rPr>
        <u/>
        <sz val="10"/>
        <rFont val="Times New Roman"/>
        <family val="1"/>
        <charset val="186"/>
      </rPr>
      <t>Priemonė</t>
    </r>
    <r>
      <rPr>
        <sz val="10"/>
        <rFont val="Times New Roman"/>
        <family val="1"/>
      </rPr>
      <t xml:space="preserve">
Kraštovaizdžio apsauga</t>
    </r>
  </si>
  <si>
    <r>
      <t>Priemonė:</t>
    </r>
    <r>
      <rPr>
        <b/>
        <sz val="9"/>
        <rFont val="Times New Roman"/>
        <family val="1"/>
        <charset val="186"/>
      </rPr>
      <t xml:space="preserve">
Komunalinių atliekų tvarkymo infrastruktūros plėtra</t>
    </r>
  </si>
  <si>
    <r>
      <t>Priemonė:</t>
    </r>
    <r>
      <rPr>
        <b/>
        <sz val="9"/>
        <rFont val="Times New Roman"/>
        <family val="1"/>
        <charset val="186"/>
      </rPr>
      <t xml:space="preserve">
Kraštovaizdžio apsauga/plėtra</t>
    </r>
  </si>
  <si>
    <t>Mažais žingsneliais – sveikos gyvensenos link</t>
  </si>
  <si>
    <t>08.4.2-ESFA-R-630</t>
  </si>
  <si>
    <t>Sveikos gyvensenos skatinimas Alytaus rajone</t>
  </si>
  <si>
    <t>Alytaus rajono savivaldybės visuomenės sveikatos biuras</t>
  </si>
  <si>
    <t>Sveikos gyvensenos skatinimas Varėnos rajono savivaldybėje</t>
  </si>
  <si>
    <t>P.S.372</t>
  </si>
  <si>
    <t>Tikslinių grupių asmenys, kurie dalyvavo informavimo, švietimo ir mokymo renginiuose bei sveikatos raštingumą didinančiose veiklose</t>
  </si>
  <si>
    <t>P.N.671</t>
  </si>
  <si>
    <t>Modernizuoti savivaldybių visuomenės sveikatos biurai</t>
  </si>
  <si>
    <t xml:space="preserve"> "Sveikos gyvensenos skatinimas regioniniu lygiu“</t>
  </si>
  <si>
    <t>2.1.2.3</t>
  </si>
  <si>
    <t>2.1.2.3.1</t>
  </si>
  <si>
    <t>2.1.2.3.2</t>
  </si>
  <si>
    <t>2.1.2.3.3</t>
  </si>
  <si>
    <t>2.1.2.3.5</t>
  </si>
  <si>
    <t>Ambulatorinių sveikatos priežiūros paslaugų gerinimas tuberkulioze sergantiems asmenims</t>
  </si>
  <si>
    <t>08.4.2-ESFA-R-615</t>
  </si>
  <si>
    <t>Priemonių gerinančių ambulatorinių sveikatos priežiūros paslaugų prieinamumą tuberkulioze sergantiems asmenims, Alytaus rajone įgyvendinimas</t>
  </si>
  <si>
    <t>VšĮ Alytaus rajono savivaldybės pirminės sveikatos priežiūros centras</t>
  </si>
  <si>
    <t>P.N.604</t>
  </si>
  <si>
    <t>Tuberkulioze sergantys pacientai, kuriems buvo suteiktos socialinės paramos priemonės (maisto talonų dalijimas) tuberkuliozės ambulatorinio gydymo metu</t>
  </si>
  <si>
    <t>Sveikos gyvensenos skatinimas Lazdijų rajono savivaldybėje</t>
  </si>
  <si>
    <t>Lazdijų rajono savivaldybės visuomenės sveikatos biuras</t>
  </si>
  <si>
    <t>Sveika bendruomenė – stipri visuomenė</t>
  </si>
  <si>
    <t>Druskininkų savivaldybės visuomenės sveikatos biuras</t>
  </si>
  <si>
    <t>Ambulatorinių sveikatos priežiūros paslaugų tuberkulioze sergantiems asmenims prieinamumo gerinimas Druskininkų savivaldybėje</t>
  </si>
  <si>
    <t>Druskininkų pirminės sveikatos priežiūros centras</t>
  </si>
  <si>
    <t>Sveikos gyvensenos skatinimas regioniniu lygiu</t>
  </si>
  <si>
    <t>Priemonių, gerinančių ambulatorinių sveikatos priežiūros paslaugų prieinamumą tuberkulioze sergantiems asmenims, įgyvendinimas</t>
  </si>
  <si>
    <t>Susijusi veiklų grupė (III) (pavadinimas)</t>
  </si>
  <si>
    <t>Susijusi veiklų grupė (IV) (pavadinimas)</t>
  </si>
  <si>
    <t xml:space="preserve">Paslaugų tuberkulioze sergantiems asmenims gerinimas Lazdijų rajono savivaldybėje </t>
  </si>
  <si>
    <t>Ambulatorinių sveikatos priežiūros paslaugų prieinamumo gerinimas tuberkulioze sergantiems asmenims Varėnos rajono savivaldybėje</t>
  </si>
  <si>
    <t>Priemonių, gerinančių ambulatorinių sveikatos priežiūros paslaugų prieinamumą tuberkulioze sergantiems pacientams, įgyvendinimas</t>
  </si>
  <si>
    <t>08.2.1-CPVA-R-908-11-0001</t>
  </si>
  <si>
    <t>04.5.1-TID-R-516-11-0002</t>
  </si>
  <si>
    <t>10.1.3-ESFA-R-920-11-0001</t>
  </si>
  <si>
    <t>10.1.3-ESFA-R-920-11-0003</t>
  </si>
  <si>
    <r>
      <rPr>
        <b/>
        <u/>
        <sz val="10"/>
        <rFont val="Times New Roman"/>
        <family val="1"/>
        <charset val="186"/>
      </rPr>
      <t>Priemonė:</t>
    </r>
    <r>
      <rPr>
        <b/>
        <sz val="10"/>
        <rFont val="Times New Roman"/>
        <family val="1"/>
      </rPr>
      <t xml:space="preserve">
Varėnos miesto kompleksinė plėtra</t>
    </r>
  </si>
  <si>
    <r>
      <rPr>
        <b/>
        <sz val="11"/>
        <rFont val="Times New Roman"/>
        <family val="1"/>
        <charset val="186"/>
      </rPr>
      <t xml:space="preserve">                                                                                         5</t>
    </r>
    <r>
      <rPr>
        <b/>
        <sz val="12"/>
        <rFont val="Times New Roman"/>
        <family val="1"/>
        <charset val="186"/>
      </rPr>
      <t>.    PLANO ĮGYVENDINIMO STEBĖSENA</t>
    </r>
    <r>
      <rPr>
        <sz val="12"/>
        <rFont val="Times New Roman"/>
        <family val="1"/>
        <charset val="186"/>
      </rPr>
      <t xml:space="preserve">
             Už Alytaus regiono 2014–2020 m. plėtros plano įgyvendinimo koordinavimą ir stebėseną atsakingas Regioninės plėtros departamento prie Vidaus reikalų ministerijos Alytaus apskrities skyrius. Priemonių plane numatytų priemonių atsakingi vykdytojai yra Alytaus apskrities savivaldybių – Alytaus miesto, Alytaus rajono, Druskininkų, Lazdijų rajono ir Varėnos rajono – administracijos, savivaldybėms pavaldžios įstaigos, savivaldybių kontroliuojamos įmonės, viešosios įstaigos, vietos veiklos grupės, nevyriausybinės organizacijos, bendruomenės. Priemonių plane už priemonių įgyvendinimą atsakingos institucijos per 10 dienų pasibaigus metų ketvirčiui pateikia informaciją apie per ketvirtį pradėtus ir baigtus įgyvendinti valstybės planavimo būdu ES struktūrinių fondų ir valstybės biudžeto lėšomis finansuojamus bei pagal      Kaimo plėtros programą regionų planavimo būdu įgyvendinamus projektus ir kasmet iki vasario 1 d. pateikia ataskaitas apie  projektų įgyvendinimą per praėjusius metus bei informaciją apie atitinkamų rezultato ir produkto vertinimo kriterijų pasiekimą.
             Regioninės plėtros departamento prie Vidaus reikalų ministerijos Alytaus apskrities skyrius pagal Lietuvos Respublikos Vidaus reikalų ministro pavirtintą Regionų plėtros planų rengimo metodiką kiekvieną ketvirtį, per 15 dienų pasibaigus ketvirčiui, parengia nustatytos formos regiono plėtros plano įgyvendinimo stebėsenos duomenų suvestinę, kurią paskelbia interneto svetainėje www.lietuvosregionai.lt. Regioninės plėtros departamento prie Vidaus reikalų ministerijos Alytaus apskrities skyrius kasmet iki kovo 1 d. parengia ir Alytaus regiono plėtros tarybai bei Vidaus reikalų ministerijai pateikia regiono plėtros plano įgyvendinimo metų ataskaitą ir ją paskelbia interneto svetainėje www.lietuvosregionai.lt. Plano įgyvendinimo stebėsenos duomenų suvestinėje pateikiama informacija apie projektų įgyvendinimo etapus, projektams įgyvendinti skirtas ir panaudotas lėšas, pasiektas produkto vertinimo kriterijų reikšmes bei jų atitikimą plane suplanuotai informacijai. Regiono plėtros plano įgyvendinimo metų ataskaitą sudaro informacija apie veiksnių pokyčių įvertinimą, kasmetinių efekto, rezultato ir produkto vertinimo kriterijų įvertinimas pagal nustatytus leistinus nuokrypius, kurie yra pateikti vertinimo kriterijų pasiekimo grafike, uždavinių įgyvendinimui skirtas ir panaudotas finansavimas, veiksniai turėję įtakos plano priemonių įgyvendinimui, raidos tendencijos ir pasiūlymai dėl tolesnio Alytaus regiono plėtros plano įgyvendinimo ir tobulinimo.
             Vertinimo kriterijai yra trijų lygių: efekto, rezultato ir produkto. Efekto vertinimo kriterijumi vertinamas tikslo įgyvendinimas ir parodoma nauda, kurią gauna ne tik tiesioginiai naudos gavėjai, bet ir visa visuomenė, įgyvendinus prioritetą. Rezultato vertinimo kriterijumi vertinamas uždavinio įgyvendinimas ir parodoma nauda, kurią gauna tiesioginiai naudos gavėjai įgyvendinus uždavinį. Produkto vertinimo kriterijumi vertinamas uždaviniui priskirtų priemonių ir projektų įgyvendinimas, t. y. materialinis ar intelektinis produktas ir (ar) paslaugos, kurie atsiranda tikslingai naudojant finansinius ir kitus išteklius planui įgyvendinti.             </t>
    </r>
    <r>
      <rPr>
        <sz val="11"/>
        <rFont val="Times New Roman"/>
        <family val="1"/>
        <charset val="186"/>
      </rPr>
      <t xml:space="preserve">
</t>
    </r>
  </si>
  <si>
    <r>
      <t>Tikslas.</t>
    </r>
    <r>
      <rPr>
        <sz val="12"/>
        <rFont val="Times New Roman"/>
        <family val="1"/>
        <charset val="186"/>
      </rPr>
      <t xml:space="preserve"> </t>
    </r>
    <r>
      <rPr>
        <b/>
        <sz val="12"/>
        <rFont val="Times New Roman"/>
        <family val="1"/>
        <charset val="186"/>
      </rPr>
      <t>Darniai tvarkyti ir vystyti regiono teritoriją</t>
    </r>
  </si>
  <si>
    <t>20KI-KA-17-1-02616-PR001</t>
  </si>
  <si>
    <t>20KI-KA-17-1-02617-PR001</t>
  </si>
  <si>
    <t>20KI-KA-17-1-02622-PR001</t>
  </si>
  <si>
    <t>20KI-KA-17-1-02368-PR001</t>
  </si>
  <si>
    <t>20KI-KA-17-1-02619-PR001</t>
  </si>
  <si>
    <t>20KI-KA-17-1-02374-PR001</t>
  </si>
  <si>
    <t>20KI-KA-17-1-02437-PR001</t>
  </si>
  <si>
    <t>20KI-KA-17-1-02242-PR001</t>
  </si>
  <si>
    <t>20KI-KA-17-1-02372-PR001</t>
  </si>
  <si>
    <t>20KI-KA-17-1-02370-PR001</t>
  </si>
  <si>
    <t>20KI-KA-17-1-02354-PR001</t>
  </si>
  <si>
    <t>20KI-KA-17-1-02470-PR001</t>
  </si>
  <si>
    <t>20KI-KA-17-1-02438-PR001</t>
  </si>
  <si>
    <t>20KI-KA-17-1-01647-PR001</t>
  </si>
  <si>
    <t>20KI-KA-17-1-02469-PR001</t>
  </si>
  <si>
    <t>20KI-KA-17-1-02240-PR001</t>
  </si>
  <si>
    <t>20KI-KA-17-1-01639-PR001</t>
  </si>
  <si>
    <t>20KI-KA-17-1-01666-PR001</t>
  </si>
  <si>
    <t>20KI-KA-17-1-02648-PR001</t>
  </si>
  <si>
    <t>20KI-KA-17-1-01736-PR001</t>
  </si>
  <si>
    <t>20KI-KA-17-1-02364-PR001</t>
  </si>
  <si>
    <t>20KI-KA-17-1-02241-PR001</t>
  </si>
  <si>
    <t>07.1.1-CPVA-R-305-11-0004</t>
  </si>
  <si>
    <t>04.5.1-TID-R-516-11-0004</t>
  </si>
  <si>
    <t>09.1.3-CPVA-R-705-11-0001</t>
  </si>
  <si>
    <t>09.1.3-CPVA-R-705-11-0002</t>
  </si>
  <si>
    <t>09.1.3-CPVA-R-705-11-0003</t>
  </si>
  <si>
    <t>09.1.3-CPVA-R-705-11-0004</t>
  </si>
  <si>
    <t>09.1.3-CPVA-R-705-11-0005</t>
  </si>
  <si>
    <t xml:space="preserve">Vėlavimas
</t>
  </si>
  <si>
    <t>Vėlavimas
(mėnesiais)</t>
  </si>
  <si>
    <t>Vėlavimas</t>
  </si>
  <si>
    <t xml:space="preserve">Unikalus numeris**** </t>
  </si>
  <si>
    <t>*R – regiono projektas, V – valstybės projektas, KT –projektas, atrinktas kitu atrankos būdu.</t>
  </si>
  <si>
    <t>** ITI – projektas, įgyvendinamas pagal integruotą teritorijų vystymo programą; RSP – regioninės svarbos projektas.</t>
  </si>
  <si>
    <t>*** rez. – rezervinis projektas.</t>
  </si>
  <si>
    <t xml:space="preserve">****Unikalus numeris sudaromas iš kodų, nurodytų šio priedo 2–4 punktuose, pvz., R02-9904-310000-1222 – regiono kodas (R02), ministerijos kodas – (9), priemonės kodo paskutiniai trys skaičiai – (904) (pagal ministerijų patvirtintų priemonių įgyvendinimo planus, išskyrus Žemės ūkio ministeriją, kurios atveju naudojami priemonės kodo pirmi trys simboliai (M raidė ir priemonės numeris Kaimo plėtros programoje). Kai nenumatoma naudoti Europos Sąjungos lėšų, visais atvejais vietoj priemonės kodo įrašoma – (000), pirmos veiklos kodas – (31), antros veiklos kodas – (00), trečios veiklos kodas – (00) ir bet koks keturženklis skaičius, kuris negali kartotis.                                                                                                                   </t>
  </si>
  <si>
    <t>R/V/KT *</t>
  </si>
  <si>
    <t>ITI, RSP **</t>
  </si>
  <si>
    <t>R01-ZM72-120000-1112</t>
  </si>
  <si>
    <t>R01-ZM72-120000-1117</t>
  </si>
  <si>
    <t>R01-ZM72-120000-1119</t>
  </si>
  <si>
    <t>R01-ZM72-340000-1118</t>
  </si>
  <si>
    <t>R01-ZM72-340200-1110</t>
  </si>
  <si>
    <t>R01-ZM72-120000-1101</t>
  </si>
  <si>
    <t>R01-ZM72-120000-1123</t>
  </si>
  <si>
    <t>R01-ZM72-120000-1102</t>
  </si>
  <si>
    <t>R01-ZM72-120000-1103</t>
  </si>
  <si>
    <t>R01-ZM72-330200-1104</t>
  </si>
  <si>
    <t>R01-ZM72-120000-1105</t>
  </si>
  <si>
    <t>R01-ZM72-330200-1106</t>
  </si>
  <si>
    <t>R01-ZM72-123200-1107</t>
  </si>
  <si>
    <t>R01-ZM72-123200-1108</t>
  </si>
  <si>
    <t>R01-ZM72-340000-1109</t>
  </si>
  <si>
    <t>R01-ZM72-320000-1111</t>
  </si>
  <si>
    <t>R01-ZM72-123200-1113</t>
  </si>
  <si>
    <t>R01-ZM72-123200-1115</t>
  </si>
  <si>
    <t>R01-ZM72-123200-1116</t>
  </si>
  <si>
    <t>R01-ZM72-122900-1114</t>
  </si>
  <si>
    <t>R01-ZM72-120000-1121</t>
  </si>
  <si>
    <t>R01-ZM72-120000-1122</t>
  </si>
  <si>
    <t>R01-ZM72-340000-1120</t>
  </si>
  <si>
    <t>R01-9908-293400-1121</t>
  </si>
  <si>
    <t>R01-9908-290000-1122</t>
  </si>
  <si>
    <t>R01-9908-290000-1123</t>
  </si>
  <si>
    <t>R01-9908-290000-1124</t>
  </si>
  <si>
    <t>R01-9908-290000-1125</t>
  </si>
  <si>
    <t>R01-9905-290000-1131</t>
  </si>
  <si>
    <t>R01-9905-282900-1132</t>
  </si>
  <si>
    <t>R01-9905-292800-1133</t>
  </si>
  <si>
    <t>R01-9905-280000-1134</t>
  </si>
  <si>
    <t>R01-9905-362900-1135</t>
  </si>
  <si>
    <t>R01-9905-290000-1136</t>
  </si>
  <si>
    <t>R01-9902-310000-1141</t>
  </si>
  <si>
    <t>R01-9903-290000-1142</t>
  </si>
  <si>
    <t>R01-9903-290000-1143</t>
  </si>
  <si>
    <t>R01-0014-060700-1151</t>
  </si>
  <si>
    <t>R01-0014-060700-1152</t>
  </si>
  <si>
    <t>R01-0014-060700-1153</t>
  </si>
  <si>
    <t>R01-0014-060700-1154</t>
  </si>
  <si>
    <t>R01-0014-060700-1155</t>
  </si>
  <si>
    <t>R01-0007-080000-1161</t>
  </si>
  <si>
    <t>R01-8821-420000-1171</t>
  </si>
  <si>
    <t>R01-8821-420000-1172</t>
  </si>
  <si>
    <t>R01-8821-420000-1173</t>
  </si>
  <si>
    <t>R01-3305-330000-1181</t>
  </si>
  <si>
    <t>R01-3305-330000-1182</t>
  </si>
  <si>
    <t>R01-3305-330000-1183</t>
  </si>
  <si>
    <t>R01-3305-330200-1184</t>
  </si>
  <si>
    <t>R01-3302-440000-1191</t>
  </si>
  <si>
    <t>R01-3302-440000-1192</t>
  </si>
  <si>
    <t>R01-3302-440000-1194</t>
  </si>
  <si>
    <t>R01-3302-440000-1195</t>
  </si>
  <si>
    <t>R01-3302-440200-1193</t>
  </si>
  <si>
    <t>R01-5518-100000-1211</t>
  </si>
  <si>
    <t>R01-5518-100000-1212</t>
  </si>
  <si>
    <t>R01-5518-100000-1213</t>
  </si>
  <si>
    <t>R01-5518-100000-1214</t>
  </si>
  <si>
    <t>R01-5514-190000-1222</t>
  </si>
  <si>
    <t>R01-5514-190000-1224</t>
  </si>
  <si>
    <t>R01-5516-190000-1231</t>
  </si>
  <si>
    <t>R01-5516-190000-1232</t>
  </si>
  <si>
    <t>R01-5516-190000-1233</t>
  </si>
  <si>
    <t>R01-5516-410000-1234</t>
  </si>
  <si>
    <t>R01-5516-190000-1235</t>
  </si>
  <si>
    <t>R01-5511-120000-1241</t>
  </si>
  <si>
    <t>R01-5511-110000-1242</t>
  </si>
  <si>
    <t>R01-5511-500000-1243</t>
  </si>
  <si>
    <t>R01-5511-500000-1244</t>
  </si>
  <si>
    <t>R01-5511-120900-1245</t>
  </si>
  <si>
    <t>R01-5511-120000-1246</t>
  </si>
  <si>
    <t>R01-7724-220000-2111</t>
  </si>
  <si>
    <t>R01-7724-220000-2112</t>
  </si>
  <si>
    <t>R01-7724-220000-2113</t>
  </si>
  <si>
    <t>R01-7724-220000-2114</t>
  </si>
  <si>
    <t>R01-7724-220000-2115</t>
  </si>
  <si>
    <t>R01-7725-240000-2121</t>
  </si>
  <si>
    <t>R01-7725-240000-2122</t>
  </si>
  <si>
    <t>R01-7725-240000-2123</t>
  </si>
  <si>
    <t>R01-7725-240000-2124</t>
  </si>
  <si>
    <t>R01-7725-240000-2125</t>
  </si>
  <si>
    <t>R01-7705-230000-2131</t>
  </si>
  <si>
    <t>R01-7705-230000-2132</t>
  </si>
  <si>
    <t>R01-7705-230000-2133</t>
  </si>
  <si>
    <t>R01-7705-230000-2134</t>
  </si>
  <si>
    <t>R01-7705-230000-2135</t>
  </si>
  <si>
    <t>R01-6630-475000-2221</t>
  </si>
  <si>
    <t>R01-6630-470000-2222</t>
  </si>
  <si>
    <t>R01-6630-470000-2223</t>
  </si>
  <si>
    <t>R01-6630-470000-2224</t>
  </si>
  <si>
    <t>R01-6630-470000-2225</t>
  </si>
  <si>
    <t>R01-6615-475000-2231</t>
  </si>
  <si>
    <t>R01-6615-470000-2232</t>
  </si>
  <si>
    <t>R01-6615-470000-2233</t>
  </si>
  <si>
    <t>R01-6615-470000-2234</t>
  </si>
  <si>
    <t>R01-6615-470000-2235</t>
  </si>
  <si>
    <t>2.1.2.3.4</t>
  </si>
  <si>
    <t>R01-4407-270000-2311</t>
  </si>
  <si>
    <t>R01-4407-274800-2312</t>
  </si>
  <si>
    <t>R01-4407-270000-2313</t>
  </si>
  <si>
    <t>R01-4407-270000-2314</t>
  </si>
  <si>
    <t>R01-4407-270000-2315</t>
  </si>
  <si>
    <t>R01-4408-260000-2321</t>
  </si>
  <si>
    <t>R01-4408-250000-2322</t>
  </si>
  <si>
    <t>R01-4408-260000-2323</t>
  </si>
  <si>
    <t>R01-4408-260000-2324</t>
  </si>
  <si>
    <t>R01-4408-252600-2325</t>
  </si>
  <si>
    <t>R01-9920-490000-2411</t>
  </si>
  <si>
    <t>R01-9920-490000-2412</t>
  </si>
  <si>
    <t>R01-9920-490000-2413</t>
  </si>
  <si>
    <t>R01-9920-490000-2414</t>
  </si>
  <si>
    <t>R01-9920-490000-2415</t>
  </si>
  <si>
    <t>R01-9920-490000-2416</t>
  </si>
  <si>
    <t>R01-0008-050000-3111</t>
  </si>
  <si>
    <t>R01-0019-380000-3211</t>
  </si>
  <si>
    <t>R01-0019-380000-3212</t>
  </si>
  <si>
    <t>R01-0019-380000-3213</t>
  </si>
  <si>
    <t>R01-0019-380000-3214</t>
  </si>
  <si>
    <t>R01-0019-380000-3215</t>
  </si>
  <si>
    <t>R01-0019-380000-3216</t>
  </si>
  <si>
    <t>R01-0019-380000-3218</t>
  </si>
  <si>
    <t xml:space="preserve">1 lentelė. </t>
  </si>
  <si>
    <t>Priemonės, joms įgyvendinti reikalingų lėšų poreikis ir finansavimo šaltiniai (paskirstyta pagal planuojamą sutarčių sudarymą)</t>
  </si>
  <si>
    <t>3 lentelė. Projektams priskirti produkto ir rezultato vertinimo kriterijai.</t>
  </si>
  <si>
    <t>4 lentelė. Numatomų sukurti produktų ir rezultatų (siektinų produkto ir rezultato vertinimo kriterijų reikšmių) suvestinė.</t>
  </si>
  <si>
    <t>5 lentelė. Lėšų paskirstymas pagal Veiksmų programos įgyvendinimo plano priemones ir Kaimo plėtros programos priemones (tūkst. Eur)  (numatomos sudaryti projektų finansavimo sutartys, pamečiui).</t>
  </si>
  <si>
    <t>6 lentelė. Lėšų paskirstymas pagal Veiksmų programos įgyvendinimo plano priemones ir Kaimo plėtros programos priemones (tūkst. Eur) (numatomos sudaryti projektų finansavimo sutartys, kaupiamuoju būdu).</t>
  </si>
  <si>
    <t>Veiksmų programos ir Kaimo plėtros programos priemonės pavadinimas</t>
  </si>
  <si>
    <t>Veiksmų programos įgyvendinimo plano ir Kaimo plėtros programos priemonė (Nr.)</t>
  </si>
  <si>
    <t>7 lentelė. Veiklų grupių suvestinė.</t>
  </si>
  <si>
    <r>
      <t xml:space="preserve">Produkto vertinimo kriterijus 
</t>
    </r>
    <r>
      <rPr>
        <sz val="12"/>
        <rFont val="Times New Roman"/>
        <family val="1"/>
        <charset val="186"/>
      </rPr>
      <t>(pavadinimas)</t>
    </r>
  </si>
  <si>
    <r>
      <t xml:space="preserve">Siekiama reikšmė </t>
    </r>
    <r>
      <rPr>
        <sz val="12"/>
        <rFont val="Times New Roman"/>
        <family val="1"/>
        <charset val="186"/>
      </rPr>
      <t>(projektams priskirtų kriterijų reikšmių suma)</t>
    </r>
  </si>
  <si>
    <t>4 lentelė. Siektinos produkto ir rezultato vertinimo kriterijų reikšmės atitinkamais metais.</t>
  </si>
  <si>
    <t>5 lentelė. Siektinos produkto ir rezultato vertinimo kriterijų reikšmės kaupiamuoju būdu (nuo plano įgyvendinimo pradžios).</t>
  </si>
  <si>
    <t>6 lentelė. Vertinimo kriterijų reikšmių apskaičiavimo metodai, dalyvaujančios institucijos ir duomenų šaltiniai.</t>
  </si>
  <si>
    <r>
      <t xml:space="preserve">Priemonė:
</t>
    </r>
    <r>
      <rPr>
        <b/>
        <sz val="9"/>
        <rFont val="Times New Roman"/>
        <family val="1"/>
        <charset val="186"/>
      </rPr>
      <t>Pirminės asmens ir visuomenės sveikatos priežiūros veiklos efektyvumo didinimas vykdant švietimo ir mokymo veiklas</t>
    </r>
  </si>
  <si>
    <t>P.B.209</t>
  </si>
  <si>
    <t>Numatomo apsilankymų remiamuose kultūros ir gamtos paveldo objektuose bei turistų traukos vietose skaičiaus padidėjimas (apsilankymai per metus)</t>
  </si>
  <si>
    <r>
      <rPr>
        <b/>
        <u/>
        <sz val="9"/>
        <rFont val="Times New Roman"/>
        <family val="1"/>
        <charset val="186"/>
      </rPr>
      <t>Priemonė:</t>
    </r>
    <r>
      <rPr>
        <b/>
        <sz val="9"/>
        <rFont val="Times New Roman"/>
        <family val="1"/>
        <charset val="186"/>
      </rPr>
      <t xml:space="preserve">
Ikimokyklinio ir priešmokyklinio ugdymo prieinamumo didinimas</t>
    </r>
  </si>
  <si>
    <r>
      <t xml:space="preserve">Tikslas: </t>
    </r>
    <r>
      <rPr>
        <b/>
        <sz val="14"/>
        <rFont val="Times New Roman"/>
        <family val="1"/>
      </rPr>
      <t xml:space="preserve">
Didinti ūkinės veiklos įvairovę ir pagerinti sąlygas investicijų pritraukimui, mažinant geografinių sąlygų ir demografinių procesų sukeliamus gyvenimo kokybės netolygumus</t>
    </r>
  </si>
  <si>
    <r>
      <t>Uždavinys:</t>
    </r>
    <r>
      <rPr>
        <b/>
        <sz val="12"/>
        <rFont val="Times New Roman"/>
        <family val="1"/>
      </rPr>
      <t xml:space="preserve"> 
Sudaryti sąlygas darbo vietų kūrimui, kuriant ir atnaujinant viešąją ir ekoinžinerinę  infrastruktūrą,  gamtos, kultūros paveldo objektus ir kultūros įstaigas</t>
    </r>
  </si>
  <si>
    <r>
      <t>Uždavinys:</t>
    </r>
    <r>
      <rPr>
        <b/>
        <sz val="12"/>
        <rFont val="Times New Roman"/>
        <family val="1"/>
        <charset val="186"/>
      </rPr>
      <t xml:space="preserve">
Pagerinti darbo jėgos judėjimo galimybes gerinant susisiekimo sistemas</t>
    </r>
  </si>
  <si>
    <r>
      <t xml:space="preserve">Tikslas: </t>
    </r>
    <r>
      <rPr>
        <b/>
        <sz val="14"/>
        <rFont val="Times New Roman"/>
        <family val="1"/>
        <charset val="186"/>
      </rPr>
      <t xml:space="preserve">
Darniai tvarkyti ir vystyti regiono teritoriją</t>
    </r>
  </si>
  <si>
    <r>
      <t>Uždavinys:</t>
    </r>
    <r>
      <rPr>
        <b/>
        <sz val="12"/>
        <rFont val="Times New Roman"/>
        <family val="1"/>
        <charset val="186"/>
      </rPr>
      <t xml:space="preserve">
Sumažinti sąvartynuose šalinamų komunalinių atliekų kiekį</t>
    </r>
  </si>
  <si>
    <r>
      <t>Uždavinys:</t>
    </r>
    <r>
      <rPr>
        <b/>
        <sz val="12"/>
        <rFont val="Times New Roman"/>
        <family val="1"/>
        <charset val="186"/>
      </rPr>
      <t xml:space="preserve">
Kraštovaizdžio apsauga, planavimas ir tvarkymas</t>
    </r>
  </si>
  <si>
    <t>Eismo saugumo priemonių diegimas Druskininkų savivaldybėje</t>
  </si>
  <si>
    <t>1.1.2.4.7</t>
  </si>
  <si>
    <t>R01-5511-120000-1247</t>
  </si>
  <si>
    <t> (meta)</t>
  </si>
  <si>
    <t xml:space="preserve">Planuota </t>
  </si>
  <si>
    <t xml:space="preserve">Faktiškai įvykdyta </t>
  </si>
  <si>
    <t>Sutartis sudaryta (Taip/Ne)</t>
  </si>
  <si>
    <t>SB</t>
  </si>
  <si>
    <t>VB</t>
  </si>
  <si>
    <t>PL</t>
  </si>
  <si>
    <t>KL</t>
  </si>
  <si>
    <t>04.5.1-TID-R-514</t>
  </si>
  <si>
    <t>R01-5514-190000-1221</t>
  </si>
  <si>
    <t xml:space="preserve">          Apie baigtą įgyvendinti uždavinį, taip pat apie pasikeitusias aplinkybes, dėl kurių iškyla grėsmė neįvykdyti plane nustatytų uždavinių ir dėl to nepasiekti suplanuotų rezultatų, už priemonių įgyvendinimą atsakingi vykdytojai raštu informuoja Regioninės plėtros departamento prie Vidaus reikalų ministerijos Alytaus apskrities skyrių, o šis per 5 darbo dienas raštu informuoja Vidaus reikalų ministeriją ir pristato šią informaciją artimiausiame Alytaus regiono plėtros tarybos posėdyje. 
          Alytaus regiono plėtros tarybai gali būti pateikiami pasiūlymai dėl Alytaus regiono 2014–2020 m. plėtros plano pakeitimo. Pasiūlymus dėl Alytaus regiono plėtros plano papildymų ar pakeitimų Regioninės plėtros departamento prie Vidaus reikalų ministerijos Alytaus apskrities skyriui gali pateikti Alytaus apskrities savivaldybių administracijų, valstybinių institucijų, nevyriausybinių organizacijų atstovai, taip pat kitų suinteresuotų grupių nariai, visuomenė. Pasiūlymai dėl Alytaus regiono plėtros plano keitimo, jei tai nustatyta Regionų plėtros planų rengimo metodikoje, prieš juos teikiant svarstyti Alytaus regiono plėtros tarybai, suderinami su ministerijomis, kitomis suinteresuotomis institucijomis bei ekonominiais ir socialiniais partneriais, su kurių veiklos sritimi yra susiję siūlomi pakeitimai. Alytaus regiono plėtros plano pakeitimus tvirtina Alytaus regiono plėtros taryba.</t>
  </si>
  <si>
    <t>Intelektinių transporto sistemų diegimas Druskininkuose</t>
  </si>
  <si>
    <t>1.1.2.2.5</t>
  </si>
  <si>
    <t>1.1.2.2.6</t>
  </si>
  <si>
    <t>R01-5514-190000-1225</t>
  </si>
  <si>
    <t>R01-5514-190000-1226</t>
  </si>
  <si>
    <t>R01-5514-191800-1223</t>
  </si>
  <si>
    <t>Intelektinės transporto sistemos</t>
  </si>
  <si>
    <t>P.S.324</t>
  </si>
  <si>
    <t>Įdiegtos intelektinės transporto sistemos</t>
  </si>
  <si>
    <t>Viešojo transporto organizavimo tobulinimas rekonstruojant Druskininkų miesto gatvių infrastruktūrą</t>
  </si>
  <si>
    <t>Vandens transporto infrastruktūros įrengimas skatinant kitų rūšių transportą</t>
  </si>
  <si>
    <t xml:space="preserve">Alytaus poliklinikos teikiamų pirminės sveikatos priežiūros paslaugų prieinamumo didinimas ir kokybės gerinimas </t>
  </si>
  <si>
    <t>VšĮ Alytaus poliklinika</t>
  </si>
  <si>
    <t>Sveikatos priežiūros paslaugų modernizavimas bei optimizavimas pirminės sveikatos priežiūros centre</t>
  </si>
  <si>
    <t xml:space="preserve">VšĮ Alytaus miesto savivaldybės pirminės sveikatos priežiūros centras </t>
  </si>
  <si>
    <t>UAB „MediCA klinika“ teikiamų pirminės asmens sveikatos priežiūros paslaugų efektyvumo didinimas Alytaus miesto savivaldybėje</t>
  </si>
  <si>
    <t>UAB „MediCA klinika“</t>
  </si>
  <si>
    <t>UAB "Pagalba ligoniui" teikiamų paslaugų efektyvumo didinimas</t>
  </si>
  <si>
    <t>UAB „Pagalba ligoniui“, Alytaus filialas</t>
  </si>
  <si>
    <t>2.1.2.1.9</t>
  </si>
  <si>
    <t>2.1.2.1.10</t>
  </si>
  <si>
    <t>2.1.2.1.11</t>
  </si>
  <si>
    <t>2.1.2.1.12</t>
  </si>
  <si>
    <t>Pirminės asmens sveikatos priežiūros veiklos efektyvumo didinimas Alytaus rajono savivaldybėje</t>
  </si>
  <si>
    <t>Sveikatos priežiūros paslaugų gerinimas "UAB "Disolis"</t>
  </si>
  <si>
    <t>UAB „Disolis“</t>
  </si>
  <si>
    <t>VšĮ Druskininkų pirminės sveikatos priežiūros centras</t>
  </si>
  <si>
    <t>UAB „Druskininkų šeimos klinika“</t>
  </si>
  <si>
    <t>I. S. Kavaliauskienės įmonės teikiamų pirminės ambulatorinės asmens sveikatos priežiūros paslaugų kokybės ir prieinamumo gerinimas.</t>
  </si>
  <si>
    <t>Irenos Stanislavos Kavaliauskienės įmonė</t>
  </si>
  <si>
    <t>UAB „Rasos Ambrazaitienės šeimos gydytojo kabinetas“</t>
  </si>
  <si>
    <t xml:space="preserve">Pirminės asmens sveikatos priežiūros veiklos efektyvumo didinimas Lazdijų rajono savivaldybėje </t>
  </si>
  <si>
    <t>Lazdijai</t>
  </si>
  <si>
    <t>Socialinių ir sveikatos paslaugų infrastruktūra</t>
  </si>
  <si>
    <t>47</t>
  </si>
  <si>
    <t>P.S.363</t>
  </si>
  <si>
    <t>Viešąsias sveikatos priežiūros paslaugas teikiančių asmens sveikatos priežiūros įstaigų, kuriose modernizuota paslaugų teikimo infrastruktūra, skaičius</t>
  </si>
  <si>
    <t>ES</t>
  </si>
  <si>
    <t>Privat</t>
  </si>
  <si>
    <t>Uždavinys:
Sveikatos netolygumų sumažinimas, gerinant sveikatos priežiūros kokybę ir prieinamumą tikslinėms gyventojų grupėms ir sveiko senėjimo skatinimas</t>
  </si>
  <si>
    <t>Priemonė:
Pirminės asmens ir visuomenės sveikatos priežiūros veiklos efektyvumo didinimas gerinant jų infrastruktūrą</t>
  </si>
  <si>
    <t>3.1.2.1.9</t>
  </si>
  <si>
    <t>R01-0019-380000-3219</t>
  </si>
  <si>
    <t>Etaloninio kraštovaizdžio formavimas Druskininkų savivaldybės pasienyje</t>
  </si>
  <si>
    <t>Kraštovaizdžio formavimas Lazdijų rajono savivaldybėje (II etapas)</t>
  </si>
  <si>
    <t>R01-019-283800-3217</t>
  </si>
  <si>
    <t>Nekenksmingų aplinkai viešojo transporto priemonių įsigijimas Alytaus rajone</t>
  </si>
  <si>
    <t>Pirminės ambulatorinės asmens sveikatos priežiūros efektyvumo didinimas R.Ambrazaitienės ir L. Puzinovienės šeimos gydytojų kabinetuose</t>
  </si>
  <si>
    <t>Druskininkų sav.</t>
  </si>
  <si>
    <t>R01-6609-274710-2220</t>
  </si>
  <si>
    <t>R01-6609-274710-2219</t>
  </si>
  <si>
    <t>UAB "Druskininkų šeimos klinika" asmens sveikatos priežiūros paslaugų prieinamumo ir efektyvumo didinimas</t>
  </si>
  <si>
    <t>R01-6609-104700-2218</t>
  </si>
  <si>
    <t>R01-6609-274700-2221</t>
  </si>
  <si>
    <t>R01-6609-274700-2213</t>
  </si>
  <si>
    <t>R01-6609-274710-2211</t>
  </si>
  <si>
    <t>R01-6609-274710-2212</t>
  </si>
  <si>
    <t>R01-6609-274710-2214</t>
  </si>
  <si>
    <t>R01-6609-274710-2215</t>
  </si>
  <si>
    <t>R01-6609-471000-2216</t>
  </si>
  <si>
    <t>R01-6609-274710-2222</t>
  </si>
  <si>
    <t>P.N. 507</t>
  </si>
  <si>
    <t>2.1.2.1.13</t>
  </si>
  <si>
    <t>Pirminės asmens sveikatos priežiūros veiklos efektyvumo didinimas N. Jarašienės personalinėje įmonėje</t>
  </si>
  <si>
    <t>Varėnos r. sav.</t>
  </si>
  <si>
    <t>N. Jarašienės personalinė įmonė</t>
  </si>
  <si>
    <t>Priemonė:
Ikimokyklinio ir priešmokyklinio ugdymo prieinamumo didinimas</t>
  </si>
  <si>
    <t>Priemonė:
Kaimo gyvenamųjų vietovių (turinčių iki 1 tūkst. gyventojų) atnaujinimas</t>
  </si>
  <si>
    <t>Priemonė:
Kaimo gyvenamųjų vietovių (turinčių 1-6 tūkst. gyventojų) atnaujinimas ir plėtra</t>
  </si>
  <si>
    <t>Priemonė:
Varėnos miesto kompleksinė plėtra</t>
  </si>
  <si>
    <t xml:space="preserve">Priemonė:
Alytaus, Druskininkų ir Lazdijų miestų kompleksinė plėtra
</t>
  </si>
  <si>
    <t>Tikslas: 
DIDINTI ŪKINĖS VEIKLOS ĮVAIROVĘ IR PAGERINTI SĄLYGAS INVESTICIJŲ PRITRAUKIMUI, MAŽINANT GEOGRAFINIŲ SĄLYGŲ IR DEMOGRAFINIŲ PROCESŲ SUKELIAMUS GYVENIMO KOKYBĖS NETOLYGUMUS</t>
  </si>
  <si>
    <t>Priemonė:
Paviršinių nuotekų sistemų tvarkymas</t>
  </si>
  <si>
    <t>Priemonė:
Modernizuoti savivaldybių kultūros infrastruktūrą</t>
  </si>
  <si>
    <t>Priemonė:
Aktualizuoti savivaldybių kultūros paveldo objektus</t>
  </si>
  <si>
    <t>Uždavinys:
Pagerinti darbo jėgos judėjimo galimybes gerinant susisiekimo sistemas</t>
  </si>
  <si>
    <t>Priemonė:
Vietinio susisiekimo viešojo transporto priemonių parko atnaujinimas</t>
  </si>
  <si>
    <t>Priemonė:
Darnaus judumo priemonių diegimas</t>
  </si>
  <si>
    <t>Priemonė:
Pėsčiųjų ir dviračių takų rekonstrukcija ir plėtra</t>
  </si>
  <si>
    <t>Priemonė:
Vietinių kelių techninių parametrų ir eismo saugos gerinimas</t>
  </si>
  <si>
    <t>Tikslas:
GERINTI VIEŠŲJŲ  PASLAUGŲ KOKYBĘ IR PRIEINAMUMĄ</t>
  </si>
  <si>
    <t xml:space="preserve">Uždavinys:
Bendrojo ugdymo ir neformaliojo švietimo įstaigų (ypač vykdančių ikimokyklinio ir priešmokyklinio ugdymo programas) tinklo veiklos efektyvumo didinimas </t>
  </si>
  <si>
    <t>Priemonė:
Mokyklų tinklo efektyvumo didinimas</t>
  </si>
  <si>
    <t>Priemonė:
Neformaliojo švietimo infrastruktūros tobulinimas</t>
  </si>
  <si>
    <t>Priemonė:
Sveikos gyvensenos skatinimas regioniniu lygiu</t>
  </si>
  <si>
    <t>Priemonė:
Priemonių, gerinančių ambulatorinių sveikatos priežiūros paslaugų prieinamumą tuberkulioze sergantiems pacientams, įgyvendinimas</t>
  </si>
  <si>
    <t>Uždavinys:
Socialinio būsto ir socialinių paslaugų prieinamumo pažeidžiamiausioms gyventojų grupėms padidinimas</t>
  </si>
  <si>
    <t>Priemonė:
Socialinių paslaugų infrastruktūros plėtra</t>
  </si>
  <si>
    <t>Priemonė:
Socialinio būsto fondo plėtra</t>
  </si>
  <si>
    <t>Uždavinys:
Visuomenei teikiamų paslaugų kokybės, didinant jų atitikimo visuomenės poreikiams pagerinimas</t>
  </si>
  <si>
    <t>Priemonė:
Paslaugų teikimo ir asmenų aptarnavimo kokybės gerinimas savivaldybėse</t>
  </si>
  <si>
    <t>Tikslas: 
DARNIAI TVARKYTI IR VYSTYTI REGIONO TERITORIJĄ</t>
  </si>
  <si>
    <t>Uždavinys:
Sumažinti sąvartynuose šalinamų komunalinių atliekų kiekį</t>
  </si>
  <si>
    <t>Priemonė:
Komunalinių atliekų tvarkymo infrastruktūros plėtra</t>
  </si>
  <si>
    <t>Uždavinys:
Kraštovaizdžio apsauga, planavimas ir tvarkymas</t>
  </si>
  <si>
    <t>Priemonė:
Kraštovaizdžio apsauga/plėtra</t>
  </si>
  <si>
    <t>R01-6609-470000-2223</t>
  </si>
  <si>
    <r>
      <t>R01-6609-2747</t>
    </r>
    <r>
      <rPr>
        <sz val="10"/>
        <color rgb="FF00B050"/>
        <rFont val="Times New Roman"/>
        <family val="1"/>
        <charset val="186"/>
      </rPr>
      <t>10</t>
    </r>
    <r>
      <rPr>
        <sz val="10"/>
        <rFont val="Times New Roman"/>
        <family val="1"/>
      </rPr>
      <t>-2217</t>
    </r>
  </si>
  <si>
    <t>(Alytaus regiono plėtros tarybos 2018 m. gegužės 28  d. sprendimo Nr. 51/6S – 19 redakcija)</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</si>
</sst>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164" formatCode="#,##0.000"/>
    <numFmt numFmtId="165" formatCode="yyyy/mm/dd;@"/>
    <numFmt numFmtId="166" formatCode="yyyy/mm"/>
    <numFmt numFmtId="167" formatCode="0.0"/>
    <numFmt numFmtId="168" formatCode="yyyy"/>
  </numFmts>
  <fonts count="114" x14ac:knownFonts="1">
    <font>
      <sz val="11"/>
      <color theme="1"/>
      <name val="Calibri"/>
      <family val="2"/>
      <charset val="186"/>
      <scheme val="minor"/>
    </font>
    <font>
      <sz val="11"/>
      <color theme="1"/>
      <name val="Calibri"/>
      <family val="2"/>
      <scheme val="minor"/>
    </font>
    <font>
      <b/>
      <sz val="10"/>
      <color theme="1"/>
      <name val="Times New Roman"/>
      <family val="1"/>
    </font>
    <font>
      <b/>
      <sz val="11"/>
      <color theme="1"/>
      <name val="Times New Roman"/>
      <family val="1"/>
    </font>
    <font>
      <sz val="8"/>
      <color theme="1"/>
      <name val="Times New Roman"/>
      <family val="1"/>
    </font>
    <font>
      <sz val="10"/>
      <color theme="1"/>
      <name val="Times New Roman"/>
      <family val="1"/>
    </font>
    <font>
      <b/>
      <sz val="9"/>
      <color theme="1"/>
      <name val="Times New Roman"/>
      <family val="1"/>
    </font>
    <font>
      <b/>
      <sz val="8"/>
      <color theme="1"/>
      <name val="Times New Roman"/>
      <family val="1"/>
    </font>
    <font>
      <sz val="9"/>
      <color theme="1"/>
      <name val="Times New Roman"/>
      <family val="1"/>
    </font>
    <font>
      <sz val="11"/>
      <color rgb="FFFF0000"/>
      <name val="Calibri"/>
      <family val="2"/>
      <charset val="186"/>
      <scheme val="minor"/>
    </font>
    <font>
      <sz val="8"/>
      <color rgb="FFFF0000"/>
      <name val="Times New Roman"/>
      <family val="1"/>
    </font>
    <font>
      <sz val="9"/>
      <color rgb="FFFF0000"/>
      <name val="Times New Roman"/>
      <family val="1"/>
    </font>
    <font>
      <sz val="9"/>
      <name val="Times New Roman"/>
      <family val="1"/>
    </font>
    <font>
      <sz val="10"/>
      <name val="Times New Roman"/>
      <family val="1"/>
    </font>
    <font>
      <sz val="11"/>
      <color rgb="FF00B050"/>
      <name val="Calibri"/>
      <family val="2"/>
      <charset val="186"/>
      <scheme val="minor"/>
    </font>
    <font>
      <sz val="8"/>
      <color rgb="FF00B050"/>
      <name val="Times New Roman"/>
      <family val="1"/>
    </font>
    <font>
      <sz val="8"/>
      <color rgb="FFC00000"/>
      <name val="Times New Roman"/>
      <family val="1"/>
    </font>
    <font>
      <sz val="8"/>
      <color theme="9" tint="-0.249977111117893"/>
      <name val="Times New Roman"/>
      <family val="1"/>
    </font>
    <font>
      <sz val="8"/>
      <color rgb="FFFF6600"/>
      <name val="Times New Roman"/>
      <family val="1"/>
    </font>
    <font>
      <b/>
      <sz val="9"/>
      <name val="Times New Roman"/>
      <family val="1"/>
    </font>
    <font>
      <sz val="11"/>
      <name val="Times New Roman"/>
      <family val="1"/>
    </font>
    <font>
      <sz val="11"/>
      <name val="Calibri"/>
      <family val="2"/>
      <scheme val="minor"/>
    </font>
    <font>
      <sz val="8"/>
      <name val="Times New Roman"/>
      <family val="1"/>
    </font>
    <font>
      <sz val="11"/>
      <name val="Calibri"/>
      <family val="2"/>
      <charset val="186"/>
      <scheme val="minor"/>
    </font>
    <font>
      <b/>
      <sz val="11"/>
      <name val="Times New Roman"/>
      <family val="1"/>
    </font>
    <font>
      <b/>
      <sz val="8"/>
      <name val="Times New Roman"/>
      <family val="1"/>
    </font>
    <font>
      <sz val="10"/>
      <name val="Calibri"/>
      <family val="2"/>
      <scheme val="minor"/>
    </font>
    <font>
      <b/>
      <sz val="10"/>
      <name val="Times New Roman"/>
      <family val="1"/>
    </font>
    <font>
      <sz val="9"/>
      <name val="Times New Roman"/>
      <family val="1"/>
      <charset val="186"/>
    </font>
    <font>
      <sz val="10"/>
      <name val="Times New Roman"/>
      <family val="1"/>
      <charset val="186"/>
    </font>
    <font>
      <strike/>
      <sz val="9"/>
      <name val="Times New Roman"/>
      <family val="1"/>
    </font>
    <font>
      <sz val="10"/>
      <color theme="1"/>
      <name val="Times New Roman"/>
      <family val="1"/>
      <charset val="186"/>
    </font>
    <font>
      <b/>
      <sz val="8"/>
      <name val="Times New Roman"/>
      <family val="1"/>
      <charset val="186"/>
    </font>
    <font>
      <b/>
      <sz val="8"/>
      <color theme="1"/>
      <name val="Times New Roman"/>
      <family val="1"/>
      <charset val="186"/>
    </font>
    <font>
      <sz val="12"/>
      <color theme="1"/>
      <name val="Times New Roman"/>
      <family val="1"/>
      <charset val="186"/>
    </font>
    <font>
      <sz val="11"/>
      <color theme="1"/>
      <name val="Times New Roman"/>
      <family val="1"/>
      <charset val="186"/>
    </font>
    <font>
      <b/>
      <sz val="12"/>
      <color theme="1"/>
      <name val="Times New Roman"/>
      <family val="1"/>
      <charset val="186"/>
    </font>
    <font>
      <b/>
      <sz val="11"/>
      <color theme="1"/>
      <name val="Times New Roman"/>
      <family val="1"/>
      <charset val="186"/>
    </font>
    <font>
      <sz val="8"/>
      <name val="Times New Roman"/>
      <family val="1"/>
      <charset val="186"/>
    </font>
    <font>
      <sz val="10"/>
      <name val="Arial"/>
      <family val="2"/>
      <charset val="186"/>
    </font>
    <font>
      <b/>
      <sz val="9"/>
      <name val="Times New Roman"/>
      <family val="1"/>
      <charset val="186"/>
    </font>
    <font>
      <b/>
      <sz val="11"/>
      <name val="Times New Roman"/>
      <family val="1"/>
      <charset val="186"/>
    </font>
    <font>
      <sz val="11"/>
      <name val="Times New Roman"/>
      <family val="1"/>
      <charset val="186"/>
    </font>
    <font>
      <b/>
      <sz val="10"/>
      <name val="Times New Roman"/>
      <family val="1"/>
      <charset val="186"/>
    </font>
    <font>
      <sz val="12"/>
      <name val="Times New Roman"/>
      <family val="1"/>
      <charset val="186"/>
    </font>
    <font>
      <b/>
      <sz val="12"/>
      <name val="Times New Roman"/>
      <family val="1"/>
      <charset val="186"/>
    </font>
    <font>
      <b/>
      <sz val="12"/>
      <color rgb="FF000000"/>
      <name val="Times New Roman"/>
      <family val="1"/>
      <charset val="186"/>
    </font>
    <font>
      <vertAlign val="superscript"/>
      <sz val="11"/>
      <name val="Calibri"/>
      <family val="1"/>
      <charset val="186"/>
      <scheme val="minor"/>
    </font>
    <font>
      <vertAlign val="superscript"/>
      <sz val="12"/>
      <name val="Times New Roman"/>
      <family val="1"/>
      <charset val="186"/>
    </font>
    <font>
      <i/>
      <sz val="11"/>
      <color rgb="FF000000"/>
      <name val="Times New Roman"/>
      <family val="1"/>
      <charset val="186"/>
    </font>
    <font>
      <b/>
      <sz val="14"/>
      <name val="Times New Roman"/>
      <family val="1"/>
      <charset val="186"/>
    </font>
    <font>
      <b/>
      <sz val="16"/>
      <name val="Times New Roman"/>
      <family val="1"/>
      <charset val="186"/>
    </font>
    <font>
      <b/>
      <u/>
      <sz val="10"/>
      <name val="Times New Roman"/>
      <family val="1"/>
      <charset val="186"/>
    </font>
    <font>
      <b/>
      <u/>
      <sz val="9"/>
      <name val="Times New Roman"/>
      <family val="1"/>
      <charset val="186"/>
    </font>
    <font>
      <b/>
      <u/>
      <sz val="12"/>
      <name val="Times New Roman"/>
      <family val="1"/>
      <charset val="186"/>
    </font>
    <font>
      <b/>
      <sz val="9"/>
      <color theme="1"/>
      <name val="Times New Roman"/>
      <family val="1"/>
      <charset val="186"/>
    </font>
    <font>
      <b/>
      <sz val="12"/>
      <name val="Times New Roman"/>
      <family val="1"/>
    </font>
    <font>
      <b/>
      <sz val="14"/>
      <name val="Times New Roman"/>
      <family val="1"/>
    </font>
    <font>
      <b/>
      <u/>
      <sz val="14"/>
      <name val="Times New Roman"/>
      <family val="1"/>
      <charset val="186"/>
    </font>
    <font>
      <sz val="10"/>
      <color theme="1"/>
      <name val="Calibri"/>
      <family val="2"/>
      <charset val="186"/>
      <scheme val="minor"/>
    </font>
    <font>
      <sz val="12"/>
      <color theme="1"/>
      <name val="Calibri"/>
      <family val="2"/>
      <charset val="186"/>
      <scheme val="minor"/>
    </font>
    <font>
      <b/>
      <sz val="11"/>
      <color theme="1"/>
      <name val="Calibri"/>
      <family val="2"/>
      <charset val="186"/>
      <scheme val="minor"/>
    </font>
    <font>
      <sz val="14"/>
      <name val="Times New Roman"/>
      <family val="1"/>
      <charset val="186"/>
    </font>
    <font>
      <sz val="12"/>
      <name val="Times New Roman"/>
      <family val="1"/>
    </font>
    <font>
      <i/>
      <sz val="12"/>
      <name val="Times New Roman"/>
      <family val="1"/>
    </font>
    <font>
      <sz val="10"/>
      <color rgb="FF00B050"/>
      <name val="Times New Roman"/>
      <family val="1"/>
    </font>
    <font>
      <sz val="9"/>
      <color rgb="FF00B050"/>
      <name val="Times New Roman"/>
      <family val="1"/>
    </font>
    <font>
      <b/>
      <sz val="12"/>
      <color theme="1"/>
      <name val="Calibri"/>
      <family val="1"/>
      <charset val="186"/>
      <scheme val="minor"/>
    </font>
    <font>
      <b/>
      <sz val="10"/>
      <color theme="1"/>
      <name val="Times New Roman"/>
      <family val="1"/>
      <charset val="186"/>
    </font>
    <font>
      <sz val="9"/>
      <color theme="1"/>
      <name val="Times New Roman"/>
      <family val="1"/>
      <charset val="186"/>
    </font>
    <font>
      <b/>
      <sz val="14"/>
      <color theme="1"/>
      <name val="Times New Roman"/>
      <family val="1"/>
      <charset val="186"/>
    </font>
    <font>
      <sz val="12"/>
      <color rgb="FF000000"/>
      <name val="Times New Roman"/>
      <family val="1"/>
      <charset val="186"/>
    </font>
    <font>
      <u/>
      <sz val="10"/>
      <color theme="1"/>
      <name val="Times New Roman"/>
      <family val="1"/>
      <charset val="186"/>
    </font>
    <font>
      <b/>
      <sz val="7"/>
      <color theme="1"/>
      <name val="Times New Roman"/>
      <family val="1"/>
      <charset val="186"/>
    </font>
    <font>
      <u/>
      <sz val="12"/>
      <color theme="1"/>
      <name val="Times New Roman"/>
      <family val="1"/>
      <charset val="186"/>
    </font>
    <font>
      <i/>
      <sz val="12"/>
      <color theme="1"/>
      <name val="Times New Roman"/>
      <family val="1"/>
      <charset val="186"/>
    </font>
    <font>
      <u/>
      <sz val="11"/>
      <color theme="10"/>
      <name val="Calibri"/>
      <family val="2"/>
      <charset val="186"/>
      <scheme val="minor"/>
    </font>
    <font>
      <sz val="12"/>
      <name val="Calibri"/>
      <family val="2"/>
      <charset val="186"/>
      <scheme val="minor"/>
    </font>
    <font>
      <sz val="10"/>
      <name val="Calibri"/>
      <family val="2"/>
      <charset val="186"/>
      <scheme val="minor"/>
    </font>
    <font>
      <b/>
      <sz val="14"/>
      <name val="Calibri"/>
      <family val="2"/>
      <charset val="186"/>
      <scheme val="minor"/>
    </font>
    <font>
      <b/>
      <sz val="12"/>
      <name val="Calibri"/>
      <family val="2"/>
      <charset val="186"/>
      <scheme val="minor"/>
    </font>
    <font>
      <sz val="14"/>
      <color theme="1"/>
      <name val="Times New Roman"/>
      <family val="1"/>
    </font>
    <font>
      <b/>
      <sz val="14"/>
      <color theme="1"/>
      <name val="Times New Roman"/>
      <family val="1"/>
    </font>
    <font>
      <b/>
      <sz val="11"/>
      <color rgb="FF000000"/>
      <name val="Times New Roman"/>
      <family val="1"/>
      <charset val="186"/>
    </font>
    <font>
      <sz val="11"/>
      <color rgb="FF000000"/>
      <name val="Times New Roman"/>
      <family val="1"/>
      <charset val="186"/>
    </font>
    <font>
      <sz val="11"/>
      <color rgb="FF000000"/>
      <name val="Calibri"/>
      <family val="2"/>
      <charset val="186"/>
    </font>
    <font>
      <sz val="10"/>
      <color rgb="FF000000"/>
      <name val="Times New Roman"/>
      <family val="1"/>
      <charset val="186"/>
    </font>
    <font>
      <i/>
      <sz val="12"/>
      <color rgb="FF000000"/>
      <name val="Times New Roman"/>
      <family val="1"/>
      <charset val="186"/>
    </font>
    <font>
      <sz val="8"/>
      <color theme="1"/>
      <name val="Times New Roman"/>
      <family val="1"/>
      <charset val="186"/>
    </font>
    <font>
      <b/>
      <u/>
      <sz val="11"/>
      <name val="Times New Roman"/>
      <family val="1"/>
      <charset val="186"/>
    </font>
    <font>
      <u/>
      <sz val="10"/>
      <name val="Times New Roman"/>
      <family val="1"/>
      <charset val="186"/>
    </font>
    <font>
      <b/>
      <sz val="11"/>
      <name val="Calibri"/>
      <family val="2"/>
      <charset val="186"/>
      <scheme val="minor"/>
    </font>
    <font>
      <sz val="10"/>
      <color rgb="FF00B050"/>
      <name val="Times New Roman"/>
      <family val="1"/>
      <charset val="186"/>
    </font>
    <font>
      <sz val="9"/>
      <color rgb="FF00B050"/>
      <name val="Times New Roman"/>
      <family val="1"/>
      <charset val="186"/>
    </font>
    <font>
      <b/>
      <sz val="9"/>
      <color rgb="FF00B050"/>
      <name val="Times New Roman"/>
      <family val="1"/>
      <charset val="186"/>
    </font>
    <font>
      <b/>
      <sz val="10"/>
      <color rgb="FF00B050"/>
      <name val="Times New Roman"/>
      <family val="1"/>
      <charset val="186"/>
    </font>
    <font>
      <b/>
      <u/>
      <sz val="9"/>
      <color rgb="FF00B050"/>
      <name val="Times New Roman"/>
      <family val="1"/>
      <charset val="186"/>
    </font>
    <font>
      <b/>
      <sz val="7"/>
      <name val="Times New Roman"/>
      <family val="1"/>
      <charset val="186"/>
    </font>
    <font>
      <sz val="7"/>
      <name val="Times New Roman"/>
      <family val="1"/>
      <charset val="186"/>
    </font>
    <font>
      <sz val="7"/>
      <name val="Times New Roman"/>
      <family val="1"/>
    </font>
    <font>
      <sz val="10"/>
      <color rgb="FFFF0000"/>
      <name val="Times New Roman"/>
      <family val="1"/>
      <charset val="186"/>
    </font>
    <font>
      <sz val="9"/>
      <color rgb="FFFF0000"/>
      <name val="Times New Roman"/>
      <family val="1"/>
      <charset val="186"/>
    </font>
    <font>
      <b/>
      <sz val="12"/>
      <color theme="1"/>
      <name val="Times New Roman"/>
      <family val="1"/>
    </font>
    <font>
      <strike/>
      <sz val="10"/>
      <name val="Times New Roman"/>
      <family val="1"/>
    </font>
    <font>
      <sz val="9"/>
      <name val="Calibri"/>
      <family val="2"/>
      <charset val="186"/>
      <scheme val="minor"/>
    </font>
    <font>
      <sz val="12"/>
      <color theme="1"/>
      <name val="Calibri"/>
      <family val="2"/>
      <scheme val="minor"/>
    </font>
    <font>
      <sz val="12"/>
      <color theme="1"/>
      <name val="Times New Roman"/>
      <family val="1"/>
    </font>
    <font>
      <sz val="12"/>
      <color rgb="FFFF0000"/>
      <name val="Times New Roman"/>
      <family val="1"/>
    </font>
    <font>
      <sz val="7"/>
      <color rgb="FF00B050"/>
      <name val="Times New Roman"/>
      <family val="1"/>
    </font>
    <font>
      <sz val="12"/>
      <color rgb="FF00B050"/>
      <name val="Times New Roman"/>
      <family val="1"/>
    </font>
    <font>
      <sz val="12"/>
      <color rgb="FF00B050"/>
      <name val="Times New Roman"/>
      <family val="1"/>
      <charset val="186"/>
    </font>
    <font>
      <b/>
      <sz val="12"/>
      <color rgb="FF00B050"/>
      <name val="Times New Roman"/>
      <family val="1"/>
      <charset val="186"/>
    </font>
    <font>
      <sz val="11"/>
      <color rgb="FF00B050"/>
      <name val="Times New Roman"/>
      <family val="1"/>
      <charset val="186"/>
    </font>
    <font>
      <b/>
      <sz val="14"/>
      <color rgb="FF00B050"/>
      <name val="Times New Roman"/>
      <family val="1"/>
      <charset val="186"/>
    </font>
  </fonts>
  <fills count="21">
    <fill>
      <patternFill patternType="none"/>
    </fill>
    <fill>
      <patternFill patternType="gray125"/>
    </fill>
    <fill>
      <patternFill patternType="solid">
        <fgColor rgb="FFBFBFBF"/>
        <bgColor indexed="64"/>
      </patternFill>
    </fill>
    <fill>
      <patternFill patternType="solid">
        <fgColor rgb="FFD9D9D9"/>
        <bgColor indexed="64"/>
      </patternFill>
    </fill>
    <fill>
      <patternFill patternType="solid">
        <fgColor rgb="FFFF6600"/>
        <bgColor indexed="64"/>
      </patternFill>
    </fill>
    <fill>
      <patternFill patternType="solid">
        <fgColor rgb="FF92D050"/>
        <bgColor indexed="64"/>
      </patternFill>
    </fill>
    <fill>
      <patternFill patternType="solid">
        <fgColor theme="0" tint="-0.14999847407452621"/>
        <bgColor indexed="64"/>
      </patternFill>
    </fill>
    <fill>
      <patternFill patternType="solid">
        <fgColor theme="0" tint="-0.34998626667073579"/>
        <bgColor indexed="64"/>
      </patternFill>
    </fill>
    <fill>
      <patternFill patternType="solid">
        <fgColor rgb="FFFFFFFF"/>
        <bgColor indexed="64"/>
      </patternFill>
    </fill>
    <fill>
      <patternFill patternType="solid">
        <fgColor theme="0" tint="-0.249977111117893"/>
        <bgColor indexed="64"/>
      </patternFill>
    </fill>
    <fill>
      <patternFill patternType="solid">
        <fgColor rgb="FFFFFF00"/>
        <bgColor indexed="64"/>
      </patternFill>
    </fill>
    <fill>
      <patternFill patternType="solid">
        <fgColor rgb="FFFFC000"/>
        <bgColor indexed="64"/>
      </patternFill>
    </fill>
    <fill>
      <patternFill patternType="solid">
        <fgColor rgb="FFFF0000"/>
        <bgColor indexed="64"/>
      </patternFill>
    </fill>
    <fill>
      <patternFill patternType="solid">
        <fgColor theme="9" tint="0.59999389629810485"/>
        <bgColor indexed="64"/>
      </patternFill>
    </fill>
    <fill>
      <patternFill patternType="solid">
        <fgColor theme="7" tint="0.59999389629810485"/>
        <bgColor indexed="64"/>
      </patternFill>
    </fill>
    <fill>
      <patternFill patternType="solid">
        <fgColor theme="0"/>
        <bgColor indexed="64"/>
      </patternFill>
    </fill>
    <fill>
      <patternFill patternType="solid">
        <fgColor theme="0" tint="-4.9989318521683403E-2"/>
        <bgColor indexed="64"/>
      </patternFill>
    </fill>
    <fill>
      <patternFill patternType="solid">
        <fgColor theme="7" tint="0.79998168889431442"/>
        <bgColor indexed="64"/>
      </patternFill>
    </fill>
    <fill>
      <patternFill patternType="solid">
        <fgColor theme="2" tint="-9.9978637043366805E-2"/>
        <bgColor indexed="64"/>
      </patternFill>
    </fill>
    <fill>
      <patternFill patternType="solid">
        <fgColor theme="9" tint="0.79998168889431442"/>
        <bgColor indexed="64"/>
      </patternFill>
    </fill>
    <fill>
      <patternFill patternType="solid">
        <fgColor theme="6" tint="0.79998168889431442"/>
        <bgColor indexed="64"/>
      </patternFill>
    </fill>
  </fills>
  <borders count="142">
    <border>
      <left/>
      <right/>
      <top/>
      <bottom/>
      <diagonal/>
    </border>
    <border>
      <left style="thick">
        <color indexed="64"/>
      </left>
      <right style="medium">
        <color indexed="64"/>
      </right>
      <top style="thick">
        <color indexed="64"/>
      </top>
      <bottom style="medium">
        <color indexed="64"/>
      </bottom>
      <diagonal/>
    </border>
    <border>
      <left/>
      <right style="medium">
        <color indexed="64"/>
      </right>
      <top style="thick">
        <color indexed="64"/>
      </top>
      <bottom style="medium">
        <color indexed="64"/>
      </bottom>
      <diagonal/>
    </border>
    <border>
      <left/>
      <right style="medium">
        <color rgb="FF000000"/>
      </right>
      <top style="thick">
        <color indexed="64"/>
      </top>
      <bottom style="medium">
        <color indexed="64"/>
      </bottom>
      <diagonal/>
    </border>
    <border>
      <left/>
      <right style="thick">
        <color indexed="64"/>
      </right>
      <top style="thick">
        <color indexed="64"/>
      </top>
      <bottom style="medium">
        <color indexed="64"/>
      </bottom>
      <diagonal/>
    </border>
    <border>
      <left style="thick">
        <color indexed="64"/>
      </left>
      <right style="medium">
        <color indexed="64"/>
      </right>
      <top/>
      <bottom style="medium">
        <color indexed="64"/>
      </bottom>
      <diagonal/>
    </border>
    <border>
      <left/>
      <right style="medium">
        <color indexed="64"/>
      </right>
      <top/>
      <bottom style="medium">
        <color indexed="64"/>
      </bottom>
      <diagonal/>
    </border>
    <border>
      <left/>
      <right style="thick">
        <color indexed="64"/>
      </right>
      <top/>
      <bottom style="medium">
        <color indexed="64"/>
      </bottom>
      <diagonal/>
    </border>
    <border>
      <left style="thick">
        <color indexed="64"/>
      </left>
      <right/>
      <top/>
      <bottom style="thick">
        <color indexed="64"/>
      </bottom>
      <diagonal/>
    </border>
    <border>
      <left/>
      <right style="medium">
        <color indexed="64"/>
      </right>
      <top/>
      <bottom style="thick">
        <color indexed="64"/>
      </bottom>
      <diagonal/>
    </border>
    <border>
      <left/>
      <right style="thick">
        <color indexed="64"/>
      </right>
      <top/>
      <bottom style="thick">
        <color indexed="64"/>
      </bottom>
      <diagonal/>
    </border>
    <border>
      <left style="medium">
        <color indexed="64"/>
      </left>
      <right/>
      <top style="thick">
        <color indexed="64"/>
      </top>
      <bottom style="medium">
        <color indexed="64"/>
      </bottom>
      <diagonal/>
    </border>
    <border>
      <left style="medium">
        <color rgb="FF000000"/>
      </left>
      <right/>
      <top style="thick">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rgb="FF000000"/>
      </right>
      <top style="medium">
        <color indexed="64"/>
      </top>
      <bottom style="medium">
        <color indexed="64"/>
      </bottom>
      <diagonal/>
    </border>
    <border>
      <left style="medium">
        <color rgb="FF000000"/>
      </left>
      <right/>
      <top style="medium">
        <color indexed="64"/>
      </top>
      <bottom style="medium">
        <color indexed="64"/>
      </bottom>
      <diagonal/>
    </border>
    <border>
      <left/>
      <right style="thick">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style="thick">
        <color indexed="64"/>
      </left>
      <right style="medium">
        <color indexed="64"/>
      </right>
      <top/>
      <bottom style="thick">
        <color indexed="64"/>
      </bottom>
      <diagonal/>
    </border>
    <border>
      <left/>
      <right/>
      <top/>
      <bottom style="medium">
        <color indexed="64"/>
      </bottom>
      <diagonal/>
    </border>
    <border>
      <left/>
      <right style="medium">
        <color indexed="64"/>
      </right>
      <top/>
      <bottom/>
      <diagonal/>
    </border>
    <border>
      <left style="thick">
        <color indexed="64"/>
      </left>
      <right style="medium">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thick">
        <color indexed="64"/>
      </right>
      <top style="medium">
        <color indexed="64"/>
      </top>
      <bottom/>
      <diagonal/>
    </border>
    <border>
      <left/>
      <right style="thick">
        <color indexed="64"/>
      </right>
      <top/>
      <bottom/>
      <diagonal/>
    </border>
    <border>
      <left/>
      <right style="medium">
        <color indexed="64"/>
      </right>
      <top style="medium">
        <color indexed="64"/>
      </top>
      <bottom/>
      <diagonal/>
    </border>
    <border>
      <left style="medium">
        <color indexed="64"/>
      </left>
      <right style="medium">
        <color indexed="64"/>
      </right>
      <top/>
      <bottom/>
      <diagonal/>
    </border>
    <border>
      <left style="medium">
        <color indexed="64"/>
      </left>
      <right/>
      <top/>
      <bottom/>
      <diagonal/>
    </border>
    <border>
      <left/>
      <right style="thick">
        <color indexed="64"/>
      </right>
      <top style="thick">
        <color indexed="64"/>
      </top>
      <bottom style="thick">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style="thick">
        <color indexed="64"/>
      </left>
      <right style="thick">
        <color indexed="64"/>
      </right>
      <top style="thick">
        <color indexed="64"/>
      </top>
      <bottom style="medium">
        <color indexed="64"/>
      </bottom>
      <diagonal/>
    </border>
    <border>
      <left style="thick">
        <color indexed="64"/>
      </left>
      <right style="thick">
        <color indexed="64"/>
      </right>
      <top/>
      <bottom style="medium">
        <color indexed="64"/>
      </bottom>
      <diagonal/>
    </border>
    <border>
      <left style="thick">
        <color indexed="64"/>
      </left>
      <right style="thick">
        <color indexed="64"/>
      </right>
      <top/>
      <bottom style="thick">
        <color indexed="64"/>
      </bottom>
      <diagonal/>
    </border>
    <border>
      <left style="medium">
        <color indexed="64"/>
      </left>
      <right style="thin">
        <color indexed="64"/>
      </right>
      <top style="medium">
        <color indexed="64"/>
      </top>
      <bottom style="medium">
        <color indexed="64"/>
      </bottom>
      <diagonal/>
    </border>
    <border>
      <left style="thick">
        <color indexed="64"/>
      </left>
      <right style="medium">
        <color indexed="64"/>
      </right>
      <top/>
      <bottom/>
      <diagonal/>
    </border>
    <border>
      <left style="medium">
        <color indexed="64"/>
      </left>
      <right style="thick">
        <color indexed="64"/>
      </right>
      <top style="medium">
        <color indexed="64"/>
      </top>
      <bottom style="medium">
        <color indexed="64"/>
      </bottom>
      <diagonal/>
    </border>
    <border>
      <left style="thick">
        <color indexed="64"/>
      </left>
      <right style="medium">
        <color indexed="64"/>
      </right>
      <top style="medium">
        <color indexed="64"/>
      </top>
      <bottom style="medium">
        <color indexed="64"/>
      </bottom>
      <diagonal/>
    </border>
    <border>
      <left style="medium">
        <color indexed="64"/>
      </left>
      <right/>
      <top/>
      <bottom style="medium">
        <color indexed="64"/>
      </bottom>
      <diagonal/>
    </border>
    <border>
      <left/>
      <right style="medium">
        <color indexed="64"/>
      </right>
      <top style="thick">
        <color indexed="64"/>
      </top>
      <bottom/>
      <diagonal/>
    </border>
    <border>
      <left/>
      <right/>
      <top/>
      <bottom style="thick">
        <color indexed="64"/>
      </bottom>
      <diagonal/>
    </border>
    <border>
      <left style="thick">
        <color indexed="64"/>
      </left>
      <right style="thick">
        <color indexed="64"/>
      </right>
      <top style="thick">
        <color indexed="64"/>
      </top>
      <bottom style="thick">
        <color indexed="64"/>
      </bottom>
      <diagonal/>
    </border>
    <border>
      <left style="thick">
        <color indexed="64"/>
      </left>
      <right style="medium">
        <color indexed="64"/>
      </right>
      <top style="thick">
        <color indexed="64"/>
      </top>
      <bottom/>
      <diagonal/>
    </border>
    <border>
      <left style="medium">
        <color indexed="64"/>
      </left>
      <right style="medium">
        <color indexed="64"/>
      </right>
      <top style="thick">
        <color indexed="64"/>
      </top>
      <bottom/>
      <diagonal/>
    </border>
    <border>
      <left/>
      <right/>
      <top style="thick">
        <color indexed="64"/>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top style="thick">
        <color indexed="64"/>
      </top>
      <bottom style="thick">
        <color indexed="64"/>
      </bottom>
      <diagonal/>
    </border>
    <border>
      <left/>
      <right/>
      <top style="thick">
        <color indexed="64"/>
      </top>
      <bottom style="thick">
        <color indexed="64"/>
      </bottom>
      <diagonal/>
    </border>
    <border>
      <left/>
      <right style="medium">
        <color rgb="FF000000"/>
      </right>
      <top style="thick">
        <color indexed="64"/>
      </top>
      <bottom style="thick">
        <color indexed="64"/>
      </bottom>
      <diagonal/>
    </border>
    <border>
      <left style="thick">
        <color indexed="64"/>
      </left>
      <right style="thick">
        <color indexed="64"/>
      </right>
      <top style="thick">
        <color indexed="64"/>
      </top>
      <bottom/>
      <diagonal/>
    </border>
    <border>
      <left style="thick">
        <color indexed="64"/>
      </left>
      <right/>
      <top style="thick">
        <color indexed="64"/>
      </top>
      <bottom style="thin">
        <color indexed="64"/>
      </bottom>
      <diagonal/>
    </border>
    <border>
      <left/>
      <right/>
      <top style="thick">
        <color indexed="64"/>
      </top>
      <bottom style="thin">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n">
        <color indexed="64"/>
      </left>
      <right style="thin">
        <color indexed="64"/>
      </right>
      <top style="thin">
        <color indexed="64"/>
      </top>
      <bottom style="thick">
        <color indexed="64"/>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thin">
        <color indexed="64"/>
      </left>
      <right/>
      <top/>
      <bottom style="thin">
        <color indexed="64"/>
      </bottom>
      <diagonal/>
    </border>
    <border>
      <left style="thick">
        <color indexed="64"/>
      </left>
      <right/>
      <top/>
      <bottom/>
      <diagonal/>
    </border>
    <border>
      <left/>
      <right style="thin">
        <color indexed="64"/>
      </right>
      <top/>
      <bottom/>
      <diagonal/>
    </border>
    <border>
      <left style="thin">
        <color indexed="64"/>
      </left>
      <right style="thick">
        <color indexed="64"/>
      </right>
      <top/>
      <bottom style="thin">
        <color indexed="64"/>
      </bottom>
      <diagonal/>
    </border>
    <border>
      <left/>
      <right style="thick">
        <color indexed="64"/>
      </right>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thin">
        <color indexed="64"/>
      </right>
      <top style="thin">
        <color indexed="64"/>
      </top>
      <bottom/>
      <diagonal/>
    </border>
    <border>
      <left style="thin">
        <color indexed="64"/>
      </left>
      <right style="thick">
        <color indexed="64"/>
      </right>
      <top style="thin">
        <color indexed="64"/>
      </top>
      <bottom/>
      <diagonal/>
    </border>
    <border>
      <left style="thin">
        <color indexed="64"/>
      </left>
      <right style="thick">
        <color indexed="64"/>
      </right>
      <top style="medium">
        <color indexed="64"/>
      </top>
      <bottom style="medium">
        <color indexed="64"/>
      </bottom>
      <diagonal/>
    </border>
    <border>
      <left style="thick">
        <color indexed="64"/>
      </left>
      <right/>
      <top style="thick">
        <color indexed="64"/>
      </top>
      <bottom/>
      <diagonal/>
    </border>
    <border>
      <left style="thick">
        <color indexed="64"/>
      </left>
      <right style="thin">
        <color indexed="64"/>
      </right>
      <top/>
      <bottom style="thin">
        <color indexed="64"/>
      </bottom>
      <diagonal/>
    </border>
    <border>
      <left/>
      <right style="thick">
        <color indexed="64"/>
      </right>
      <top style="thick">
        <color indexed="64"/>
      </top>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style="medium">
        <color indexed="64"/>
      </right>
      <top style="thin">
        <color indexed="64"/>
      </top>
      <bottom style="thin">
        <color indexed="64"/>
      </bottom>
      <diagonal/>
    </border>
    <border>
      <left style="thick">
        <color indexed="64"/>
      </left>
      <right style="thin">
        <color indexed="64"/>
      </right>
      <top style="thin">
        <color indexed="64"/>
      </top>
      <bottom/>
      <diagonal/>
    </border>
    <border>
      <left style="thin">
        <color indexed="64"/>
      </left>
      <right/>
      <top style="thin">
        <color indexed="64"/>
      </top>
      <bottom/>
      <diagonal/>
    </border>
    <border>
      <left style="medium">
        <color indexed="64"/>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style="thin">
        <color indexed="64"/>
      </right>
      <top/>
      <bottom style="medium">
        <color indexed="64"/>
      </bottom>
      <diagonal/>
    </border>
    <border>
      <left/>
      <right/>
      <top style="thin">
        <color indexed="64"/>
      </top>
      <bottom style="thin">
        <color indexed="64"/>
      </bottom>
      <diagonal/>
    </border>
    <border>
      <left/>
      <right/>
      <top/>
      <bottom style="thin">
        <color indexed="64"/>
      </bottom>
      <diagonal/>
    </border>
    <border>
      <left style="thin">
        <color indexed="64"/>
      </left>
      <right style="thin">
        <color indexed="64"/>
      </right>
      <top/>
      <bottom/>
      <diagonal/>
    </border>
    <border>
      <left style="thin">
        <color indexed="64"/>
      </left>
      <right/>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top/>
      <bottom style="medium">
        <color indexed="64"/>
      </bottom>
      <diagonal/>
    </border>
    <border>
      <left style="thick">
        <color indexed="64"/>
      </left>
      <right style="thick">
        <color indexed="64"/>
      </right>
      <top/>
      <bottom/>
      <diagonal/>
    </border>
    <border>
      <left style="thick">
        <color indexed="64"/>
      </left>
      <right style="thick">
        <color indexed="64"/>
      </right>
      <top style="medium">
        <color indexed="64"/>
      </top>
      <bottom style="medium">
        <color indexed="64"/>
      </bottom>
      <diagonal/>
    </border>
    <border>
      <left style="thick">
        <color indexed="64"/>
      </left>
      <right/>
      <top style="thick">
        <color indexed="64"/>
      </top>
      <bottom style="thick">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medium">
        <color indexed="64"/>
      </top>
      <bottom/>
      <diagonal/>
    </border>
    <border>
      <left style="thin">
        <color indexed="64"/>
      </left>
      <right style="thick">
        <color indexed="64"/>
      </right>
      <top/>
      <bottom style="medium">
        <color indexed="64"/>
      </bottom>
      <diagonal/>
    </border>
    <border>
      <left style="medium">
        <color rgb="FF000000"/>
      </left>
      <right style="medium">
        <color indexed="64"/>
      </right>
      <top style="medium">
        <color rgb="FF000000"/>
      </top>
      <bottom style="medium">
        <color rgb="FF000000"/>
      </bottom>
      <diagonal/>
    </border>
    <border>
      <left style="medium">
        <color rgb="FF000000"/>
      </left>
      <right/>
      <top/>
      <bottom style="medium">
        <color rgb="FF000000"/>
      </bottom>
      <diagonal/>
    </border>
    <border>
      <left style="medium">
        <color rgb="FF000000"/>
      </left>
      <right style="medium">
        <color indexed="64"/>
      </right>
      <top/>
      <bottom style="medium">
        <color rgb="FF000000"/>
      </bottom>
      <diagonal/>
    </border>
    <border>
      <left style="medium">
        <color rgb="FF000000"/>
      </left>
      <right style="medium">
        <color rgb="FF000000"/>
      </right>
      <top/>
      <bottom style="medium">
        <color rgb="FF000000"/>
      </bottom>
      <diagonal/>
    </border>
    <border>
      <left style="medium">
        <color rgb="FF000000"/>
      </left>
      <right style="medium">
        <color rgb="FF000000"/>
      </right>
      <top/>
      <bottom/>
      <diagonal/>
    </border>
    <border>
      <left/>
      <right style="medium">
        <color rgb="FF000000"/>
      </right>
      <top/>
      <bottom/>
      <diagonal/>
    </border>
    <border>
      <left style="medium">
        <color rgb="FF000000"/>
      </left>
      <right style="medium">
        <color indexed="64"/>
      </right>
      <top/>
      <bottom/>
      <diagonal/>
    </border>
    <border>
      <left style="medium">
        <color rgb="FF000000"/>
      </left>
      <right/>
      <top/>
      <bottom style="medium">
        <color indexed="64"/>
      </bottom>
      <diagonal/>
    </border>
    <border>
      <left style="medium">
        <color rgb="FF000000"/>
      </left>
      <right style="medium">
        <color indexed="64"/>
      </right>
      <top/>
      <bottom style="medium">
        <color indexed="64"/>
      </bottom>
      <diagonal/>
    </border>
    <border>
      <left style="medium">
        <color rgb="FF000000"/>
      </left>
      <right/>
      <top/>
      <bottom/>
      <diagonal/>
    </border>
    <border>
      <left style="medium">
        <color rgb="FF000000"/>
      </left>
      <right style="medium">
        <color rgb="FF000000"/>
      </right>
      <top style="medium">
        <color rgb="FF000000"/>
      </top>
      <bottom/>
      <diagonal/>
    </border>
    <border>
      <left style="medium">
        <color rgb="FF000000"/>
      </left>
      <right style="medium">
        <color indexed="64"/>
      </right>
      <top style="medium">
        <color rgb="FF000000"/>
      </top>
      <bottom/>
      <diagonal/>
    </border>
    <border>
      <left style="medium">
        <color indexed="64"/>
      </left>
      <right style="medium">
        <color indexed="64"/>
      </right>
      <top style="medium">
        <color rgb="FF000000"/>
      </top>
      <bottom/>
      <diagonal/>
    </border>
    <border>
      <left style="medium">
        <color indexed="64"/>
      </left>
      <right style="medium">
        <color indexed="64"/>
      </right>
      <top/>
      <bottom style="medium">
        <color rgb="FF000000"/>
      </bottom>
      <diagonal/>
    </border>
    <border>
      <left/>
      <right style="thick">
        <color indexed="64"/>
      </right>
      <top style="medium">
        <color indexed="64"/>
      </top>
      <bottom style="thin">
        <color indexed="64"/>
      </bottom>
      <diagonal/>
    </border>
    <border>
      <left style="thin">
        <color indexed="64"/>
      </left>
      <right style="thick">
        <color indexed="64"/>
      </right>
      <top style="thin">
        <color indexed="64"/>
      </top>
      <bottom style="medium">
        <color indexed="64"/>
      </bottom>
      <diagonal/>
    </border>
    <border>
      <left style="thick">
        <color indexed="64"/>
      </left>
      <right/>
      <top style="medium">
        <color indexed="64"/>
      </top>
      <bottom/>
      <diagonal/>
    </border>
    <border>
      <left style="medium">
        <color indexed="64"/>
      </left>
      <right style="thick">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thick">
        <color indexed="64"/>
      </left>
      <right style="thick">
        <color indexed="64"/>
      </right>
      <top style="medium">
        <color indexed="64"/>
      </top>
      <bottom/>
      <diagonal/>
    </border>
    <border>
      <left/>
      <right style="thick">
        <color indexed="64"/>
      </right>
      <top style="medium">
        <color indexed="64"/>
      </top>
      <bottom/>
      <diagonal/>
    </border>
    <border>
      <left style="medium">
        <color indexed="64"/>
      </left>
      <right style="thick">
        <color indexed="64"/>
      </right>
      <top/>
      <bottom style="thick">
        <color indexed="64"/>
      </bottom>
      <diagonal/>
    </border>
    <border>
      <left style="medium">
        <color indexed="64"/>
      </left>
      <right style="thick">
        <color indexed="64"/>
      </right>
      <top/>
      <bottom/>
      <diagonal/>
    </border>
    <border>
      <left style="medium">
        <color indexed="64"/>
      </left>
      <right style="thick">
        <color indexed="64"/>
      </right>
      <top style="thick">
        <color indexed="64"/>
      </top>
      <bottom/>
      <diagonal/>
    </border>
    <border>
      <left style="thick">
        <color indexed="64"/>
      </left>
      <right/>
      <top/>
      <bottom style="medium">
        <color indexed="64"/>
      </bottom>
      <diagonal/>
    </border>
    <border>
      <left style="thick">
        <color indexed="64"/>
      </left>
      <right/>
      <top style="medium">
        <color indexed="64"/>
      </top>
      <bottom style="medium">
        <color indexed="64"/>
      </bottom>
      <diagonal/>
    </border>
  </borders>
  <cellStyleXfs count="3">
    <xf numFmtId="0" fontId="0" fillId="0" borderId="0"/>
    <xf numFmtId="0" fontId="39" fillId="0" borderId="0"/>
    <xf numFmtId="0" fontId="76" fillId="0" borderId="0" applyNumberFormat="0" applyFill="0" applyBorder="0" applyAlignment="0" applyProtection="0"/>
  </cellStyleXfs>
  <cellXfs count="1858">
    <xf numFmtId="0" fontId="0" fillId="0" borderId="0" xfId="0"/>
    <xf numFmtId="0" fontId="2" fillId="0" borderId="6" xfId="0" applyFont="1" applyBorder="1"/>
    <xf numFmtId="0" fontId="2" fillId="0" borderId="7" xfId="0" applyFont="1" applyBorder="1"/>
    <xf numFmtId="0" fontId="1" fillId="0" borderId="6" xfId="0" applyFont="1" applyBorder="1"/>
    <xf numFmtId="0" fontId="1" fillId="0" borderId="7" xfId="0" applyFont="1" applyBorder="1"/>
    <xf numFmtId="0" fontId="0" fillId="0" borderId="0" xfId="0" applyAlignment="1">
      <alignment wrapText="1"/>
    </xf>
    <xf numFmtId="1" fontId="4" fillId="0" borderId="19" xfId="0" applyNumberFormat="1" applyFont="1" applyBorder="1" applyAlignment="1">
      <alignment horizontal="center" wrapText="1"/>
    </xf>
    <xf numFmtId="1" fontId="4" fillId="0" borderId="15" xfId="0" applyNumberFormat="1" applyFont="1" applyBorder="1" applyAlignment="1">
      <alignment horizontal="center" wrapText="1"/>
    </xf>
    <xf numFmtId="0" fontId="0" fillId="8" borderId="0" xfId="0" applyFill="1"/>
    <xf numFmtId="0" fontId="9" fillId="0" borderId="0" xfId="0" applyFont="1"/>
    <xf numFmtId="0" fontId="0" fillId="0" borderId="0" xfId="0" applyFill="1"/>
    <xf numFmtId="3" fontId="8" fillId="0" borderId="15" xfId="0" applyNumberFormat="1" applyFont="1" applyBorder="1" applyAlignment="1">
      <alignment horizontal="center" vertical="center" wrapText="1"/>
    </xf>
    <xf numFmtId="3" fontId="8" fillId="0" borderId="19" xfId="0" applyNumberFormat="1" applyFont="1" applyBorder="1" applyAlignment="1">
      <alignment horizontal="center" vertical="center" wrapText="1"/>
    </xf>
    <xf numFmtId="3" fontId="8" fillId="0" borderId="6" xfId="0" applyNumberFormat="1" applyFont="1" applyBorder="1" applyAlignment="1">
      <alignment horizontal="center" vertical="center" wrapText="1"/>
    </xf>
    <xf numFmtId="3" fontId="8" fillId="0" borderId="26" xfId="0" applyNumberFormat="1" applyFont="1" applyBorder="1" applyAlignment="1">
      <alignment horizontal="center" vertical="center" wrapText="1"/>
    </xf>
    <xf numFmtId="3" fontId="5" fillId="0" borderId="6" xfId="0" applyNumberFormat="1" applyFont="1" applyBorder="1" applyAlignment="1">
      <alignment horizontal="center" vertical="center" wrapText="1"/>
    </xf>
    <xf numFmtId="3" fontId="5" fillId="0" borderId="15" xfId="0" applyNumberFormat="1" applyFont="1" applyBorder="1" applyAlignment="1">
      <alignment horizontal="center" vertical="center" wrapText="1"/>
    </xf>
    <xf numFmtId="0" fontId="12" fillId="0" borderId="15" xfId="0" applyFont="1" applyBorder="1" applyAlignment="1">
      <alignment horizontal="center" vertical="center" wrapText="1"/>
    </xf>
    <xf numFmtId="3" fontId="13" fillId="0" borderId="6" xfId="0" applyNumberFormat="1" applyFont="1" applyBorder="1" applyAlignment="1">
      <alignment horizontal="center" vertical="center" wrapText="1"/>
    </xf>
    <xf numFmtId="4" fontId="12" fillId="12" borderId="7" xfId="0" applyNumberFormat="1" applyFont="1" applyFill="1" applyBorder="1" applyAlignment="1">
      <alignment horizontal="center" vertical="center" wrapText="1"/>
    </xf>
    <xf numFmtId="0" fontId="14" fillId="0" borderId="34" xfId="0" applyFont="1" applyBorder="1"/>
    <xf numFmtId="0" fontId="14" fillId="0" borderId="19" xfId="0" applyFont="1" applyBorder="1"/>
    <xf numFmtId="1" fontId="15" fillId="0" borderId="19" xfId="0" applyNumberFormat="1" applyFont="1" applyBorder="1" applyAlignment="1">
      <alignment horizontal="center" wrapText="1"/>
    </xf>
    <xf numFmtId="1" fontId="15" fillId="0" borderId="15" xfId="0" applyNumberFormat="1" applyFont="1" applyBorder="1" applyAlignment="1">
      <alignment horizontal="center" wrapText="1"/>
    </xf>
    <xf numFmtId="1" fontId="16" fillId="0" borderId="19" xfId="0" applyNumberFormat="1" applyFont="1" applyBorder="1" applyAlignment="1">
      <alignment horizontal="center" wrapText="1"/>
    </xf>
    <xf numFmtId="1" fontId="16" fillId="0" borderId="15" xfId="0" applyNumberFormat="1" applyFont="1" applyBorder="1" applyAlignment="1">
      <alignment horizontal="center" wrapText="1"/>
    </xf>
    <xf numFmtId="1" fontId="17" fillId="0" borderId="19" xfId="0" applyNumberFormat="1" applyFont="1" applyBorder="1" applyAlignment="1">
      <alignment horizontal="center" wrapText="1"/>
    </xf>
    <xf numFmtId="1" fontId="17" fillId="0" borderId="15" xfId="0" applyNumberFormat="1" applyFont="1" applyBorder="1" applyAlignment="1">
      <alignment horizontal="center" wrapText="1"/>
    </xf>
    <xf numFmtId="1" fontId="18" fillId="0" borderId="19" xfId="0" applyNumberFormat="1" applyFont="1" applyBorder="1" applyAlignment="1">
      <alignment horizontal="center" wrapText="1"/>
    </xf>
    <xf numFmtId="1" fontId="18" fillId="0" borderId="15" xfId="0" applyNumberFormat="1" applyFont="1" applyBorder="1" applyAlignment="1">
      <alignment horizontal="center" wrapText="1"/>
    </xf>
    <xf numFmtId="3" fontId="0" fillId="0" borderId="0" xfId="0" applyNumberFormat="1"/>
    <xf numFmtId="3" fontId="12" fillId="0" borderId="19" xfId="0" applyNumberFormat="1" applyFont="1" applyBorder="1" applyAlignment="1">
      <alignment horizontal="center" vertical="center" wrapText="1"/>
    </xf>
    <xf numFmtId="0" fontId="12" fillId="0" borderId="5" xfId="0" applyFont="1" applyBorder="1" applyAlignment="1">
      <alignment vertical="top" wrapText="1"/>
    </xf>
    <xf numFmtId="0" fontId="12" fillId="0" borderId="15" xfId="0" applyFont="1" applyBorder="1" applyAlignment="1">
      <alignment vertical="top" wrapText="1"/>
    </xf>
    <xf numFmtId="0" fontId="12" fillId="0" borderId="19" xfId="0" applyFont="1" applyBorder="1" applyAlignment="1">
      <alignment vertical="top" wrapText="1"/>
    </xf>
    <xf numFmtId="0" fontId="12" fillId="0" borderId="27" xfId="0" applyFont="1" applyBorder="1" applyAlignment="1">
      <alignment vertical="top" wrapText="1"/>
    </xf>
    <xf numFmtId="0" fontId="13" fillId="0" borderId="6" xfId="0" applyFont="1" applyBorder="1" applyAlignment="1">
      <alignment horizontal="center" vertical="center" wrapText="1"/>
    </xf>
    <xf numFmtId="0" fontId="12" fillId="0" borderId="19" xfId="0" applyFont="1" applyBorder="1" applyAlignment="1">
      <alignment horizontal="center" vertical="center" wrapText="1"/>
    </xf>
    <xf numFmtId="3" fontId="12" fillId="0" borderId="15" xfId="0" applyNumberFormat="1" applyFont="1" applyBorder="1" applyAlignment="1">
      <alignment horizontal="center" vertical="center" wrapText="1"/>
    </xf>
    <xf numFmtId="0" fontId="12" fillId="0" borderId="6" xfId="0" applyFont="1" applyBorder="1" applyAlignment="1">
      <alignment vertical="top" wrapText="1"/>
    </xf>
    <xf numFmtId="0" fontId="12" fillId="0" borderId="6" xfId="0" applyFont="1" applyBorder="1" applyAlignment="1">
      <alignment horizontal="center" vertical="center" wrapText="1"/>
    </xf>
    <xf numFmtId="0" fontId="13" fillId="0" borderId="6" xfId="0" applyFont="1" applyBorder="1" applyAlignment="1">
      <alignment vertical="top" wrapText="1"/>
    </xf>
    <xf numFmtId="3" fontId="12" fillId="0" borderId="6" xfId="0" applyNumberFormat="1" applyFont="1" applyBorder="1" applyAlignment="1">
      <alignment horizontal="center" vertical="center" wrapText="1"/>
    </xf>
    <xf numFmtId="0" fontId="12" fillId="0" borderId="19" xfId="0" applyFont="1" applyFill="1" applyBorder="1" applyAlignment="1">
      <alignment vertical="top" wrapText="1"/>
    </xf>
    <xf numFmtId="0" fontId="13" fillId="0" borderId="5" xfId="0" applyFont="1" applyBorder="1" applyAlignment="1">
      <alignment vertical="top" wrapText="1"/>
    </xf>
    <xf numFmtId="3" fontId="12" fillId="0" borderId="15" xfId="0" applyNumberFormat="1" applyFont="1" applyFill="1" applyBorder="1" applyAlignment="1">
      <alignment horizontal="center" vertical="center" wrapText="1"/>
    </xf>
    <xf numFmtId="0" fontId="13" fillId="0" borderId="19" xfId="0" applyFont="1" applyBorder="1" applyAlignment="1">
      <alignment vertical="top" wrapText="1"/>
    </xf>
    <xf numFmtId="0" fontId="13" fillId="0" borderId="19" xfId="0" applyFont="1" applyFill="1" applyBorder="1" applyAlignment="1">
      <alignment vertical="top" wrapText="1"/>
    </xf>
    <xf numFmtId="3" fontId="4" fillId="0" borderId="7" xfId="0" applyNumberFormat="1" applyFont="1" applyBorder="1" applyAlignment="1">
      <alignment horizontal="center"/>
    </xf>
    <xf numFmtId="3" fontId="6" fillId="2" borderId="7" xfId="0" applyNumberFormat="1" applyFont="1" applyFill="1" applyBorder="1" applyAlignment="1">
      <alignment horizontal="center"/>
    </xf>
    <xf numFmtId="3" fontId="7" fillId="3" borderId="7" xfId="0" applyNumberFormat="1" applyFont="1" applyFill="1" applyBorder="1" applyAlignment="1">
      <alignment horizontal="center"/>
    </xf>
    <xf numFmtId="3" fontId="4" fillId="0" borderId="6" xfId="0" applyNumberFormat="1" applyFont="1" applyBorder="1" applyAlignment="1">
      <alignment horizontal="center" wrapText="1"/>
    </xf>
    <xf numFmtId="3" fontId="4" fillId="0" borderId="6" xfId="0" applyNumberFormat="1" applyFont="1" applyBorder="1" applyAlignment="1">
      <alignment horizontal="center"/>
    </xf>
    <xf numFmtId="3" fontId="7" fillId="2" borderId="7" xfId="0" applyNumberFormat="1" applyFont="1" applyFill="1" applyBorder="1" applyAlignment="1">
      <alignment horizontal="center"/>
    </xf>
    <xf numFmtId="3" fontId="3" fillId="0" borderId="10" xfId="0" applyNumberFormat="1" applyFont="1" applyBorder="1" applyAlignment="1">
      <alignment horizontal="center"/>
    </xf>
    <xf numFmtId="0" fontId="0" fillId="6" borderId="0" xfId="0" applyFill="1"/>
    <xf numFmtId="0" fontId="23" fillId="0" borderId="34" xfId="0" applyFont="1" applyBorder="1"/>
    <xf numFmtId="1" fontId="22" fillId="0" borderId="15" xfId="0" applyNumberFormat="1" applyFont="1" applyBorder="1" applyAlignment="1">
      <alignment horizontal="center" wrapText="1"/>
    </xf>
    <xf numFmtId="0" fontId="23" fillId="0" borderId="0" xfId="0" applyFont="1"/>
    <xf numFmtId="0" fontId="24" fillId="0" borderId="0" xfId="0" applyFont="1"/>
    <xf numFmtId="0" fontId="19" fillId="0" borderId="5" xfId="0" applyFont="1" applyBorder="1" applyAlignment="1">
      <alignment horizontal="center" vertical="top" wrapText="1"/>
    </xf>
    <xf numFmtId="0" fontId="19" fillId="0" borderId="6" xfId="0" applyFont="1" applyBorder="1" applyAlignment="1">
      <alignment horizontal="center" vertical="top" wrapText="1"/>
    </xf>
    <xf numFmtId="0" fontId="25" fillId="0" borderId="6" xfId="0" applyFont="1" applyBorder="1" applyAlignment="1">
      <alignment horizontal="center" vertical="top" wrapText="1"/>
    </xf>
    <xf numFmtId="0" fontId="19" fillId="0" borderId="7" xfId="0" applyFont="1" applyBorder="1" applyAlignment="1">
      <alignment horizontal="center" vertical="top" wrapText="1"/>
    </xf>
    <xf numFmtId="0" fontId="26" fillId="0" borderId="5" xfId="0" applyFont="1" applyBorder="1" applyAlignment="1">
      <alignment vertical="top" wrapText="1"/>
    </xf>
    <xf numFmtId="0" fontId="26" fillId="0" borderId="6" xfId="0" applyFont="1" applyBorder="1" applyAlignment="1">
      <alignment vertical="top" wrapText="1"/>
    </xf>
    <xf numFmtId="0" fontId="26" fillId="0" borderId="6" xfId="0" applyFont="1" applyBorder="1" applyAlignment="1">
      <alignment horizontal="center" vertical="center" wrapText="1"/>
    </xf>
    <xf numFmtId="4" fontId="12" fillId="0" borderId="7" xfId="0" applyNumberFormat="1" applyFont="1" applyBorder="1" applyAlignment="1">
      <alignment horizontal="center" vertical="center" wrapText="1"/>
    </xf>
    <xf numFmtId="4" fontId="12" fillId="7" borderId="7" xfId="0" applyNumberFormat="1" applyFont="1" applyFill="1" applyBorder="1" applyAlignment="1">
      <alignment horizontal="center" vertical="center" wrapText="1"/>
    </xf>
    <xf numFmtId="4" fontId="12" fillId="6" borderId="7" xfId="0" applyNumberFormat="1" applyFont="1" applyFill="1" applyBorder="1" applyAlignment="1">
      <alignment horizontal="center" vertical="center" wrapText="1"/>
    </xf>
    <xf numFmtId="4" fontId="12" fillId="5" borderId="7" xfId="0" applyNumberFormat="1" applyFont="1" applyFill="1" applyBorder="1" applyAlignment="1">
      <alignment horizontal="center" vertical="center" wrapText="1"/>
    </xf>
    <xf numFmtId="4" fontId="12" fillId="10" borderId="7" xfId="0" applyNumberFormat="1" applyFont="1" applyFill="1" applyBorder="1" applyAlignment="1">
      <alignment horizontal="center" vertical="center" wrapText="1"/>
    </xf>
    <xf numFmtId="4" fontId="12" fillId="0" borderId="18" xfId="0" applyNumberFormat="1" applyFont="1" applyBorder="1" applyAlignment="1">
      <alignment horizontal="center" vertical="center" wrapText="1"/>
    </xf>
    <xf numFmtId="4" fontId="12" fillId="0" borderId="15" xfId="0" applyNumberFormat="1" applyFont="1" applyBorder="1" applyAlignment="1">
      <alignment horizontal="center" vertical="center" wrapText="1"/>
    </xf>
    <xf numFmtId="4" fontId="12" fillId="0" borderId="23" xfId="0" applyNumberFormat="1" applyFont="1" applyBorder="1" applyAlignment="1">
      <alignment horizontal="center" vertical="center" wrapText="1"/>
    </xf>
    <xf numFmtId="3" fontId="26" fillId="0" borderId="6" xfId="0" applyNumberFormat="1" applyFont="1" applyBorder="1" applyAlignment="1">
      <alignment horizontal="center" vertical="center" wrapText="1"/>
    </xf>
    <xf numFmtId="4" fontId="12" fillId="0" borderId="29" xfId="0" applyNumberFormat="1" applyFont="1" applyBorder="1" applyAlignment="1">
      <alignment horizontal="center" vertical="center" wrapText="1"/>
    </xf>
    <xf numFmtId="4" fontId="12" fillId="4" borderId="7" xfId="0" applyNumberFormat="1" applyFont="1" applyFill="1" applyBorder="1" applyAlignment="1">
      <alignment horizontal="center" vertical="center" wrapText="1"/>
    </xf>
    <xf numFmtId="4" fontId="12" fillId="9" borderId="7" xfId="0" applyNumberFormat="1" applyFont="1" applyFill="1" applyBorder="1" applyAlignment="1">
      <alignment horizontal="center" vertical="center" wrapText="1"/>
    </xf>
    <xf numFmtId="0" fontId="26" fillId="0" borderId="22" xfId="0" applyFont="1" applyBorder="1" applyAlignment="1">
      <alignment vertical="top" wrapText="1"/>
    </xf>
    <xf numFmtId="0" fontId="26" fillId="0" borderId="9" xfId="0" applyFont="1" applyBorder="1" applyAlignment="1">
      <alignment vertical="top" wrapText="1"/>
    </xf>
    <xf numFmtId="0" fontId="26" fillId="0" borderId="9" xfId="0" applyFont="1" applyBorder="1" applyAlignment="1">
      <alignment horizontal="center" vertical="center" wrapText="1"/>
    </xf>
    <xf numFmtId="3" fontId="26" fillId="0" borderId="9" xfId="0" applyNumberFormat="1" applyFont="1" applyBorder="1" applyAlignment="1">
      <alignment horizontal="center" vertical="center" wrapText="1"/>
    </xf>
    <xf numFmtId="3" fontId="19" fillId="0" borderId="7" xfId="0" applyNumberFormat="1" applyFont="1" applyBorder="1" applyAlignment="1">
      <alignment horizontal="center" vertical="center" wrapText="1"/>
    </xf>
    <xf numFmtId="4" fontId="19" fillId="0" borderId="7" xfId="0" applyNumberFormat="1" applyFont="1" applyBorder="1" applyAlignment="1">
      <alignment horizontal="center" vertical="center" wrapText="1"/>
    </xf>
    <xf numFmtId="0" fontId="20" fillId="0" borderId="0" xfId="0" applyFont="1"/>
    <xf numFmtId="0" fontId="13" fillId="0" borderId="7" xfId="0" applyFont="1" applyBorder="1" applyAlignment="1">
      <alignment vertical="top" wrapText="1"/>
    </xf>
    <xf numFmtId="4" fontId="12" fillId="0" borderId="19" xfId="0" applyNumberFormat="1" applyFont="1" applyBorder="1" applyAlignment="1">
      <alignment horizontal="center" vertical="center" wrapText="1"/>
    </xf>
    <xf numFmtId="4" fontId="12" fillId="0" borderId="7" xfId="0" applyNumberFormat="1" applyFont="1" applyFill="1" applyBorder="1" applyAlignment="1">
      <alignment horizontal="center" vertical="center" wrapText="1"/>
    </xf>
    <xf numFmtId="0" fontId="20" fillId="0" borderId="0" xfId="0" applyFont="1" applyFill="1"/>
    <xf numFmtId="0" fontId="12" fillId="0" borderId="7" xfId="0" applyFont="1" applyBorder="1" applyAlignment="1">
      <alignment vertical="top" wrapText="1"/>
    </xf>
    <xf numFmtId="0" fontId="12" fillId="0" borderId="5" xfId="0" applyFont="1" applyFill="1" applyBorder="1" applyAlignment="1">
      <alignment vertical="top" wrapText="1"/>
    </xf>
    <xf numFmtId="0" fontId="13" fillId="0" borderId="22" xfId="0" applyFont="1" applyBorder="1" applyAlignment="1">
      <alignment vertical="top" wrapText="1"/>
    </xf>
    <xf numFmtId="0" fontId="13" fillId="0" borderId="9" xfId="0" applyFont="1" applyBorder="1" applyAlignment="1">
      <alignment vertical="top" wrapText="1"/>
    </xf>
    <xf numFmtId="0" fontId="13" fillId="0" borderId="9" xfId="0" applyFont="1" applyBorder="1" applyAlignment="1">
      <alignment horizontal="center" vertical="center" wrapText="1"/>
    </xf>
    <xf numFmtId="0" fontId="12" fillId="0" borderId="10" xfId="0" applyFont="1" applyBorder="1" applyAlignment="1">
      <alignment vertical="top" wrapText="1"/>
    </xf>
    <xf numFmtId="4" fontId="20" fillId="0" borderId="0" xfId="0" applyNumberFormat="1" applyFont="1"/>
    <xf numFmtId="4" fontId="19" fillId="0" borderId="23" xfId="0" applyNumberFormat="1" applyFont="1" applyBorder="1" applyAlignment="1">
      <alignment horizontal="center" vertical="center" wrapText="1"/>
    </xf>
    <xf numFmtId="4" fontId="19" fillId="0" borderId="19" xfId="0" applyNumberFormat="1" applyFont="1" applyBorder="1" applyAlignment="1">
      <alignment horizontal="center" vertical="center" wrapText="1"/>
    </xf>
    <xf numFmtId="0" fontId="20" fillId="0" borderId="15" xfId="0" applyFont="1" applyBorder="1" applyAlignment="1">
      <alignment vertical="top" wrapText="1"/>
    </xf>
    <xf numFmtId="3" fontId="13" fillId="0" borderId="9" xfId="0" applyNumberFormat="1" applyFont="1" applyBorder="1" applyAlignment="1">
      <alignment horizontal="center" vertical="center" wrapText="1"/>
    </xf>
    <xf numFmtId="3" fontId="23" fillId="0" borderId="0" xfId="0" applyNumberFormat="1" applyFont="1"/>
    <xf numFmtId="3" fontId="5" fillId="0" borderId="9" xfId="0" applyNumberFormat="1" applyFont="1" applyBorder="1" applyAlignment="1">
      <alignment horizontal="center"/>
    </xf>
    <xf numFmtId="3" fontId="20" fillId="0" borderId="0" xfId="0" applyNumberFormat="1" applyFont="1"/>
    <xf numFmtId="3" fontId="32" fillId="10" borderId="6" xfId="0" applyNumberFormat="1" applyFont="1" applyFill="1" applyBorder="1" applyAlignment="1">
      <alignment horizontal="center" vertical="center" wrapText="1"/>
    </xf>
    <xf numFmtId="3" fontId="33" fillId="5" borderId="6" xfId="0" applyNumberFormat="1" applyFont="1" applyFill="1" applyBorder="1" applyAlignment="1">
      <alignment horizontal="center" vertical="center"/>
    </xf>
    <xf numFmtId="1" fontId="15" fillId="10" borderId="19" xfId="0" applyNumberFormat="1" applyFont="1" applyFill="1" applyBorder="1" applyAlignment="1">
      <alignment horizontal="center" wrapText="1"/>
    </xf>
    <xf numFmtId="1" fontId="15" fillId="10" borderId="15" xfId="0" applyNumberFormat="1" applyFont="1" applyFill="1" applyBorder="1" applyAlignment="1">
      <alignment horizontal="center" wrapText="1"/>
    </xf>
    <xf numFmtId="1" fontId="17" fillId="10" borderId="19" xfId="0" applyNumberFormat="1" applyFont="1" applyFill="1" applyBorder="1" applyAlignment="1">
      <alignment horizontal="center" wrapText="1"/>
    </xf>
    <xf numFmtId="1" fontId="17" fillId="10" borderId="15" xfId="0" applyNumberFormat="1" applyFont="1" applyFill="1" applyBorder="1" applyAlignment="1">
      <alignment horizontal="center" wrapText="1"/>
    </xf>
    <xf numFmtId="3" fontId="4" fillId="5" borderId="6" xfId="0" applyNumberFormat="1" applyFont="1" applyFill="1" applyBorder="1" applyAlignment="1">
      <alignment horizontal="center" vertical="center"/>
    </xf>
    <xf numFmtId="3" fontId="4" fillId="0" borderId="6" xfId="0" applyNumberFormat="1" applyFont="1" applyBorder="1" applyAlignment="1">
      <alignment horizontal="center" vertical="center" wrapText="1"/>
    </xf>
    <xf numFmtId="3" fontId="4" fillId="0" borderId="6" xfId="0" applyNumberFormat="1" applyFont="1" applyFill="1" applyBorder="1" applyAlignment="1">
      <alignment horizontal="center" vertical="center"/>
    </xf>
    <xf numFmtId="3" fontId="4" fillId="5" borderId="6" xfId="0" applyNumberFormat="1" applyFont="1" applyFill="1" applyBorder="1" applyAlignment="1">
      <alignment horizontal="center"/>
    </xf>
    <xf numFmtId="3" fontId="22" fillId="0" borderId="6" xfId="0" applyNumberFormat="1" applyFont="1" applyBorder="1" applyAlignment="1">
      <alignment horizontal="center" wrapText="1"/>
    </xf>
    <xf numFmtId="3" fontId="8" fillId="0" borderId="15" xfId="0" applyNumberFormat="1" applyFont="1" applyFill="1" applyBorder="1" applyAlignment="1">
      <alignment horizontal="center" vertical="center" wrapText="1"/>
    </xf>
    <xf numFmtId="3" fontId="36" fillId="0" borderId="27" xfId="0" applyNumberFormat="1" applyFont="1" applyBorder="1" applyAlignment="1">
      <alignment horizontal="center" vertical="center" wrapText="1"/>
    </xf>
    <xf numFmtId="0" fontId="34" fillId="0" borderId="6" xfId="0" applyFont="1" applyBorder="1" applyAlignment="1">
      <alignment horizontal="center" vertical="center" wrapText="1"/>
    </xf>
    <xf numFmtId="0" fontId="34" fillId="0" borderId="27" xfId="0" applyFont="1" applyBorder="1" applyAlignment="1">
      <alignment horizontal="center" vertical="center" wrapText="1"/>
    </xf>
    <xf numFmtId="3" fontId="4" fillId="0" borderId="6" xfId="0" applyNumberFormat="1" applyFont="1" applyFill="1" applyBorder="1" applyAlignment="1">
      <alignment horizontal="center" vertical="center" wrapText="1"/>
    </xf>
    <xf numFmtId="3" fontId="22" fillId="0" borderId="6" xfId="0" applyNumberFormat="1" applyFont="1" applyFill="1" applyBorder="1" applyAlignment="1">
      <alignment horizontal="center" vertical="center" wrapText="1"/>
    </xf>
    <xf numFmtId="0" fontId="36" fillId="0" borderId="19" xfId="0" applyFont="1" applyBorder="1" applyAlignment="1">
      <alignment horizontal="center" vertical="center" wrapText="1"/>
    </xf>
    <xf numFmtId="0" fontId="31" fillId="0" borderId="27" xfId="0" applyFont="1" applyBorder="1" applyAlignment="1">
      <alignment vertical="center" wrapText="1"/>
    </xf>
    <xf numFmtId="3" fontId="36" fillId="5" borderId="27" xfId="0" applyNumberFormat="1" applyFont="1" applyFill="1" applyBorder="1" applyAlignment="1">
      <alignment horizontal="center" vertical="center" wrapText="1"/>
    </xf>
    <xf numFmtId="3" fontId="37" fillId="0" borderId="6" xfId="0" applyNumberFormat="1" applyFont="1" applyBorder="1" applyAlignment="1">
      <alignment horizontal="center" vertical="center" wrapText="1"/>
    </xf>
    <xf numFmtId="0" fontId="29" fillId="0" borderId="6" xfId="0" applyFont="1" applyBorder="1" applyAlignment="1">
      <alignment horizontal="center" vertical="center" wrapText="1"/>
    </xf>
    <xf numFmtId="3" fontId="36" fillId="12" borderId="27" xfId="0" applyNumberFormat="1" applyFont="1" applyFill="1" applyBorder="1" applyAlignment="1">
      <alignment horizontal="center" vertical="center" wrapText="1"/>
    </xf>
    <xf numFmtId="2" fontId="0" fillId="0" borderId="0" xfId="0" applyNumberFormat="1"/>
    <xf numFmtId="3" fontId="36" fillId="5" borderId="19" xfId="0" applyNumberFormat="1" applyFont="1" applyFill="1" applyBorder="1" applyAlignment="1">
      <alignment horizontal="center" vertical="center" wrapText="1"/>
    </xf>
    <xf numFmtId="3" fontId="4" fillId="5" borderId="6" xfId="0" applyNumberFormat="1" applyFont="1" applyFill="1" applyBorder="1" applyAlignment="1">
      <alignment horizontal="center" vertical="center" wrapText="1"/>
    </xf>
    <xf numFmtId="1" fontId="15" fillId="10" borderId="0" xfId="0" applyNumberFormat="1" applyFont="1" applyFill="1" applyBorder="1" applyAlignment="1">
      <alignment horizontal="center" wrapText="1"/>
    </xf>
    <xf numFmtId="1" fontId="0" fillId="0" borderId="0" xfId="0" applyNumberFormat="1"/>
    <xf numFmtId="0" fontId="2" fillId="0" borderId="23" xfId="0" applyFont="1" applyBorder="1"/>
    <xf numFmtId="1" fontId="10" fillId="10" borderId="19" xfId="0" applyNumberFormat="1" applyFont="1" applyFill="1" applyBorder="1" applyAlignment="1">
      <alignment horizontal="center" wrapText="1"/>
    </xf>
    <xf numFmtId="1" fontId="10" fillId="10" borderId="15" xfId="0" applyNumberFormat="1" applyFont="1" applyFill="1" applyBorder="1" applyAlignment="1">
      <alignment horizontal="center" wrapText="1"/>
    </xf>
    <xf numFmtId="3" fontId="10" fillId="0" borderId="6" xfId="0" applyNumberFormat="1" applyFont="1" applyBorder="1" applyAlignment="1">
      <alignment horizontal="center" wrapText="1"/>
    </xf>
    <xf numFmtId="3" fontId="22" fillId="0" borderId="6" xfId="0" applyNumberFormat="1" applyFont="1" applyFill="1" applyBorder="1" applyAlignment="1">
      <alignment horizontal="center" wrapText="1"/>
    </xf>
    <xf numFmtId="3" fontId="22" fillId="0" borderId="6" xfId="0" applyNumberFormat="1" applyFont="1" applyBorder="1" applyAlignment="1">
      <alignment horizontal="center"/>
    </xf>
    <xf numFmtId="1" fontId="17" fillId="0" borderId="19" xfId="0" applyNumberFormat="1" applyFont="1" applyFill="1" applyBorder="1" applyAlignment="1">
      <alignment horizontal="center" wrapText="1"/>
    </xf>
    <xf numFmtId="1" fontId="17" fillId="0" borderId="15" xfId="0" applyNumberFormat="1" applyFont="1" applyFill="1" applyBorder="1" applyAlignment="1">
      <alignment horizontal="center" wrapText="1"/>
    </xf>
    <xf numFmtId="3" fontId="22" fillId="0" borderId="6" xfId="0" applyNumberFormat="1" applyFont="1" applyBorder="1" applyAlignment="1">
      <alignment horizontal="center" vertical="center" wrapText="1"/>
    </xf>
    <xf numFmtId="0" fontId="30" fillId="0" borderId="19" xfId="0" applyFont="1" applyBorder="1" applyAlignment="1">
      <alignment vertical="top" wrapText="1"/>
    </xf>
    <xf numFmtId="0" fontId="30" fillId="0" borderId="15" xfId="0" applyFont="1" applyBorder="1" applyAlignment="1">
      <alignment vertical="top" wrapText="1"/>
    </xf>
    <xf numFmtId="0" fontId="30" fillId="0" borderId="19" xfId="0" applyFont="1" applyBorder="1" applyAlignment="1">
      <alignment horizontal="center" vertical="center" wrapText="1"/>
    </xf>
    <xf numFmtId="3" fontId="30" fillId="0" borderId="19" xfId="0" applyNumberFormat="1" applyFont="1" applyBorder="1" applyAlignment="1">
      <alignment horizontal="center" vertical="center" wrapText="1"/>
    </xf>
    <xf numFmtId="3" fontId="7" fillId="5" borderId="6" xfId="0" applyNumberFormat="1" applyFont="1" applyFill="1" applyBorder="1" applyAlignment="1">
      <alignment horizontal="center" vertical="center"/>
    </xf>
    <xf numFmtId="3" fontId="2" fillId="2" borderId="7" xfId="0" applyNumberFormat="1" applyFont="1" applyFill="1" applyBorder="1" applyAlignment="1">
      <alignment horizontal="center" vertical="center"/>
    </xf>
    <xf numFmtId="0" fontId="12" fillId="0" borderId="19" xfId="0" applyFont="1" applyBorder="1" applyAlignment="1">
      <alignment horizontal="left" vertical="center" wrapText="1"/>
    </xf>
    <xf numFmtId="3" fontId="40" fillId="5" borderId="6" xfId="0" applyNumberFormat="1" applyFont="1" applyFill="1" applyBorder="1" applyAlignment="1">
      <alignment horizontal="center" vertical="center" wrapText="1"/>
    </xf>
    <xf numFmtId="0" fontId="28" fillId="0" borderId="49" xfId="0" applyFont="1" applyBorder="1" applyAlignment="1">
      <alignment horizontal="center" vertical="center" wrapText="1"/>
    </xf>
    <xf numFmtId="0" fontId="28" fillId="0" borderId="41" xfId="0" applyFont="1" applyBorder="1" applyAlignment="1">
      <alignment horizontal="center" vertical="center" wrapText="1"/>
    </xf>
    <xf numFmtId="3" fontId="38" fillId="0" borderId="6" xfId="0" applyNumberFormat="1" applyFont="1" applyFill="1" applyBorder="1" applyAlignment="1">
      <alignment horizontal="center" vertical="center" wrapText="1"/>
    </xf>
    <xf numFmtId="0" fontId="42" fillId="0" borderId="0" xfId="0" applyFont="1" applyFill="1" applyAlignment="1">
      <alignment horizontal="center" vertical="center"/>
    </xf>
    <xf numFmtId="3" fontId="42" fillId="0" borderId="0" xfId="0" applyNumberFormat="1" applyFont="1" applyFill="1" applyAlignment="1">
      <alignment horizontal="center" vertical="center"/>
    </xf>
    <xf numFmtId="164" fontId="42" fillId="0" borderId="0" xfId="0" applyNumberFormat="1" applyFont="1" applyFill="1" applyAlignment="1">
      <alignment horizontal="center" vertical="center"/>
    </xf>
    <xf numFmtId="0" fontId="36" fillId="0" borderId="0" xfId="0" applyFont="1"/>
    <xf numFmtId="0" fontId="44" fillId="0" borderId="10" xfId="0" applyFont="1" applyBorder="1" applyAlignment="1">
      <alignment horizontal="center" vertical="center" wrapText="1"/>
    </xf>
    <xf numFmtId="0" fontId="35" fillId="0" borderId="0" xfId="0" applyFont="1"/>
    <xf numFmtId="0" fontId="42" fillId="0" borderId="10" xfId="0" applyFont="1" applyFill="1" applyBorder="1" applyAlignment="1">
      <alignment horizontal="center" vertical="center" wrapText="1"/>
    </xf>
    <xf numFmtId="0" fontId="44" fillId="0" borderId="41" xfId="0" applyFont="1" applyFill="1" applyBorder="1" applyAlignment="1">
      <alignment horizontal="center" vertical="center" wrapText="1"/>
    </xf>
    <xf numFmtId="0" fontId="44" fillId="0" borderId="10" xfId="0" applyFont="1" applyFill="1" applyBorder="1" applyAlignment="1">
      <alignment horizontal="center" vertical="center" wrapText="1"/>
    </xf>
    <xf numFmtId="3" fontId="44" fillId="0" borderId="10" xfId="0" applyNumberFormat="1" applyFont="1" applyFill="1" applyBorder="1" applyAlignment="1">
      <alignment horizontal="center" vertical="center" wrapText="1"/>
    </xf>
    <xf numFmtId="0" fontId="44" fillId="0" borderId="10" xfId="0" applyFont="1" applyFill="1" applyBorder="1" applyAlignment="1">
      <alignment horizontal="left" vertical="center" wrapText="1"/>
    </xf>
    <xf numFmtId="0" fontId="44" fillId="0" borderId="10" xfId="0" applyFont="1" applyFill="1" applyBorder="1" applyAlignment="1">
      <alignment horizontal="justify" vertical="center" wrapText="1"/>
    </xf>
    <xf numFmtId="3" fontId="6" fillId="3" borderId="7" xfId="0" applyNumberFormat="1" applyFont="1" applyFill="1" applyBorder="1" applyAlignment="1">
      <alignment horizontal="center" vertical="center"/>
    </xf>
    <xf numFmtId="3" fontId="22" fillId="8" borderId="6" xfId="0" applyNumberFormat="1" applyFont="1" applyFill="1" applyBorder="1" applyAlignment="1">
      <alignment horizontal="center" wrapText="1"/>
    </xf>
    <xf numFmtId="3" fontId="22" fillId="8" borderId="7" xfId="0" applyNumberFormat="1" applyFont="1" applyFill="1" applyBorder="1" applyAlignment="1">
      <alignment horizontal="center"/>
    </xf>
    <xf numFmtId="3" fontId="22" fillId="0" borderId="7" xfId="0" applyNumberFormat="1" applyFont="1" applyFill="1" applyBorder="1" applyAlignment="1">
      <alignment horizontal="center"/>
    </xf>
    <xf numFmtId="3" fontId="22" fillId="0" borderId="7" xfId="0" applyNumberFormat="1" applyFont="1" applyBorder="1" applyAlignment="1">
      <alignment horizontal="center"/>
    </xf>
    <xf numFmtId="3" fontId="6" fillId="2" borderId="7" xfId="0" applyNumberFormat="1" applyFont="1" applyFill="1" applyBorder="1" applyAlignment="1">
      <alignment horizontal="center" vertical="center"/>
    </xf>
    <xf numFmtId="3" fontId="7" fillId="3" borderId="7" xfId="0" applyNumberFormat="1" applyFont="1" applyFill="1" applyBorder="1" applyAlignment="1">
      <alignment horizontal="center" vertical="center"/>
    </xf>
    <xf numFmtId="3" fontId="4" fillId="5" borderId="6" xfId="0" applyNumberFormat="1" applyFont="1" applyFill="1" applyBorder="1" applyAlignment="1">
      <alignment horizontal="center" wrapText="1"/>
    </xf>
    <xf numFmtId="3" fontId="25" fillId="3" borderId="7" xfId="0" applyNumberFormat="1" applyFont="1" applyFill="1" applyBorder="1" applyAlignment="1">
      <alignment horizontal="center"/>
    </xf>
    <xf numFmtId="3" fontId="10" fillId="0" borderId="6" xfId="0" applyNumberFormat="1" applyFont="1" applyBorder="1" applyAlignment="1">
      <alignment horizontal="center"/>
    </xf>
    <xf numFmtId="3" fontId="10" fillId="0" borderId="7" xfId="0" applyNumberFormat="1" applyFont="1" applyBorder="1" applyAlignment="1">
      <alignment horizontal="center"/>
    </xf>
    <xf numFmtId="0" fontId="13" fillId="0" borderId="15" xfId="0" applyFont="1" applyFill="1" applyBorder="1" applyAlignment="1">
      <alignment vertical="top" wrapText="1"/>
    </xf>
    <xf numFmtId="0" fontId="23" fillId="0" borderId="0" xfId="0" applyFont="1" applyAlignment="1">
      <alignment wrapText="1"/>
    </xf>
    <xf numFmtId="0" fontId="21" fillId="0" borderId="2" xfId="0" applyFont="1" applyBorder="1" applyAlignment="1">
      <alignment wrapText="1"/>
    </xf>
    <xf numFmtId="0" fontId="27" fillId="0" borderId="6" xfId="0" applyFont="1" applyBorder="1" applyAlignment="1">
      <alignment wrapText="1"/>
    </xf>
    <xf numFmtId="0" fontId="21" fillId="0" borderId="6" xfId="0" applyFont="1" applyBorder="1" applyAlignment="1">
      <alignment wrapText="1"/>
    </xf>
    <xf numFmtId="0" fontId="27" fillId="2" borderId="6" xfId="0" applyFont="1" applyFill="1" applyBorder="1" applyAlignment="1">
      <alignment wrapText="1"/>
    </xf>
    <xf numFmtId="0" fontId="27" fillId="3" borderId="6" xfId="0" applyFont="1" applyFill="1" applyBorder="1" applyAlignment="1">
      <alignment wrapText="1"/>
    </xf>
    <xf numFmtId="0" fontId="13" fillId="5" borderId="6" xfId="0" applyFont="1" applyFill="1" applyBorder="1" applyAlignment="1">
      <alignment wrapText="1"/>
    </xf>
    <xf numFmtId="0" fontId="28" fillId="0" borderId="49" xfId="0" applyFont="1" applyBorder="1" applyAlignment="1">
      <alignment horizontal="left" vertical="center" wrapText="1"/>
    </xf>
    <xf numFmtId="0" fontId="28" fillId="0" borderId="41" xfId="0" applyFont="1" applyBorder="1" applyAlignment="1">
      <alignment horizontal="left" vertical="center" wrapText="1"/>
    </xf>
    <xf numFmtId="0" fontId="12" fillId="0" borderId="39" xfId="0" applyFont="1" applyBorder="1" applyAlignment="1">
      <alignment horizontal="center" vertical="top" wrapText="1"/>
    </xf>
    <xf numFmtId="0" fontId="12" fillId="0" borderId="40" xfId="0" applyFont="1" applyBorder="1" applyAlignment="1">
      <alignment horizontal="center" vertical="top" wrapText="1"/>
    </xf>
    <xf numFmtId="0" fontId="29" fillId="0" borderId="19" xfId="0" applyFont="1" applyFill="1" applyBorder="1" applyAlignment="1">
      <alignment wrapText="1"/>
    </xf>
    <xf numFmtId="0" fontId="21" fillId="0" borderId="9" xfId="0" applyFont="1" applyBorder="1" applyAlignment="1">
      <alignment wrapText="1"/>
    </xf>
    <xf numFmtId="0" fontId="12" fillId="0" borderId="19" xfId="0" applyFont="1" applyFill="1" applyBorder="1" applyAlignment="1">
      <alignment horizontal="left" vertical="center" wrapText="1"/>
    </xf>
    <xf numFmtId="0" fontId="23" fillId="0" borderId="0" xfId="0" applyFont="1" applyFill="1"/>
    <xf numFmtId="0" fontId="21" fillId="0" borderId="1" xfId="0" applyFont="1" applyFill="1" applyBorder="1" applyAlignment="1">
      <alignment wrapText="1"/>
    </xf>
    <xf numFmtId="0" fontId="27" fillId="0" borderId="5" xfId="0" applyFont="1" applyFill="1" applyBorder="1"/>
    <xf numFmtId="0" fontId="21" fillId="0" borderId="5" xfId="0" applyFont="1" applyFill="1" applyBorder="1"/>
    <xf numFmtId="0" fontId="27" fillId="0" borderId="5" xfId="0" applyFont="1" applyFill="1" applyBorder="1" applyAlignment="1">
      <alignment horizontal="center"/>
    </xf>
    <xf numFmtId="0" fontId="21" fillId="0" borderId="8" xfId="0" applyFont="1" applyFill="1" applyBorder="1"/>
    <xf numFmtId="3" fontId="45" fillId="6" borderId="6" xfId="0" applyNumberFormat="1" applyFont="1" applyFill="1" applyBorder="1" applyAlignment="1">
      <alignment horizontal="center" vertical="center" wrapText="1"/>
    </xf>
    <xf numFmtId="0" fontId="44" fillId="6" borderId="6" xfId="0" applyFont="1" applyFill="1" applyBorder="1" applyAlignment="1">
      <alignment horizontal="center" vertical="center" wrapText="1"/>
    </xf>
    <xf numFmtId="0" fontId="44" fillId="0" borderId="0" xfId="0" applyFont="1" applyFill="1"/>
    <xf numFmtId="0" fontId="51" fillId="0" borderId="15" xfId="0" applyFont="1" applyFill="1" applyBorder="1" applyAlignment="1">
      <alignment horizontal="center" vertical="center" wrapText="1"/>
    </xf>
    <xf numFmtId="0" fontId="44" fillId="0" borderId="27" xfId="0" applyFont="1" applyFill="1" applyBorder="1" applyAlignment="1">
      <alignment vertical="top" wrapText="1"/>
    </xf>
    <xf numFmtId="0" fontId="44" fillId="0" borderId="6" xfId="0" applyFont="1" applyFill="1" applyBorder="1" applyAlignment="1">
      <alignment vertical="top" wrapText="1"/>
    </xf>
    <xf numFmtId="3" fontId="45" fillId="0" borderId="6" xfId="0" applyNumberFormat="1" applyFont="1" applyFill="1" applyBorder="1" applyAlignment="1">
      <alignment horizontal="center" wrapText="1"/>
    </xf>
    <xf numFmtId="3" fontId="45" fillId="0" borderId="6" xfId="0" applyNumberFormat="1" applyFont="1" applyFill="1" applyBorder="1" applyAlignment="1">
      <alignment horizontal="center" vertical="center" wrapText="1"/>
    </xf>
    <xf numFmtId="0" fontId="44" fillId="0" borderId="31" xfId="0" applyFont="1" applyFill="1" applyBorder="1" applyAlignment="1">
      <alignment vertical="top" wrapText="1"/>
    </xf>
    <xf numFmtId="0" fontId="44" fillId="0" borderId="24" xfId="0" applyFont="1" applyFill="1" applyBorder="1" applyAlignment="1">
      <alignment vertical="top" wrapText="1"/>
    </xf>
    <xf numFmtId="3" fontId="45" fillId="0" borderId="24" xfId="0" applyNumberFormat="1" applyFont="1" applyFill="1" applyBorder="1" applyAlignment="1">
      <alignment horizontal="center" wrapText="1"/>
    </xf>
    <xf numFmtId="0" fontId="44" fillId="0" borderId="19" xfId="0" applyFont="1" applyFill="1" applyBorder="1" applyAlignment="1">
      <alignment horizontal="left" vertical="center" wrapText="1"/>
    </xf>
    <xf numFmtId="0" fontId="44" fillId="0" borderId="19" xfId="0" applyFont="1" applyFill="1" applyBorder="1" applyAlignment="1">
      <alignment vertical="top" wrapText="1"/>
    </xf>
    <xf numFmtId="0" fontId="44" fillId="0" borderId="19" xfId="0" applyFont="1" applyFill="1" applyBorder="1" applyAlignment="1">
      <alignment vertical="top"/>
    </xf>
    <xf numFmtId="0" fontId="44" fillId="0" borderId="15" xfId="0" applyFont="1" applyFill="1" applyBorder="1" applyAlignment="1">
      <alignment vertical="top" wrapText="1"/>
    </xf>
    <xf numFmtId="0" fontId="44" fillId="0" borderId="19" xfId="0" applyFont="1" applyFill="1" applyBorder="1" applyAlignment="1">
      <alignment horizontal="center" wrapText="1"/>
    </xf>
    <xf numFmtId="0" fontId="13" fillId="0" borderId="19" xfId="0" applyFont="1" applyBorder="1" applyAlignment="1">
      <alignment horizontal="center" vertical="center" wrapText="1"/>
    </xf>
    <xf numFmtId="0" fontId="42" fillId="0" borderId="0" xfId="0" applyFont="1"/>
    <xf numFmtId="16" fontId="45" fillId="7" borderId="5" xfId="0" applyNumberFormat="1" applyFont="1" applyFill="1" applyBorder="1" applyAlignment="1">
      <alignment horizontal="center" vertical="center" wrapText="1"/>
    </xf>
    <xf numFmtId="0" fontId="45" fillId="7" borderId="6" xfId="0" applyFont="1" applyFill="1" applyBorder="1" applyAlignment="1">
      <alignment horizontal="center" vertical="center" wrapText="1"/>
    </xf>
    <xf numFmtId="14" fontId="45" fillId="6" borderId="5" xfId="0" applyNumberFormat="1" applyFont="1" applyFill="1" applyBorder="1" applyAlignment="1">
      <alignment horizontal="center" vertical="center" wrapText="1"/>
    </xf>
    <xf numFmtId="0" fontId="12" fillId="0" borderId="27" xfId="0" applyFont="1" applyBorder="1" applyAlignment="1">
      <alignment horizontal="left" vertical="center" wrapText="1"/>
    </xf>
    <xf numFmtId="3" fontId="50" fillId="7" borderId="6" xfId="0" applyNumberFormat="1" applyFont="1" applyFill="1" applyBorder="1" applyAlignment="1">
      <alignment horizontal="center" vertical="center" wrapText="1"/>
    </xf>
    <xf numFmtId="3" fontId="56" fillId="6" borderId="6" xfId="0" applyNumberFormat="1" applyFont="1" applyFill="1" applyBorder="1" applyAlignment="1">
      <alignment horizontal="center" vertical="center" wrapText="1"/>
    </xf>
    <xf numFmtId="14" fontId="56" fillId="6" borderId="5" xfId="0" applyNumberFormat="1" applyFont="1" applyFill="1" applyBorder="1" applyAlignment="1">
      <alignment horizontal="center" vertical="center" wrapText="1"/>
    </xf>
    <xf numFmtId="16" fontId="57" fillId="7" borderId="5" xfId="0" applyNumberFormat="1" applyFont="1" applyFill="1" applyBorder="1" applyAlignment="1">
      <alignment horizontal="center" vertical="center" wrapText="1"/>
    </xf>
    <xf numFmtId="3" fontId="57" fillId="7" borderId="6" xfId="0" applyNumberFormat="1" applyFont="1" applyFill="1" applyBorder="1" applyAlignment="1">
      <alignment horizontal="center" vertical="center" wrapText="1"/>
    </xf>
    <xf numFmtId="1" fontId="10" fillId="10" borderId="30" xfId="0" applyNumberFormat="1" applyFont="1" applyFill="1" applyBorder="1" applyAlignment="1">
      <alignment horizontal="center" wrapText="1"/>
    </xf>
    <xf numFmtId="16" fontId="50" fillId="7" borderId="5" xfId="0" applyNumberFormat="1" applyFont="1" applyFill="1" applyBorder="1" applyAlignment="1">
      <alignment horizontal="center" vertical="center" wrapText="1"/>
    </xf>
    <xf numFmtId="0" fontId="51" fillId="7" borderId="6" xfId="0" applyFont="1" applyFill="1" applyBorder="1" applyAlignment="1">
      <alignment horizontal="center" vertical="center" wrapText="1"/>
    </xf>
    <xf numFmtId="0" fontId="32" fillId="0" borderId="19" xfId="0" applyFont="1" applyFill="1" applyBorder="1" applyAlignment="1">
      <alignment horizontal="center" vertical="center" wrapText="1"/>
    </xf>
    <xf numFmtId="0" fontId="32" fillId="0" borderId="57" xfId="0" applyFont="1" applyFill="1" applyBorder="1" applyAlignment="1">
      <alignment horizontal="center" vertical="center" wrapText="1"/>
    </xf>
    <xf numFmtId="0" fontId="32" fillId="0" borderId="53" xfId="0" applyFont="1" applyFill="1" applyBorder="1" applyAlignment="1">
      <alignment horizontal="center" vertical="center" wrapText="1"/>
    </xf>
    <xf numFmtId="0" fontId="32" fillId="0" borderId="58" xfId="0" applyFont="1" applyFill="1" applyBorder="1" applyAlignment="1">
      <alignment horizontal="center" vertical="center" wrapText="1"/>
    </xf>
    <xf numFmtId="0" fontId="32" fillId="0" borderId="14" xfId="0" applyFont="1" applyFill="1" applyBorder="1" applyAlignment="1">
      <alignment horizontal="center" vertical="center" wrapText="1"/>
    </xf>
    <xf numFmtId="1" fontId="20" fillId="0" borderId="0" xfId="0" applyNumberFormat="1" applyFont="1"/>
    <xf numFmtId="1" fontId="19" fillId="0" borderId="7" xfId="0" applyNumberFormat="1" applyFont="1" applyBorder="1" applyAlignment="1">
      <alignment horizontal="center" vertical="top" wrapText="1"/>
    </xf>
    <xf numFmtId="1" fontId="13" fillId="0" borderId="7" xfId="0" applyNumberFormat="1" applyFont="1" applyBorder="1" applyAlignment="1">
      <alignment vertical="top" wrapText="1"/>
    </xf>
    <xf numFmtId="1" fontId="12" fillId="0" borderId="7" xfId="0" applyNumberFormat="1" applyFont="1" applyBorder="1" applyAlignment="1">
      <alignment horizontal="center" vertical="center" wrapText="1"/>
    </xf>
    <xf numFmtId="1" fontId="12" fillId="0" borderId="10" xfId="0" applyNumberFormat="1" applyFont="1" applyBorder="1" applyAlignment="1">
      <alignment horizontal="center" vertical="center" wrapText="1"/>
    </xf>
    <xf numFmtId="1" fontId="51" fillId="7" borderId="6" xfId="0" applyNumberFormat="1" applyFont="1" applyFill="1" applyBorder="1" applyAlignment="1">
      <alignment horizontal="center" vertical="center" wrapText="1"/>
    </xf>
    <xf numFmtId="1" fontId="44" fillId="6" borderId="6" xfId="0" applyNumberFormat="1" applyFont="1" applyFill="1" applyBorder="1" applyAlignment="1">
      <alignment horizontal="center" vertical="center" wrapText="1"/>
    </xf>
    <xf numFmtId="1" fontId="45" fillId="7" borderId="6" xfId="0" applyNumberFormat="1" applyFont="1" applyFill="1" applyBorder="1" applyAlignment="1">
      <alignment horizontal="center" vertical="center" wrapText="1"/>
    </xf>
    <xf numFmtId="3" fontId="44" fillId="0" borderId="15" xfId="0" applyNumberFormat="1" applyFont="1" applyFill="1" applyBorder="1" applyAlignment="1">
      <alignment horizontal="center" vertical="center" wrapText="1"/>
    </xf>
    <xf numFmtId="3" fontId="44" fillId="0" borderId="6" xfId="0" applyNumberFormat="1" applyFont="1" applyFill="1" applyBorder="1" applyAlignment="1">
      <alignment horizontal="center" vertical="center" wrapText="1"/>
    </xf>
    <xf numFmtId="0" fontId="42" fillId="0" borderId="0" xfId="0" applyFont="1" applyFill="1"/>
    <xf numFmtId="3" fontId="45" fillId="0" borderId="15" xfId="0" applyNumberFormat="1" applyFont="1" applyFill="1" applyBorder="1" applyAlignment="1">
      <alignment horizontal="center" vertical="center" wrapText="1"/>
    </xf>
    <xf numFmtId="0" fontId="44" fillId="0" borderId="5" xfId="0" applyFont="1" applyFill="1" applyBorder="1" applyAlignment="1">
      <alignment horizontal="center" vertical="center" wrapText="1"/>
    </xf>
    <xf numFmtId="0" fontId="44" fillId="0" borderId="19" xfId="0" applyFont="1" applyFill="1" applyBorder="1" applyAlignment="1">
      <alignment horizontal="center" vertical="center" wrapText="1"/>
    </xf>
    <xf numFmtId="14" fontId="65" fillId="0" borderId="19" xfId="0" applyNumberFormat="1" applyFont="1" applyBorder="1" applyAlignment="1">
      <alignment horizontal="center" vertical="center" wrapText="1"/>
    </xf>
    <xf numFmtId="14" fontId="13" fillId="0" borderId="19" xfId="0" applyNumberFormat="1" applyFont="1" applyBorder="1" applyAlignment="1">
      <alignment horizontal="center" vertical="center" wrapText="1"/>
    </xf>
    <xf numFmtId="1" fontId="12" fillId="0" borderId="6" xfId="0" applyNumberFormat="1" applyFont="1" applyBorder="1" applyAlignment="1">
      <alignment horizontal="center" vertical="center" wrapText="1"/>
    </xf>
    <xf numFmtId="3" fontId="45" fillId="5" borderId="27" xfId="0" applyNumberFormat="1" applyFont="1" applyFill="1" applyBorder="1" applyAlignment="1">
      <alignment horizontal="center" vertical="center" wrapText="1"/>
    </xf>
    <xf numFmtId="1" fontId="23" fillId="0" borderId="0" xfId="0" applyNumberFormat="1" applyFont="1"/>
    <xf numFmtId="1" fontId="26" fillId="0" borderId="7" xfId="0" applyNumberFormat="1" applyFont="1" applyBorder="1" applyAlignment="1">
      <alignment vertical="top" wrapText="1"/>
    </xf>
    <xf numFmtId="1" fontId="12" fillId="0" borderId="19" xfId="0" applyNumberFormat="1" applyFont="1" applyBorder="1" applyAlignment="1">
      <alignment horizontal="center" vertical="center" wrapText="1"/>
    </xf>
    <xf numFmtId="0" fontId="34" fillId="0" borderId="66" xfId="0" applyFont="1" applyBorder="1" applyAlignment="1">
      <alignment wrapText="1"/>
    </xf>
    <xf numFmtId="0" fontId="34" fillId="0" borderId="34" xfId="0" applyFont="1" applyBorder="1" applyAlignment="1">
      <alignment wrapText="1"/>
    </xf>
    <xf numFmtId="0" fontId="69" fillId="0" borderId="66" xfId="0" applyFont="1" applyBorder="1" applyAlignment="1">
      <alignment wrapText="1"/>
    </xf>
    <xf numFmtId="0" fontId="69" fillId="0" borderId="34" xfId="0" applyFont="1" applyBorder="1" applyAlignment="1">
      <alignment wrapText="1"/>
    </xf>
    <xf numFmtId="0" fontId="69" fillId="0" borderId="67" xfId="0" applyFont="1" applyBorder="1" applyAlignment="1">
      <alignment wrapText="1"/>
    </xf>
    <xf numFmtId="0" fontId="34" fillId="0" borderId="69" xfId="0" applyFont="1" applyBorder="1" applyAlignment="1">
      <alignment wrapText="1"/>
    </xf>
    <xf numFmtId="0" fontId="34" fillId="0" borderId="72" xfId="0" applyFont="1" applyBorder="1" applyAlignment="1">
      <alignment wrapText="1"/>
    </xf>
    <xf numFmtId="0" fontId="34" fillId="0" borderId="36" xfId="0" applyFont="1" applyBorder="1" applyAlignment="1">
      <alignment wrapText="1"/>
    </xf>
    <xf numFmtId="0" fontId="69" fillId="7" borderId="34" xfId="0" applyFont="1" applyFill="1" applyBorder="1" applyAlignment="1">
      <alignment wrapText="1"/>
    </xf>
    <xf numFmtId="0" fontId="69" fillId="7" borderId="67" xfId="0" applyFont="1" applyFill="1" applyBorder="1" applyAlignment="1">
      <alignment wrapText="1"/>
    </xf>
    <xf numFmtId="0" fontId="69" fillId="6" borderId="34" xfId="0" applyFont="1" applyFill="1" applyBorder="1" applyAlignment="1">
      <alignment wrapText="1"/>
    </xf>
    <xf numFmtId="0" fontId="69" fillId="6" borderId="67" xfId="0" applyFont="1" applyFill="1" applyBorder="1" applyAlignment="1">
      <alignment wrapText="1"/>
    </xf>
    <xf numFmtId="0" fontId="69" fillId="0" borderId="67" xfId="0" applyFont="1" applyBorder="1" applyAlignment="1">
      <alignment horizontal="center" vertical="center" wrapText="1"/>
    </xf>
    <xf numFmtId="0" fontId="69" fillId="0" borderId="69" xfId="0" applyFont="1" applyBorder="1" applyAlignment="1">
      <alignment wrapText="1"/>
    </xf>
    <xf numFmtId="3" fontId="69" fillId="0" borderId="75" xfId="0" quotePrefix="1" applyNumberFormat="1" applyFont="1" applyBorder="1" applyAlignment="1">
      <alignment horizontal="center" vertical="center" wrapText="1"/>
    </xf>
    <xf numFmtId="3" fontId="69" fillId="0" borderId="56" xfId="0" quotePrefix="1" applyNumberFormat="1" applyFont="1" applyBorder="1" applyAlignment="1">
      <alignment horizontal="center" vertical="center" wrapText="1"/>
    </xf>
    <xf numFmtId="3" fontId="69" fillId="0" borderId="76" xfId="0" quotePrefix="1" applyNumberFormat="1" applyFont="1" applyBorder="1" applyAlignment="1">
      <alignment horizontal="center" vertical="center" wrapText="1"/>
    </xf>
    <xf numFmtId="0" fontId="34" fillId="0" borderId="79" xfId="0" applyFont="1" applyBorder="1" applyAlignment="1">
      <alignment wrapText="1"/>
    </xf>
    <xf numFmtId="0" fontId="55" fillId="0" borderId="42" xfId="0" applyFont="1" applyBorder="1" applyAlignment="1">
      <alignment horizontal="center" wrapText="1"/>
    </xf>
    <xf numFmtId="1" fontId="69" fillId="0" borderId="55" xfId="0" applyNumberFormat="1" applyFont="1" applyBorder="1" applyAlignment="1">
      <alignment horizontal="center" vertical="center" wrapText="1"/>
    </xf>
    <xf numFmtId="0" fontId="68" fillId="0" borderId="66" xfId="0" applyFont="1" applyBorder="1" applyAlignment="1">
      <alignment horizontal="center" vertical="center" wrapText="1"/>
    </xf>
    <xf numFmtId="0" fontId="68" fillId="0" borderId="34" xfId="0" applyFont="1" applyBorder="1" applyAlignment="1">
      <alignment horizontal="center" vertical="center" wrapText="1"/>
    </xf>
    <xf numFmtId="0" fontId="68" fillId="0" borderId="69" xfId="0" applyFont="1" applyBorder="1" applyAlignment="1">
      <alignment horizontal="center" vertical="center" wrapText="1"/>
    </xf>
    <xf numFmtId="0" fontId="68" fillId="0" borderId="42" xfId="0" applyFont="1" applyBorder="1" applyAlignment="1">
      <alignment horizontal="center" vertical="center" wrapText="1"/>
    </xf>
    <xf numFmtId="0" fontId="68" fillId="0" borderId="53" xfId="0" applyFont="1" applyBorder="1" applyAlignment="1">
      <alignment horizontal="center" vertical="center" wrapText="1"/>
    </xf>
    <xf numFmtId="0" fontId="68" fillId="0" borderId="54" xfId="0" applyFont="1" applyBorder="1" applyAlignment="1">
      <alignment horizontal="center" vertical="center" wrapText="1"/>
    </xf>
    <xf numFmtId="3" fontId="68" fillId="5" borderId="42" xfId="0" quotePrefix="1" applyNumberFormat="1" applyFont="1" applyFill="1" applyBorder="1" applyAlignment="1">
      <alignment horizontal="center" vertical="center" wrapText="1"/>
    </xf>
    <xf numFmtId="0" fontId="69" fillId="7" borderId="78" xfId="0" applyFont="1" applyFill="1" applyBorder="1" applyAlignment="1">
      <alignment wrapText="1"/>
    </xf>
    <xf numFmtId="0" fontId="69" fillId="6" borderId="77" xfId="0" applyFont="1" applyFill="1" applyBorder="1" applyAlignment="1">
      <alignment wrapText="1"/>
    </xf>
    <xf numFmtId="0" fontId="34" fillId="0" borderId="80" xfId="0" applyFont="1" applyBorder="1" applyAlignment="1">
      <alignment wrapText="1"/>
    </xf>
    <xf numFmtId="0" fontId="34" fillId="0" borderId="0" xfId="0" applyFont="1" applyBorder="1" applyAlignment="1">
      <alignment wrapText="1"/>
    </xf>
    <xf numFmtId="0" fontId="55" fillId="0" borderId="32" xfId="0" applyFont="1" applyBorder="1" applyAlignment="1">
      <alignment horizontal="center" wrapText="1"/>
    </xf>
    <xf numFmtId="0" fontId="55" fillId="0" borderId="81" xfId="0" applyFont="1" applyBorder="1" applyAlignment="1">
      <alignment horizontal="center" wrapText="1"/>
    </xf>
    <xf numFmtId="0" fontId="68" fillId="0" borderId="82" xfId="0" applyFont="1" applyBorder="1" applyAlignment="1">
      <alignment horizontal="center" vertical="center" wrapText="1"/>
    </xf>
    <xf numFmtId="0" fontId="68" fillId="0" borderId="83" xfId="0" applyFont="1" applyBorder="1" applyAlignment="1">
      <alignment horizontal="center" vertical="center" wrapText="1"/>
    </xf>
    <xf numFmtId="0" fontId="68" fillId="0" borderId="46" xfId="0" applyFont="1" applyBorder="1" applyAlignment="1">
      <alignment horizontal="center" vertical="center" wrapText="1"/>
    </xf>
    <xf numFmtId="14" fontId="69" fillId="0" borderId="55" xfId="0" applyNumberFormat="1" applyFont="1" applyBorder="1" applyAlignment="1">
      <alignment horizontal="center" vertical="center" wrapText="1"/>
    </xf>
    <xf numFmtId="14" fontId="69" fillId="0" borderId="34" xfId="0" applyNumberFormat="1" applyFont="1" applyBorder="1" applyAlignment="1">
      <alignment wrapText="1"/>
    </xf>
    <xf numFmtId="14" fontId="69" fillId="0" borderId="34" xfId="0" applyNumberFormat="1" applyFont="1" applyBorder="1" applyAlignment="1">
      <alignment horizontal="center" vertical="center" wrapText="1"/>
    </xf>
    <xf numFmtId="0" fontId="69" fillId="0" borderId="34" xfId="0" applyFont="1" applyBorder="1" applyAlignment="1">
      <alignment horizontal="center" vertical="center" wrapText="1"/>
    </xf>
    <xf numFmtId="3" fontId="69" fillId="0" borderId="72" xfId="0" quotePrefix="1" applyNumberFormat="1" applyFont="1" applyBorder="1" applyAlignment="1">
      <alignment horizontal="center" vertical="center" wrapText="1"/>
    </xf>
    <xf numFmtId="3" fontId="69" fillId="0" borderId="36" xfId="0" quotePrefix="1" applyNumberFormat="1" applyFont="1" applyBorder="1" applyAlignment="1">
      <alignment horizontal="center" vertical="center" wrapText="1"/>
    </xf>
    <xf numFmtId="3" fontId="69" fillId="0" borderId="73" xfId="0" quotePrefix="1" applyNumberFormat="1" applyFont="1" applyBorder="1" applyAlignment="1">
      <alignment horizontal="center" vertical="center" wrapText="1"/>
    </xf>
    <xf numFmtId="3" fontId="36" fillId="6" borderId="74" xfId="0" quotePrefix="1" applyNumberFormat="1" applyFont="1" applyFill="1" applyBorder="1" applyAlignment="1">
      <alignment horizontal="center" vertical="center" wrapText="1"/>
    </xf>
    <xf numFmtId="3" fontId="70" fillId="7" borderId="70" xfId="0" quotePrefix="1" applyNumberFormat="1" applyFont="1" applyFill="1" applyBorder="1" applyAlignment="1">
      <alignment horizontal="center" vertical="center" wrapText="1"/>
    </xf>
    <xf numFmtId="3" fontId="70" fillId="7" borderId="34" xfId="0" quotePrefix="1" applyNumberFormat="1" applyFont="1" applyFill="1" applyBorder="1" applyAlignment="1">
      <alignment horizontal="center" vertical="center" wrapText="1"/>
    </xf>
    <xf numFmtId="3" fontId="70" fillId="7" borderId="71" xfId="0" quotePrefix="1" applyNumberFormat="1" applyFont="1" applyFill="1" applyBorder="1" applyAlignment="1">
      <alignment horizontal="center" vertical="center" wrapText="1"/>
    </xf>
    <xf numFmtId="0" fontId="69" fillId="6" borderId="55" xfId="0" applyFont="1" applyFill="1" applyBorder="1" applyAlignment="1">
      <alignment wrapText="1"/>
    </xf>
    <xf numFmtId="3" fontId="69" fillId="0" borderId="84" xfId="0" quotePrefix="1" applyNumberFormat="1" applyFont="1" applyBorder="1" applyAlignment="1">
      <alignment horizontal="center" vertical="center" wrapText="1"/>
    </xf>
    <xf numFmtId="3" fontId="69" fillId="0" borderId="85" xfId="0" quotePrefix="1" applyNumberFormat="1" applyFont="1" applyBorder="1" applyAlignment="1">
      <alignment horizontal="center" vertical="center" wrapText="1"/>
    </xf>
    <xf numFmtId="3" fontId="69" fillId="0" borderId="86" xfId="0" quotePrefix="1" applyNumberFormat="1" applyFont="1" applyBorder="1" applyAlignment="1">
      <alignment horizontal="center" vertical="center" wrapText="1"/>
    </xf>
    <xf numFmtId="3" fontId="36" fillId="6" borderId="42" xfId="0" quotePrefix="1" applyNumberFormat="1" applyFont="1" applyFill="1" applyBorder="1" applyAlignment="1">
      <alignment horizontal="center" vertical="center" wrapText="1"/>
    </xf>
    <xf numFmtId="3" fontId="36" fillId="6" borderId="53" xfId="0" quotePrefix="1" applyNumberFormat="1" applyFont="1" applyFill="1" applyBorder="1" applyAlignment="1">
      <alignment horizontal="center" vertical="center" wrapText="1"/>
    </xf>
    <xf numFmtId="3" fontId="36" fillId="6" borderId="54" xfId="0" quotePrefix="1" applyNumberFormat="1" applyFont="1" applyFill="1" applyBorder="1" applyAlignment="1">
      <alignment horizontal="center" vertical="center" wrapText="1"/>
    </xf>
    <xf numFmtId="0" fontId="69" fillId="0" borderId="68" xfId="0" applyFont="1" applyBorder="1" applyAlignment="1">
      <alignment horizontal="center" vertical="center" wrapText="1"/>
    </xf>
    <xf numFmtId="0" fontId="69" fillId="0" borderId="34" xfId="0" applyFont="1" applyBorder="1" applyAlignment="1">
      <alignment vertical="center" wrapText="1"/>
    </xf>
    <xf numFmtId="14" fontId="69" fillId="0" borderId="34" xfId="0" applyNumberFormat="1" applyFont="1" applyBorder="1" applyAlignment="1">
      <alignment vertical="center" wrapText="1"/>
    </xf>
    <xf numFmtId="14" fontId="69" fillId="0" borderId="87" xfId="0" applyNumberFormat="1" applyFont="1" applyBorder="1" applyAlignment="1">
      <alignment horizontal="center" vertical="center" wrapText="1"/>
    </xf>
    <xf numFmtId="0" fontId="69" fillId="0" borderId="88" xfId="0" applyFont="1" applyBorder="1" applyAlignment="1">
      <alignment horizontal="center" vertical="center" wrapText="1"/>
    </xf>
    <xf numFmtId="0" fontId="69" fillId="6" borderId="13" xfId="0" applyFont="1" applyFill="1" applyBorder="1" applyAlignment="1">
      <alignment wrapText="1"/>
    </xf>
    <xf numFmtId="0" fontId="69" fillId="6" borderId="53" xfId="0" applyFont="1" applyFill="1" applyBorder="1" applyAlignment="1">
      <alignment wrapText="1"/>
    </xf>
    <xf numFmtId="0" fontId="69" fillId="6" borderId="89" xfId="0" applyFont="1" applyFill="1" applyBorder="1" applyAlignment="1">
      <alignment wrapText="1"/>
    </xf>
    <xf numFmtId="0" fontId="69" fillId="6" borderId="54" xfId="0" applyFont="1" applyFill="1" applyBorder="1" applyAlignment="1">
      <alignment wrapText="1"/>
    </xf>
    <xf numFmtId="14" fontId="69" fillId="0" borderId="59" xfId="0" applyNumberFormat="1" applyFont="1" applyBorder="1" applyAlignment="1">
      <alignment horizontal="center" vertical="center" wrapText="1"/>
    </xf>
    <xf numFmtId="0" fontId="69" fillId="0" borderId="36" xfId="0" applyFont="1" applyBorder="1" applyAlignment="1">
      <alignment wrapText="1"/>
    </xf>
    <xf numFmtId="0" fontId="69" fillId="0" borderId="82" xfId="0" applyFont="1" applyBorder="1" applyAlignment="1">
      <alignment wrapText="1"/>
    </xf>
    <xf numFmtId="0" fontId="68" fillId="13" borderId="55" xfId="0" applyFont="1" applyFill="1" applyBorder="1" applyAlignment="1">
      <alignment horizontal="center" vertical="center" wrapText="1"/>
    </xf>
    <xf numFmtId="0" fontId="34" fillId="13" borderId="55" xfId="0" applyFont="1" applyFill="1" applyBorder="1" applyAlignment="1">
      <alignment wrapText="1"/>
    </xf>
    <xf numFmtId="0" fontId="34" fillId="13" borderId="0" xfId="0" applyFont="1" applyFill="1" applyBorder="1" applyAlignment="1">
      <alignment wrapText="1"/>
    </xf>
    <xf numFmtId="16" fontId="57" fillId="13" borderId="23" xfId="0" applyNumberFormat="1" applyFont="1" applyFill="1" applyBorder="1" applyAlignment="1">
      <alignment horizontal="center" vertical="center" wrapText="1"/>
    </xf>
    <xf numFmtId="14" fontId="56" fillId="13" borderId="23" xfId="0" applyNumberFormat="1" applyFont="1" applyFill="1" applyBorder="1" applyAlignment="1">
      <alignment horizontal="center" vertical="center" wrapText="1"/>
    </xf>
    <xf numFmtId="0" fontId="69" fillId="13" borderId="55" xfId="0" applyFont="1" applyFill="1" applyBorder="1" applyAlignment="1">
      <alignment wrapText="1"/>
    </xf>
    <xf numFmtId="0" fontId="12" fillId="0" borderId="6" xfId="0" applyFont="1" applyBorder="1" applyAlignment="1">
      <alignment horizontal="left" vertical="center" wrapText="1"/>
    </xf>
    <xf numFmtId="0" fontId="68" fillId="0" borderId="19" xfId="0" applyFont="1" applyBorder="1" applyAlignment="1">
      <alignment horizontal="center" vertical="center" wrapText="1"/>
    </xf>
    <xf numFmtId="0" fontId="61" fillId="0" borderId="0" xfId="0" applyFont="1"/>
    <xf numFmtId="0" fontId="55" fillId="0" borderId="91" xfId="0" applyFont="1" applyBorder="1" applyAlignment="1">
      <alignment wrapText="1"/>
    </xf>
    <xf numFmtId="0" fontId="55" fillId="0" borderId="59" xfId="0" applyFont="1" applyBorder="1" applyAlignment="1">
      <alignment wrapText="1"/>
    </xf>
    <xf numFmtId="0" fontId="59" fillId="0" borderId="0" xfId="0" applyFont="1"/>
    <xf numFmtId="0" fontId="69" fillId="0" borderId="93" xfId="0" applyFont="1" applyBorder="1" applyAlignment="1">
      <alignment wrapText="1"/>
    </xf>
    <xf numFmtId="0" fontId="69" fillId="0" borderId="94" xfId="0" applyFont="1" applyBorder="1" applyAlignment="1">
      <alignment wrapText="1"/>
    </xf>
    <xf numFmtId="0" fontId="69" fillId="0" borderId="34" xfId="0" applyFont="1" applyBorder="1" applyAlignment="1">
      <alignment horizontal="left" wrapText="1"/>
    </xf>
    <xf numFmtId="0" fontId="0" fillId="13" borderId="0" xfId="0" applyFill="1"/>
    <xf numFmtId="0" fontId="69" fillId="13" borderId="94" xfId="0" applyFont="1" applyFill="1" applyBorder="1" applyAlignment="1">
      <alignment wrapText="1"/>
    </xf>
    <xf numFmtId="3" fontId="69" fillId="13" borderId="70" xfId="0" quotePrefix="1" applyNumberFormat="1" applyFont="1" applyFill="1" applyBorder="1" applyAlignment="1">
      <alignment horizontal="center" vertical="center" wrapText="1"/>
    </xf>
    <xf numFmtId="4" fontId="0" fillId="0" borderId="0" xfId="0" applyNumberFormat="1"/>
    <xf numFmtId="4" fontId="0" fillId="0" borderId="0" xfId="0" applyNumberFormat="1" applyAlignment="1">
      <alignment wrapText="1"/>
    </xf>
    <xf numFmtId="3" fontId="55" fillId="13" borderId="70" xfId="0" quotePrefix="1" applyNumberFormat="1" applyFont="1" applyFill="1" applyBorder="1" applyAlignment="1">
      <alignment horizontal="center" vertical="center" wrapText="1"/>
    </xf>
    <xf numFmtId="0" fontId="69" fillId="0" borderId="24" xfId="0" applyFont="1" applyBorder="1" applyAlignment="1">
      <alignment wrapText="1"/>
    </xf>
    <xf numFmtId="0" fontId="69" fillId="0" borderId="26" xfId="0" applyFont="1" applyBorder="1" applyAlignment="1">
      <alignment wrapText="1"/>
    </xf>
    <xf numFmtId="1" fontId="69" fillId="0" borderId="67" xfId="0" applyNumberFormat="1" applyFont="1" applyBorder="1" applyAlignment="1">
      <alignment horizontal="center" vertical="center" wrapText="1"/>
    </xf>
    <xf numFmtId="0" fontId="69" fillId="0" borderId="96" xfId="0" applyFont="1" applyBorder="1" applyAlignment="1">
      <alignment wrapText="1"/>
    </xf>
    <xf numFmtId="0" fontId="69" fillId="0" borderId="35" xfId="0" applyFont="1" applyBorder="1" applyAlignment="1">
      <alignment wrapText="1"/>
    </xf>
    <xf numFmtId="0" fontId="69" fillId="0" borderId="97" xfId="0" applyFont="1" applyBorder="1" applyAlignment="1">
      <alignment wrapText="1"/>
    </xf>
    <xf numFmtId="14" fontId="56" fillId="6" borderId="19" xfId="0" applyNumberFormat="1" applyFont="1" applyFill="1" applyBorder="1" applyAlignment="1">
      <alignment horizontal="center" vertical="center" wrapText="1"/>
    </xf>
    <xf numFmtId="14" fontId="69" fillId="10" borderId="34" xfId="0" applyNumberFormat="1" applyFont="1" applyFill="1" applyBorder="1" applyAlignment="1">
      <alignment horizontal="center" vertical="center" wrapText="1"/>
    </xf>
    <xf numFmtId="14" fontId="69" fillId="10" borderId="34" xfId="0" applyNumberFormat="1" applyFont="1" applyFill="1" applyBorder="1" applyAlignment="1">
      <alignment vertical="center" wrapText="1"/>
    </xf>
    <xf numFmtId="0" fontId="69" fillId="8" borderId="34" xfId="0" applyFont="1" applyFill="1" applyBorder="1" applyAlignment="1">
      <alignment vertical="center" wrapText="1"/>
    </xf>
    <xf numFmtId="14" fontId="69" fillId="10" borderId="55" xfId="0" applyNumberFormat="1" applyFont="1" applyFill="1" applyBorder="1" applyAlignment="1">
      <alignment horizontal="center" vertical="center" wrapText="1"/>
    </xf>
    <xf numFmtId="14" fontId="69" fillId="10" borderId="35" xfId="0" applyNumberFormat="1" applyFont="1" applyFill="1" applyBorder="1" applyAlignment="1">
      <alignment vertical="center" wrapText="1"/>
    </xf>
    <xf numFmtId="3" fontId="36" fillId="13" borderId="70" xfId="0" quotePrefix="1" applyNumberFormat="1" applyFont="1" applyFill="1" applyBorder="1" applyAlignment="1">
      <alignment horizontal="center" vertical="center" wrapText="1"/>
    </xf>
    <xf numFmtId="3" fontId="55" fillId="13" borderId="42" xfId="0" quotePrefix="1" applyNumberFormat="1" applyFont="1" applyFill="1" applyBorder="1" applyAlignment="1">
      <alignment horizontal="center" vertical="center" wrapText="1"/>
    </xf>
    <xf numFmtId="3" fontId="55" fillId="13" borderId="19" xfId="0" quotePrefix="1" applyNumberFormat="1" applyFont="1" applyFill="1" applyBorder="1" applyAlignment="1">
      <alignment horizontal="center" vertical="center" wrapText="1"/>
    </xf>
    <xf numFmtId="3" fontId="69" fillId="13" borderId="19" xfId="0" quotePrefix="1" applyNumberFormat="1" applyFont="1" applyFill="1" applyBorder="1" applyAlignment="1">
      <alignment horizontal="center" vertical="center" wrapText="1"/>
    </xf>
    <xf numFmtId="3" fontId="70" fillId="6" borderId="57" xfId="0" quotePrefix="1" applyNumberFormat="1" applyFont="1" applyFill="1" applyBorder="1" applyAlignment="1">
      <alignment horizontal="center" vertical="center" wrapText="1"/>
    </xf>
    <xf numFmtId="3" fontId="70" fillId="13" borderId="42" xfId="0" quotePrefix="1" applyNumberFormat="1" applyFont="1" applyFill="1" applyBorder="1" applyAlignment="1">
      <alignment horizontal="center" vertical="center" wrapText="1"/>
    </xf>
    <xf numFmtId="3" fontId="70" fillId="13" borderId="19" xfId="0" quotePrefix="1" applyNumberFormat="1" applyFont="1" applyFill="1" applyBorder="1" applyAlignment="1">
      <alignment horizontal="center" vertical="center" wrapText="1"/>
    </xf>
    <xf numFmtId="3" fontId="55" fillId="13" borderId="55" xfId="0" quotePrefix="1" applyNumberFormat="1" applyFont="1" applyFill="1" applyBorder="1" applyAlignment="1">
      <alignment horizontal="center" vertical="center" wrapText="1"/>
    </xf>
    <xf numFmtId="3" fontId="70" fillId="13" borderId="75" xfId="0" quotePrefix="1" applyNumberFormat="1" applyFont="1" applyFill="1" applyBorder="1" applyAlignment="1">
      <alignment horizontal="center" vertical="center" wrapText="1"/>
    </xf>
    <xf numFmtId="3" fontId="36" fillId="13" borderId="98" xfId="0" quotePrefix="1" applyNumberFormat="1" applyFont="1" applyFill="1" applyBorder="1" applyAlignment="1">
      <alignment horizontal="center" vertical="center" wrapText="1"/>
    </xf>
    <xf numFmtId="3" fontId="36" fillId="6" borderId="19" xfId="0" quotePrefix="1" applyNumberFormat="1" applyFont="1" applyFill="1" applyBorder="1" applyAlignment="1">
      <alignment horizontal="center" vertical="center" wrapText="1"/>
    </xf>
    <xf numFmtId="3" fontId="36" fillId="6" borderId="57" xfId="0" quotePrefix="1" applyNumberFormat="1" applyFont="1" applyFill="1" applyBorder="1" applyAlignment="1">
      <alignment horizontal="center" vertical="center" wrapText="1"/>
    </xf>
    <xf numFmtId="3" fontId="36" fillId="13" borderId="42" xfId="0" quotePrefix="1" applyNumberFormat="1" applyFont="1" applyFill="1" applyBorder="1" applyAlignment="1">
      <alignment horizontal="center" vertical="center" wrapText="1"/>
    </xf>
    <xf numFmtId="3" fontId="36" fillId="13" borderId="19" xfId="0" quotePrefix="1" applyNumberFormat="1" applyFont="1" applyFill="1" applyBorder="1" applyAlignment="1">
      <alignment horizontal="center" vertical="center" wrapText="1"/>
    </xf>
    <xf numFmtId="3" fontId="55" fillId="13" borderId="100" xfId="0" quotePrefix="1" applyNumberFormat="1" applyFont="1" applyFill="1" applyBorder="1" applyAlignment="1">
      <alignment horizontal="center" vertical="center" wrapText="1"/>
    </xf>
    <xf numFmtId="0" fontId="67" fillId="0" borderId="0" xfId="0" applyFont="1" applyAlignment="1">
      <alignment wrapText="1"/>
    </xf>
    <xf numFmtId="0" fontId="0" fillId="0" borderId="0" xfId="0" applyAlignment="1"/>
    <xf numFmtId="0" fontId="36" fillId="0" borderId="0" xfId="0" applyFont="1" applyAlignment="1">
      <alignment wrapText="1"/>
    </xf>
    <xf numFmtId="3" fontId="37" fillId="5" borderId="49" xfId="0" applyNumberFormat="1" applyFont="1" applyFill="1" applyBorder="1" applyAlignment="1">
      <alignment horizontal="center" vertical="center" wrapText="1"/>
    </xf>
    <xf numFmtId="3" fontId="70" fillId="7" borderId="102" xfId="0" quotePrefix="1" applyNumberFormat="1" applyFont="1" applyFill="1" applyBorder="1" applyAlignment="1">
      <alignment horizontal="center" vertical="center" wrapText="1"/>
    </xf>
    <xf numFmtId="0" fontId="34" fillId="0" borderId="15" xfId="0" applyFont="1" applyBorder="1" applyAlignment="1">
      <alignment wrapText="1"/>
    </xf>
    <xf numFmtId="0" fontId="69" fillId="0" borderId="82" xfId="0" applyFont="1" applyBorder="1" applyAlignment="1">
      <alignment horizontal="center" vertical="center" wrapText="1"/>
    </xf>
    <xf numFmtId="14" fontId="69" fillId="10" borderId="36" xfId="0" applyNumberFormat="1" applyFont="1" applyFill="1" applyBorder="1" applyAlignment="1">
      <alignment horizontal="center" vertical="center" wrapText="1"/>
    </xf>
    <xf numFmtId="0" fontId="69" fillId="0" borderId="79" xfId="0" applyFont="1" applyBorder="1" applyAlignment="1">
      <alignment wrapText="1"/>
    </xf>
    <xf numFmtId="0" fontId="37" fillId="5" borderId="44" xfId="0" applyFont="1" applyFill="1" applyBorder="1" applyAlignment="1">
      <alignment horizontal="center" vertical="center" wrapText="1"/>
    </xf>
    <xf numFmtId="3" fontId="37" fillId="5" borderId="41" xfId="0" applyNumberFormat="1" applyFont="1" applyFill="1" applyBorder="1" applyAlignment="1">
      <alignment horizontal="center" vertical="center" wrapText="1"/>
    </xf>
    <xf numFmtId="0" fontId="41" fillId="13" borderId="45" xfId="0" applyFont="1" applyFill="1" applyBorder="1" applyAlignment="1">
      <alignment horizontal="center" vertical="center" wrapText="1"/>
    </xf>
    <xf numFmtId="3" fontId="41" fillId="13" borderId="41" xfId="0" applyNumberFormat="1" applyFont="1" applyFill="1" applyBorder="1" applyAlignment="1">
      <alignment horizontal="center" vertical="center" wrapText="1"/>
    </xf>
    <xf numFmtId="3" fontId="41" fillId="13" borderId="49" xfId="0" applyNumberFormat="1" applyFont="1" applyFill="1" applyBorder="1" applyAlignment="1">
      <alignment horizontal="center" vertical="center" wrapText="1"/>
    </xf>
    <xf numFmtId="0" fontId="28" fillId="13" borderId="36" xfId="0" applyFont="1" applyFill="1" applyBorder="1" applyAlignment="1">
      <alignment horizontal="center" vertical="center" wrapText="1"/>
    </xf>
    <xf numFmtId="0" fontId="36" fillId="0" borderId="49" xfId="0" applyFont="1" applyBorder="1" applyAlignment="1">
      <alignment horizontal="center" vertical="center" wrapText="1"/>
    </xf>
    <xf numFmtId="0" fontId="28" fillId="5" borderId="49" xfId="0" applyFont="1" applyFill="1" applyBorder="1" applyAlignment="1">
      <alignment horizontal="left" vertical="center" wrapText="1"/>
    </xf>
    <xf numFmtId="0" fontId="13" fillId="5" borderId="5" xfId="0" applyFont="1" applyFill="1" applyBorder="1" applyAlignment="1">
      <alignment horizontal="center"/>
    </xf>
    <xf numFmtId="0" fontId="27" fillId="6" borderId="5" xfId="0" applyFont="1" applyFill="1" applyBorder="1" applyAlignment="1">
      <alignment horizontal="center"/>
    </xf>
    <xf numFmtId="0" fontId="27" fillId="9" borderId="5" xfId="0" applyFont="1" applyFill="1" applyBorder="1" applyAlignment="1">
      <alignment horizontal="center"/>
    </xf>
    <xf numFmtId="0" fontId="27" fillId="9" borderId="6" xfId="0" applyFont="1" applyFill="1" applyBorder="1" applyAlignment="1">
      <alignment wrapText="1"/>
    </xf>
    <xf numFmtId="0" fontId="2" fillId="0" borderId="17" xfId="0" applyFont="1" applyBorder="1" applyAlignment="1">
      <alignment horizontal="center" wrapText="1"/>
    </xf>
    <xf numFmtId="0" fontId="2" fillId="0" borderId="18" xfId="0" applyFont="1" applyBorder="1" applyAlignment="1">
      <alignment horizontal="center" wrapText="1"/>
    </xf>
    <xf numFmtId="3" fontId="22" fillId="13" borderId="6" xfId="0" applyNumberFormat="1" applyFont="1" applyFill="1" applyBorder="1" applyAlignment="1">
      <alignment horizontal="center" vertical="center" wrapText="1"/>
    </xf>
    <xf numFmtId="3" fontId="4" fillId="13" borderId="6" xfId="0" applyNumberFormat="1" applyFont="1" applyFill="1" applyBorder="1" applyAlignment="1">
      <alignment horizontal="center" vertical="center" wrapText="1"/>
    </xf>
    <xf numFmtId="3" fontId="22" fillId="13" borderId="6" xfId="0" applyNumberFormat="1" applyFont="1" applyFill="1" applyBorder="1" applyAlignment="1">
      <alignment horizontal="center" wrapText="1"/>
    </xf>
    <xf numFmtId="3" fontId="4" fillId="13" borderId="6" xfId="0" applyNumberFormat="1" applyFont="1" applyFill="1" applyBorder="1" applyAlignment="1">
      <alignment horizontal="center" wrapText="1"/>
    </xf>
    <xf numFmtId="3" fontId="38" fillId="13" borderId="6" xfId="0" applyNumberFormat="1" applyFont="1" applyFill="1" applyBorder="1" applyAlignment="1">
      <alignment horizontal="center" vertical="center" wrapText="1"/>
    </xf>
    <xf numFmtId="3" fontId="32" fillId="13" borderId="6" xfId="0" applyNumberFormat="1" applyFont="1" applyFill="1" applyBorder="1" applyAlignment="1">
      <alignment horizontal="center" vertical="center" wrapText="1"/>
    </xf>
    <xf numFmtId="3" fontId="10" fillId="13" borderId="6" xfId="0" applyNumberFormat="1" applyFont="1" applyFill="1" applyBorder="1" applyAlignment="1">
      <alignment horizontal="center" wrapText="1"/>
    </xf>
    <xf numFmtId="1" fontId="15" fillId="0" borderId="15" xfId="0" applyNumberFormat="1" applyFont="1" applyFill="1" applyBorder="1" applyAlignment="1">
      <alignment horizontal="center" wrapText="1"/>
    </xf>
    <xf numFmtId="0" fontId="2" fillId="13" borderId="6" xfId="0" applyFont="1" applyFill="1" applyBorder="1" applyAlignment="1">
      <alignment wrapText="1"/>
    </xf>
    <xf numFmtId="0" fontId="2" fillId="13" borderId="6" xfId="0" applyFont="1" applyFill="1" applyBorder="1" applyAlignment="1">
      <alignment vertical="center" wrapText="1"/>
    </xf>
    <xf numFmtId="1" fontId="2" fillId="13" borderId="6" xfId="0" applyNumberFormat="1" applyFont="1" applyFill="1" applyBorder="1" applyAlignment="1">
      <alignment wrapText="1"/>
    </xf>
    <xf numFmtId="1" fontId="2" fillId="13" borderId="6" xfId="0" applyNumberFormat="1" applyFont="1" applyFill="1" applyBorder="1" applyAlignment="1">
      <alignment vertical="center" wrapText="1"/>
    </xf>
    <xf numFmtId="1" fontId="1" fillId="0" borderId="6" xfId="0" applyNumberFormat="1" applyFont="1" applyBorder="1"/>
    <xf numFmtId="1" fontId="2" fillId="2" borderId="7" xfId="0" applyNumberFormat="1" applyFont="1" applyFill="1" applyBorder="1" applyAlignment="1">
      <alignment horizontal="center" vertical="center"/>
    </xf>
    <xf numFmtId="1" fontId="6" fillId="3" borderId="7" xfId="0" applyNumberFormat="1" applyFont="1" applyFill="1" applyBorder="1" applyAlignment="1">
      <alignment horizontal="center" vertical="center"/>
    </xf>
    <xf numFmtId="1" fontId="4" fillId="5" borderId="6" xfId="0" applyNumberFormat="1" applyFont="1" applyFill="1" applyBorder="1" applyAlignment="1">
      <alignment horizontal="center" vertical="center" wrapText="1"/>
    </xf>
    <xf numFmtId="1" fontId="22" fillId="13" borderId="6" xfId="0" applyNumberFormat="1" applyFont="1" applyFill="1" applyBorder="1" applyAlignment="1">
      <alignment horizontal="center" vertical="center" wrapText="1"/>
    </xf>
    <xf numFmtId="1" fontId="4" fillId="0" borderId="6" xfId="0" applyNumberFormat="1" applyFont="1" applyBorder="1" applyAlignment="1">
      <alignment horizontal="center" vertical="center" wrapText="1"/>
    </xf>
    <xf numFmtId="1" fontId="4" fillId="5" borderId="6" xfId="0" applyNumberFormat="1" applyFont="1" applyFill="1" applyBorder="1" applyAlignment="1">
      <alignment horizontal="center"/>
    </xf>
    <xf numFmtId="1" fontId="4" fillId="5" borderId="6" xfId="0" applyNumberFormat="1" applyFont="1" applyFill="1" applyBorder="1" applyAlignment="1">
      <alignment horizontal="center" vertical="center"/>
    </xf>
    <xf numFmtId="1" fontId="6" fillId="2" borderId="7" xfId="0" applyNumberFormat="1" applyFont="1" applyFill="1" applyBorder="1" applyAlignment="1">
      <alignment horizontal="center"/>
    </xf>
    <xf numFmtId="1" fontId="7" fillId="5" borderId="6" xfId="0" applyNumberFormat="1" applyFont="1" applyFill="1" applyBorder="1" applyAlignment="1">
      <alignment horizontal="center" vertical="center"/>
    </xf>
    <xf numFmtId="1" fontId="6" fillId="2" borderId="7" xfId="0" applyNumberFormat="1" applyFont="1" applyFill="1" applyBorder="1" applyAlignment="1">
      <alignment horizontal="center" vertical="center"/>
    </xf>
    <xf numFmtId="1" fontId="7" fillId="3" borderId="7" xfId="0" applyNumberFormat="1" applyFont="1" applyFill="1" applyBorder="1" applyAlignment="1">
      <alignment horizontal="center" vertical="center"/>
    </xf>
    <xf numFmtId="1" fontId="4" fillId="5" borderId="6" xfId="0" applyNumberFormat="1" applyFont="1" applyFill="1" applyBorder="1" applyAlignment="1">
      <alignment horizontal="center" wrapText="1"/>
    </xf>
    <xf numFmtId="1" fontId="7" fillId="3" borderId="7" xfId="0" applyNumberFormat="1" applyFont="1" applyFill="1" applyBorder="1" applyAlignment="1">
      <alignment horizontal="center"/>
    </xf>
    <xf numFmtId="1" fontId="22" fillId="13" borderId="6" xfId="0" applyNumberFormat="1" applyFont="1" applyFill="1" applyBorder="1" applyAlignment="1">
      <alignment horizontal="center" wrapText="1"/>
    </xf>
    <xf numFmtId="1" fontId="33" fillId="5" borderId="6" xfId="0" applyNumberFormat="1" applyFont="1" applyFill="1" applyBorder="1" applyAlignment="1">
      <alignment horizontal="center" vertical="center"/>
    </xf>
    <xf numFmtId="1" fontId="7" fillId="2" borderId="7" xfId="0" applyNumberFormat="1" applyFont="1" applyFill="1" applyBorder="1" applyAlignment="1">
      <alignment horizontal="center"/>
    </xf>
    <xf numFmtId="1" fontId="10" fillId="13" borderId="6" xfId="0" applyNumberFormat="1" applyFont="1" applyFill="1" applyBorder="1" applyAlignment="1">
      <alignment horizontal="center" wrapText="1"/>
    </xf>
    <xf numFmtId="1" fontId="2" fillId="0" borderId="6" xfId="0" applyNumberFormat="1" applyFont="1" applyBorder="1"/>
    <xf numFmtId="1" fontId="5" fillId="0" borderId="9" xfId="0" applyNumberFormat="1" applyFont="1" applyBorder="1" applyAlignment="1">
      <alignment horizontal="center"/>
    </xf>
    <xf numFmtId="1" fontId="4" fillId="13" borderId="6" xfId="0" applyNumberFormat="1" applyFont="1" applyFill="1" applyBorder="1" applyAlignment="1">
      <alignment horizontal="center" wrapText="1"/>
    </xf>
    <xf numFmtId="1" fontId="4" fillId="13" borderId="6" xfId="0" applyNumberFormat="1" applyFont="1" applyFill="1" applyBorder="1" applyAlignment="1">
      <alignment horizontal="center" vertical="center" wrapText="1"/>
    </xf>
    <xf numFmtId="1" fontId="38" fillId="13" borderId="6" xfId="0" applyNumberFormat="1" applyFont="1" applyFill="1" applyBorder="1" applyAlignment="1">
      <alignment horizontal="center" vertical="center" wrapText="1"/>
    </xf>
    <xf numFmtId="1" fontId="32" fillId="13" borderId="6" xfId="0" applyNumberFormat="1" applyFont="1" applyFill="1" applyBorder="1" applyAlignment="1">
      <alignment horizontal="center" vertical="center" wrapText="1"/>
    </xf>
    <xf numFmtId="1" fontId="10" fillId="5" borderId="19" xfId="0" applyNumberFormat="1" applyFont="1" applyFill="1" applyBorder="1" applyAlignment="1">
      <alignment horizontal="center" wrapText="1"/>
    </xf>
    <xf numFmtId="1" fontId="10" fillId="5" borderId="15" xfId="0" applyNumberFormat="1" applyFont="1" applyFill="1" applyBorder="1" applyAlignment="1">
      <alignment horizontal="center" wrapText="1"/>
    </xf>
    <xf numFmtId="3" fontId="10" fillId="5" borderId="6" xfId="0" applyNumberFormat="1" applyFont="1" applyFill="1" applyBorder="1" applyAlignment="1">
      <alignment horizontal="center" wrapText="1"/>
    </xf>
    <xf numFmtId="1" fontId="15" fillId="5" borderId="15" xfId="0" applyNumberFormat="1" applyFont="1" applyFill="1" applyBorder="1" applyAlignment="1">
      <alignment horizontal="center" wrapText="1"/>
    </xf>
    <xf numFmtId="0" fontId="0" fillId="0" borderId="36" xfId="0" applyBorder="1"/>
    <xf numFmtId="3" fontId="4" fillId="13" borderId="15" xfId="0" applyNumberFormat="1" applyFont="1" applyFill="1" applyBorder="1" applyAlignment="1">
      <alignment horizontal="center" wrapText="1"/>
    </xf>
    <xf numFmtId="3" fontId="10" fillId="13" borderId="15" xfId="0" applyNumberFormat="1" applyFont="1" applyFill="1" applyBorder="1" applyAlignment="1">
      <alignment horizontal="center" wrapText="1"/>
    </xf>
    <xf numFmtId="3" fontId="4" fillId="0" borderId="19" xfId="0" applyNumberFormat="1" applyFont="1" applyBorder="1" applyAlignment="1">
      <alignment horizontal="center"/>
    </xf>
    <xf numFmtId="3" fontId="4" fillId="0" borderId="27" xfId="0" applyNumberFormat="1" applyFont="1" applyBorder="1" applyAlignment="1">
      <alignment horizontal="center"/>
    </xf>
    <xf numFmtId="0" fontId="68" fillId="13" borderId="57" xfId="0" applyFont="1" applyFill="1" applyBorder="1" applyAlignment="1">
      <alignment horizontal="center" vertical="center" wrapText="1"/>
    </xf>
    <xf numFmtId="0" fontId="34" fillId="0" borderId="42" xfId="0" applyFont="1" applyBorder="1" applyAlignment="1">
      <alignment wrapText="1"/>
    </xf>
    <xf numFmtId="0" fontId="34" fillId="13" borderId="57" xfId="0" applyFont="1" applyFill="1" applyBorder="1" applyAlignment="1">
      <alignment wrapText="1"/>
    </xf>
    <xf numFmtId="0" fontId="34" fillId="0" borderId="53" xfId="0" applyFont="1" applyBorder="1" applyAlignment="1">
      <alignment wrapText="1"/>
    </xf>
    <xf numFmtId="0" fontId="34" fillId="0" borderId="54" xfId="0" applyFont="1" applyBorder="1" applyAlignment="1">
      <alignment wrapText="1"/>
    </xf>
    <xf numFmtId="0" fontId="34" fillId="0" borderId="13" xfId="0" applyFont="1" applyBorder="1" applyAlignment="1">
      <alignment wrapText="1"/>
    </xf>
    <xf numFmtId="0" fontId="34" fillId="13" borderId="14" xfId="0" applyFont="1" applyFill="1" applyBorder="1" applyAlignment="1">
      <alignment wrapText="1"/>
    </xf>
    <xf numFmtId="0" fontId="34" fillId="0" borderId="14" xfId="0" applyFont="1" applyBorder="1" applyAlignment="1">
      <alignment wrapText="1"/>
    </xf>
    <xf numFmtId="0" fontId="34" fillId="0" borderId="93" xfId="0" applyFont="1" applyBorder="1" applyAlignment="1">
      <alignment wrapText="1"/>
    </xf>
    <xf numFmtId="0" fontId="34" fillId="0" borderId="103" xfId="0" applyFont="1" applyBorder="1" applyAlignment="1">
      <alignment wrapText="1"/>
    </xf>
    <xf numFmtId="0" fontId="34" fillId="0" borderId="104" xfId="0" applyFont="1" applyBorder="1" applyAlignment="1">
      <alignment wrapText="1"/>
    </xf>
    <xf numFmtId="3" fontId="36" fillId="6" borderId="93" xfId="0" quotePrefix="1" applyNumberFormat="1" applyFont="1" applyFill="1" applyBorder="1" applyAlignment="1">
      <alignment horizontal="center" vertical="center" wrapText="1"/>
    </xf>
    <xf numFmtId="0" fontId="69" fillId="6" borderId="78" xfId="0" applyFont="1" applyFill="1" applyBorder="1" applyAlignment="1">
      <alignment wrapText="1"/>
    </xf>
    <xf numFmtId="0" fontId="69" fillId="6" borderId="36" xfId="0" applyFont="1" applyFill="1" applyBorder="1" applyAlignment="1">
      <alignment wrapText="1"/>
    </xf>
    <xf numFmtId="0" fontId="69" fillId="6" borderId="82" xfId="0" applyFont="1" applyFill="1" applyBorder="1" applyAlignment="1">
      <alignment wrapText="1"/>
    </xf>
    <xf numFmtId="0" fontId="2" fillId="0" borderId="19" xfId="0" applyFont="1" applyBorder="1"/>
    <xf numFmtId="1" fontId="4" fillId="0" borderId="6" xfId="0" applyNumberFormat="1" applyFont="1" applyBorder="1" applyAlignment="1">
      <alignment horizontal="center" wrapText="1"/>
    </xf>
    <xf numFmtId="1" fontId="22" fillId="0" borderId="6" xfId="0" applyNumberFormat="1" applyFont="1" applyBorder="1" applyAlignment="1">
      <alignment horizontal="center" wrapText="1"/>
    </xf>
    <xf numFmtId="1" fontId="4" fillId="0" borderId="6" xfId="0" applyNumberFormat="1" applyFont="1" applyFill="1" applyBorder="1" applyAlignment="1">
      <alignment horizontal="center" wrapText="1"/>
    </xf>
    <xf numFmtId="1" fontId="38" fillId="0" borderId="6" xfId="0" applyNumberFormat="1" applyFont="1" applyFill="1" applyBorder="1" applyAlignment="1">
      <alignment horizontal="center" vertical="center" wrapText="1"/>
    </xf>
    <xf numFmtId="3" fontId="69" fillId="14" borderId="72" xfId="0" quotePrefix="1" applyNumberFormat="1" applyFont="1" applyFill="1" applyBorder="1" applyAlignment="1">
      <alignment horizontal="center" vertical="center" wrapText="1"/>
    </xf>
    <xf numFmtId="3" fontId="55" fillId="14" borderId="42" xfId="0" quotePrefix="1" applyNumberFormat="1" applyFont="1" applyFill="1" applyBorder="1" applyAlignment="1">
      <alignment horizontal="center" vertical="center" wrapText="1"/>
    </xf>
    <xf numFmtId="3" fontId="36" fillId="14" borderId="42" xfId="0" quotePrefix="1" applyNumberFormat="1" applyFont="1" applyFill="1" applyBorder="1" applyAlignment="1">
      <alignment horizontal="center" vertical="center" wrapText="1"/>
    </xf>
    <xf numFmtId="3" fontId="70" fillId="14" borderId="42" xfId="0" quotePrefix="1" applyNumberFormat="1" applyFont="1" applyFill="1" applyBorder="1" applyAlignment="1">
      <alignment horizontal="center" vertical="center" wrapText="1"/>
    </xf>
    <xf numFmtId="3" fontId="55" fillId="14" borderId="100" xfId="0" quotePrefix="1" applyNumberFormat="1" applyFont="1" applyFill="1" applyBorder="1" applyAlignment="1">
      <alignment horizontal="center" vertical="center" wrapText="1"/>
    </xf>
    <xf numFmtId="0" fontId="55" fillId="14" borderId="19" xfId="0" applyFont="1" applyFill="1" applyBorder="1" applyAlignment="1">
      <alignment wrapText="1"/>
    </xf>
    <xf numFmtId="0" fontId="55" fillId="13" borderId="94" xfId="0" applyFont="1" applyFill="1" applyBorder="1" applyAlignment="1">
      <alignment wrapText="1"/>
    </xf>
    <xf numFmtId="3" fontId="69" fillId="14" borderId="19" xfId="0" quotePrefix="1" applyNumberFormat="1" applyFont="1" applyFill="1" applyBorder="1" applyAlignment="1">
      <alignment horizontal="center" vertical="center" wrapText="1"/>
    </xf>
    <xf numFmtId="3" fontId="55" fillId="14" borderId="19" xfId="0" quotePrefix="1" applyNumberFormat="1" applyFont="1" applyFill="1" applyBorder="1" applyAlignment="1">
      <alignment horizontal="center" vertical="center" wrapText="1"/>
    </xf>
    <xf numFmtId="3" fontId="70" fillId="14" borderId="75" xfId="0" quotePrefix="1" applyNumberFormat="1" applyFont="1" applyFill="1" applyBorder="1" applyAlignment="1">
      <alignment horizontal="center" vertical="center" wrapText="1"/>
    </xf>
    <xf numFmtId="3" fontId="36" fillId="14" borderId="98" xfId="0" quotePrefix="1" applyNumberFormat="1" applyFont="1" applyFill="1" applyBorder="1" applyAlignment="1">
      <alignment horizontal="center" vertical="center" wrapText="1"/>
    </xf>
    <xf numFmtId="3" fontId="55" fillId="14" borderId="70" xfId="0" quotePrefix="1" applyNumberFormat="1" applyFont="1" applyFill="1" applyBorder="1" applyAlignment="1">
      <alignment horizontal="center" vertical="center" wrapText="1"/>
    </xf>
    <xf numFmtId="3" fontId="55" fillId="14" borderId="55" xfId="0" quotePrefix="1" applyNumberFormat="1" applyFont="1" applyFill="1" applyBorder="1" applyAlignment="1">
      <alignment horizontal="center" vertical="center" wrapText="1"/>
    </xf>
    <xf numFmtId="3" fontId="69" fillId="14" borderId="74" xfId="0" quotePrefix="1" applyNumberFormat="1" applyFont="1" applyFill="1" applyBorder="1" applyAlignment="1">
      <alignment horizontal="center" vertical="center" wrapText="1"/>
    </xf>
    <xf numFmtId="3" fontId="12" fillId="0" borderId="6" xfId="0" applyNumberFormat="1" applyFont="1" applyFill="1" applyBorder="1" applyAlignment="1">
      <alignment horizontal="center" vertical="center" wrapText="1"/>
    </xf>
    <xf numFmtId="3" fontId="69" fillId="14" borderId="93" xfId="0" quotePrefix="1" applyNumberFormat="1" applyFont="1" applyFill="1" applyBorder="1" applyAlignment="1">
      <alignment horizontal="center" vertical="center" wrapText="1"/>
    </xf>
    <xf numFmtId="3" fontId="69" fillId="13" borderId="0" xfId="0" quotePrefix="1" applyNumberFormat="1" applyFont="1" applyFill="1" applyBorder="1" applyAlignment="1">
      <alignment horizontal="center" vertical="center" wrapText="1"/>
    </xf>
    <xf numFmtId="0" fontId="69" fillId="13" borderId="59" xfId="0" applyFont="1" applyFill="1" applyBorder="1" applyAlignment="1">
      <alignment wrapText="1"/>
    </xf>
    <xf numFmtId="3" fontId="70" fillId="13" borderId="100" xfId="0" quotePrefix="1" applyNumberFormat="1" applyFont="1" applyFill="1" applyBorder="1" applyAlignment="1">
      <alignment horizontal="center" vertical="center" wrapText="1"/>
    </xf>
    <xf numFmtId="0" fontId="69" fillId="13" borderId="34" xfId="0" applyFont="1" applyFill="1" applyBorder="1" applyAlignment="1">
      <alignment wrapText="1"/>
    </xf>
    <xf numFmtId="3" fontId="69" fillId="0" borderId="34" xfId="0" quotePrefix="1" applyNumberFormat="1" applyFont="1" applyBorder="1" applyAlignment="1">
      <alignment horizontal="center" vertical="center" wrapText="1"/>
    </xf>
    <xf numFmtId="3" fontId="69" fillId="13" borderId="34" xfId="0" quotePrefix="1" applyNumberFormat="1" applyFont="1" applyFill="1" applyBorder="1" applyAlignment="1">
      <alignment horizontal="center" vertical="center" wrapText="1"/>
    </xf>
    <xf numFmtId="3" fontId="69" fillId="0" borderId="34" xfId="0" quotePrefix="1" applyNumberFormat="1" applyFont="1" applyFill="1" applyBorder="1" applyAlignment="1">
      <alignment horizontal="center" vertical="center" wrapText="1"/>
    </xf>
    <xf numFmtId="0" fontId="32" fillId="0" borderId="0" xfId="0" applyFont="1" applyFill="1" applyBorder="1" applyAlignment="1">
      <alignment horizontal="center" vertical="center" wrapText="1"/>
    </xf>
    <xf numFmtId="0" fontId="29" fillId="0" borderId="23" xfId="0" applyFont="1" applyFill="1" applyBorder="1" applyAlignment="1">
      <alignment horizontal="center" vertical="center" wrapText="1"/>
    </xf>
    <xf numFmtId="14" fontId="13" fillId="0" borderId="19" xfId="0" applyNumberFormat="1" applyFont="1" applyFill="1" applyBorder="1" applyAlignment="1">
      <alignment horizontal="center" vertical="center" wrapText="1"/>
    </xf>
    <xf numFmtId="0" fontId="12" fillId="0" borderId="19" xfId="0" applyFont="1" applyFill="1" applyBorder="1" applyAlignment="1">
      <alignment horizontal="center" vertical="center" wrapText="1"/>
    </xf>
    <xf numFmtId="4" fontId="45" fillId="0" borderId="6" xfId="0" applyNumberFormat="1" applyFont="1" applyFill="1" applyBorder="1" applyAlignment="1">
      <alignment horizontal="center" wrapText="1"/>
    </xf>
    <xf numFmtId="3" fontId="63" fillId="0" borderId="15" xfId="0" applyNumberFormat="1" applyFont="1" applyFill="1" applyBorder="1" applyAlignment="1">
      <alignment horizontal="center" vertical="center" wrapText="1"/>
    </xf>
    <xf numFmtId="4" fontId="63" fillId="0" borderId="15" xfId="0" applyNumberFormat="1" applyFont="1" applyFill="1" applyBorder="1" applyAlignment="1">
      <alignment horizontal="center" vertical="center" wrapText="1"/>
    </xf>
    <xf numFmtId="0" fontId="63" fillId="0" borderId="15" xfId="0" applyFont="1" applyFill="1" applyBorder="1" applyAlignment="1">
      <alignment horizontal="center" vertical="center" wrapText="1"/>
    </xf>
    <xf numFmtId="3" fontId="42" fillId="0" borderId="10" xfId="0" applyNumberFormat="1" applyFont="1" applyFill="1" applyBorder="1" applyAlignment="1">
      <alignment horizontal="center" vertical="center" wrapText="1"/>
    </xf>
    <xf numFmtId="4" fontId="44" fillId="0" borderId="10" xfId="0" applyNumberFormat="1" applyFont="1" applyFill="1" applyBorder="1" applyAlignment="1">
      <alignment horizontal="center" vertical="center" wrapText="1"/>
    </xf>
    <xf numFmtId="0" fontId="36" fillId="0" borderId="41" xfId="0" applyFont="1" applyBorder="1" applyAlignment="1">
      <alignment horizontal="center" vertical="center" wrapText="1"/>
    </xf>
    <xf numFmtId="0" fontId="40" fillId="16" borderId="5" xfId="0" applyFont="1" applyFill="1" applyBorder="1" applyAlignment="1">
      <alignment horizontal="center" vertical="center" wrapText="1"/>
    </xf>
    <xf numFmtId="0" fontId="13" fillId="16" borderId="25" xfId="0" applyFont="1" applyFill="1" applyBorder="1" applyAlignment="1">
      <alignment horizontal="center" vertical="center" wrapText="1"/>
    </xf>
    <xf numFmtId="0" fontId="13" fillId="16" borderId="28" xfId="0" applyFont="1" applyFill="1" applyBorder="1" applyAlignment="1">
      <alignment vertical="top" wrapText="1"/>
    </xf>
    <xf numFmtId="0" fontId="13" fillId="16" borderId="25" xfId="0" applyFont="1" applyFill="1" applyBorder="1" applyAlignment="1">
      <alignment vertical="top" wrapText="1"/>
    </xf>
    <xf numFmtId="0" fontId="13" fillId="16" borderId="19" xfId="0" applyFont="1" applyFill="1" applyBorder="1" applyAlignment="1">
      <alignment horizontal="center" vertical="center" wrapText="1"/>
    </xf>
    <xf numFmtId="0" fontId="13" fillId="16" borderId="37" xfId="0" applyFont="1" applyFill="1" applyBorder="1" applyAlignment="1">
      <alignment vertical="top" wrapText="1"/>
    </xf>
    <xf numFmtId="0" fontId="13" fillId="16" borderId="19" xfId="0" applyFont="1" applyFill="1" applyBorder="1" applyAlignment="1">
      <alignment vertical="top" wrapText="1"/>
    </xf>
    <xf numFmtId="0" fontId="13" fillId="16" borderId="32" xfId="0" applyFont="1" applyFill="1" applyBorder="1" applyAlignment="1">
      <alignment vertical="top" wrapText="1"/>
    </xf>
    <xf numFmtId="0" fontId="40" fillId="16" borderId="6" xfId="0" applyFont="1" applyFill="1" applyBorder="1" applyAlignment="1">
      <alignment horizontal="center" vertical="center" wrapText="1"/>
    </xf>
    <xf numFmtId="0" fontId="40" fillId="16" borderId="19" xfId="0" applyFont="1" applyFill="1" applyBorder="1" applyAlignment="1">
      <alignment horizontal="center" vertical="center" wrapText="1"/>
    </xf>
    <xf numFmtId="0" fontId="43" fillId="16" borderId="5" xfId="0" applyFont="1" applyFill="1" applyBorder="1" applyAlignment="1">
      <alignment horizontal="center" vertical="center" wrapText="1"/>
    </xf>
    <xf numFmtId="0" fontId="27" fillId="16" borderId="5" xfId="0" applyFont="1" applyFill="1" applyBorder="1" applyAlignment="1">
      <alignment horizontal="center" vertical="center" wrapText="1"/>
    </xf>
    <xf numFmtId="3" fontId="43" fillId="16" borderId="6" xfId="0" applyNumberFormat="1" applyFont="1" applyFill="1" applyBorder="1" applyAlignment="1">
      <alignment horizontal="center" vertical="center" wrapText="1"/>
    </xf>
    <xf numFmtId="0" fontId="43" fillId="16" borderId="19" xfId="0" applyFont="1" applyFill="1" applyBorder="1" applyAlignment="1">
      <alignment horizontal="center" vertical="center" wrapText="1"/>
    </xf>
    <xf numFmtId="0" fontId="38" fillId="0" borderId="19" xfId="0" applyFont="1" applyFill="1" applyBorder="1" applyAlignment="1">
      <alignment horizontal="center" vertical="center" wrapText="1"/>
    </xf>
    <xf numFmtId="0" fontId="38" fillId="0" borderId="58" xfId="0" applyFont="1" applyFill="1" applyBorder="1" applyAlignment="1">
      <alignment horizontal="center" vertical="center" wrapText="1"/>
    </xf>
    <xf numFmtId="0" fontId="38" fillId="0" borderId="15" xfId="0" applyFont="1" applyFill="1" applyBorder="1" applyAlignment="1">
      <alignment horizontal="center" vertical="center" wrapText="1"/>
    </xf>
    <xf numFmtId="0" fontId="29" fillId="0" borderId="19" xfId="0" applyFont="1" applyFill="1" applyBorder="1" applyAlignment="1">
      <alignment horizontal="center" vertical="center" wrapText="1"/>
    </xf>
    <xf numFmtId="0" fontId="40" fillId="16" borderId="13" xfId="0" applyFont="1" applyFill="1" applyBorder="1" applyAlignment="1">
      <alignment horizontal="center" vertical="center" wrapText="1"/>
    </xf>
    <xf numFmtId="0" fontId="32" fillId="0" borderId="27" xfId="0" applyFont="1" applyFill="1" applyBorder="1" applyAlignment="1">
      <alignment horizontal="center" vertical="center" wrapText="1"/>
    </xf>
    <xf numFmtId="0" fontId="32" fillId="0" borderId="46" xfId="0" applyFont="1" applyFill="1" applyBorder="1" applyAlignment="1">
      <alignment horizontal="center" vertical="center" wrapText="1"/>
    </xf>
    <xf numFmtId="0" fontId="32" fillId="0" borderId="6" xfId="0" applyFont="1" applyFill="1" applyBorder="1" applyAlignment="1">
      <alignment horizontal="center" vertical="center" wrapText="1"/>
    </xf>
    <xf numFmtId="0" fontId="32" fillId="0" borderId="23" xfId="0" applyFont="1" applyFill="1" applyBorder="1" applyAlignment="1">
      <alignment horizontal="center" vertical="center" wrapText="1"/>
    </xf>
    <xf numFmtId="0" fontId="32" fillId="0" borderId="99" xfId="0" applyFont="1" applyFill="1" applyBorder="1" applyAlignment="1">
      <alignment horizontal="center" vertical="center" wrapText="1"/>
    </xf>
    <xf numFmtId="0" fontId="32" fillId="0" borderId="105" xfId="0" applyFont="1" applyFill="1" applyBorder="1" applyAlignment="1">
      <alignment horizontal="center" vertical="center" wrapText="1"/>
    </xf>
    <xf numFmtId="0" fontId="32" fillId="0" borderId="107" xfId="0" applyFont="1" applyFill="1" applyBorder="1" applyAlignment="1">
      <alignment horizontal="center" vertical="center" wrapText="1"/>
    </xf>
    <xf numFmtId="0" fontId="13" fillId="0" borderId="19" xfId="0" applyFont="1" applyBorder="1" applyAlignment="1">
      <alignment horizontal="left" vertical="center" wrapText="1"/>
    </xf>
    <xf numFmtId="0" fontId="13" fillId="0" borderId="19" xfId="0" applyFont="1" applyFill="1" applyBorder="1" applyAlignment="1">
      <alignment horizontal="left" vertical="center" wrapText="1"/>
    </xf>
    <xf numFmtId="3" fontId="13" fillId="0" borderId="6" xfId="0" applyNumberFormat="1" applyFont="1" applyFill="1" applyBorder="1" applyAlignment="1">
      <alignment horizontal="center" vertical="center" wrapText="1"/>
    </xf>
    <xf numFmtId="0" fontId="13" fillId="0" borderId="27" xfId="0" applyFont="1" applyBorder="1" applyAlignment="1">
      <alignment horizontal="center" vertical="center" wrapText="1"/>
    </xf>
    <xf numFmtId="0" fontId="13" fillId="0" borderId="19" xfId="0" applyFont="1" applyFill="1" applyBorder="1" applyAlignment="1">
      <alignment horizontal="center" vertical="center" wrapText="1"/>
    </xf>
    <xf numFmtId="165" fontId="13" fillId="0" borderId="19" xfId="0" applyNumberFormat="1" applyFont="1" applyBorder="1" applyAlignment="1">
      <alignment horizontal="center" vertical="center" wrapText="1"/>
    </xf>
    <xf numFmtId="0" fontId="13" fillId="0" borderId="26" xfId="0" applyFont="1" applyBorder="1" applyAlignment="1">
      <alignment horizontal="center" vertical="center" wrapText="1"/>
    </xf>
    <xf numFmtId="0" fontId="13" fillId="0" borderId="0" xfId="0" applyFont="1" applyBorder="1" applyAlignment="1">
      <alignment horizontal="center" vertical="center" wrapText="1"/>
    </xf>
    <xf numFmtId="0" fontId="13" fillId="13" borderId="19" xfId="0" applyFont="1" applyFill="1" applyBorder="1" applyAlignment="1">
      <alignment horizontal="center" vertical="center" wrapText="1"/>
    </xf>
    <xf numFmtId="0" fontId="13" fillId="0" borderId="58" xfId="0" applyFont="1" applyFill="1" applyBorder="1" applyAlignment="1">
      <alignment horizontal="center" vertical="center" wrapText="1"/>
    </xf>
    <xf numFmtId="0" fontId="13" fillId="0" borderId="15" xfId="0" applyFont="1" applyFill="1" applyBorder="1" applyAlignment="1">
      <alignment horizontal="center" vertical="center" wrapText="1"/>
    </xf>
    <xf numFmtId="0" fontId="12" fillId="0" borderId="6" xfId="0" applyFont="1" applyFill="1" applyBorder="1" applyAlignment="1">
      <alignment horizontal="left" vertical="center" wrapText="1"/>
    </xf>
    <xf numFmtId="0" fontId="43" fillId="16" borderId="13" xfId="0" applyFont="1" applyFill="1" applyBorder="1" applyAlignment="1">
      <alignment horizontal="center" vertical="center" wrapText="1"/>
    </xf>
    <xf numFmtId="0" fontId="37" fillId="0" borderId="0" xfId="0" applyFont="1"/>
    <xf numFmtId="0" fontId="36" fillId="0" borderId="0" xfId="0" applyFont="1" applyAlignment="1">
      <alignment horizontal="center" vertical="center"/>
    </xf>
    <xf numFmtId="0" fontId="36" fillId="0" borderId="10" xfId="0" applyFont="1" applyBorder="1" applyAlignment="1">
      <alignment horizontal="center" vertical="center" wrapText="1"/>
    </xf>
    <xf numFmtId="0" fontId="34" fillId="0" borderId="41" xfId="0" applyFont="1" applyBorder="1" applyAlignment="1">
      <alignment horizontal="center" vertical="center" wrapText="1"/>
    </xf>
    <xf numFmtId="0" fontId="34" fillId="0" borderId="10" xfId="0" applyFont="1" applyBorder="1" applyAlignment="1">
      <alignment horizontal="center" vertical="center" wrapText="1"/>
    </xf>
    <xf numFmtId="0" fontId="34" fillId="0" borderId="29" xfId="0" applyFont="1" applyBorder="1" applyAlignment="1">
      <alignment horizontal="center" vertical="center" wrapText="1"/>
    </xf>
    <xf numFmtId="0" fontId="0" fillId="0" borderId="29" xfId="0" applyBorder="1" applyAlignment="1">
      <alignment vertical="top" wrapText="1"/>
    </xf>
    <xf numFmtId="0" fontId="0" fillId="0" borderId="10" xfId="0" applyBorder="1" applyAlignment="1">
      <alignment vertical="top" wrapText="1"/>
    </xf>
    <xf numFmtId="0" fontId="36" fillId="0" borderId="29" xfId="0" applyFont="1" applyBorder="1" applyAlignment="1">
      <alignment horizontal="center" vertical="center" wrapText="1"/>
    </xf>
    <xf numFmtId="0" fontId="0" fillId="0" borderId="29" xfId="0" applyBorder="1" applyAlignment="1">
      <alignment vertical="center" wrapText="1"/>
    </xf>
    <xf numFmtId="0" fontId="0" fillId="0" borderId="10" xfId="0" applyBorder="1" applyAlignment="1">
      <alignment vertical="center" wrapText="1"/>
    </xf>
    <xf numFmtId="0" fontId="44" fillId="0" borderId="29" xfId="0" applyFont="1" applyBorder="1" applyAlignment="1">
      <alignment horizontal="center" vertical="center" wrapText="1"/>
    </xf>
    <xf numFmtId="0" fontId="36" fillId="0" borderId="33" xfId="0" applyFont="1" applyBorder="1" applyAlignment="1">
      <alignment horizontal="center" vertical="center" wrapText="1"/>
    </xf>
    <xf numFmtId="0" fontId="44" fillId="0" borderId="29" xfId="0" applyFont="1" applyBorder="1" applyAlignment="1">
      <alignment vertical="center" wrapText="1"/>
    </xf>
    <xf numFmtId="0" fontId="36" fillId="0" borderId="0" xfId="0" applyFont="1" applyAlignment="1">
      <alignment horizontal="left" vertical="center"/>
    </xf>
    <xf numFmtId="0" fontId="44" fillId="0" borderId="10" xfId="0" applyFont="1" applyBorder="1" applyAlignment="1">
      <alignment vertical="center" wrapText="1"/>
    </xf>
    <xf numFmtId="0" fontId="74" fillId="0" borderId="29" xfId="0" applyFont="1" applyBorder="1" applyAlignment="1">
      <alignment horizontal="center" vertical="center" wrapText="1"/>
    </xf>
    <xf numFmtId="0" fontId="76" fillId="0" borderId="10" xfId="2" applyBorder="1" applyAlignment="1">
      <alignment horizontal="center" vertical="center" wrapText="1"/>
    </xf>
    <xf numFmtId="0" fontId="75" fillId="0" borderId="29" xfId="0" applyFont="1" applyBorder="1" applyAlignment="1">
      <alignment horizontal="center" vertical="center" wrapText="1"/>
    </xf>
    <xf numFmtId="0" fontId="72" fillId="0" borderId="29" xfId="0" applyFont="1" applyBorder="1" applyAlignment="1">
      <alignment horizontal="center" vertical="center" wrapText="1"/>
    </xf>
    <xf numFmtId="0" fontId="31" fillId="0" borderId="29" xfId="0" applyFont="1" applyBorder="1" applyAlignment="1">
      <alignment horizontal="center" vertical="center" wrapText="1"/>
    </xf>
    <xf numFmtId="0" fontId="31" fillId="0" borderId="10" xfId="0" applyFont="1" applyBorder="1" applyAlignment="1">
      <alignment horizontal="center" vertical="center" wrapText="1"/>
    </xf>
    <xf numFmtId="0" fontId="28" fillId="0" borderId="0" xfId="0" applyFont="1" applyFill="1" applyBorder="1" applyAlignment="1">
      <alignment horizontal="center" vertical="center" wrapText="1"/>
    </xf>
    <xf numFmtId="14" fontId="29" fillId="0" borderId="19" xfId="0" applyNumberFormat="1" applyFont="1" applyBorder="1" applyAlignment="1">
      <alignment horizontal="center" vertical="center" wrapText="1"/>
    </xf>
    <xf numFmtId="0" fontId="34" fillId="0" borderId="0" xfId="0" applyFont="1" applyBorder="1" applyAlignment="1">
      <alignment horizontal="center" vertical="center" wrapText="1"/>
    </xf>
    <xf numFmtId="0" fontId="44" fillId="0" borderId="0" xfId="0" applyFont="1" applyBorder="1" applyAlignment="1">
      <alignment vertical="center" wrapText="1"/>
    </xf>
    <xf numFmtId="1" fontId="16" fillId="0" borderId="14" xfId="0" applyNumberFormat="1" applyFont="1" applyBorder="1" applyAlignment="1">
      <alignment horizontal="center"/>
    </xf>
    <xf numFmtId="1" fontId="4" fillId="0" borderId="14" xfId="0" applyNumberFormat="1" applyFont="1" applyBorder="1" applyAlignment="1">
      <alignment horizontal="center"/>
    </xf>
    <xf numFmtId="1" fontId="15" fillId="0" borderId="14" xfId="0" applyNumberFormat="1" applyFont="1" applyBorder="1" applyAlignment="1">
      <alignment horizontal="center"/>
    </xf>
    <xf numFmtId="1" fontId="17" fillId="0" borderId="14" xfId="0" applyNumberFormat="1" applyFont="1" applyBorder="1" applyAlignment="1">
      <alignment horizontal="center"/>
    </xf>
    <xf numFmtId="1" fontId="22" fillId="0" borderId="14" xfId="0" applyNumberFormat="1" applyFont="1" applyBorder="1" applyAlignment="1">
      <alignment horizontal="center"/>
    </xf>
    <xf numFmtId="1" fontId="10" fillId="0" borderId="14" xfId="0" applyNumberFormat="1" applyFont="1" applyBorder="1" applyAlignment="1">
      <alignment horizontal="center"/>
    </xf>
    <xf numFmtId="1" fontId="18" fillId="0" borderId="14" xfId="0" applyNumberFormat="1" applyFont="1" applyBorder="1" applyAlignment="1">
      <alignment horizontal="center"/>
    </xf>
    <xf numFmtId="1" fontId="15" fillId="5" borderId="14" xfId="0" applyNumberFormat="1" applyFont="1" applyFill="1" applyBorder="1" applyAlignment="1">
      <alignment horizontal="center"/>
    </xf>
    <xf numFmtId="0" fontId="0" fillId="0" borderId="34" xfId="0" applyBorder="1"/>
    <xf numFmtId="1" fontId="0" fillId="0" borderId="34" xfId="0" applyNumberFormat="1" applyBorder="1"/>
    <xf numFmtId="3" fontId="0" fillId="0" borderId="34" xfId="0" applyNumberFormat="1" applyBorder="1"/>
    <xf numFmtId="3" fontId="9" fillId="0" borderId="34" xfId="0" applyNumberFormat="1" applyFont="1" applyBorder="1"/>
    <xf numFmtId="0" fontId="0" fillId="0" borderId="34" xfId="0" applyBorder="1" applyAlignment="1">
      <alignment wrapText="1"/>
    </xf>
    <xf numFmtId="14" fontId="0" fillId="0" borderId="34" xfId="0" applyNumberFormat="1" applyBorder="1"/>
    <xf numFmtId="1" fontId="22" fillId="0" borderId="6" xfId="0" applyNumberFormat="1" applyFont="1" applyFill="1" applyBorder="1" applyAlignment="1">
      <alignment horizontal="center" vertical="center" wrapText="1"/>
    </xf>
    <xf numFmtId="3" fontId="14" fillId="0" borderId="55" xfId="0" applyNumberFormat="1" applyFont="1" applyBorder="1"/>
    <xf numFmtId="165" fontId="0" fillId="0" borderId="34" xfId="0" applyNumberFormat="1" applyBorder="1"/>
    <xf numFmtId="165" fontId="9" fillId="0" borderId="34" xfId="0" applyNumberFormat="1" applyFont="1" applyBorder="1"/>
    <xf numFmtId="3" fontId="10" fillId="13" borderId="6" xfId="0" applyNumberFormat="1" applyFont="1" applyFill="1" applyBorder="1" applyAlignment="1">
      <alignment horizontal="center" vertical="center" wrapText="1"/>
    </xf>
    <xf numFmtId="1" fontId="22" fillId="0" borderId="6" xfId="0" applyNumberFormat="1" applyFont="1" applyBorder="1" applyAlignment="1">
      <alignment horizontal="center" vertical="center" wrapText="1"/>
    </xf>
    <xf numFmtId="1" fontId="10" fillId="13" borderId="6" xfId="0" applyNumberFormat="1" applyFont="1" applyFill="1" applyBorder="1" applyAlignment="1">
      <alignment horizontal="center" vertical="center" wrapText="1"/>
    </xf>
    <xf numFmtId="3" fontId="4" fillId="0" borderId="6" xfId="0" applyNumberFormat="1" applyFont="1" applyBorder="1" applyAlignment="1">
      <alignment horizontal="center" vertical="center"/>
    </xf>
    <xf numFmtId="3" fontId="22" fillId="0" borderId="6" xfId="0" applyNumberFormat="1" applyFont="1" applyBorder="1" applyAlignment="1">
      <alignment horizontal="center" vertical="center"/>
    </xf>
    <xf numFmtId="3" fontId="22" fillId="0" borderId="7" xfId="0" applyNumberFormat="1" applyFont="1" applyBorder="1" applyAlignment="1">
      <alignment horizontal="center" vertical="center"/>
    </xf>
    <xf numFmtId="3" fontId="4" fillId="0" borderId="7" xfId="0" applyNumberFormat="1" applyFont="1" applyBorder="1" applyAlignment="1">
      <alignment horizontal="center" vertical="center"/>
    </xf>
    <xf numFmtId="3" fontId="19" fillId="0" borderId="0" xfId="0" applyNumberFormat="1" applyFont="1" applyBorder="1" applyAlignment="1">
      <alignment horizontal="center" vertical="center" wrapText="1"/>
    </xf>
    <xf numFmtId="4" fontId="19" fillId="0" borderId="0" xfId="0" applyNumberFormat="1" applyFont="1" applyBorder="1" applyAlignment="1">
      <alignment horizontal="center" vertical="center" wrapText="1"/>
    </xf>
    <xf numFmtId="0" fontId="69" fillId="0" borderId="34" xfId="0" applyFont="1" applyFill="1" applyBorder="1" applyAlignment="1">
      <alignment wrapText="1"/>
    </xf>
    <xf numFmtId="0" fontId="13" fillId="0" borderId="23" xfId="0" applyFont="1" applyBorder="1" applyAlignment="1">
      <alignment horizontal="center" vertical="center" wrapText="1"/>
    </xf>
    <xf numFmtId="3" fontId="12" fillId="7" borderId="6" xfId="0" applyNumberFormat="1" applyFont="1" applyFill="1" applyBorder="1" applyAlignment="1">
      <alignment horizontal="center" vertical="center" wrapText="1"/>
    </xf>
    <xf numFmtId="3" fontId="12" fillId="7" borderId="27" xfId="0" applyNumberFormat="1" applyFont="1" applyFill="1" applyBorder="1" applyAlignment="1">
      <alignment horizontal="center" vertical="center" wrapText="1"/>
    </xf>
    <xf numFmtId="0" fontId="12" fillId="6" borderId="6" xfId="0" applyFont="1" applyFill="1" applyBorder="1" applyAlignment="1">
      <alignment horizontal="center" vertical="center" wrapText="1"/>
    </xf>
    <xf numFmtId="3" fontId="12" fillId="6" borderId="6" xfId="0" applyNumberFormat="1" applyFont="1" applyFill="1" applyBorder="1" applyAlignment="1">
      <alignment horizontal="center" vertical="center" wrapText="1"/>
    </xf>
    <xf numFmtId="1" fontId="12" fillId="6" borderId="6" xfId="0" applyNumberFormat="1" applyFont="1" applyFill="1" applyBorder="1" applyAlignment="1">
      <alignment horizontal="center" vertical="center" wrapText="1"/>
    </xf>
    <xf numFmtId="166" fontId="29" fillId="0" borderId="19" xfId="0" applyNumberFormat="1" applyFont="1" applyFill="1" applyBorder="1" applyAlignment="1">
      <alignment horizontal="center" vertical="center" wrapText="1"/>
    </xf>
    <xf numFmtId="3" fontId="12" fillId="0" borderId="34" xfId="0" applyNumberFormat="1" applyFont="1" applyFill="1" applyBorder="1" applyAlignment="1">
      <alignment horizontal="center" vertical="center" wrapText="1"/>
    </xf>
    <xf numFmtId="1" fontId="29" fillId="0" borderId="19" xfId="0" applyNumberFormat="1" applyFont="1" applyFill="1" applyBorder="1" applyAlignment="1">
      <alignment horizontal="center" vertical="center" wrapText="1"/>
    </xf>
    <xf numFmtId="0" fontId="12" fillId="0" borderId="6" xfId="0" applyFont="1" applyFill="1" applyBorder="1" applyAlignment="1">
      <alignment horizontal="center" vertical="center" wrapText="1"/>
    </xf>
    <xf numFmtId="3" fontId="29" fillId="0" borderId="6" xfId="0" applyNumberFormat="1" applyFont="1" applyFill="1" applyBorder="1" applyAlignment="1">
      <alignment horizontal="center" vertical="center" wrapText="1"/>
    </xf>
    <xf numFmtId="4" fontId="12" fillId="0" borderId="19" xfId="0" applyNumberFormat="1" applyFont="1" applyFill="1" applyBorder="1" applyAlignment="1">
      <alignment horizontal="center" vertical="center" wrapText="1"/>
    </xf>
    <xf numFmtId="4" fontId="40" fillId="0" borderId="7" xfId="0" applyNumberFormat="1" applyFont="1" applyFill="1" applyBorder="1" applyAlignment="1">
      <alignment horizontal="center" vertical="center" wrapText="1"/>
    </xf>
    <xf numFmtId="4" fontId="12" fillId="0" borderId="27" xfId="0" applyNumberFormat="1" applyFont="1" applyFill="1" applyBorder="1" applyAlignment="1">
      <alignment horizontal="center" vertical="center" wrapText="1"/>
    </xf>
    <xf numFmtId="4" fontId="12" fillId="0" borderId="23" xfId="0" applyNumberFormat="1" applyFont="1" applyFill="1" applyBorder="1" applyAlignment="1">
      <alignment horizontal="center" vertical="center" wrapText="1"/>
    </xf>
    <xf numFmtId="4" fontId="12" fillId="11" borderId="7" xfId="0" applyNumberFormat="1" applyFont="1" applyFill="1" applyBorder="1" applyAlignment="1">
      <alignment horizontal="center" vertical="center" wrapText="1"/>
    </xf>
    <xf numFmtId="0" fontId="34" fillId="0" borderId="91" xfId="0" applyFont="1" applyBorder="1" applyAlignment="1">
      <alignment wrapText="1"/>
    </xf>
    <xf numFmtId="0" fontId="34" fillId="13" borderId="59" xfId="0" applyFont="1" applyFill="1" applyBorder="1" applyAlignment="1">
      <alignment wrapText="1"/>
    </xf>
    <xf numFmtId="0" fontId="68" fillId="0" borderId="107" xfId="0" applyFont="1" applyBorder="1" applyAlignment="1">
      <alignment horizontal="center" vertical="center" wrapText="1"/>
    </xf>
    <xf numFmtId="0" fontId="68" fillId="13" borderId="23" xfId="0" applyFont="1" applyFill="1" applyBorder="1" applyAlignment="1">
      <alignment horizontal="center" vertical="center" wrapText="1"/>
    </xf>
    <xf numFmtId="0" fontId="68" fillId="0" borderId="99" xfId="0" applyFont="1" applyBorder="1" applyAlignment="1">
      <alignment horizontal="center" vertical="center" wrapText="1"/>
    </xf>
    <xf numFmtId="14" fontId="69" fillId="16" borderId="55" xfId="0" applyNumberFormat="1" applyFont="1" applyFill="1" applyBorder="1" applyAlignment="1">
      <alignment horizontal="center" vertical="center" wrapText="1"/>
    </xf>
    <xf numFmtId="0" fontId="69" fillId="16" borderId="34" xfId="0" applyFont="1" applyFill="1" applyBorder="1" applyAlignment="1">
      <alignment wrapText="1"/>
    </xf>
    <xf numFmtId="14" fontId="69" fillId="16" borderId="34" xfId="0" applyNumberFormat="1" applyFont="1" applyFill="1" applyBorder="1" applyAlignment="1">
      <alignment horizontal="center" vertical="center" wrapText="1"/>
    </xf>
    <xf numFmtId="0" fontId="69" fillId="16" borderId="34" xfId="0" applyFont="1" applyFill="1" applyBorder="1" applyAlignment="1">
      <alignment horizontal="center" vertical="center" wrapText="1"/>
    </xf>
    <xf numFmtId="14" fontId="69" fillId="16" borderId="34" xfId="0" applyNumberFormat="1" applyFont="1" applyFill="1" applyBorder="1" applyAlignment="1">
      <alignment vertical="center" wrapText="1"/>
    </xf>
    <xf numFmtId="0" fontId="69" fillId="16" borderId="34" xfId="0" applyFont="1" applyFill="1" applyBorder="1" applyAlignment="1">
      <alignment vertical="center" wrapText="1"/>
    </xf>
    <xf numFmtId="14" fontId="69" fillId="16" borderId="34" xfId="0" applyNumberFormat="1" applyFont="1" applyFill="1" applyBorder="1" applyAlignment="1">
      <alignment wrapText="1"/>
    </xf>
    <xf numFmtId="14" fontId="69" fillId="16" borderId="35" xfId="0" applyNumberFormat="1" applyFont="1" applyFill="1" applyBorder="1" applyAlignment="1">
      <alignment vertical="center" wrapText="1"/>
    </xf>
    <xf numFmtId="0" fontId="69" fillId="16" borderId="36" xfId="0" applyFont="1" applyFill="1" applyBorder="1" applyAlignment="1">
      <alignment wrapText="1"/>
    </xf>
    <xf numFmtId="14" fontId="69" fillId="16" borderId="87" xfId="0" applyNumberFormat="1" applyFont="1" applyFill="1" applyBorder="1" applyAlignment="1">
      <alignment horizontal="center" vertical="center" wrapText="1"/>
    </xf>
    <xf numFmtId="0" fontId="69" fillId="0" borderId="91" xfId="0" applyFont="1" applyBorder="1" applyAlignment="1">
      <alignment wrapText="1"/>
    </xf>
    <xf numFmtId="0" fontId="40" fillId="16" borderId="14" xfId="0" applyFont="1" applyFill="1" applyBorder="1" applyAlignment="1">
      <alignment horizontal="center" vertical="center" wrapText="1"/>
    </xf>
    <xf numFmtId="0" fontId="69" fillId="0" borderId="75" xfId="0" applyFont="1" applyBorder="1" applyAlignment="1">
      <alignment wrapText="1"/>
    </xf>
    <xf numFmtId="0" fontId="69" fillId="0" borderId="56" xfId="0" applyFont="1" applyBorder="1" applyAlignment="1">
      <alignment wrapText="1"/>
    </xf>
    <xf numFmtId="0" fontId="69" fillId="0" borderId="70" xfId="0" applyFont="1" applyBorder="1" applyAlignment="1">
      <alignment wrapText="1"/>
    </xf>
    <xf numFmtId="0" fontId="69" fillId="0" borderId="98" xfId="0" applyFont="1" applyBorder="1" applyAlignment="1">
      <alignment wrapText="1"/>
    </xf>
    <xf numFmtId="0" fontId="69" fillId="0" borderId="111" xfId="0" applyFont="1" applyBorder="1" applyAlignment="1">
      <alignment wrapText="1"/>
    </xf>
    <xf numFmtId="0" fontId="69" fillId="13" borderId="56" xfId="0" applyFont="1" applyFill="1" applyBorder="1" applyAlignment="1">
      <alignment wrapText="1"/>
    </xf>
    <xf numFmtId="14" fontId="69" fillId="0" borderId="56" xfId="0" applyNumberFormat="1" applyFont="1" applyBorder="1" applyAlignment="1">
      <alignment horizontal="center" vertical="center" wrapText="1"/>
    </xf>
    <xf numFmtId="14" fontId="69" fillId="16" borderId="56" xfId="0" applyNumberFormat="1" applyFont="1" applyFill="1" applyBorder="1" applyAlignment="1">
      <alignment horizontal="center" vertical="center" wrapText="1"/>
    </xf>
    <xf numFmtId="0" fontId="69" fillId="0" borderId="56" xfId="0" applyFont="1" applyBorder="1" applyAlignment="1">
      <alignment horizontal="center" vertical="center" wrapText="1"/>
    </xf>
    <xf numFmtId="0" fontId="69" fillId="13" borderId="111" xfId="0" applyFont="1" applyFill="1" applyBorder="1" applyAlignment="1">
      <alignment wrapText="1"/>
    </xf>
    <xf numFmtId="14" fontId="69" fillId="0" borderId="111" xfId="0" applyNumberFormat="1" applyFont="1" applyBorder="1" applyAlignment="1">
      <alignment horizontal="center" vertical="center" wrapText="1"/>
    </xf>
    <xf numFmtId="14" fontId="69" fillId="16" borderId="111" xfId="0" applyNumberFormat="1" applyFont="1" applyFill="1" applyBorder="1" applyAlignment="1">
      <alignment horizontal="center" vertical="center" wrapText="1"/>
    </xf>
    <xf numFmtId="0" fontId="69" fillId="0" borderId="111" xfId="0" applyFont="1" applyBorder="1" applyAlignment="1">
      <alignment horizontal="center" vertical="center" wrapText="1"/>
    </xf>
    <xf numFmtId="14" fontId="69" fillId="16" borderId="36" xfId="0" applyNumberFormat="1" applyFont="1" applyFill="1" applyBorder="1" applyAlignment="1">
      <alignment horizontal="center" vertical="center" wrapText="1"/>
    </xf>
    <xf numFmtId="0" fontId="68" fillId="0" borderId="13" xfId="0" applyFont="1" applyBorder="1" applyAlignment="1">
      <alignment horizontal="center" vertical="center" wrapText="1"/>
    </xf>
    <xf numFmtId="3" fontId="55" fillId="16" borderId="19" xfId="0" quotePrefix="1" applyNumberFormat="1" applyFont="1" applyFill="1" applyBorder="1" applyAlignment="1">
      <alignment horizontal="center" vertical="center" wrapText="1"/>
    </xf>
    <xf numFmtId="3" fontId="55" fillId="16" borderId="14" xfId="0" applyNumberFormat="1" applyFont="1" applyFill="1" applyBorder="1" applyAlignment="1">
      <alignment horizontal="center" vertical="center" wrapText="1"/>
    </xf>
    <xf numFmtId="3" fontId="55" fillId="16" borderId="19" xfId="0" applyNumberFormat="1" applyFont="1" applyFill="1" applyBorder="1" applyAlignment="1">
      <alignment horizontal="center" vertical="center" wrapText="1"/>
    </xf>
    <xf numFmtId="0" fontId="69" fillId="13" borderId="35" xfId="0" applyFont="1" applyFill="1" applyBorder="1" applyAlignment="1">
      <alignment wrapText="1"/>
    </xf>
    <xf numFmtId="3" fontId="69" fillId="0" borderId="35" xfId="0" quotePrefix="1" applyNumberFormat="1" applyFont="1" applyBorder="1" applyAlignment="1">
      <alignment horizontal="center" vertical="center" wrapText="1"/>
    </xf>
    <xf numFmtId="14" fontId="69" fillId="0" borderId="35" xfId="0" applyNumberFormat="1" applyFont="1" applyBorder="1" applyAlignment="1">
      <alignment horizontal="center" vertical="center" wrapText="1"/>
    </xf>
    <xf numFmtId="0" fontId="69" fillId="16" borderId="35" xfId="0" applyFont="1" applyFill="1" applyBorder="1" applyAlignment="1">
      <alignment wrapText="1"/>
    </xf>
    <xf numFmtId="1" fontId="69" fillId="0" borderId="34" xfId="0" applyNumberFormat="1" applyFont="1" applyBorder="1" applyAlignment="1">
      <alignment horizontal="center" vertical="center" wrapText="1"/>
    </xf>
    <xf numFmtId="14" fontId="69" fillId="16" borderId="35" xfId="0" applyNumberFormat="1" applyFont="1" applyFill="1" applyBorder="1" applyAlignment="1">
      <alignment horizontal="center" vertical="center" wrapText="1"/>
    </xf>
    <xf numFmtId="0" fontId="69" fillId="0" borderId="35" xfId="0" applyFont="1" applyBorder="1" applyAlignment="1">
      <alignment horizontal="center" vertical="center" wrapText="1"/>
    </xf>
    <xf numFmtId="0" fontId="69" fillId="13" borderId="36" xfId="0" applyFont="1" applyFill="1" applyBorder="1" applyAlignment="1">
      <alignment wrapText="1"/>
    </xf>
    <xf numFmtId="14" fontId="69" fillId="0" borderId="36" xfId="0" applyNumberFormat="1" applyFont="1" applyBorder="1" applyAlignment="1">
      <alignment horizontal="center" vertical="center" wrapText="1"/>
    </xf>
    <xf numFmtId="0" fontId="69" fillId="0" borderId="36" xfId="0" applyFont="1" applyBorder="1" applyAlignment="1">
      <alignment horizontal="center" vertical="center" wrapText="1"/>
    </xf>
    <xf numFmtId="0" fontId="69" fillId="16" borderId="36" xfId="0" applyFont="1" applyFill="1" applyBorder="1" applyAlignment="1">
      <alignment vertical="center" wrapText="1"/>
    </xf>
    <xf numFmtId="0" fontId="69" fillId="0" borderId="36" xfId="0" applyFont="1" applyBorder="1" applyAlignment="1">
      <alignment vertical="center" wrapText="1"/>
    </xf>
    <xf numFmtId="3" fontId="70" fillId="7" borderId="72" xfId="0" quotePrefix="1" applyNumberFormat="1" applyFont="1" applyFill="1" applyBorder="1" applyAlignment="1">
      <alignment horizontal="center" vertical="center" wrapText="1"/>
    </xf>
    <xf numFmtId="0" fontId="69" fillId="7" borderId="82" xfId="0" applyFont="1" applyFill="1" applyBorder="1" applyAlignment="1">
      <alignment wrapText="1"/>
    </xf>
    <xf numFmtId="3" fontId="57" fillId="7" borderId="15" xfId="0" applyNumberFormat="1" applyFont="1" applyFill="1" applyBorder="1" applyAlignment="1">
      <alignment horizontal="center" vertical="center" wrapText="1"/>
    </xf>
    <xf numFmtId="0" fontId="69" fillId="13" borderId="57" xfId="0" applyFont="1" applyFill="1" applyBorder="1" applyAlignment="1">
      <alignment wrapText="1"/>
    </xf>
    <xf numFmtId="0" fontId="69" fillId="6" borderId="57" xfId="0" applyFont="1" applyFill="1" applyBorder="1" applyAlignment="1">
      <alignment wrapText="1"/>
    </xf>
    <xf numFmtId="0" fontId="69" fillId="6" borderId="18" xfId="0" applyFont="1" applyFill="1" applyBorder="1" applyAlignment="1">
      <alignment wrapText="1"/>
    </xf>
    <xf numFmtId="0" fontId="69" fillId="6" borderId="19" xfId="0" applyFont="1" applyFill="1" applyBorder="1" applyAlignment="1">
      <alignment wrapText="1"/>
    </xf>
    <xf numFmtId="3" fontId="36" fillId="6" borderId="100" xfId="0" quotePrefix="1" applyNumberFormat="1" applyFont="1" applyFill="1" applyBorder="1" applyAlignment="1">
      <alignment horizontal="center" vertical="center" wrapText="1"/>
    </xf>
    <xf numFmtId="0" fontId="69" fillId="6" borderId="46" xfId="0" applyFont="1" applyFill="1" applyBorder="1" applyAlignment="1">
      <alignment wrapText="1"/>
    </xf>
    <xf numFmtId="0" fontId="69" fillId="6" borderId="106" xfId="0" applyFont="1" applyFill="1" applyBorder="1" applyAlignment="1">
      <alignment wrapText="1"/>
    </xf>
    <xf numFmtId="14" fontId="69" fillId="16" borderId="36" xfId="0" applyNumberFormat="1" applyFont="1" applyFill="1" applyBorder="1" applyAlignment="1">
      <alignment vertical="center" wrapText="1"/>
    </xf>
    <xf numFmtId="14" fontId="57" fillId="7" borderId="19" xfId="0" applyNumberFormat="1" applyFont="1" applyFill="1" applyBorder="1" applyAlignment="1">
      <alignment horizontal="center" vertical="center" wrapText="1"/>
    </xf>
    <xf numFmtId="0" fontId="81" fillId="7" borderId="57" xfId="0" applyFont="1" applyFill="1" applyBorder="1" applyAlignment="1">
      <alignment wrapText="1"/>
    </xf>
    <xf numFmtId="3" fontId="82" fillId="7" borderId="19" xfId="0" quotePrefix="1" applyNumberFormat="1" applyFont="1" applyFill="1" applyBorder="1" applyAlignment="1">
      <alignment horizontal="center" vertical="center" wrapText="1"/>
    </xf>
    <xf numFmtId="0" fontId="68" fillId="15" borderId="23" xfId="0" applyFont="1" applyFill="1" applyBorder="1" applyAlignment="1">
      <alignment horizontal="center" vertical="center" wrapText="1"/>
    </xf>
    <xf numFmtId="14" fontId="69" fillId="15" borderId="34" xfId="0" applyNumberFormat="1" applyFont="1" applyFill="1" applyBorder="1" applyAlignment="1">
      <alignment horizontal="center" vertical="center" wrapText="1"/>
    </xf>
    <xf numFmtId="0" fontId="69" fillId="15" borderId="34" xfId="0" applyFont="1" applyFill="1" applyBorder="1" applyAlignment="1">
      <alignment horizontal="center" vertical="center" wrapText="1"/>
    </xf>
    <xf numFmtId="0" fontId="69" fillId="15" borderId="34" xfId="0" applyFont="1" applyFill="1" applyBorder="1" applyAlignment="1">
      <alignment wrapText="1"/>
    </xf>
    <xf numFmtId="3" fontId="69" fillId="15" borderId="34" xfId="0" quotePrefix="1" applyNumberFormat="1" applyFont="1" applyFill="1" applyBorder="1" applyAlignment="1">
      <alignment horizontal="center" vertical="center" wrapText="1"/>
    </xf>
    <xf numFmtId="14" fontId="69" fillId="15" borderId="34" xfId="0" applyNumberFormat="1" applyFont="1" applyFill="1" applyBorder="1" applyAlignment="1">
      <alignment vertical="center" wrapText="1"/>
    </xf>
    <xf numFmtId="0" fontId="69" fillId="15" borderId="36" xfId="0" applyFont="1" applyFill="1" applyBorder="1" applyAlignment="1">
      <alignment wrapText="1"/>
    </xf>
    <xf numFmtId="3" fontId="69" fillId="15" borderId="36" xfId="0" quotePrefix="1" applyNumberFormat="1" applyFont="1" applyFill="1" applyBorder="1" applyAlignment="1">
      <alignment horizontal="center" vertical="center" wrapText="1"/>
    </xf>
    <xf numFmtId="14" fontId="69" fillId="15" borderId="36" xfId="0" applyNumberFormat="1" applyFont="1" applyFill="1" applyBorder="1" applyAlignment="1">
      <alignment horizontal="center" vertical="center" wrapText="1"/>
    </xf>
    <xf numFmtId="14" fontId="69" fillId="15" borderId="36" xfId="0" applyNumberFormat="1" applyFont="1" applyFill="1" applyBorder="1" applyAlignment="1">
      <alignment vertical="center" wrapText="1"/>
    </xf>
    <xf numFmtId="0" fontId="69" fillId="15" borderId="36" xfId="0" applyFont="1" applyFill="1" applyBorder="1" applyAlignment="1">
      <alignment horizontal="center" vertical="center" wrapText="1"/>
    </xf>
    <xf numFmtId="0" fontId="28" fillId="15" borderId="34" xfId="0" applyFont="1" applyFill="1" applyBorder="1" applyAlignment="1">
      <alignment wrapText="1"/>
    </xf>
    <xf numFmtId="14" fontId="28" fillId="15" borderId="34" xfId="0" applyNumberFormat="1" applyFont="1" applyFill="1" applyBorder="1" applyAlignment="1">
      <alignment vertical="center" wrapText="1"/>
    </xf>
    <xf numFmtId="3" fontId="28" fillId="15" borderId="34" xfId="0" quotePrefix="1" applyNumberFormat="1" applyFont="1" applyFill="1" applyBorder="1" applyAlignment="1">
      <alignment horizontal="center" vertical="center" wrapText="1"/>
    </xf>
    <xf numFmtId="14" fontId="28" fillId="15" borderId="34" xfId="0" applyNumberFormat="1" applyFont="1" applyFill="1" applyBorder="1" applyAlignment="1">
      <alignment horizontal="center" vertical="center" wrapText="1"/>
    </xf>
    <xf numFmtId="0" fontId="28" fillId="15" borderId="34" xfId="0" applyFont="1" applyFill="1" applyBorder="1" applyAlignment="1">
      <alignment horizontal="center" vertical="center" wrapText="1"/>
    </xf>
    <xf numFmtId="0" fontId="28" fillId="13" borderId="34" xfId="0" applyFont="1" applyFill="1" applyBorder="1" applyAlignment="1">
      <alignment wrapText="1"/>
    </xf>
    <xf numFmtId="14" fontId="69" fillId="0" borderId="34" xfId="0" applyNumberFormat="1" applyFont="1" applyFill="1" applyBorder="1" applyAlignment="1">
      <alignment horizontal="center" vertical="center" wrapText="1"/>
    </xf>
    <xf numFmtId="0" fontId="69" fillId="0" borderId="34" xfId="0" applyFont="1" applyFill="1" applyBorder="1" applyAlignment="1">
      <alignment horizontal="center" vertical="center" wrapText="1"/>
    </xf>
    <xf numFmtId="0" fontId="69" fillId="6" borderId="59" xfId="0" applyFont="1" applyFill="1" applyBorder="1" applyAlignment="1">
      <alignment wrapText="1"/>
    </xf>
    <xf numFmtId="14" fontId="69" fillId="0" borderId="34" xfId="0" applyNumberFormat="1" applyFont="1" applyFill="1" applyBorder="1" applyAlignment="1">
      <alignment vertical="center" wrapText="1"/>
    </xf>
    <xf numFmtId="0" fontId="69" fillId="0" borderId="34" xfId="0" applyFont="1" applyFill="1" applyBorder="1" applyAlignment="1">
      <alignment vertical="center" wrapText="1"/>
    </xf>
    <xf numFmtId="0" fontId="69" fillId="7" borderId="36" xfId="0" applyFont="1" applyFill="1" applyBorder="1" applyAlignment="1">
      <alignment wrapText="1"/>
    </xf>
    <xf numFmtId="0" fontId="69" fillId="6" borderId="105" xfId="0" applyFont="1" applyFill="1" applyBorder="1" applyAlignment="1">
      <alignment wrapText="1"/>
    </xf>
    <xf numFmtId="0" fontId="69" fillId="6" borderId="114" xfId="0" applyFont="1" applyFill="1" applyBorder="1" applyAlignment="1">
      <alignment wrapText="1"/>
    </xf>
    <xf numFmtId="0" fontId="28" fillId="0" borderId="34" xfId="0" applyFont="1" applyFill="1" applyBorder="1" applyAlignment="1">
      <alignment wrapText="1"/>
    </xf>
    <xf numFmtId="3" fontId="28" fillId="0" borderId="34" xfId="0" quotePrefix="1" applyNumberFormat="1" applyFont="1" applyFill="1" applyBorder="1" applyAlignment="1">
      <alignment horizontal="center" vertical="center" wrapText="1"/>
    </xf>
    <xf numFmtId="14" fontId="28" fillId="0" borderId="34" xfId="0" applyNumberFormat="1" applyFont="1" applyFill="1" applyBorder="1" applyAlignment="1">
      <alignment horizontal="center" vertical="center" wrapText="1"/>
    </xf>
    <xf numFmtId="0" fontId="28" fillId="0" borderId="34" xfId="0" applyFont="1" applyFill="1" applyBorder="1" applyAlignment="1">
      <alignment horizontal="center" vertical="center" wrapText="1"/>
    </xf>
    <xf numFmtId="0" fontId="69" fillId="6" borderId="97" xfId="0" applyFont="1" applyFill="1" applyBorder="1" applyAlignment="1">
      <alignment wrapText="1"/>
    </xf>
    <xf numFmtId="14" fontId="69" fillId="0" borderId="35" xfId="0" applyNumberFormat="1" applyFont="1" applyFill="1" applyBorder="1" applyAlignment="1">
      <alignment horizontal="center" vertical="center" wrapText="1"/>
    </xf>
    <xf numFmtId="0" fontId="69" fillId="6" borderId="81" xfId="0" applyFont="1" applyFill="1" applyBorder="1" applyAlignment="1">
      <alignment wrapText="1"/>
    </xf>
    <xf numFmtId="0" fontId="69" fillId="0" borderId="35" xfId="0" applyFont="1" applyFill="1" applyBorder="1" applyAlignment="1">
      <alignment wrapText="1"/>
    </xf>
    <xf numFmtId="3" fontId="69" fillId="0" borderId="35" xfId="0" quotePrefix="1" applyNumberFormat="1" applyFont="1" applyFill="1" applyBorder="1" applyAlignment="1">
      <alignment horizontal="center" vertical="center" wrapText="1"/>
    </xf>
    <xf numFmtId="0" fontId="69" fillId="0" borderId="35" xfId="0" applyFont="1" applyFill="1" applyBorder="1" applyAlignment="1">
      <alignment horizontal="center" vertical="center" wrapText="1"/>
    </xf>
    <xf numFmtId="0" fontId="69" fillId="6" borderId="58" xfId="0" applyFont="1" applyFill="1" applyBorder="1" applyAlignment="1">
      <alignment wrapText="1"/>
    </xf>
    <xf numFmtId="2" fontId="69" fillId="0" borderId="34" xfId="0" applyNumberFormat="1" applyFont="1" applyBorder="1" applyAlignment="1">
      <alignment horizontal="center" vertical="center" wrapText="1"/>
    </xf>
    <xf numFmtId="0" fontId="69" fillId="15" borderId="35" xfId="0" applyFont="1" applyFill="1" applyBorder="1" applyAlignment="1">
      <alignment horizontal="center" vertical="center" wrapText="1"/>
    </xf>
    <xf numFmtId="0" fontId="69" fillId="15" borderId="35" xfId="0" applyFont="1" applyFill="1" applyBorder="1" applyAlignment="1">
      <alignment wrapText="1"/>
    </xf>
    <xf numFmtId="3" fontId="69" fillId="15" borderId="35" xfId="0" quotePrefix="1" applyNumberFormat="1" applyFont="1" applyFill="1" applyBorder="1" applyAlignment="1">
      <alignment horizontal="center" vertical="center" wrapText="1"/>
    </xf>
    <xf numFmtId="14" fontId="69" fillId="15" borderId="35" xfId="0" applyNumberFormat="1" applyFont="1" applyFill="1" applyBorder="1" applyAlignment="1">
      <alignment horizontal="center" vertical="center" wrapText="1"/>
    </xf>
    <xf numFmtId="14" fontId="69" fillId="15" borderId="35" xfId="0" applyNumberFormat="1" applyFont="1" applyFill="1" applyBorder="1" applyAlignment="1">
      <alignment vertical="center" wrapText="1"/>
    </xf>
    <xf numFmtId="0" fontId="28" fillId="15" borderId="36" xfId="0" applyFont="1" applyFill="1" applyBorder="1" applyAlignment="1">
      <alignment wrapText="1"/>
    </xf>
    <xf numFmtId="0" fontId="28" fillId="13" borderId="36" xfId="0" applyFont="1" applyFill="1" applyBorder="1" applyAlignment="1">
      <alignment wrapText="1"/>
    </xf>
    <xf numFmtId="3" fontId="28" fillId="15" borderId="36" xfId="0" quotePrefix="1" applyNumberFormat="1" applyFont="1" applyFill="1" applyBorder="1" applyAlignment="1">
      <alignment horizontal="center" vertical="center" wrapText="1"/>
    </xf>
    <xf numFmtId="14" fontId="28" fillId="15" borderId="36" xfId="0" applyNumberFormat="1" applyFont="1" applyFill="1" applyBorder="1" applyAlignment="1">
      <alignment horizontal="center" vertical="center" wrapText="1"/>
    </xf>
    <xf numFmtId="14" fontId="28" fillId="15" borderId="36" xfId="0" applyNumberFormat="1" applyFont="1" applyFill="1" applyBorder="1" applyAlignment="1">
      <alignment vertical="center" wrapText="1"/>
    </xf>
    <xf numFmtId="0" fontId="28" fillId="15" borderId="36" xfId="0" applyFont="1" applyFill="1" applyBorder="1" applyAlignment="1">
      <alignment horizontal="center" vertical="center" wrapText="1"/>
    </xf>
    <xf numFmtId="0" fontId="28" fillId="15" borderId="35" xfId="0" applyFont="1" applyFill="1" applyBorder="1" applyAlignment="1">
      <alignment wrapText="1"/>
    </xf>
    <xf numFmtId="0" fontId="28" fillId="13" borderId="35" xfId="0" applyFont="1" applyFill="1" applyBorder="1" applyAlignment="1">
      <alignment wrapText="1"/>
    </xf>
    <xf numFmtId="3" fontId="28" fillId="15" borderId="35" xfId="0" quotePrefix="1" applyNumberFormat="1" applyFont="1" applyFill="1" applyBorder="1" applyAlignment="1">
      <alignment horizontal="center" vertical="center" wrapText="1"/>
    </xf>
    <xf numFmtId="14" fontId="28" fillId="15" borderId="35" xfId="0" applyNumberFormat="1" applyFont="1" applyFill="1" applyBorder="1" applyAlignment="1">
      <alignment horizontal="center" vertical="center" wrapText="1"/>
    </xf>
    <xf numFmtId="0" fontId="28" fillId="15" borderId="35" xfId="0" applyFont="1" applyFill="1" applyBorder="1" applyAlignment="1">
      <alignment horizontal="center" vertical="center" wrapText="1"/>
    </xf>
    <xf numFmtId="14" fontId="69" fillId="0" borderId="35" xfId="0" applyNumberFormat="1" applyFont="1" applyFill="1" applyBorder="1" applyAlignment="1">
      <alignment vertical="center" wrapText="1"/>
    </xf>
    <xf numFmtId="14" fontId="56" fillId="13" borderId="14" xfId="0" applyNumberFormat="1" applyFont="1" applyFill="1" applyBorder="1" applyAlignment="1">
      <alignment horizontal="center" vertical="center" wrapText="1"/>
    </xf>
    <xf numFmtId="3" fontId="36" fillId="6" borderId="58" xfId="0" quotePrefix="1" applyNumberFormat="1" applyFont="1" applyFill="1" applyBorder="1" applyAlignment="1">
      <alignment horizontal="center" vertical="center" wrapText="1"/>
    </xf>
    <xf numFmtId="14" fontId="57" fillId="7" borderId="26" xfId="0" applyNumberFormat="1" applyFont="1" applyFill="1" applyBorder="1" applyAlignment="1">
      <alignment horizontal="center" vertical="center" wrapText="1"/>
    </xf>
    <xf numFmtId="0" fontId="81" fillId="7" borderId="113" xfId="0" applyFont="1" applyFill="1" applyBorder="1" applyAlignment="1">
      <alignment wrapText="1"/>
    </xf>
    <xf numFmtId="3" fontId="82" fillId="7" borderId="26" xfId="0" quotePrefix="1" applyNumberFormat="1" applyFont="1" applyFill="1" applyBorder="1" applyAlignment="1">
      <alignment horizontal="center" vertical="center" wrapText="1"/>
    </xf>
    <xf numFmtId="3" fontId="57" fillId="7" borderId="24" xfId="0" applyNumberFormat="1" applyFont="1" applyFill="1" applyBorder="1" applyAlignment="1">
      <alignment horizontal="center" vertical="center" wrapText="1"/>
    </xf>
    <xf numFmtId="3" fontId="70" fillId="7" borderId="0" xfId="0" quotePrefix="1" applyNumberFormat="1" applyFont="1" applyFill="1" applyBorder="1" applyAlignment="1">
      <alignment horizontal="center" vertical="center" wrapText="1"/>
    </xf>
    <xf numFmtId="3" fontId="36" fillId="6" borderId="13" xfId="0" quotePrefix="1" applyNumberFormat="1" applyFont="1" applyFill="1" applyBorder="1" applyAlignment="1">
      <alignment horizontal="center" vertical="center" wrapText="1"/>
    </xf>
    <xf numFmtId="167" fontId="69" fillId="0" borderId="36" xfId="0" applyNumberFormat="1" applyFont="1" applyBorder="1" applyAlignment="1">
      <alignment horizontal="center" vertical="center" wrapText="1"/>
    </xf>
    <xf numFmtId="3" fontId="69" fillId="13" borderId="55" xfId="0" quotePrefix="1" applyNumberFormat="1" applyFont="1" applyFill="1" applyBorder="1" applyAlignment="1">
      <alignment horizontal="center" vertical="center" wrapText="1"/>
    </xf>
    <xf numFmtId="3" fontId="55" fillId="13" borderId="93" xfId="0" quotePrefix="1" applyNumberFormat="1" applyFont="1" applyFill="1" applyBorder="1" applyAlignment="1">
      <alignment horizontal="center" vertical="center" wrapText="1"/>
    </xf>
    <xf numFmtId="3" fontId="55" fillId="14" borderId="93" xfId="0" quotePrefix="1" applyNumberFormat="1" applyFont="1" applyFill="1" applyBorder="1" applyAlignment="1">
      <alignment horizontal="center" vertical="center" wrapText="1"/>
    </xf>
    <xf numFmtId="3" fontId="69" fillId="14" borderId="34" xfId="0" quotePrefix="1" applyNumberFormat="1" applyFont="1" applyFill="1" applyBorder="1" applyAlignment="1">
      <alignment horizontal="center" vertical="center" wrapText="1"/>
    </xf>
    <xf numFmtId="0" fontId="69" fillId="0" borderId="34" xfId="0" applyFont="1" applyFill="1" applyBorder="1" applyAlignment="1">
      <alignment horizontal="left" wrapText="1"/>
    </xf>
    <xf numFmtId="3" fontId="69" fillId="13" borderId="81" xfId="0" quotePrefix="1" applyNumberFormat="1" applyFont="1" applyFill="1" applyBorder="1" applyAlignment="1">
      <alignment horizontal="center" vertical="center" wrapText="1"/>
    </xf>
    <xf numFmtId="3" fontId="69" fillId="13" borderId="87" xfId="0" quotePrefix="1" applyNumberFormat="1" applyFont="1" applyFill="1" applyBorder="1" applyAlignment="1">
      <alignment horizontal="center" vertical="center" wrapText="1"/>
    </xf>
    <xf numFmtId="3" fontId="69" fillId="13" borderId="59" xfId="0" quotePrefix="1" applyNumberFormat="1" applyFont="1" applyFill="1" applyBorder="1" applyAlignment="1">
      <alignment horizontal="center" vertical="center" wrapText="1"/>
    </xf>
    <xf numFmtId="3" fontId="69" fillId="13" borderId="35" xfId="0" quotePrefix="1" applyNumberFormat="1" applyFont="1" applyFill="1" applyBorder="1" applyAlignment="1">
      <alignment horizontal="center" vertical="center" wrapText="1"/>
    </xf>
    <xf numFmtId="3" fontId="69" fillId="14" borderId="35" xfId="0" quotePrefix="1" applyNumberFormat="1" applyFont="1" applyFill="1" applyBorder="1" applyAlignment="1">
      <alignment horizontal="center" vertical="center" wrapText="1"/>
    </xf>
    <xf numFmtId="14" fontId="56" fillId="6" borderId="27" xfId="0" applyNumberFormat="1" applyFont="1" applyFill="1" applyBorder="1" applyAlignment="1">
      <alignment horizontal="center" vertical="center" wrapText="1"/>
    </xf>
    <xf numFmtId="0" fontId="69" fillId="6" borderId="99" xfId="0" applyFont="1" applyFill="1" applyBorder="1" applyAlignment="1">
      <alignment wrapText="1"/>
    </xf>
    <xf numFmtId="14" fontId="57" fillId="7" borderId="31" xfId="0" applyNumberFormat="1" applyFont="1" applyFill="1" applyBorder="1" applyAlignment="1">
      <alignment horizontal="center" vertical="center" wrapText="1"/>
    </xf>
    <xf numFmtId="0" fontId="81" fillId="7" borderId="81" xfId="0" applyFont="1" applyFill="1" applyBorder="1" applyAlignment="1">
      <alignment wrapText="1"/>
    </xf>
    <xf numFmtId="3" fontId="82" fillId="7" borderId="31" xfId="0" quotePrefix="1" applyNumberFormat="1" applyFont="1" applyFill="1" applyBorder="1" applyAlignment="1">
      <alignment horizontal="center" vertical="center" wrapText="1"/>
    </xf>
    <xf numFmtId="3" fontId="70" fillId="0" borderId="100" xfId="0" quotePrefix="1" applyNumberFormat="1" applyFont="1" applyFill="1" applyBorder="1" applyAlignment="1">
      <alignment horizontal="center" vertical="center" wrapText="1"/>
    </xf>
    <xf numFmtId="3" fontId="69" fillId="13" borderId="36" xfId="0" quotePrefix="1" applyNumberFormat="1" applyFont="1" applyFill="1" applyBorder="1" applyAlignment="1">
      <alignment horizontal="center" vertical="center" wrapText="1"/>
    </xf>
    <xf numFmtId="0" fontId="83" fillId="0" borderId="120" xfId="0" applyFont="1" applyBorder="1" applyAlignment="1">
      <alignment horizontal="justify" vertical="center" wrapText="1"/>
    </xf>
    <xf numFmtId="0" fontId="71" fillId="0" borderId="0" xfId="0" applyFont="1" applyAlignment="1">
      <alignment horizontal="justify" vertical="center" wrapText="1"/>
    </xf>
    <xf numFmtId="0" fontId="71" fillId="0" borderId="31" xfId="0" applyFont="1" applyBorder="1" applyAlignment="1">
      <alignment horizontal="justify" vertical="center" wrapText="1"/>
    </xf>
    <xf numFmtId="0" fontId="71" fillId="0" borderId="24" xfId="0" applyFont="1" applyBorder="1" applyAlignment="1">
      <alignment horizontal="justify" vertical="center" wrapText="1"/>
    </xf>
    <xf numFmtId="0" fontId="71" fillId="0" borderId="120" xfId="0" applyFont="1" applyBorder="1" applyAlignment="1">
      <alignment horizontal="justify" vertical="center" wrapText="1"/>
    </xf>
    <xf numFmtId="0" fontId="85" fillId="0" borderId="23" xfId="0" applyFont="1" applyBorder="1" applyAlignment="1">
      <alignment horizontal="left" vertical="center" wrapText="1"/>
    </xf>
    <xf numFmtId="0" fontId="85" fillId="0" borderId="27" xfId="0" applyFont="1" applyBorder="1" applyAlignment="1">
      <alignment horizontal="left" vertical="center" wrapText="1"/>
    </xf>
    <xf numFmtId="0" fontId="85" fillId="0" borderId="6" xfId="0" applyFont="1" applyBorder="1" applyAlignment="1">
      <alignment horizontal="left" vertical="center" wrapText="1"/>
    </xf>
    <xf numFmtId="0" fontId="46" fillId="0" borderId="116" xfId="0" applyFont="1" applyBorder="1" applyAlignment="1">
      <alignment horizontal="center" vertical="center" wrapText="1"/>
    </xf>
    <xf numFmtId="0" fontId="83" fillId="0" borderId="115" xfId="0" applyFont="1" applyBorder="1" applyAlignment="1">
      <alignment horizontal="justify" vertical="center" wrapText="1"/>
    </xf>
    <xf numFmtId="0" fontId="71" fillId="0" borderId="6" xfId="0" applyFont="1" applyBorder="1" applyAlignment="1">
      <alignment horizontal="center" vertical="center" wrapText="1"/>
    </xf>
    <xf numFmtId="0" fontId="86" fillId="0" borderId="6" xfId="0" applyFont="1" applyBorder="1" applyAlignment="1">
      <alignment horizontal="center" vertical="center" wrapText="1"/>
    </xf>
    <xf numFmtId="0" fontId="46" fillId="0" borderId="6" xfId="0" applyFont="1" applyBorder="1" applyAlignment="1">
      <alignment horizontal="center" vertical="center" wrapText="1"/>
    </xf>
    <xf numFmtId="0" fontId="84" fillId="0" borderId="117" xfId="0" applyFont="1" applyBorder="1" applyAlignment="1">
      <alignment horizontal="justify" vertical="center" wrapText="1"/>
    </xf>
    <xf numFmtId="0" fontId="46" fillId="0" borderId="23" xfId="0" applyFont="1" applyBorder="1" applyAlignment="1">
      <alignment horizontal="center" vertical="center" wrapText="1"/>
    </xf>
    <xf numFmtId="0" fontId="46" fillId="0" borderId="27" xfId="0" applyFont="1" applyBorder="1" applyAlignment="1">
      <alignment horizontal="center" vertical="center" wrapText="1"/>
    </xf>
    <xf numFmtId="0" fontId="83" fillId="0" borderId="0" xfId="0" applyFont="1" applyAlignment="1">
      <alignment horizontal="justify" vertical="center"/>
    </xf>
    <xf numFmtId="0" fontId="71" fillId="0" borderId="0" xfId="0" applyFont="1" applyAlignment="1">
      <alignment horizontal="center" vertical="center" wrapText="1"/>
    </xf>
    <xf numFmtId="0" fontId="71" fillId="0" borderId="24" xfId="0" applyFont="1" applyBorder="1" applyAlignment="1">
      <alignment horizontal="center" vertical="center" wrapText="1"/>
    </xf>
    <xf numFmtId="0" fontId="71" fillId="0" borderId="31" xfId="0" applyFont="1" applyBorder="1" applyAlignment="1">
      <alignment horizontal="center" vertical="center" wrapText="1"/>
    </xf>
    <xf numFmtId="0" fontId="71" fillId="0" borderId="0" xfId="0" applyFont="1" applyAlignment="1">
      <alignment horizontal="left" vertical="center"/>
    </xf>
    <xf numFmtId="0" fontId="85" fillId="0" borderId="27" xfId="0" applyFont="1" applyBorder="1" applyAlignment="1">
      <alignment horizontal="center" vertical="center" wrapText="1"/>
    </xf>
    <xf numFmtId="0" fontId="46" fillId="0" borderId="122" xfId="0" applyFont="1" applyBorder="1" applyAlignment="1">
      <alignment horizontal="center" vertical="center" wrapText="1"/>
    </xf>
    <xf numFmtId="0" fontId="84" fillId="0" borderId="123" xfId="0" applyFont="1" applyBorder="1" applyAlignment="1">
      <alignment horizontal="justify" vertical="center" wrapText="1"/>
    </xf>
    <xf numFmtId="0" fontId="86" fillId="0" borderId="23" xfId="0" applyFont="1" applyBorder="1" applyAlignment="1">
      <alignment horizontal="center" vertical="center" wrapText="1"/>
    </xf>
    <xf numFmtId="0" fontId="86" fillId="0" borderId="27" xfId="0" applyFont="1" applyBorder="1" applyAlignment="1">
      <alignment horizontal="center" vertical="center" wrapText="1"/>
    </xf>
    <xf numFmtId="0" fontId="83" fillId="0" borderId="6" xfId="0" applyFont="1" applyBorder="1" applyAlignment="1">
      <alignment horizontal="justify" vertical="center" wrapText="1"/>
    </xf>
    <xf numFmtId="0" fontId="71" fillId="0" borderId="6" xfId="0" applyFont="1" applyBorder="1" applyAlignment="1">
      <alignment horizontal="justify" vertical="center" wrapText="1"/>
    </xf>
    <xf numFmtId="0" fontId="84" fillId="0" borderId="6" xfId="0" applyFont="1" applyBorder="1" applyAlignment="1">
      <alignment horizontal="justify" vertical="center" wrapText="1"/>
    </xf>
    <xf numFmtId="0" fontId="87" fillId="0" borderId="6" xfId="0" applyFont="1" applyBorder="1" applyAlignment="1">
      <alignment horizontal="center" vertical="center" wrapText="1"/>
    </xf>
    <xf numFmtId="0" fontId="71" fillId="0" borderId="124" xfId="0" applyFont="1" applyBorder="1" applyAlignment="1">
      <alignment horizontal="center" vertical="center" wrapText="1"/>
    </xf>
    <xf numFmtId="0" fontId="85" fillId="0" borderId="122" xfId="0" applyFont="1" applyBorder="1" applyAlignment="1">
      <alignment horizontal="left" vertical="center" wrapText="1"/>
    </xf>
    <xf numFmtId="0" fontId="49" fillId="0" borderId="23" xfId="0" applyFont="1" applyBorder="1" applyAlignment="1">
      <alignment horizontal="center" vertical="center" wrapText="1"/>
    </xf>
    <xf numFmtId="0" fontId="49" fillId="0" borderId="27" xfId="0" applyFont="1" applyBorder="1" applyAlignment="1">
      <alignment horizontal="center" vertical="center" wrapText="1"/>
    </xf>
    <xf numFmtId="0" fontId="84" fillId="0" borderId="26" xfId="0" applyFont="1" applyBorder="1" applyAlignment="1">
      <alignment horizontal="justify" vertical="center" wrapText="1"/>
    </xf>
    <xf numFmtId="0" fontId="84" fillId="0" borderId="31" xfId="0" applyFont="1" applyBorder="1" applyAlignment="1">
      <alignment horizontal="justify" vertical="center" wrapText="1"/>
    </xf>
    <xf numFmtId="0" fontId="84" fillId="0" borderId="27" xfId="0" applyFont="1" applyBorder="1" applyAlignment="1">
      <alignment horizontal="justify" vertical="center" wrapText="1"/>
    </xf>
    <xf numFmtId="0" fontId="83" fillId="0" borderId="117" xfId="0" applyFont="1" applyBorder="1" applyAlignment="1">
      <alignment horizontal="justify" vertical="center" wrapText="1"/>
    </xf>
    <xf numFmtId="0" fontId="84" fillId="0" borderId="120" xfId="0" applyFont="1" applyBorder="1" applyAlignment="1">
      <alignment horizontal="justify" vertical="center" wrapText="1"/>
    </xf>
    <xf numFmtId="0" fontId="68" fillId="0" borderId="129" xfId="0" applyFont="1" applyBorder="1" applyAlignment="1">
      <alignment horizontal="center" vertical="center" wrapText="1"/>
    </xf>
    <xf numFmtId="0" fontId="68" fillId="0" borderId="76" xfId="0" applyFont="1" applyBorder="1" applyAlignment="1">
      <alignment horizontal="center" vertical="center" wrapText="1"/>
    </xf>
    <xf numFmtId="0" fontId="69" fillId="0" borderId="71" xfId="0" applyFont="1" applyBorder="1" applyAlignment="1">
      <alignment wrapText="1"/>
    </xf>
    <xf numFmtId="0" fontId="55" fillId="0" borderId="46" xfId="0" applyFont="1" applyBorder="1" applyAlignment="1">
      <alignment horizontal="center" wrapText="1"/>
    </xf>
    <xf numFmtId="0" fontId="55" fillId="0" borderId="99" xfId="0" applyFont="1" applyBorder="1" applyAlignment="1">
      <alignment horizontal="center" wrapText="1"/>
    </xf>
    <xf numFmtId="0" fontId="69" fillId="0" borderId="130" xfId="0" applyFont="1" applyBorder="1" applyAlignment="1">
      <alignment wrapText="1"/>
    </xf>
    <xf numFmtId="0" fontId="69" fillId="0" borderId="112" xfId="0" applyFont="1" applyBorder="1" applyAlignment="1">
      <alignment wrapText="1"/>
    </xf>
    <xf numFmtId="1" fontId="56" fillId="6" borderId="19" xfId="0" applyNumberFormat="1" applyFont="1" applyFill="1" applyBorder="1" applyAlignment="1">
      <alignment horizontal="center" vertical="center" wrapText="1"/>
    </xf>
    <xf numFmtId="0" fontId="45" fillId="16" borderId="19" xfId="0" applyFont="1" applyFill="1" applyBorder="1" applyAlignment="1">
      <alignment horizontal="center" vertical="center" wrapText="1"/>
    </xf>
    <xf numFmtId="0" fontId="12" fillId="0" borderId="27" xfId="0" applyFont="1" applyFill="1" applyBorder="1" applyAlignment="1">
      <alignment horizontal="left" vertical="center" wrapText="1"/>
    </xf>
    <xf numFmtId="4" fontId="12" fillId="0" borderId="29" xfId="0" applyNumberFormat="1" applyFont="1" applyFill="1" applyBorder="1" applyAlignment="1">
      <alignment horizontal="center" vertical="center" wrapText="1"/>
    </xf>
    <xf numFmtId="14" fontId="29" fillId="13" borderId="19" xfId="0" applyNumberFormat="1" applyFont="1" applyFill="1" applyBorder="1" applyAlignment="1">
      <alignment horizontal="center" vertical="center" wrapText="1"/>
    </xf>
    <xf numFmtId="165" fontId="29" fillId="0" borderId="19" xfId="0" applyNumberFormat="1" applyFont="1" applyBorder="1" applyAlignment="1">
      <alignment horizontal="center" vertical="center" wrapText="1"/>
    </xf>
    <xf numFmtId="0" fontId="40" fillId="16" borderId="23" xfId="0" applyFont="1" applyFill="1" applyBorder="1" applyAlignment="1">
      <alignment horizontal="center" vertical="center" wrapText="1"/>
    </xf>
    <xf numFmtId="3" fontId="68" fillId="16" borderId="42" xfId="0" quotePrefix="1" applyNumberFormat="1" applyFont="1" applyFill="1" applyBorder="1" applyAlignment="1">
      <alignment horizontal="center" vertical="center" wrapText="1"/>
    </xf>
    <xf numFmtId="3" fontId="68" fillId="16" borderId="19" xfId="0" quotePrefix="1" applyNumberFormat="1" applyFont="1" applyFill="1" applyBorder="1" applyAlignment="1">
      <alignment horizontal="center" vertical="center" wrapText="1"/>
    </xf>
    <xf numFmtId="0" fontId="69" fillId="16" borderId="77" xfId="0" applyFont="1" applyFill="1" applyBorder="1" applyAlignment="1">
      <alignment wrapText="1"/>
    </xf>
    <xf numFmtId="0" fontId="69" fillId="16" borderId="69" xfId="0" applyFont="1" applyFill="1" applyBorder="1" applyAlignment="1">
      <alignment wrapText="1"/>
    </xf>
    <xf numFmtId="0" fontId="69" fillId="16" borderId="67" xfId="0" applyFont="1" applyFill="1" applyBorder="1" applyAlignment="1">
      <alignment wrapText="1"/>
    </xf>
    <xf numFmtId="14" fontId="0" fillId="8" borderId="34" xfId="0" applyNumberFormat="1" applyFill="1" applyBorder="1"/>
    <xf numFmtId="3" fontId="4" fillId="8" borderId="6" xfId="0" applyNumberFormat="1" applyFont="1" applyFill="1" applyBorder="1" applyAlignment="1">
      <alignment horizontal="center" vertical="center" wrapText="1"/>
    </xf>
    <xf numFmtId="3" fontId="4" fillId="8" borderId="7" xfId="0" applyNumberFormat="1" applyFont="1" applyFill="1" applyBorder="1" applyAlignment="1">
      <alignment horizontal="center" vertical="center"/>
    </xf>
    <xf numFmtId="14" fontId="12" fillId="0" borderId="6" xfId="0" applyNumberFormat="1" applyFont="1" applyBorder="1" applyAlignment="1">
      <alignment horizontal="center" vertical="center" wrapText="1"/>
    </xf>
    <xf numFmtId="14" fontId="0" fillId="0" borderId="34" xfId="0" applyNumberFormat="1" applyBorder="1" applyAlignment="1">
      <alignment vertical="center"/>
    </xf>
    <xf numFmtId="3" fontId="0" fillId="0" borderId="0" xfId="0" applyNumberFormat="1" applyAlignment="1">
      <alignment vertical="center"/>
    </xf>
    <xf numFmtId="3" fontId="22" fillId="0" borderId="6" xfId="0" applyNumberFormat="1" applyFont="1" applyFill="1" applyBorder="1" applyAlignment="1">
      <alignment horizontal="center" vertical="center"/>
    </xf>
    <xf numFmtId="0" fontId="2" fillId="0" borderId="23" xfId="0" applyFont="1" applyBorder="1" applyAlignment="1">
      <alignment horizontal="center" wrapText="1"/>
    </xf>
    <xf numFmtId="3" fontId="3" fillId="0" borderId="48" xfId="0" applyNumberFormat="1" applyFont="1" applyBorder="1" applyAlignment="1">
      <alignment horizontal="center"/>
    </xf>
    <xf numFmtId="3" fontId="4" fillId="14" borderId="6" xfId="0" applyNumberFormat="1" applyFont="1" applyFill="1" applyBorder="1" applyAlignment="1">
      <alignment horizontal="center"/>
    </xf>
    <xf numFmtId="0" fontId="2" fillId="0" borderId="0" xfId="0" applyFont="1" applyBorder="1" applyAlignment="1">
      <alignment horizontal="center" wrapText="1"/>
    </xf>
    <xf numFmtId="0" fontId="2" fillId="0" borderId="0" xfId="0" applyFont="1" applyBorder="1"/>
    <xf numFmtId="0" fontId="1" fillId="0" borderId="0" xfId="0" applyFont="1" applyBorder="1"/>
    <xf numFmtId="3" fontId="2" fillId="2" borderId="0" xfId="0" applyNumberFormat="1" applyFont="1" applyFill="1" applyBorder="1" applyAlignment="1">
      <alignment horizontal="center" vertical="center"/>
    </xf>
    <xf numFmtId="3" fontId="6" fillId="3" borderId="0" xfId="0" applyNumberFormat="1" applyFont="1" applyFill="1" applyBorder="1" applyAlignment="1">
      <alignment horizontal="center" vertical="center"/>
    </xf>
    <xf numFmtId="3" fontId="4" fillId="8" borderId="23" xfId="0" applyNumberFormat="1" applyFont="1" applyFill="1" applyBorder="1" applyAlignment="1">
      <alignment horizontal="center" vertical="center"/>
    </xf>
    <xf numFmtId="3" fontId="22" fillId="8" borderId="23" xfId="0" applyNumberFormat="1" applyFont="1" applyFill="1" applyBorder="1" applyAlignment="1">
      <alignment horizontal="center"/>
    </xf>
    <xf numFmtId="3" fontId="6" fillId="2" borderId="0" xfId="0" applyNumberFormat="1" applyFont="1" applyFill="1" applyBorder="1" applyAlignment="1">
      <alignment horizontal="center"/>
    </xf>
    <xf numFmtId="3" fontId="4" fillId="5" borderId="0" xfId="0" applyNumberFormat="1" applyFont="1" applyFill="1" applyBorder="1" applyAlignment="1">
      <alignment horizontal="center" vertical="center"/>
    </xf>
    <xf numFmtId="3" fontId="7" fillId="5" borderId="0" xfId="0" applyNumberFormat="1" applyFont="1" applyFill="1" applyBorder="1" applyAlignment="1">
      <alignment horizontal="center" vertical="center"/>
    </xf>
    <xf numFmtId="3" fontId="4" fillId="0" borderId="23" xfId="0" applyNumberFormat="1" applyFont="1" applyBorder="1" applyAlignment="1">
      <alignment horizontal="center" vertical="center"/>
    </xf>
    <xf numFmtId="3" fontId="22" fillId="0" borderId="23" xfId="0" applyNumberFormat="1" applyFont="1" applyBorder="1" applyAlignment="1">
      <alignment horizontal="center" vertical="center"/>
    </xf>
    <xf numFmtId="3" fontId="6" fillId="2" borderId="0" xfId="0" applyNumberFormat="1" applyFont="1" applyFill="1" applyBorder="1" applyAlignment="1">
      <alignment horizontal="center" vertical="center"/>
    </xf>
    <xf numFmtId="3" fontId="7" fillId="3" borderId="0" xfId="0" applyNumberFormat="1" applyFont="1" applyFill="1" applyBorder="1" applyAlignment="1">
      <alignment horizontal="center" vertical="center"/>
    </xf>
    <xf numFmtId="3" fontId="4" fillId="0" borderId="23" xfId="0" applyNumberFormat="1" applyFont="1" applyBorder="1" applyAlignment="1">
      <alignment horizontal="center"/>
    </xf>
    <xf numFmtId="3" fontId="7" fillId="3" borderId="0" xfId="0" applyNumberFormat="1" applyFont="1" applyFill="1" applyBorder="1" applyAlignment="1">
      <alignment horizontal="center"/>
    </xf>
    <xf numFmtId="3" fontId="22" fillId="0" borderId="23" xfId="0" applyNumberFormat="1" applyFont="1" applyBorder="1" applyAlignment="1">
      <alignment horizontal="center"/>
    </xf>
    <xf numFmtId="3" fontId="25" fillId="3" borderId="0" xfId="0" applyNumberFormat="1" applyFont="1" applyFill="1" applyBorder="1" applyAlignment="1">
      <alignment horizontal="center"/>
    </xf>
    <xf numFmtId="3" fontId="7" fillId="2" borderId="0" xfId="0" applyNumberFormat="1" applyFont="1" applyFill="1" applyBorder="1" applyAlignment="1">
      <alignment horizontal="center"/>
    </xf>
    <xf numFmtId="3" fontId="10" fillId="0" borderId="23" xfId="0" applyNumberFormat="1" applyFont="1" applyBorder="1" applyAlignment="1">
      <alignment horizontal="center"/>
    </xf>
    <xf numFmtId="3" fontId="7" fillId="3" borderId="23" xfId="0" applyNumberFormat="1" applyFont="1" applyFill="1" applyBorder="1" applyAlignment="1">
      <alignment horizontal="center"/>
    </xf>
    <xf numFmtId="0" fontId="0" fillId="0" borderId="0" xfId="0" applyBorder="1" applyAlignment="1">
      <alignment wrapText="1"/>
    </xf>
    <xf numFmtId="3" fontId="3" fillId="0" borderId="0" xfId="0" applyNumberFormat="1" applyFont="1" applyBorder="1" applyAlignment="1">
      <alignment horizontal="center"/>
    </xf>
    <xf numFmtId="3" fontId="88" fillId="0" borderId="6" xfId="0" applyNumberFormat="1" applyFont="1" applyBorder="1" applyAlignment="1">
      <alignment horizontal="center" vertical="center" wrapText="1"/>
    </xf>
    <xf numFmtId="14" fontId="20" fillId="0" borderId="34" xfId="0" applyNumberFormat="1" applyFont="1" applyBorder="1"/>
    <xf numFmtId="0" fontId="45" fillId="0" borderId="0" xfId="0" applyFont="1"/>
    <xf numFmtId="3" fontId="13" fillId="0" borderId="7" xfId="0" applyNumberFormat="1" applyFont="1" applyFill="1" applyBorder="1" applyAlignment="1">
      <alignment horizontal="center" vertical="center"/>
    </xf>
    <xf numFmtId="3" fontId="22" fillId="0" borderId="7" xfId="0" applyNumberFormat="1" applyFont="1" applyFill="1" applyBorder="1" applyAlignment="1">
      <alignment horizontal="center" vertical="center"/>
    </xf>
    <xf numFmtId="3" fontId="8" fillId="17" borderId="6" xfId="0" applyNumberFormat="1" applyFont="1" applyFill="1" applyBorder="1" applyAlignment="1">
      <alignment horizontal="center" vertical="center" wrapText="1"/>
    </xf>
    <xf numFmtId="3" fontId="8" fillId="17" borderId="24" xfId="0" applyNumberFormat="1" applyFont="1" applyFill="1" applyBorder="1" applyAlignment="1">
      <alignment horizontal="center" vertical="center" wrapText="1"/>
    </xf>
    <xf numFmtId="3" fontId="8" fillId="17" borderId="19" xfId="0" applyNumberFormat="1" applyFont="1" applyFill="1" applyBorder="1" applyAlignment="1">
      <alignment horizontal="center" vertical="center" wrapText="1"/>
    </xf>
    <xf numFmtId="3" fontId="8" fillId="17" borderId="15" xfId="0" applyNumberFormat="1" applyFont="1" applyFill="1" applyBorder="1" applyAlignment="1">
      <alignment horizontal="center" vertical="center" wrapText="1"/>
    </xf>
    <xf numFmtId="3" fontId="8" fillId="17" borderId="26" xfId="0" applyNumberFormat="1" applyFont="1" applyFill="1" applyBorder="1" applyAlignment="1">
      <alignment horizontal="center" vertical="center" wrapText="1"/>
    </xf>
    <xf numFmtId="3" fontId="22" fillId="17" borderId="6" xfId="0" applyNumberFormat="1" applyFont="1" applyFill="1" applyBorder="1" applyAlignment="1">
      <alignment horizontal="center" vertical="center" wrapText="1"/>
    </xf>
    <xf numFmtId="3" fontId="5" fillId="17" borderId="6" xfId="0" applyNumberFormat="1" applyFont="1" applyFill="1" applyBorder="1" applyAlignment="1">
      <alignment horizontal="center" vertical="center" wrapText="1"/>
    </xf>
    <xf numFmtId="1" fontId="10" fillId="0" borderId="19" xfId="0" applyNumberFormat="1" applyFont="1" applyFill="1" applyBorder="1" applyAlignment="1">
      <alignment horizontal="center" wrapText="1"/>
    </xf>
    <xf numFmtId="0" fontId="44" fillId="0" borderId="41" xfId="0" applyFont="1" applyFill="1" applyBorder="1" applyAlignment="1">
      <alignment horizontal="center" vertical="center"/>
    </xf>
    <xf numFmtId="0" fontId="45" fillId="0" borderId="0" xfId="0" applyFont="1" applyFill="1"/>
    <xf numFmtId="0" fontId="50" fillId="0" borderId="19" xfId="0" applyFont="1" applyFill="1" applyBorder="1" applyAlignment="1">
      <alignment horizontal="center" vertical="center" wrapText="1"/>
    </xf>
    <xf numFmtId="0" fontId="50" fillId="0" borderId="15" xfId="0" applyFont="1" applyFill="1" applyBorder="1" applyAlignment="1">
      <alignment horizontal="center" vertical="center" wrapText="1"/>
    </xf>
    <xf numFmtId="3" fontId="45" fillId="0" borderId="19" xfId="0" applyNumberFormat="1" applyFont="1" applyFill="1" applyBorder="1" applyAlignment="1">
      <alignment horizontal="center" vertical="center" wrapText="1"/>
    </xf>
    <xf numFmtId="3" fontId="45" fillId="0" borderId="15" xfId="0" applyNumberFormat="1" applyFont="1" applyFill="1" applyBorder="1" applyAlignment="1">
      <alignment horizontal="center" wrapText="1"/>
    </xf>
    <xf numFmtId="0" fontId="66" fillId="0" borderId="19" xfId="0" applyFont="1" applyBorder="1" applyAlignment="1">
      <alignment horizontal="left" vertical="center" wrapText="1"/>
    </xf>
    <xf numFmtId="3" fontId="66" fillId="0" borderId="6" xfId="0" applyNumberFormat="1" applyFont="1" applyBorder="1" applyAlignment="1">
      <alignment horizontal="center" vertical="center" wrapText="1"/>
    </xf>
    <xf numFmtId="0" fontId="66" fillId="0" borderId="6" xfId="0" applyFont="1" applyBorder="1" applyAlignment="1">
      <alignment horizontal="center" vertical="center" wrapText="1"/>
    </xf>
    <xf numFmtId="0" fontId="66" fillId="0" borderId="6" xfId="0" applyFont="1" applyBorder="1" applyAlignment="1">
      <alignment horizontal="left" vertical="center" wrapText="1"/>
    </xf>
    <xf numFmtId="0" fontId="94" fillId="16" borderId="5" xfId="0" applyFont="1" applyFill="1" applyBorder="1" applyAlignment="1">
      <alignment horizontal="center" vertical="center" wrapText="1"/>
    </xf>
    <xf numFmtId="0" fontId="93" fillId="0" borderId="34" xfId="0" applyFont="1" applyBorder="1" applyAlignment="1">
      <alignment wrapText="1"/>
    </xf>
    <xf numFmtId="0" fontId="93" fillId="0" borderId="66" xfId="0" applyFont="1" applyBorder="1" applyAlignment="1">
      <alignment wrapText="1"/>
    </xf>
    <xf numFmtId="0" fontId="93" fillId="13" borderId="55" xfId="0" applyFont="1" applyFill="1" applyBorder="1" applyAlignment="1">
      <alignment wrapText="1"/>
    </xf>
    <xf numFmtId="0" fontId="93" fillId="0" borderId="69" xfId="0" applyFont="1" applyBorder="1" applyAlignment="1">
      <alignment wrapText="1"/>
    </xf>
    <xf numFmtId="3" fontId="93" fillId="0" borderId="75" xfId="0" quotePrefix="1" applyNumberFormat="1" applyFont="1" applyBorder="1" applyAlignment="1">
      <alignment horizontal="center" vertical="center" wrapText="1"/>
    </xf>
    <xf numFmtId="3" fontId="93" fillId="0" borderId="56" xfId="0" quotePrefix="1" applyNumberFormat="1" applyFont="1" applyBorder="1" applyAlignment="1">
      <alignment horizontal="center" vertical="center" wrapText="1"/>
    </xf>
    <xf numFmtId="3" fontId="93" fillId="0" borderId="76" xfId="0" quotePrefix="1" applyNumberFormat="1" applyFont="1" applyBorder="1" applyAlignment="1">
      <alignment horizontal="center" vertical="center" wrapText="1"/>
    </xf>
    <xf numFmtId="14" fontId="93" fillId="0" borderId="55" xfId="0" applyNumberFormat="1" applyFont="1" applyBorder="1" applyAlignment="1">
      <alignment horizontal="center" vertical="center" wrapText="1"/>
    </xf>
    <xf numFmtId="0" fontId="93" fillId="0" borderId="67" xfId="0" applyFont="1" applyBorder="1" applyAlignment="1">
      <alignment horizontal="center" vertical="center" wrapText="1"/>
    </xf>
    <xf numFmtId="1" fontId="93" fillId="0" borderId="67" xfId="0" applyNumberFormat="1" applyFont="1" applyBorder="1" applyAlignment="1">
      <alignment horizontal="center" vertical="center" wrapText="1"/>
    </xf>
    <xf numFmtId="0" fontId="94" fillId="16" borderId="23" xfId="0" applyFont="1" applyFill="1" applyBorder="1" applyAlignment="1">
      <alignment horizontal="center" vertical="center" wrapText="1"/>
    </xf>
    <xf numFmtId="3" fontId="95" fillId="16" borderId="42" xfId="0" quotePrefix="1" applyNumberFormat="1" applyFont="1" applyFill="1" applyBorder="1" applyAlignment="1">
      <alignment horizontal="center" vertical="center" wrapText="1"/>
    </xf>
    <xf numFmtId="3" fontId="95" fillId="16" borderId="19" xfId="0" quotePrefix="1" applyNumberFormat="1" applyFont="1" applyFill="1" applyBorder="1" applyAlignment="1">
      <alignment horizontal="center" vertical="center" wrapText="1"/>
    </xf>
    <xf numFmtId="0" fontId="93" fillId="16" borderId="77" xfId="0" applyFont="1" applyFill="1" applyBorder="1" applyAlignment="1">
      <alignment wrapText="1"/>
    </xf>
    <xf numFmtId="0" fontId="93" fillId="16" borderId="69" xfId="0" applyFont="1" applyFill="1" applyBorder="1" applyAlignment="1">
      <alignment wrapText="1"/>
    </xf>
    <xf numFmtId="0" fontId="93" fillId="16" borderId="67" xfId="0" applyFont="1" applyFill="1" applyBorder="1" applyAlignment="1">
      <alignment wrapText="1"/>
    </xf>
    <xf numFmtId="1" fontId="69" fillId="0" borderId="88" xfId="0" applyNumberFormat="1" applyFont="1" applyBorder="1" applyAlignment="1">
      <alignment horizontal="center" vertical="center" wrapText="1"/>
    </xf>
    <xf numFmtId="14" fontId="93" fillId="0" borderId="59" xfId="0" applyNumberFormat="1" applyFont="1" applyBorder="1" applyAlignment="1">
      <alignment horizontal="center" vertical="center" wrapText="1"/>
    </xf>
    <xf numFmtId="0" fontId="93" fillId="0" borderId="36" xfId="0" applyFont="1" applyBorder="1" applyAlignment="1">
      <alignment wrapText="1"/>
    </xf>
    <xf numFmtId="0" fontId="93" fillId="0" borderId="82" xfId="0" applyFont="1" applyBorder="1" applyAlignment="1">
      <alignment horizontal="center" vertical="center" wrapText="1"/>
    </xf>
    <xf numFmtId="1" fontId="93" fillId="0" borderId="82" xfId="0" applyNumberFormat="1" applyFont="1" applyBorder="1" applyAlignment="1">
      <alignment horizontal="center" vertical="center" wrapText="1"/>
    </xf>
    <xf numFmtId="0" fontId="69" fillId="16" borderId="13" xfId="0" applyFont="1" applyFill="1" applyBorder="1" applyAlignment="1">
      <alignment wrapText="1"/>
    </xf>
    <xf numFmtId="0" fontId="69" fillId="16" borderId="58" xfId="0" applyFont="1" applyFill="1" applyBorder="1" applyAlignment="1">
      <alignment wrapText="1"/>
    </xf>
    <xf numFmtId="0" fontId="69" fillId="16" borderId="89" xfId="0" applyFont="1" applyFill="1" applyBorder="1" applyAlignment="1">
      <alignment wrapText="1"/>
    </xf>
    <xf numFmtId="0" fontId="69" fillId="16" borderId="54" xfId="0" applyFont="1" applyFill="1" applyBorder="1" applyAlignment="1">
      <alignment wrapText="1"/>
    </xf>
    <xf numFmtId="0" fontId="34" fillId="10" borderId="19" xfId="0" applyFont="1" applyFill="1" applyBorder="1" applyAlignment="1">
      <alignment horizontal="center" vertical="center" wrapText="1"/>
    </xf>
    <xf numFmtId="0" fontId="34" fillId="10" borderId="15" xfId="0" applyFont="1" applyFill="1" applyBorder="1" applyAlignment="1">
      <alignment horizontal="center" vertical="center" wrapText="1"/>
    </xf>
    <xf numFmtId="0" fontId="98" fillId="0" borderId="14" xfId="0" applyFont="1" applyFill="1" applyBorder="1" applyAlignment="1">
      <alignment horizontal="center" vertical="center" wrapText="1"/>
    </xf>
    <xf numFmtId="0" fontId="98" fillId="0" borderId="13" xfId="0" applyFont="1" applyFill="1" applyBorder="1" applyAlignment="1">
      <alignment horizontal="center" vertical="center" wrapText="1"/>
    </xf>
    <xf numFmtId="0" fontId="98" fillId="0" borderId="19" xfId="0" applyFont="1" applyFill="1" applyBorder="1" applyAlignment="1">
      <alignment horizontal="center" vertical="center" wrapText="1"/>
    </xf>
    <xf numFmtId="0" fontId="97" fillId="0" borderId="46" xfId="0" applyFont="1" applyFill="1" applyBorder="1" applyAlignment="1">
      <alignment horizontal="center" vertical="center" wrapText="1"/>
    </xf>
    <xf numFmtId="0" fontId="97" fillId="0" borderId="19" xfId="0" applyFont="1" applyFill="1" applyBorder="1" applyAlignment="1">
      <alignment horizontal="center" vertical="center" wrapText="1"/>
    </xf>
    <xf numFmtId="0" fontId="97" fillId="0" borderId="27" xfId="0" applyFont="1" applyFill="1" applyBorder="1" applyAlignment="1">
      <alignment horizontal="center" vertical="center" wrapText="1"/>
    </xf>
    <xf numFmtId="14" fontId="92" fillId="0" borderId="19" xfId="0" applyNumberFormat="1" applyFont="1" applyBorder="1" applyAlignment="1">
      <alignment horizontal="center" vertical="center" wrapText="1"/>
    </xf>
    <xf numFmtId="0" fontId="1" fillId="0" borderId="23" xfId="0" applyFont="1" applyBorder="1"/>
    <xf numFmtId="3" fontId="22" fillId="13" borderId="23" xfId="0" applyNumberFormat="1" applyFont="1" applyFill="1" applyBorder="1" applyAlignment="1">
      <alignment horizontal="center" vertical="center" wrapText="1"/>
    </xf>
    <xf numFmtId="3" fontId="22" fillId="13" borderId="24" xfId="0" applyNumberFormat="1" applyFont="1" applyFill="1" applyBorder="1" applyAlignment="1">
      <alignment horizontal="center" vertical="center" wrapText="1"/>
    </xf>
    <xf numFmtId="3" fontId="10" fillId="13" borderId="23" xfId="0" applyNumberFormat="1" applyFont="1" applyFill="1" applyBorder="1" applyAlignment="1">
      <alignment horizontal="center" wrapText="1"/>
    </xf>
    <xf numFmtId="3" fontId="5" fillId="0" borderId="48" xfId="0" applyNumberFormat="1" applyFont="1" applyBorder="1" applyAlignment="1">
      <alignment horizontal="center"/>
    </xf>
    <xf numFmtId="168" fontId="69" fillId="0" borderId="34" xfId="0" applyNumberFormat="1" applyFont="1" applyBorder="1" applyAlignment="1">
      <alignment horizontal="center" vertical="center" wrapText="1"/>
    </xf>
    <xf numFmtId="3" fontId="13" fillId="0" borderId="19" xfId="0" applyNumberFormat="1" applyFont="1" applyFill="1" applyBorder="1" applyAlignment="1">
      <alignment horizontal="center" vertical="center" wrapText="1"/>
    </xf>
    <xf numFmtId="0" fontId="99" fillId="0" borderId="14" xfId="0" applyFont="1" applyFill="1" applyBorder="1" applyAlignment="1">
      <alignment horizontal="center" vertical="center" wrapText="1"/>
    </xf>
    <xf numFmtId="14" fontId="101" fillId="0" borderId="55" xfId="0" applyNumberFormat="1" applyFont="1" applyBorder="1" applyAlignment="1">
      <alignment horizontal="center" vertical="center" wrapText="1"/>
    </xf>
    <xf numFmtId="0" fontId="27" fillId="0" borderId="1" xfId="0" applyFont="1" applyBorder="1" applyAlignment="1">
      <alignment horizontal="center" vertical="center" wrapText="1"/>
    </xf>
    <xf numFmtId="0" fontId="27" fillId="0" borderId="2" xfId="0" applyFont="1" applyBorder="1" applyAlignment="1">
      <alignment horizontal="center" vertical="center" wrapText="1"/>
    </xf>
    <xf numFmtId="0" fontId="25" fillId="0" borderId="2" xfId="0" applyFont="1" applyBorder="1" applyAlignment="1">
      <alignment horizontal="center" vertical="center" wrapText="1"/>
    </xf>
    <xf numFmtId="0" fontId="27" fillId="0" borderId="4" xfId="0" applyFont="1" applyBorder="1" applyAlignment="1">
      <alignment horizontal="center" vertical="center" wrapText="1"/>
    </xf>
    <xf numFmtId="0" fontId="27" fillId="0" borderId="19" xfId="0" applyFont="1" applyBorder="1" applyAlignment="1">
      <alignment horizontal="center" vertical="top" wrapText="1"/>
    </xf>
    <xf numFmtId="0" fontId="27" fillId="0" borderId="2" xfId="0" applyFont="1" applyBorder="1" applyAlignment="1">
      <alignment horizontal="center" vertical="top" wrapText="1"/>
    </xf>
    <xf numFmtId="0" fontId="27" fillId="0" borderId="4" xfId="0" applyFont="1" applyBorder="1" applyAlignment="1">
      <alignment horizontal="center" vertical="top" wrapText="1"/>
    </xf>
    <xf numFmtId="0" fontId="13" fillId="0" borderId="7" xfId="0" applyFont="1" applyBorder="1" applyAlignment="1">
      <alignment horizontal="center" vertical="center" wrapText="1"/>
    </xf>
    <xf numFmtId="0" fontId="13" fillId="7" borderId="6" xfId="0" applyFont="1" applyFill="1" applyBorder="1" applyAlignment="1">
      <alignment horizontal="center" vertical="center" wrapText="1"/>
    </xf>
    <xf numFmtId="0" fontId="13" fillId="7" borderId="7" xfId="0" applyFont="1" applyFill="1" applyBorder="1" applyAlignment="1">
      <alignment vertical="top" wrapText="1"/>
    </xf>
    <xf numFmtId="0" fontId="13" fillId="7" borderId="6" xfId="0" applyFont="1" applyFill="1" applyBorder="1" applyAlignment="1">
      <alignment vertical="top" wrapText="1"/>
    </xf>
    <xf numFmtId="0" fontId="13" fillId="7" borderId="19" xfId="0" applyFont="1" applyFill="1" applyBorder="1" applyAlignment="1">
      <alignment vertical="top" wrapText="1"/>
    </xf>
    <xf numFmtId="0" fontId="13" fillId="6" borderId="6" xfId="0" applyFont="1" applyFill="1" applyBorder="1" applyAlignment="1">
      <alignment horizontal="center" vertical="center" wrapText="1"/>
    </xf>
    <xf numFmtId="0" fontId="13" fillId="6" borderId="7" xfId="0" applyFont="1" applyFill="1" applyBorder="1" applyAlignment="1">
      <alignment vertical="top" wrapText="1"/>
    </xf>
    <xf numFmtId="0" fontId="13" fillId="6" borderId="6" xfId="0" applyFont="1" applyFill="1" applyBorder="1" applyAlignment="1">
      <alignment vertical="top" wrapText="1"/>
    </xf>
    <xf numFmtId="0" fontId="13" fillId="6" borderId="19" xfId="0" applyFont="1" applyFill="1" applyBorder="1" applyAlignment="1">
      <alignment vertical="top" wrapText="1"/>
    </xf>
    <xf numFmtId="0" fontId="13" fillId="16" borderId="24" xfId="0" applyFont="1" applyFill="1" applyBorder="1" applyAlignment="1">
      <alignment horizontal="center" vertical="center" wrapText="1"/>
    </xf>
    <xf numFmtId="0" fontId="13" fillId="16" borderId="29" xfId="0" applyFont="1" applyFill="1" applyBorder="1" applyAlignment="1">
      <alignment vertical="top" wrapText="1"/>
    </xf>
    <xf numFmtId="0" fontId="13" fillId="16" borderId="24" xfId="0" applyFont="1" applyFill="1" applyBorder="1" applyAlignment="1">
      <alignment vertical="top" wrapText="1"/>
    </xf>
    <xf numFmtId="0" fontId="13" fillId="5" borderId="19" xfId="0" applyFont="1" applyFill="1" applyBorder="1" applyAlignment="1">
      <alignment vertical="top" wrapText="1"/>
    </xf>
    <xf numFmtId="3" fontId="13" fillId="5" borderId="6" xfId="0" applyNumberFormat="1" applyFont="1" applyFill="1" applyBorder="1" applyAlignment="1">
      <alignment horizontal="center" vertical="center" wrapText="1"/>
    </xf>
    <xf numFmtId="3" fontId="13" fillId="5" borderId="7" xfId="0" applyNumberFormat="1" applyFont="1" applyFill="1" applyBorder="1" applyAlignment="1">
      <alignment horizontal="center" vertical="center" wrapText="1"/>
    </xf>
    <xf numFmtId="3" fontId="13" fillId="13" borderId="19" xfId="0" applyNumberFormat="1" applyFont="1" applyFill="1" applyBorder="1" applyAlignment="1">
      <alignment horizontal="center" vertical="center" wrapText="1"/>
    </xf>
    <xf numFmtId="0" fontId="13" fillId="5" borderId="19" xfId="0" applyFont="1" applyFill="1" applyBorder="1" applyAlignment="1">
      <alignment horizontal="center" vertical="center" wrapText="1"/>
    </xf>
    <xf numFmtId="0" fontId="28" fillId="0" borderId="19" xfId="0" applyFont="1" applyBorder="1" applyAlignment="1">
      <alignment horizontal="center" vertical="center" wrapText="1"/>
    </xf>
    <xf numFmtId="0" fontId="13" fillId="13" borderId="13" xfId="0" applyFont="1" applyFill="1" applyBorder="1" applyAlignment="1">
      <alignment horizontal="center" vertical="center" wrapText="1"/>
    </xf>
    <xf numFmtId="0" fontId="13" fillId="16" borderId="6" xfId="0" applyFont="1" applyFill="1" applyBorder="1" applyAlignment="1">
      <alignment horizontal="center" vertical="center" wrapText="1"/>
    </xf>
    <xf numFmtId="0" fontId="13" fillId="16" borderId="7" xfId="0" applyFont="1" applyFill="1" applyBorder="1" applyAlignment="1">
      <alignment vertical="top" wrapText="1"/>
    </xf>
    <xf numFmtId="0" fontId="13" fillId="16" borderId="6" xfId="0" applyFont="1" applyFill="1" applyBorder="1" applyAlignment="1">
      <alignment vertical="top" wrapText="1"/>
    </xf>
    <xf numFmtId="0" fontId="13" fillId="5" borderId="27" xfId="0" applyFont="1" applyFill="1" applyBorder="1" applyAlignment="1">
      <alignment horizontal="center" vertical="center" wrapText="1"/>
    </xf>
    <xf numFmtId="3" fontId="13" fillId="5" borderId="15" xfId="0" applyNumberFormat="1" applyFont="1" applyFill="1" applyBorder="1" applyAlignment="1">
      <alignment horizontal="center" vertical="center" wrapText="1"/>
    </xf>
    <xf numFmtId="0" fontId="27" fillId="16" borderId="19" xfId="0" applyFont="1" applyFill="1" applyBorder="1" applyAlignment="1">
      <alignment horizontal="left" vertical="center" wrapText="1"/>
    </xf>
    <xf numFmtId="0" fontId="13" fillId="16" borderId="45" xfId="0" applyFont="1" applyFill="1" applyBorder="1" applyAlignment="1">
      <alignment horizontal="center" vertical="center" wrapText="1"/>
    </xf>
    <xf numFmtId="0" fontId="13" fillId="16" borderId="44" xfId="0" applyFont="1" applyFill="1" applyBorder="1" applyAlignment="1">
      <alignment vertical="top" wrapText="1"/>
    </xf>
    <xf numFmtId="0" fontId="13" fillId="16" borderId="45" xfId="0" applyFont="1" applyFill="1" applyBorder="1" applyAlignment="1">
      <alignment vertical="top" wrapText="1"/>
    </xf>
    <xf numFmtId="0" fontId="13" fillId="5" borderId="44" xfId="0" applyFont="1" applyFill="1" applyBorder="1" applyAlignment="1">
      <alignment vertical="top" wrapText="1"/>
    </xf>
    <xf numFmtId="0" fontId="13" fillId="6" borderId="15" xfId="0" applyFont="1" applyFill="1" applyBorder="1" applyAlignment="1">
      <alignment horizontal="center" vertical="center" wrapText="1"/>
    </xf>
    <xf numFmtId="0" fontId="13" fillId="6" borderId="7" xfId="0" applyFont="1" applyFill="1" applyBorder="1" applyAlignment="1">
      <alignment horizontal="center" vertical="center" wrapText="1"/>
    </xf>
    <xf numFmtId="0" fontId="13" fillId="5" borderId="28" xfId="0" applyFont="1" applyFill="1" applyBorder="1" applyAlignment="1">
      <alignment vertical="top" wrapText="1"/>
    </xf>
    <xf numFmtId="3" fontId="13" fillId="5" borderId="30" xfId="0" applyNumberFormat="1" applyFont="1" applyFill="1" applyBorder="1" applyAlignment="1">
      <alignment horizontal="center" vertical="center" wrapText="1"/>
    </xf>
    <xf numFmtId="0" fontId="13" fillId="0" borderId="26" xfId="0" applyFont="1" applyBorder="1" applyAlignment="1">
      <alignment horizontal="left" vertical="center" wrapText="1"/>
    </xf>
    <xf numFmtId="0" fontId="13" fillId="13" borderId="26" xfId="0" applyFont="1" applyFill="1" applyBorder="1" applyAlignment="1">
      <alignment horizontal="center" vertical="center" wrapText="1"/>
    </xf>
    <xf numFmtId="3" fontId="13" fillId="13" borderId="26" xfId="0" applyNumberFormat="1" applyFont="1" applyFill="1" applyBorder="1" applyAlignment="1">
      <alignment horizontal="center" vertical="center" wrapText="1"/>
    </xf>
    <xf numFmtId="0" fontId="23" fillId="0" borderId="0" xfId="0" applyFont="1" applyBorder="1"/>
    <xf numFmtId="0" fontId="13" fillId="13" borderId="27" xfId="0" applyFont="1" applyFill="1" applyBorder="1" applyAlignment="1">
      <alignment horizontal="center" vertical="center" wrapText="1"/>
    </xf>
    <xf numFmtId="3" fontId="13" fillId="13" borderId="27" xfId="0" applyNumberFormat="1" applyFont="1" applyFill="1" applyBorder="1" applyAlignment="1">
      <alignment horizontal="center" vertical="center" wrapText="1"/>
    </xf>
    <xf numFmtId="0" fontId="19" fillId="16" borderId="5" xfId="0" applyFont="1" applyFill="1" applyBorder="1" applyAlignment="1">
      <alignment horizontal="center" vertical="center" wrapText="1"/>
    </xf>
    <xf numFmtId="0" fontId="13" fillId="5" borderId="32" xfId="0" applyFont="1" applyFill="1" applyBorder="1" applyAlignment="1">
      <alignment vertical="top" wrapText="1"/>
    </xf>
    <xf numFmtId="3" fontId="13" fillId="5" borderId="19" xfId="0" applyNumberFormat="1" applyFont="1" applyFill="1" applyBorder="1" applyAlignment="1">
      <alignment horizontal="center" vertical="center" wrapText="1"/>
    </xf>
    <xf numFmtId="3" fontId="13" fillId="5" borderId="24" xfId="0" applyNumberFormat="1" applyFont="1" applyFill="1" applyBorder="1" applyAlignment="1">
      <alignment horizontal="center" vertical="center" wrapText="1"/>
    </xf>
    <xf numFmtId="0" fontId="13" fillId="7" borderId="23" xfId="0" applyFont="1" applyFill="1" applyBorder="1" applyAlignment="1">
      <alignment vertical="top" wrapText="1"/>
    </xf>
    <xf numFmtId="0" fontId="13" fillId="7" borderId="19" xfId="0" applyFont="1" applyFill="1" applyBorder="1" applyAlignment="1">
      <alignment horizontal="center" vertical="center" wrapText="1"/>
    </xf>
    <xf numFmtId="0" fontId="13" fillId="6" borderId="23" xfId="0" applyFont="1" applyFill="1" applyBorder="1" applyAlignment="1">
      <alignment vertical="top" wrapText="1"/>
    </xf>
    <xf numFmtId="0" fontId="13" fillId="6" borderId="27" xfId="0" applyFont="1" applyFill="1" applyBorder="1" applyAlignment="1">
      <alignment vertical="top" wrapText="1"/>
    </xf>
    <xf numFmtId="0" fontId="13" fillId="6" borderId="19" xfId="0" applyFont="1" applyFill="1" applyBorder="1" applyAlignment="1">
      <alignment horizontal="center" vertical="center" wrapText="1"/>
    </xf>
    <xf numFmtId="0" fontId="13" fillId="6" borderId="27" xfId="0" applyFont="1" applyFill="1" applyBorder="1" applyAlignment="1">
      <alignment horizontal="center" vertical="center" wrapText="1"/>
    </xf>
    <xf numFmtId="0" fontId="13" fillId="5" borderId="7" xfId="0" applyFont="1" applyFill="1" applyBorder="1" applyAlignment="1">
      <alignment vertical="top" wrapText="1"/>
    </xf>
    <xf numFmtId="0" fontId="13" fillId="16" borderId="13" xfId="0" applyFont="1" applyFill="1" applyBorder="1" applyAlignment="1">
      <alignment vertical="top" wrapText="1"/>
    </xf>
    <xf numFmtId="0" fontId="13" fillId="5" borderId="13" xfId="0" applyFont="1" applyFill="1" applyBorder="1" applyAlignment="1">
      <alignment vertical="top" wrapText="1"/>
    </xf>
    <xf numFmtId="0" fontId="13" fillId="16" borderId="23" xfId="0" applyFont="1" applyFill="1" applyBorder="1" applyAlignment="1">
      <alignment vertical="top" wrapText="1"/>
    </xf>
    <xf numFmtId="0" fontId="13" fillId="5" borderId="23" xfId="0" applyFont="1" applyFill="1" applyBorder="1" applyAlignment="1">
      <alignment vertical="top" wrapText="1"/>
    </xf>
    <xf numFmtId="0" fontId="13" fillId="16" borderId="27" xfId="0" applyFont="1" applyFill="1" applyBorder="1" applyAlignment="1">
      <alignment horizontal="center" vertical="center" wrapText="1"/>
    </xf>
    <xf numFmtId="0" fontId="13" fillId="16" borderId="27" xfId="0" applyFont="1" applyFill="1" applyBorder="1" applyAlignment="1">
      <alignment vertical="top" wrapText="1"/>
    </xf>
    <xf numFmtId="0" fontId="12" fillId="7" borderId="15" xfId="0" applyFont="1" applyFill="1" applyBorder="1" applyAlignment="1">
      <alignment horizontal="center" vertical="center" wrapText="1"/>
    </xf>
    <xf numFmtId="0" fontId="12" fillId="7" borderId="18" xfId="0" applyFont="1" applyFill="1" applyBorder="1" applyAlignment="1">
      <alignment vertical="top" wrapText="1"/>
    </xf>
    <xf numFmtId="0" fontId="13" fillId="7" borderId="15" xfId="0" applyFont="1" applyFill="1" applyBorder="1" applyAlignment="1">
      <alignment vertical="top" wrapText="1"/>
    </xf>
    <xf numFmtId="0" fontId="13" fillId="7" borderId="18" xfId="0" applyFont="1" applyFill="1" applyBorder="1" applyAlignment="1">
      <alignment vertical="top" wrapText="1"/>
    </xf>
    <xf numFmtId="0" fontId="13" fillId="7" borderId="15" xfId="0" applyFont="1" applyFill="1" applyBorder="1" applyAlignment="1">
      <alignment horizontal="center" vertical="center" wrapText="1"/>
    </xf>
    <xf numFmtId="0" fontId="12" fillId="6" borderId="7" xfId="0" applyFont="1" applyFill="1" applyBorder="1" applyAlignment="1">
      <alignment vertical="top" wrapText="1"/>
    </xf>
    <xf numFmtId="0" fontId="12" fillId="16" borderId="6" xfId="0" applyFont="1" applyFill="1" applyBorder="1" applyAlignment="1">
      <alignment horizontal="center" vertical="center" wrapText="1"/>
    </xf>
    <xf numFmtId="0" fontId="12" fillId="16" borderId="7" xfId="0" applyFont="1" applyFill="1" applyBorder="1" applyAlignment="1">
      <alignment vertical="top" wrapText="1"/>
    </xf>
    <xf numFmtId="0" fontId="12" fillId="6" borderId="19" xfId="0" applyFont="1" applyFill="1" applyBorder="1" applyAlignment="1">
      <alignment horizontal="center" vertical="center" wrapText="1"/>
    </xf>
    <xf numFmtId="0" fontId="12" fillId="6" borderId="14" xfId="0" applyFont="1" applyFill="1" applyBorder="1" applyAlignment="1">
      <alignment vertical="top" wrapText="1"/>
    </xf>
    <xf numFmtId="0" fontId="13" fillId="6" borderId="14" xfId="0" applyFont="1" applyFill="1" applyBorder="1" applyAlignment="1">
      <alignment vertical="top" wrapText="1"/>
    </xf>
    <xf numFmtId="0" fontId="12" fillId="16" borderId="27" xfId="0" applyFont="1" applyFill="1" applyBorder="1" applyAlignment="1">
      <alignment horizontal="center" vertical="center" wrapText="1"/>
    </xf>
    <xf numFmtId="0" fontId="12" fillId="16" borderId="23" xfId="0" applyFont="1" applyFill="1" applyBorder="1" applyAlignment="1">
      <alignment vertical="top" wrapText="1"/>
    </xf>
    <xf numFmtId="3" fontId="13" fillId="5" borderId="27" xfId="0" applyNumberFormat="1" applyFont="1" applyFill="1" applyBorder="1" applyAlignment="1">
      <alignment horizontal="center" vertical="center" wrapText="1"/>
    </xf>
    <xf numFmtId="3" fontId="44" fillId="0" borderId="6" xfId="0" applyNumberFormat="1" applyFont="1" applyFill="1" applyBorder="1" applyAlignment="1">
      <alignment horizontal="left" wrapText="1"/>
    </xf>
    <xf numFmtId="0" fontId="41" fillId="0" borderId="0" xfId="0" applyFont="1"/>
    <xf numFmtId="0" fontId="45" fillId="0" borderId="92" xfId="0" applyFont="1" applyBorder="1" applyAlignment="1">
      <alignment horizontal="center" vertical="center" wrapText="1"/>
    </xf>
    <xf numFmtId="0" fontId="45" fillId="0" borderId="10" xfId="0" applyFont="1" applyBorder="1" applyAlignment="1">
      <alignment horizontal="center" vertical="center" wrapText="1"/>
    </xf>
    <xf numFmtId="0" fontId="45" fillId="0" borderId="29" xfId="0" applyFont="1" applyBorder="1" applyAlignment="1">
      <alignment horizontal="center" vertical="center" wrapText="1"/>
    </xf>
    <xf numFmtId="0" fontId="44" fillId="0" borderId="44" xfId="0" applyFont="1" applyBorder="1" applyAlignment="1">
      <alignment horizontal="center" vertical="center" wrapText="1"/>
    </xf>
    <xf numFmtId="0" fontId="44" fillId="0" borderId="18" xfId="0" applyFont="1" applyBorder="1" applyAlignment="1">
      <alignment horizontal="center" vertical="center" wrapText="1"/>
    </xf>
    <xf numFmtId="0" fontId="44" fillId="0" borderId="109" xfId="0" applyFont="1" applyBorder="1" applyAlignment="1">
      <alignment horizontal="center" vertical="center" wrapText="1"/>
    </xf>
    <xf numFmtId="0" fontId="44" fillId="0" borderId="15" xfId="0" applyFont="1" applyBorder="1" applyAlignment="1">
      <alignment horizontal="center" vertical="center" wrapText="1"/>
    </xf>
    <xf numFmtId="0" fontId="23" fillId="0" borderId="29" xfId="0" applyFont="1" applyBorder="1" applyAlignment="1">
      <alignment vertical="center" wrapText="1"/>
    </xf>
    <xf numFmtId="0" fontId="23" fillId="0" borderId="10" xfId="0" applyFont="1" applyBorder="1" applyAlignment="1">
      <alignment vertical="center" wrapText="1"/>
    </xf>
    <xf numFmtId="168" fontId="69" fillId="0" borderId="36" xfId="0" applyNumberFormat="1" applyFont="1" applyBorder="1" applyAlignment="1">
      <alignment horizontal="center" vertical="center" wrapText="1"/>
    </xf>
    <xf numFmtId="14" fontId="69" fillId="5" borderId="55" xfId="0" applyNumberFormat="1" applyFont="1" applyFill="1" applyBorder="1" applyAlignment="1">
      <alignment horizontal="center" vertical="center" wrapText="1"/>
    </xf>
    <xf numFmtId="3" fontId="69" fillId="6" borderId="34" xfId="0" quotePrefix="1" applyNumberFormat="1" applyFont="1" applyFill="1" applyBorder="1" applyAlignment="1">
      <alignment horizontal="center" vertical="center" wrapText="1"/>
    </xf>
    <xf numFmtId="3" fontId="40" fillId="16" borderId="19" xfId="0" quotePrefix="1" applyNumberFormat="1" applyFont="1" applyFill="1" applyBorder="1" applyAlignment="1">
      <alignment horizontal="center" vertical="center" wrapText="1"/>
    </xf>
    <xf numFmtId="3" fontId="40" fillId="16" borderId="14" xfId="0" applyNumberFormat="1" applyFont="1" applyFill="1" applyBorder="1" applyAlignment="1">
      <alignment horizontal="center" vertical="center" wrapText="1"/>
    </xf>
    <xf numFmtId="3" fontId="40" fillId="16" borderId="19" xfId="0" applyNumberFormat="1" applyFont="1" applyFill="1" applyBorder="1" applyAlignment="1">
      <alignment horizontal="center" vertical="center" wrapText="1"/>
    </xf>
    <xf numFmtId="0" fontId="28" fillId="0" borderId="66" xfId="0" applyFont="1" applyBorder="1" applyAlignment="1">
      <alignment wrapText="1"/>
    </xf>
    <xf numFmtId="0" fontId="28" fillId="13" borderId="55" xfId="0" applyFont="1" applyFill="1" applyBorder="1" applyAlignment="1">
      <alignment wrapText="1"/>
    </xf>
    <xf numFmtId="0" fontId="28" fillId="0" borderId="34" xfId="0" applyFont="1" applyBorder="1" applyAlignment="1">
      <alignment wrapText="1"/>
    </xf>
    <xf numFmtId="0" fontId="28" fillId="0" borderId="69" xfId="0" applyFont="1" applyBorder="1" applyAlignment="1">
      <alignment wrapText="1"/>
    </xf>
    <xf numFmtId="3" fontId="28" fillId="0" borderId="34" xfId="0" quotePrefix="1" applyNumberFormat="1" applyFont="1" applyBorder="1" applyAlignment="1">
      <alignment horizontal="center" vertical="center" wrapText="1"/>
    </xf>
    <xf numFmtId="14" fontId="28" fillId="0" borderId="55" xfId="0" applyNumberFormat="1" applyFont="1" applyBorder="1" applyAlignment="1">
      <alignment horizontal="center" vertical="center" wrapText="1"/>
    </xf>
    <xf numFmtId="0" fontId="28" fillId="16" borderId="34" xfId="0" applyFont="1" applyFill="1" applyBorder="1" applyAlignment="1">
      <alignment wrapText="1"/>
    </xf>
    <xf numFmtId="0" fontId="28" fillId="0" borderId="67" xfId="0" applyFont="1" applyBorder="1" applyAlignment="1">
      <alignment wrapText="1"/>
    </xf>
    <xf numFmtId="2" fontId="69" fillId="0" borderId="67" xfId="0" applyNumberFormat="1" applyFont="1" applyBorder="1" applyAlignment="1">
      <alignment horizontal="center" vertical="center" wrapText="1"/>
    </xf>
    <xf numFmtId="3" fontId="43" fillId="5" borderId="42" xfId="0" quotePrefix="1" applyNumberFormat="1" applyFont="1" applyFill="1" applyBorder="1" applyAlignment="1">
      <alignment horizontal="center" vertical="center" wrapText="1"/>
    </xf>
    <xf numFmtId="14" fontId="28" fillId="0" borderId="34" xfId="0" applyNumberFormat="1" applyFont="1" applyBorder="1" applyAlignment="1">
      <alignment horizontal="center" vertical="center" wrapText="1"/>
    </xf>
    <xf numFmtId="0" fontId="28" fillId="0" borderId="34" xfId="0" applyFont="1" applyBorder="1" applyAlignment="1">
      <alignment horizontal="center" vertical="center" wrapText="1"/>
    </xf>
    <xf numFmtId="168" fontId="28" fillId="0" borderId="34" xfId="0" applyNumberFormat="1" applyFont="1" applyBorder="1" applyAlignment="1">
      <alignment horizontal="center" vertical="center" wrapText="1"/>
    </xf>
    <xf numFmtId="3" fontId="40" fillId="13" borderId="93" xfId="0" quotePrefix="1" applyNumberFormat="1" applyFont="1" applyFill="1" applyBorder="1" applyAlignment="1">
      <alignment horizontal="center" vertical="center" wrapText="1"/>
    </xf>
    <xf numFmtId="3" fontId="40" fillId="14" borderId="93" xfId="0" quotePrefix="1" applyNumberFormat="1" applyFont="1" applyFill="1" applyBorder="1" applyAlignment="1">
      <alignment horizontal="center" vertical="center" wrapText="1"/>
    </xf>
    <xf numFmtId="3" fontId="40" fillId="13" borderId="19" xfId="0" quotePrefix="1" applyNumberFormat="1" applyFont="1" applyFill="1" applyBorder="1" applyAlignment="1">
      <alignment horizontal="center" vertical="center" wrapText="1"/>
    </xf>
    <xf numFmtId="3" fontId="40" fillId="14" borderId="19" xfId="0" quotePrefix="1" applyNumberFormat="1" applyFont="1" applyFill="1" applyBorder="1" applyAlignment="1">
      <alignment horizontal="center" vertical="center" wrapText="1"/>
    </xf>
    <xf numFmtId="0" fontId="28" fillId="0" borderId="34" xfId="0" applyFont="1" applyBorder="1" applyAlignment="1">
      <alignment horizontal="left" wrapText="1"/>
    </xf>
    <xf numFmtId="0" fontId="28" fillId="0" borderId="34" xfId="0" applyFont="1" applyBorder="1" applyAlignment="1">
      <alignment horizontal="center" wrapText="1"/>
    </xf>
    <xf numFmtId="3" fontId="28" fillId="13" borderId="34" xfId="0" quotePrefix="1" applyNumberFormat="1" applyFont="1" applyFill="1" applyBorder="1" applyAlignment="1">
      <alignment horizontal="center" vertical="center" wrapText="1"/>
    </xf>
    <xf numFmtId="3" fontId="28" fillId="14" borderId="34" xfId="0" quotePrefix="1" applyNumberFormat="1" applyFont="1" applyFill="1" applyBorder="1" applyAlignment="1">
      <alignment horizontal="center" vertical="center" wrapText="1"/>
    </xf>
    <xf numFmtId="3" fontId="28" fillId="13" borderId="81" xfId="0" quotePrefix="1" applyNumberFormat="1" applyFont="1" applyFill="1" applyBorder="1" applyAlignment="1">
      <alignment horizontal="center" vertical="center" wrapText="1"/>
    </xf>
    <xf numFmtId="3" fontId="28" fillId="14" borderId="72" xfId="0" quotePrefix="1" applyNumberFormat="1" applyFont="1" applyFill="1" applyBorder="1" applyAlignment="1">
      <alignment horizontal="center" vertical="center" wrapText="1"/>
    </xf>
    <xf numFmtId="3" fontId="28" fillId="13" borderId="87" xfId="0" quotePrefix="1" applyNumberFormat="1" applyFont="1" applyFill="1" applyBorder="1" applyAlignment="1">
      <alignment horizontal="center" vertical="center" wrapText="1"/>
    </xf>
    <xf numFmtId="3" fontId="69" fillId="16" borderId="34" xfId="0" quotePrefix="1" applyNumberFormat="1" applyFont="1" applyFill="1" applyBorder="1" applyAlignment="1">
      <alignment horizontal="center" vertical="center" wrapText="1"/>
    </xf>
    <xf numFmtId="0" fontId="69" fillId="13" borderId="34" xfId="0" applyFont="1" applyFill="1" applyBorder="1" applyAlignment="1">
      <alignment horizontal="center" vertical="center" wrapText="1"/>
    </xf>
    <xf numFmtId="0" fontId="69" fillId="13" borderId="36" xfId="0" applyFont="1" applyFill="1" applyBorder="1" applyAlignment="1">
      <alignment horizontal="center" vertical="center" wrapText="1"/>
    </xf>
    <xf numFmtId="0" fontId="34" fillId="0" borderId="36" xfId="0" applyFont="1" applyFill="1" applyBorder="1" applyAlignment="1">
      <alignment wrapText="1"/>
    </xf>
    <xf numFmtId="0" fontId="28" fillId="0" borderId="34" xfId="0" applyFont="1" applyFill="1" applyBorder="1" applyAlignment="1">
      <alignment horizontal="left" wrapText="1"/>
    </xf>
    <xf numFmtId="0" fontId="69" fillId="0" borderId="35" xfId="0" applyFont="1" applyFill="1" applyBorder="1" applyAlignment="1">
      <alignment horizontal="left" wrapText="1"/>
    </xf>
    <xf numFmtId="3" fontId="102" fillId="7" borderId="26" xfId="0" quotePrefix="1" applyNumberFormat="1" applyFont="1" applyFill="1" applyBorder="1" applyAlignment="1">
      <alignment horizontal="center" vertical="center" wrapText="1"/>
    </xf>
    <xf numFmtId="3" fontId="102" fillId="7" borderId="57" xfId="0" quotePrefix="1" applyNumberFormat="1" applyFont="1" applyFill="1" applyBorder="1" applyAlignment="1">
      <alignment horizontal="center" vertical="center" wrapText="1"/>
    </xf>
    <xf numFmtId="3" fontId="102" fillId="13" borderId="42" xfId="0" quotePrefix="1" applyNumberFormat="1" applyFont="1" applyFill="1" applyBorder="1" applyAlignment="1">
      <alignment horizontal="center" vertical="center" wrapText="1"/>
    </xf>
    <xf numFmtId="3" fontId="102" fillId="14" borderId="42" xfId="0" quotePrefix="1" applyNumberFormat="1" applyFont="1" applyFill="1" applyBorder="1" applyAlignment="1">
      <alignment horizontal="center" vertical="center" wrapText="1"/>
    </xf>
    <xf numFmtId="3" fontId="36" fillId="15" borderId="42" xfId="0" quotePrefix="1" applyNumberFormat="1" applyFont="1" applyFill="1" applyBorder="1" applyAlignment="1">
      <alignment horizontal="center" vertical="center" wrapText="1"/>
    </xf>
    <xf numFmtId="3" fontId="36" fillId="0" borderId="42" xfId="0" quotePrefix="1" applyNumberFormat="1" applyFont="1" applyFill="1" applyBorder="1" applyAlignment="1">
      <alignment horizontal="center" vertical="center" wrapText="1"/>
    </xf>
    <xf numFmtId="0" fontId="60" fillId="13" borderId="14" xfId="0" applyFont="1" applyFill="1" applyBorder="1"/>
    <xf numFmtId="3" fontId="36" fillId="0" borderId="19" xfId="0" quotePrefix="1" applyNumberFormat="1" applyFont="1" applyFill="1" applyBorder="1" applyAlignment="1">
      <alignment horizontal="center" vertical="center" wrapText="1"/>
    </xf>
    <xf numFmtId="0" fontId="28" fillId="0" borderId="36" xfId="0" applyFont="1" applyBorder="1" applyAlignment="1">
      <alignment wrapText="1"/>
    </xf>
    <xf numFmtId="0" fontId="0" fillId="15" borderId="0" xfId="0" applyFill="1"/>
    <xf numFmtId="0" fontId="69" fillId="0" borderId="42" xfId="0" applyFont="1" applyBorder="1" applyAlignment="1">
      <alignment horizontal="center" wrapText="1"/>
    </xf>
    <xf numFmtId="3" fontId="28" fillId="6" borderId="34" xfId="0" quotePrefix="1" applyNumberFormat="1" applyFont="1" applyFill="1" applyBorder="1" applyAlignment="1">
      <alignment horizontal="center" vertical="center" wrapText="1"/>
    </xf>
    <xf numFmtId="0" fontId="55" fillId="0" borderId="42" xfId="0" applyFont="1" applyBorder="1" applyAlignment="1">
      <alignment horizontal="center" vertical="center" wrapText="1"/>
    </xf>
    <xf numFmtId="0" fontId="55" fillId="0" borderId="57" xfId="0" applyFont="1" applyBorder="1" applyAlignment="1">
      <alignment horizontal="center" vertical="center" wrapText="1"/>
    </xf>
    <xf numFmtId="0" fontId="55" fillId="0" borderId="53" xfId="0" applyFont="1" applyFill="1" applyBorder="1" applyAlignment="1">
      <alignment horizontal="center" vertical="center" wrapText="1"/>
    </xf>
    <xf numFmtId="0" fontId="55" fillId="0" borderId="53" xfId="0" applyFont="1" applyBorder="1" applyAlignment="1">
      <alignment horizontal="center" vertical="center" wrapText="1"/>
    </xf>
    <xf numFmtId="0" fontId="55" fillId="0" borderId="58" xfId="0" applyFont="1" applyBorder="1" applyAlignment="1">
      <alignment horizontal="center" vertical="center" wrapText="1"/>
    </xf>
    <xf numFmtId="0" fontId="69" fillId="0" borderId="93" xfId="0" applyFont="1" applyBorder="1" applyAlignment="1">
      <alignment horizontal="center" vertical="center" wrapText="1"/>
    </xf>
    <xf numFmtId="0" fontId="69" fillId="0" borderId="94" xfId="0" applyFont="1" applyBorder="1" applyAlignment="1">
      <alignment horizontal="center" vertical="center" wrapText="1"/>
    </xf>
    <xf numFmtId="0" fontId="69" fillId="13" borderId="94" xfId="0" applyFont="1" applyFill="1" applyBorder="1" applyAlignment="1">
      <alignment horizontal="center" vertical="center" wrapText="1"/>
    </xf>
    <xf numFmtId="0" fontId="40" fillId="0" borderId="42" xfId="0" applyFont="1" applyBorder="1" applyAlignment="1">
      <alignment horizontal="center" vertical="center" wrapText="1"/>
    </xf>
    <xf numFmtId="0" fontId="40" fillId="0" borderId="91" xfId="0" applyFont="1" applyBorder="1" applyAlignment="1">
      <alignment horizontal="center" vertical="center" wrapText="1"/>
    </xf>
    <xf numFmtId="0" fontId="55" fillId="0" borderId="59" xfId="0" applyFont="1" applyBorder="1" applyAlignment="1">
      <alignment horizontal="center" vertical="center" wrapText="1"/>
    </xf>
    <xf numFmtId="0" fontId="34" fillId="0" borderId="36" xfId="0" applyFont="1" applyBorder="1" applyAlignment="1">
      <alignment horizontal="center" vertical="center" wrapText="1"/>
    </xf>
    <xf numFmtId="0" fontId="34" fillId="0" borderId="79" xfId="0" applyFont="1" applyBorder="1" applyAlignment="1">
      <alignment horizontal="center" vertical="center" wrapText="1"/>
    </xf>
    <xf numFmtId="3" fontId="35" fillId="13" borderId="33" xfId="0" applyNumberFormat="1" applyFont="1" applyFill="1" applyBorder="1" applyAlignment="1">
      <alignment horizontal="center" vertical="center" wrapText="1"/>
    </xf>
    <xf numFmtId="0" fontId="34" fillId="0" borderId="34" xfId="0" applyFont="1" applyBorder="1" applyAlignment="1">
      <alignment horizontal="center" vertical="center" wrapText="1"/>
    </xf>
    <xf numFmtId="3" fontId="35" fillId="5" borderId="34" xfId="0" applyNumberFormat="1" applyFont="1" applyFill="1" applyBorder="1" applyAlignment="1">
      <alignment horizontal="center" vertical="center" wrapText="1"/>
    </xf>
    <xf numFmtId="3" fontId="35" fillId="0" borderId="34" xfId="0" applyNumberFormat="1" applyFont="1" applyBorder="1" applyAlignment="1">
      <alignment horizontal="center" vertical="center" wrapText="1"/>
    </xf>
    <xf numFmtId="3" fontId="35" fillId="13" borderId="34" xfId="0" applyNumberFormat="1" applyFont="1" applyFill="1" applyBorder="1" applyAlignment="1">
      <alignment horizontal="center" vertical="center" wrapText="1"/>
    </xf>
    <xf numFmtId="0" fontId="44" fillId="0" borderId="34" xfId="0" applyFont="1" applyBorder="1" applyAlignment="1">
      <alignment horizontal="center" vertical="center" wrapText="1"/>
    </xf>
    <xf numFmtId="3" fontId="42" fillId="5" borderId="34" xfId="0" applyNumberFormat="1" applyFont="1" applyFill="1" applyBorder="1" applyAlignment="1">
      <alignment horizontal="center" vertical="center" wrapText="1"/>
    </xf>
    <xf numFmtId="3" fontId="42" fillId="0" borderId="34" xfId="0" applyNumberFormat="1" applyFont="1" applyBorder="1" applyAlignment="1">
      <alignment horizontal="center" vertical="center" wrapText="1"/>
    </xf>
    <xf numFmtId="3" fontId="42" fillId="13" borderId="34" xfId="0" applyNumberFormat="1" applyFont="1" applyFill="1" applyBorder="1" applyAlignment="1">
      <alignment horizontal="center" vertical="center" wrapText="1"/>
    </xf>
    <xf numFmtId="3" fontId="35" fillId="5" borderId="36" xfId="0" applyNumberFormat="1" applyFont="1" applyFill="1" applyBorder="1" applyAlignment="1">
      <alignment horizontal="center" vertical="center" wrapText="1"/>
    </xf>
    <xf numFmtId="3" fontId="35" fillId="0" borderId="36" xfId="0" applyNumberFormat="1" applyFont="1" applyBorder="1" applyAlignment="1">
      <alignment horizontal="center" vertical="center" wrapText="1"/>
    </xf>
    <xf numFmtId="3" fontId="35" fillId="13" borderId="36" xfId="0" applyNumberFormat="1" applyFont="1" applyFill="1" applyBorder="1" applyAlignment="1">
      <alignment horizontal="center" vertical="center" wrapText="1"/>
    </xf>
    <xf numFmtId="3" fontId="35" fillId="13" borderId="10" xfId="0" applyNumberFormat="1" applyFont="1" applyFill="1" applyBorder="1" applyAlignment="1">
      <alignment horizontal="center" vertical="center" wrapText="1"/>
    </xf>
    <xf numFmtId="0" fontId="37" fillId="5" borderId="40" xfId="0" applyFont="1" applyFill="1" applyBorder="1" applyAlignment="1">
      <alignment horizontal="center" vertical="center" wrapText="1"/>
    </xf>
    <xf numFmtId="0" fontId="37" fillId="0" borderId="40" xfId="0" applyFont="1" applyBorder="1" applyAlignment="1">
      <alignment horizontal="center" vertical="center" wrapText="1"/>
    </xf>
    <xf numFmtId="0" fontId="37" fillId="13" borderId="40" xfId="0" applyFont="1" applyFill="1" applyBorder="1" applyAlignment="1">
      <alignment horizontal="center" vertical="center" wrapText="1"/>
    </xf>
    <xf numFmtId="0" fontId="37" fillId="13" borderId="5" xfId="0" applyFont="1" applyFill="1" applyBorder="1" applyAlignment="1">
      <alignment horizontal="center" vertical="center" wrapText="1"/>
    </xf>
    <xf numFmtId="3" fontId="37" fillId="5" borderId="79" xfId="0" applyNumberFormat="1" applyFont="1" applyFill="1" applyBorder="1" applyAlignment="1">
      <alignment horizontal="center" vertical="center" wrapText="1"/>
    </xf>
    <xf numFmtId="3" fontId="37" fillId="5" borderId="69" xfId="0" applyNumberFormat="1" applyFont="1" applyFill="1" applyBorder="1" applyAlignment="1">
      <alignment horizontal="center" vertical="center" wrapText="1"/>
    </xf>
    <xf numFmtId="3" fontId="41" fillId="5" borderId="69" xfId="0" applyNumberFormat="1" applyFont="1" applyFill="1" applyBorder="1" applyAlignment="1">
      <alignment horizontal="center" vertical="center" wrapText="1"/>
    </xf>
    <xf numFmtId="3" fontId="37" fillId="0" borderId="133" xfId="0" applyNumberFormat="1" applyFont="1" applyBorder="1" applyAlignment="1">
      <alignment horizontal="center" vertical="center" wrapText="1"/>
    </xf>
    <xf numFmtId="3" fontId="37" fillId="0" borderId="95" xfId="0" applyNumberFormat="1" applyFont="1" applyBorder="1" applyAlignment="1">
      <alignment horizontal="center" vertical="center" wrapText="1"/>
    </xf>
    <xf numFmtId="3" fontId="41" fillId="0" borderId="95" xfId="0" applyNumberFormat="1" applyFont="1" applyBorder="1" applyAlignment="1">
      <alignment horizontal="center" vertical="center" wrapText="1"/>
    </xf>
    <xf numFmtId="3" fontId="37" fillId="0" borderId="134" xfId="0" applyNumberFormat="1" applyFont="1" applyBorder="1" applyAlignment="1">
      <alignment horizontal="center" vertical="center" wrapText="1"/>
    </xf>
    <xf numFmtId="0" fontId="63" fillId="0" borderId="34" xfId="0" applyFont="1" applyBorder="1" applyAlignment="1">
      <alignment horizontal="center" vertical="center" wrapText="1"/>
    </xf>
    <xf numFmtId="0" fontId="63" fillId="0" borderId="34" xfId="0" applyFont="1" applyBorder="1" applyAlignment="1">
      <alignment vertical="top" wrapText="1"/>
    </xf>
    <xf numFmtId="3" fontId="63" fillId="0" borderId="34" xfId="0" applyNumberFormat="1" applyFont="1" applyBorder="1" applyAlignment="1">
      <alignment horizontal="center" vertical="center" wrapText="1"/>
    </xf>
    <xf numFmtId="0" fontId="63" fillId="0" borderId="36" xfId="0" applyFont="1" applyBorder="1" applyAlignment="1">
      <alignment horizontal="center" vertical="center" wrapText="1"/>
    </xf>
    <xf numFmtId="0" fontId="63" fillId="0" borderId="36" xfId="0" applyFont="1" applyBorder="1" applyAlignment="1">
      <alignment vertical="top" wrapText="1"/>
    </xf>
    <xf numFmtId="0" fontId="45" fillId="0" borderId="19" xfId="0" applyFont="1" applyBorder="1" applyAlignment="1">
      <alignment horizontal="center" vertical="center" wrapText="1"/>
    </xf>
    <xf numFmtId="0" fontId="45" fillId="0" borderId="15" xfId="0" applyFont="1" applyBorder="1" applyAlignment="1">
      <alignment horizontal="center" vertical="center" wrapText="1"/>
    </xf>
    <xf numFmtId="0" fontId="35" fillId="0" borderId="34" xfId="0" applyFont="1" applyBorder="1" applyAlignment="1">
      <alignment wrapText="1"/>
    </xf>
    <xf numFmtId="0" fontId="35" fillId="0" borderId="34" xfId="0" applyFont="1" applyBorder="1" applyAlignment="1">
      <alignment horizontal="center" vertical="center" wrapText="1"/>
    </xf>
    <xf numFmtId="0" fontId="71" fillId="0" borderId="34" xfId="0" applyFont="1" applyBorder="1" applyAlignment="1">
      <alignment horizontal="center" vertical="center" wrapText="1"/>
    </xf>
    <xf numFmtId="3" fontId="34" fillId="0" borderId="34" xfId="0" applyNumberFormat="1" applyFont="1" applyBorder="1" applyAlignment="1">
      <alignment horizontal="center" vertical="center" wrapText="1"/>
    </xf>
    <xf numFmtId="0" fontId="44" fillId="15" borderId="34" xfId="0" applyFont="1" applyFill="1" applyBorder="1" applyAlignment="1">
      <alignment horizontal="center" vertical="center" wrapText="1"/>
    </xf>
    <xf numFmtId="0" fontId="44" fillId="15" borderId="34" xfId="0" applyFont="1" applyFill="1" applyBorder="1" applyAlignment="1">
      <alignment horizontal="left" vertical="center" wrapText="1"/>
    </xf>
    <xf numFmtId="0" fontId="42" fillId="15" borderId="34" xfId="0" applyFont="1" applyFill="1" applyBorder="1" applyAlignment="1">
      <alignment horizontal="center" vertical="center" wrapText="1"/>
    </xf>
    <xf numFmtId="0" fontId="44" fillId="0" borderId="34" xfId="0" applyFont="1" applyFill="1" applyBorder="1" applyAlignment="1">
      <alignment horizontal="center" vertical="center" wrapText="1"/>
    </xf>
    <xf numFmtId="0" fontId="44" fillId="0" borderId="34" xfId="0" applyFont="1" applyFill="1" applyBorder="1" applyAlignment="1">
      <alignment horizontal="left" vertical="center" wrapText="1"/>
    </xf>
    <xf numFmtId="0" fontId="42" fillId="0" borderId="34" xfId="0" applyFont="1" applyBorder="1" applyAlignment="1">
      <alignment horizontal="center" vertical="center" wrapText="1"/>
    </xf>
    <xf numFmtId="0" fontId="34" fillId="0" borderId="34" xfId="0" applyFont="1" applyFill="1" applyBorder="1" applyAlignment="1">
      <alignment horizontal="center" vertical="center" wrapText="1"/>
    </xf>
    <xf numFmtId="0" fontId="34" fillId="0" borderId="34" xfId="0" applyFont="1" applyFill="1" applyBorder="1" applyAlignment="1">
      <alignment horizontal="left" vertical="center" wrapText="1"/>
    </xf>
    <xf numFmtId="0" fontId="44" fillId="0" borderId="34" xfId="0" applyFont="1" applyBorder="1" applyAlignment="1">
      <alignment wrapText="1"/>
    </xf>
    <xf numFmtId="0" fontId="36" fillId="0" borderId="34" xfId="0" applyFont="1" applyBorder="1" applyAlignment="1">
      <alignment horizontal="center" vertical="center" wrapText="1"/>
    </xf>
    <xf numFmtId="0" fontId="35" fillId="0" borderId="36" xfId="0" applyFont="1" applyBorder="1" applyAlignment="1">
      <alignment wrapText="1"/>
    </xf>
    <xf numFmtId="0" fontId="35" fillId="0" borderId="36" xfId="0" applyFont="1" applyBorder="1" applyAlignment="1">
      <alignment horizontal="center" vertical="center" wrapText="1"/>
    </xf>
    <xf numFmtId="0" fontId="36" fillId="6" borderId="44" xfId="0" applyFont="1" applyFill="1" applyBorder="1" applyAlignment="1">
      <alignment horizontal="center" vertical="center" wrapText="1"/>
    </xf>
    <xf numFmtId="0" fontId="36" fillId="6" borderId="109" xfId="0" applyFont="1" applyFill="1" applyBorder="1" applyAlignment="1">
      <alignment horizontal="center" vertical="center" wrapText="1"/>
    </xf>
    <xf numFmtId="0" fontId="36" fillId="6" borderId="45" xfId="0" applyFont="1" applyFill="1" applyBorder="1" applyAlignment="1">
      <alignment horizontal="center" vertical="center" wrapText="1"/>
    </xf>
    <xf numFmtId="167" fontId="69" fillId="0" borderId="0" xfId="0" applyNumberFormat="1" applyFont="1" applyBorder="1" applyAlignment="1">
      <alignment horizontal="center" vertical="center" wrapText="1"/>
    </xf>
    <xf numFmtId="3" fontId="69" fillId="14" borderId="78" xfId="0" quotePrefix="1" applyNumberFormat="1" applyFont="1" applyFill="1" applyBorder="1" applyAlignment="1">
      <alignment horizontal="center" vertical="center" wrapText="1"/>
    </xf>
    <xf numFmtId="3" fontId="69" fillId="0" borderId="0" xfId="0" quotePrefix="1" applyNumberFormat="1" applyFont="1" applyFill="1" applyBorder="1" applyAlignment="1">
      <alignment horizontal="center" vertical="center" wrapText="1"/>
    </xf>
    <xf numFmtId="0" fontId="19" fillId="0" borderId="21" xfId="0" applyFont="1" applyBorder="1" applyAlignment="1">
      <alignment horizontal="center" vertical="top" wrapText="1"/>
    </xf>
    <xf numFmtId="0" fontId="19" fillId="0" borderId="5" xfId="0" applyFont="1" applyBorder="1" applyAlignment="1">
      <alignment horizontal="left" vertical="center" wrapText="1"/>
    </xf>
    <xf numFmtId="16" fontId="57" fillId="7" borderId="23" xfId="0" applyNumberFormat="1" applyFont="1" applyFill="1" applyBorder="1" applyAlignment="1">
      <alignment horizontal="center" vertical="center" wrapText="1"/>
    </xf>
    <xf numFmtId="14" fontId="56" fillId="6" borderId="23" xfId="0" applyNumberFormat="1" applyFont="1" applyFill="1" applyBorder="1" applyAlignment="1">
      <alignment horizontal="center" vertical="center" wrapText="1"/>
    </xf>
    <xf numFmtId="0" fontId="43" fillId="16" borderId="23" xfId="0" applyFont="1" applyFill="1" applyBorder="1" applyAlignment="1">
      <alignment horizontal="center" vertical="center" wrapText="1"/>
    </xf>
    <xf numFmtId="0" fontId="27" fillId="16" borderId="23" xfId="0" applyFont="1" applyFill="1" applyBorder="1" applyAlignment="1">
      <alignment horizontal="center" vertical="center" wrapText="1"/>
    </xf>
    <xf numFmtId="0" fontId="27" fillId="16" borderId="23" xfId="0" applyFont="1" applyFill="1" applyBorder="1" applyAlignment="1">
      <alignment vertical="top" wrapText="1"/>
    </xf>
    <xf numFmtId="0" fontId="27" fillId="16" borderId="13" xfId="0" applyFont="1" applyFill="1" applyBorder="1" applyAlignment="1">
      <alignment horizontal="left" vertical="center" wrapText="1"/>
    </xf>
    <xf numFmtId="14" fontId="45" fillId="6" borderId="23" xfId="0" applyNumberFormat="1" applyFont="1" applyFill="1" applyBorder="1" applyAlignment="1">
      <alignment horizontal="center" vertical="center" wrapText="1"/>
    </xf>
    <xf numFmtId="16" fontId="50" fillId="7" borderId="23" xfId="0" applyNumberFormat="1" applyFont="1" applyFill="1" applyBorder="1" applyAlignment="1">
      <alignment horizontal="center" vertical="center" wrapText="1"/>
    </xf>
    <xf numFmtId="16" fontId="45" fillId="7" borderId="23" xfId="0" applyNumberFormat="1" applyFont="1" applyFill="1" applyBorder="1" applyAlignment="1">
      <alignment horizontal="center" vertical="center" wrapText="1"/>
    </xf>
    <xf numFmtId="2" fontId="13" fillId="0" borderId="19" xfId="0" applyNumberFormat="1" applyFont="1" applyFill="1" applyBorder="1" applyAlignment="1">
      <alignment horizontal="center" vertical="center" wrapText="1"/>
    </xf>
    <xf numFmtId="4" fontId="12" fillId="0" borderId="6" xfId="0" applyNumberFormat="1" applyFont="1" applyBorder="1" applyAlignment="1">
      <alignment horizontal="center" vertical="center" wrapText="1"/>
    </xf>
    <xf numFmtId="14" fontId="29" fillId="0" borderId="19" xfId="0" applyNumberFormat="1" applyFont="1" applyFill="1" applyBorder="1" applyAlignment="1">
      <alignment horizontal="center" vertical="center" wrapText="1"/>
    </xf>
    <xf numFmtId="0" fontId="19" fillId="13" borderId="6" xfId="0" applyFont="1" applyFill="1" applyBorder="1" applyAlignment="1">
      <alignment horizontal="center" vertical="top" wrapText="1"/>
    </xf>
    <xf numFmtId="14" fontId="12" fillId="0" borderId="6" xfId="0" applyNumberFormat="1" applyFont="1" applyFill="1" applyBorder="1" applyAlignment="1">
      <alignment horizontal="center" vertical="center" wrapText="1"/>
    </xf>
    <xf numFmtId="165" fontId="29" fillId="0" borderId="19" xfId="0" applyNumberFormat="1" applyFont="1" applyFill="1" applyBorder="1" applyAlignment="1">
      <alignment horizontal="center" vertical="center" wrapText="1"/>
    </xf>
    <xf numFmtId="0" fontId="13" fillId="0" borderId="15" xfId="0" applyFont="1" applyBorder="1" applyAlignment="1">
      <alignment vertical="center" wrapText="1"/>
    </xf>
    <xf numFmtId="0" fontId="13" fillId="0" borderId="15" xfId="0" applyFont="1" applyBorder="1" applyAlignment="1">
      <alignment horizontal="center" vertical="center" wrapText="1"/>
    </xf>
    <xf numFmtId="165" fontId="92" fillId="0" borderId="19" xfId="0" applyNumberFormat="1" applyFont="1" applyBorder="1" applyAlignment="1">
      <alignment horizontal="center" vertical="center" wrapText="1"/>
    </xf>
    <xf numFmtId="14" fontId="65" fillId="13" borderId="19" xfId="0" applyNumberFormat="1" applyFont="1" applyFill="1" applyBorder="1" applyAlignment="1">
      <alignment horizontal="center" vertical="center" wrapText="1"/>
    </xf>
    <xf numFmtId="3" fontId="13" fillId="0" borderId="7" xfId="0" applyNumberFormat="1" applyFont="1" applyBorder="1" applyAlignment="1">
      <alignment horizontal="center" vertical="center" wrapText="1"/>
    </xf>
    <xf numFmtId="14" fontId="29" fillId="0" borderId="13" xfId="0" applyNumberFormat="1" applyFont="1" applyBorder="1" applyAlignment="1">
      <alignment horizontal="center" vertical="center" wrapText="1"/>
    </xf>
    <xf numFmtId="3" fontId="12" fillId="0" borderId="7" xfId="0" applyNumberFormat="1" applyFont="1" applyBorder="1" applyAlignment="1">
      <alignment horizontal="center" vertical="center" wrapText="1"/>
    </xf>
    <xf numFmtId="3" fontId="20" fillId="0" borderId="15" xfId="0" applyNumberFormat="1" applyFont="1" applyBorder="1" applyAlignment="1">
      <alignment horizontal="center" vertical="center" wrapText="1"/>
    </xf>
    <xf numFmtId="0" fontId="103" fillId="0" borderId="19" xfId="0" applyFont="1" applyFill="1" applyBorder="1" applyAlignment="1">
      <alignment vertical="top" wrapText="1"/>
    </xf>
    <xf numFmtId="0" fontId="103" fillId="0" borderId="15" xfId="0" applyFont="1" applyFill="1" applyBorder="1" applyAlignment="1">
      <alignment vertical="top" wrapText="1"/>
    </xf>
    <xf numFmtId="0" fontId="103" fillId="0" borderId="19" xfId="0" applyFont="1" applyFill="1" applyBorder="1" applyAlignment="1">
      <alignment horizontal="center" vertical="center" wrapText="1"/>
    </xf>
    <xf numFmtId="3" fontId="103" fillId="0" borderId="19" xfId="0" applyNumberFormat="1" applyFont="1" applyFill="1" applyBorder="1" applyAlignment="1">
      <alignment horizontal="center" vertical="center" wrapText="1"/>
    </xf>
    <xf numFmtId="3" fontId="13" fillId="0" borderId="15" xfId="0" applyNumberFormat="1" applyFont="1" applyFill="1" applyBorder="1" applyAlignment="1">
      <alignment horizontal="center" vertical="center" wrapText="1"/>
    </xf>
    <xf numFmtId="3" fontId="29" fillId="0" borderId="6" xfId="0" applyNumberFormat="1" applyFont="1" applyBorder="1" applyAlignment="1">
      <alignment horizontal="center" vertical="center" wrapText="1"/>
    </xf>
    <xf numFmtId="4" fontId="13" fillId="0" borderId="6" xfId="0" applyNumberFormat="1" applyFont="1" applyBorder="1" applyAlignment="1">
      <alignment horizontal="center" vertical="center" wrapText="1"/>
    </xf>
    <xf numFmtId="14" fontId="13" fillId="0" borderId="13" xfId="0" applyNumberFormat="1" applyFont="1" applyBorder="1" applyAlignment="1">
      <alignment horizontal="center" vertical="center" wrapText="1"/>
    </xf>
    <xf numFmtId="3" fontId="20" fillId="0" borderId="0" xfId="0" applyNumberFormat="1" applyFont="1" applyFill="1"/>
    <xf numFmtId="3" fontId="12" fillId="0" borderId="10" xfId="0" applyNumberFormat="1" applyFont="1" applyBorder="1" applyAlignment="1">
      <alignment horizontal="center" vertical="center" wrapText="1"/>
    </xf>
    <xf numFmtId="0" fontId="12" fillId="13" borderId="19" xfId="0" applyFont="1" applyFill="1" applyBorder="1" applyAlignment="1">
      <alignment horizontal="left" vertical="center" wrapText="1"/>
    </xf>
    <xf numFmtId="0" fontId="12" fillId="13" borderId="27" xfId="0" applyFont="1" applyFill="1" applyBorder="1" applyAlignment="1">
      <alignment horizontal="left" vertical="center" wrapText="1"/>
    </xf>
    <xf numFmtId="0" fontId="66" fillId="13" borderId="19" xfId="0" applyFont="1" applyFill="1" applyBorder="1" applyAlignment="1">
      <alignment horizontal="left" vertical="center" wrapText="1"/>
    </xf>
    <xf numFmtId="14" fontId="29" fillId="0" borderId="6" xfId="0" applyNumberFormat="1" applyFont="1" applyFill="1" applyBorder="1" applyAlignment="1">
      <alignment horizontal="center" vertical="center" wrapText="1"/>
    </xf>
    <xf numFmtId="1" fontId="29" fillId="0" borderId="19" xfId="0" applyNumberFormat="1" applyFont="1" applyBorder="1" applyAlignment="1">
      <alignment horizontal="center" vertical="center" wrapText="1"/>
    </xf>
    <xf numFmtId="0" fontId="13" fillId="0" borderId="6" xfId="0" applyFont="1" applyBorder="1" applyAlignment="1">
      <alignment vertical="center" wrapText="1"/>
    </xf>
    <xf numFmtId="166" fontId="13" fillId="0" borderId="6" xfId="0" applyNumberFormat="1" applyFont="1" applyBorder="1" applyAlignment="1">
      <alignment horizontal="center" vertical="center" wrapText="1"/>
    </xf>
    <xf numFmtId="166" fontId="13" fillId="0" borderId="19" xfId="0" applyNumberFormat="1" applyFont="1" applyBorder="1" applyAlignment="1">
      <alignment horizontal="center" vertical="center" wrapText="1"/>
    </xf>
    <xf numFmtId="14" fontId="29" fillId="0" borderId="27" xfId="0" applyNumberFormat="1" applyFont="1" applyBorder="1" applyAlignment="1">
      <alignment horizontal="center" vertical="center" wrapText="1"/>
    </xf>
    <xf numFmtId="3" fontId="11" fillId="0" borderId="6" xfId="0" applyNumberFormat="1" applyFont="1" applyFill="1" applyBorder="1" applyAlignment="1">
      <alignment horizontal="center" vertical="center" wrapText="1"/>
    </xf>
    <xf numFmtId="14" fontId="11" fillId="0" borderId="6" xfId="0" applyNumberFormat="1" applyFont="1" applyFill="1" applyBorder="1" applyAlignment="1">
      <alignment horizontal="center" vertical="center" wrapText="1"/>
    </xf>
    <xf numFmtId="14" fontId="100" fillId="0" borderId="19" xfId="0" applyNumberFormat="1" applyFont="1" applyFill="1" applyBorder="1" applyAlignment="1">
      <alignment horizontal="center" vertical="center" wrapText="1"/>
    </xf>
    <xf numFmtId="4" fontId="12" fillId="0" borderId="18" xfId="0" applyNumberFormat="1" applyFont="1" applyFill="1" applyBorder="1" applyAlignment="1">
      <alignment horizontal="center" vertical="center" wrapText="1"/>
    </xf>
    <xf numFmtId="4" fontId="12" fillId="0" borderId="15" xfId="0" applyNumberFormat="1" applyFont="1" applyFill="1" applyBorder="1" applyAlignment="1">
      <alignment horizontal="center" vertical="center" wrapText="1"/>
    </xf>
    <xf numFmtId="0" fontId="12" fillId="0" borderId="0" xfId="0" applyFont="1" applyFill="1"/>
    <xf numFmtId="3" fontId="13" fillId="0" borderId="15" xfId="0" applyNumberFormat="1" applyFont="1" applyBorder="1" applyAlignment="1">
      <alignment horizontal="center" vertical="center" wrapText="1"/>
    </xf>
    <xf numFmtId="0" fontId="20" fillId="0" borderId="19" xfId="0" applyFont="1" applyBorder="1" applyAlignment="1">
      <alignment vertical="top" wrapText="1"/>
    </xf>
    <xf numFmtId="0" fontId="13" fillId="0" borderId="15" xfId="0" applyFont="1" applyBorder="1" applyAlignment="1">
      <alignment vertical="top" wrapText="1"/>
    </xf>
    <xf numFmtId="0" fontId="29" fillId="0" borderId="6" xfId="0" applyFont="1" applyBorder="1" applyAlignment="1">
      <alignment vertical="center" wrapText="1"/>
    </xf>
    <xf numFmtId="4" fontId="29" fillId="0" borderId="6" xfId="0" applyNumberFormat="1" applyFont="1" applyBorder="1" applyAlignment="1">
      <alignment horizontal="center" vertical="center" wrapText="1"/>
    </xf>
    <xf numFmtId="166" fontId="29" fillId="0" borderId="6" xfId="0" applyNumberFormat="1" applyFont="1" applyBorder="1" applyAlignment="1">
      <alignment horizontal="center" vertical="center" wrapText="1"/>
    </xf>
    <xf numFmtId="14" fontId="28" fillId="0" borderId="6" xfId="0" applyNumberFormat="1" applyFont="1" applyBorder="1" applyAlignment="1">
      <alignment horizontal="center" vertical="center" wrapText="1"/>
    </xf>
    <xf numFmtId="0" fontId="29" fillId="0" borderId="19" xfId="0" applyFont="1" applyBorder="1" applyAlignment="1">
      <alignment vertical="center" wrapText="1"/>
    </xf>
    <xf numFmtId="0" fontId="29" fillId="0" borderId="15" xfId="0" applyFont="1" applyBorder="1" applyAlignment="1">
      <alignment vertical="center" wrapText="1"/>
    </xf>
    <xf numFmtId="0" fontId="29" fillId="0" borderId="15" xfId="0" applyFont="1" applyBorder="1" applyAlignment="1">
      <alignment horizontal="center" vertical="center" wrapText="1"/>
    </xf>
    <xf numFmtId="14" fontId="100" fillId="0" borderId="19" xfId="0" applyNumberFormat="1" applyFont="1" applyBorder="1" applyAlignment="1">
      <alignment horizontal="center" vertical="center" wrapText="1"/>
    </xf>
    <xf numFmtId="3" fontId="11" fillId="0" borderId="6" xfId="0" applyNumberFormat="1" applyFont="1" applyBorder="1" applyAlignment="1">
      <alignment horizontal="center" vertical="center" wrapText="1"/>
    </xf>
    <xf numFmtId="0" fontId="98" fillId="0" borderId="15" xfId="0" applyFont="1" applyFill="1" applyBorder="1" applyAlignment="1">
      <alignment horizontal="center" vertical="center" wrapText="1"/>
    </xf>
    <xf numFmtId="0" fontId="28" fillId="0" borderId="0" xfId="0" applyFont="1" applyFill="1" applyAlignment="1">
      <alignment horizontal="center" vertical="center"/>
    </xf>
    <xf numFmtId="3" fontId="12" fillId="18" borderId="15" xfId="0" applyNumberFormat="1" applyFont="1" applyFill="1" applyBorder="1" applyAlignment="1">
      <alignment horizontal="center" vertical="center" wrapText="1"/>
    </xf>
    <xf numFmtId="3" fontId="22" fillId="18" borderId="6" xfId="0" applyNumberFormat="1" applyFont="1" applyFill="1" applyBorder="1" applyAlignment="1">
      <alignment horizontal="center" vertical="center" wrapText="1"/>
    </xf>
    <xf numFmtId="0" fontId="102" fillId="0" borderId="6" xfId="0" applyFont="1" applyBorder="1"/>
    <xf numFmtId="0" fontId="105" fillId="0" borderId="6" xfId="0" applyFont="1" applyBorder="1"/>
    <xf numFmtId="3" fontId="102" fillId="2" borderId="7" xfId="0" applyNumberFormat="1" applyFont="1" applyFill="1" applyBorder="1" applyAlignment="1">
      <alignment horizontal="center" vertical="center"/>
    </xf>
    <xf numFmtId="3" fontId="102" fillId="3" borderId="7" xfId="0" applyNumberFormat="1" applyFont="1" applyFill="1" applyBorder="1" applyAlignment="1">
      <alignment horizontal="center" vertical="center"/>
    </xf>
    <xf numFmtId="3" fontId="106" fillId="5" borderId="6" xfId="0" applyNumberFormat="1" applyFont="1" applyFill="1" applyBorder="1" applyAlignment="1">
      <alignment horizontal="center" vertical="center" wrapText="1"/>
    </xf>
    <xf numFmtId="3" fontId="63" fillId="0" borderId="6" xfId="0" applyNumberFormat="1" applyFont="1" applyBorder="1" applyAlignment="1">
      <alignment horizontal="center" vertical="center" wrapText="1"/>
    </xf>
    <xf numFmtId="3" fontId="106" fillId="0" borderId="6" xfId="0" applyNumberFormat="1" applyFont="1" applyBorder="1" applyAlignment="1">
      <alignment horizontal="center" vertical="center" wrapText="1"/>
    </xf>
    <xf numFmtId="3" fontId="106" fillId="8" borderId="6" xfId="0" applyNumberFormat="1" applyFont="1" applyFill="1" applyBorder="1" applyAlignment="1">
      <alignment horizontal="center" vertical="center" wrapText="1"/>
    </xf>
    <xf numFmtId="3" fontId="63" fillId="8" borderId="6" xfId="0" applyNumberFormat="1" applyFont="1" applyFill="1" applyBorder="1" applyAlignment="1">
      <alignment horizontal="center" wrapText="1"/>
    </xf>
    <xf numFmtId="3" fontId="106" fillId="5" borderId="6" xfId="0" applyNumberFormat="1" applyFont="1" applyFill="1" applyBorder="1" applyAlignment="1">
      <alignment horizontal="center"/>
    </xf>
    <xf numFmtId="3" fontId="106" fillId="0" borderId="15" xfId="0" applyNumberFormat="1" applyFont="1" applyBorder="1" applyAlignment="1">
      <alignment horizontal="center" vertical="center" wrapText="1"/>
    </xf>
    <xf numFmtId="3" fontId="106" fillId="0" borderId="26" xfId="0" applyNumberFormat="1" applyFont="1" applyBorder="1" applyAlignment="1">
      <alignment horizontal="center" vertical="center" wrapText="1"/>
    </xf>
    <xf numFmtId="3" fontId="106" fillId="0" borderId="19" xfId="0" applyNumberFormat="1" applyFont="1" applyBorder="1" applyAlignment="1">
      <alignment horizontal="center" vertical="center" wrapText="1"/>
    </xf>
    <xf numFmtId="3" fontId="106" fillId="5" borderId="6" xfId="0" applyNumberFormat="1" applyFont="1" applyFill="1" applyBorder="1" applyAlignment="1">
      <alignment horizontal="center" vertical="center"/>
    </xf>
    <xf numFmtId="3" fontId="106" fillId="0" borderId="19" xfId="0" applyNumberFormat="1" applyFont="1" applyFill="1" applyBorder="1" applyAlignment="1">
      <alignment horizontal="center" vertical="center" wrapText="1"/>
    </xf>
    <xf numFmtId="3" fontId="63" fillId="0" borderId="19" xfId="0" applyNumberFormat="1" applyFont="1" applyFill="1" applyBorder="1" applyAlignment="1">
      <alignment horizontal="center" vertical="center" wrapText="1"/>
    </xf>
    <xf numFmtId="3" fontId="63" fillId="0" borderId="6" xfId="0" applyNumberFormat="1" applyFont="1" applyFill="1" applyBorder="1" applyAlignment="1">
      <alignment horizontal="center"/>
    </xf>
    <xf numFmtId="3" fontId="106" fillId="0" borderId="6" xfId="0" applyNumberFormat="1" applyFont="1" applyFill="1" applyBorder="1" applyAlignment="1">
      <alignment horizontal="center" vertical="center"/>
    </xf>
    <xf numFmtId="3" fontId="102" fillId="2" borderId="7" xfId="0" applyNumberFormat="1" applyFont="1" applyFill="1" applyBorder="1" applyAlignment="1">
      <alignment horizontal="center"/>
    </xf>
    <xf numFmtId="3" fontId="102" fillId="5" borderId="6" xfId="0" applyNumberFormat="1" applyFont="1" applyFill="1" applyBorder="1" applyAlignment="1">
      <alignment horizontal="center" vertical="center"/>
    </xf>
    <xf numFmtId="3" fontId="63" fillId="0" borderId="19" xfId="0" applyNumberFormat="1" applyFont="1" applyBorder="1" applyAlignment="1">
      <alignment horizontal="center" vertical="center" wrapText="1"/>
    </xf>
    <xf numFmtId="3" fontId="106" fillId="0" borderId="6" xfId="0" applyNumberFormat="1" applyFont="1" applyBorder="1" applyAlignment="1">
      <alignment horizontal="center" vertical="center"/>
    </xf>
    <xf numFmtId="3" fontId="63" fillId="0" borderId="6" xfId="0" applyNumberFormat="1" applyFont="1" applyBorder="1" applyAlignment="1">
      <alignment horizontal="center" vertical="center"/>
    </xf>
    <xf numFmtId="3" fontId="106" fillId="5" borderId="6" xfId="0" applyNumberFormat="1" applyFont="1" applyFill="1" applyBorder="1" applyAlignment="1">
      <alignment horizontal="center" wrapText="1"/>
    </xf>
    <xf numFmtId="3" fontId="106" fillId="0" borderId="6" xfId="0" applyNumberFormat="1" applyFont="1" applyBorder="1" applyAlignment="1">
      <alignment horizontal="center"/>
    </xf>
    <xf numFmtId="3" fontId="102" fillId="3" borderId="7" xfId="0" applyNumberFormat="1" applyFont="1" applyFill="1" applyBorder="1" applyAlignment="1">
      <alignment horizontal="center"/>
    </xf>
    <xf numFmtId="3" fontId="63" fillId="0" borderId="6" xfId="0" applyNumberFormat="1" applyFont="1" applyBorder="1" applyAlignment="1">
      <alignment horizontal="center"/>
    </xf>
    <xf numFmtId="3" fontId="63" fillId="0" borderId="6" xfId="0" applyNumberFormat="1" applyFont="1" applyFill="1" applyBorder="1" applyAlignment="1">
      <alignment horizontal="center" vertical="center"/>
    </xf>
    <xf numFmtId="3" fontId="56" fillId="3" borderId="7" xfId="0" applyNumberFormat="1" applyFont="1" applyFill="1" applyBorder="1" applyAlignment="1">
      <alignment horizontal="center"/>
    </xf>
    <xf numFmtId="3" fontId="107" fillId="0" borderId="6" xfId="0" applyNumberFormat="1" applyFont="1" applyBorder="1" applyAlignment="1">
      <alignment horizontal="center"/>
    </xf>
    <xf numFmtId="3" fontId="0" fillId="10" borderId="0" xfId="0" applyNumberFormat="1" applyFill="1"/>
    <xf numFmtId="1" fontId="16" fillId="10" borderId="19" xfId="0" applyNumberFormat="1" applyFont="1" applyFill="1" applyBorder="1" applyAlignment="1">
      <alignment horizontal="center" wrapText="1"/>
    </xf>
    <xf numFmtId="3" fontId="12" fillId="10" borderId="15" xfId="0" applyNumberFormat="1" applyFont="1" applyFill="1" applyBorder="1" applyAlignment="1">
      <alignment horizontal="center" vertical="center" wrapText="1"/>
    </xf>
    <xf numFmtId="3" fontId="63" fillId="10" borderId="6" xfId="0" applyNumberFormat="1" applyFont="1" applyFill="1" applyBorder="1" applyAlignment="1">
      <alignment horizontal="center" vertical="center" wrapText="1"/>
    </xf>
    <xf numFmtId="0" fontId="28" fillId="10" borderId="49" xfId="0" applyFont="1" applyFill="1" applyBorder="1" applyAlignment="1">
      <alignment horizontal="left" vertical="center" wrapText="1"/>
    </xf>
    <xf numFmtId="3" fontId="22" fillId="6" borderId="6" xfId="0" applyNumberFormat="1" applyFont="1" applyFill="1" applyBorder="1" applyAlignment="1">
      <alignment horizontal="center" vertical="center" wrapText="1"/>
    </xf>
    <xf numFmtId="4" fontId="66" fillId="0" borderId="6" xfId="0" applyNumberFormat="1" applyFont="1" applyBorder="1" applyAlignment="1">
      <alignment horizontal="center" vertical="center" wrapText="1"/>
    </xf>
    <xf numFmtId="3" fontId="50" fillId="0" borderId="0" xfId="0" applyNumberFormat="1" applyFont="1" applyFill="1" applyBorder="1" applyAlignment="1">
      <alignment horizontal="center"/>
    </xf>
    <xf numFmtId="166" fontId="13" fillId="0" borderId="19" xfId="0" applyNumberFormat="1" applyFont="1" applyFill="1" applyBorder="1" applyAlignment="1">
      <alignment horizontal="center" vertical="center" wrapText="1"/>
    </xf>
    <xf numFmtId="1" fontId="13" fillId="0" borderId="19" xfId="0" applyNumberFormat="1" applyFont="1" applyFill="1" applyBorder="1" applyAlignment="1">
      <alignment horizontal="center" vertical="center" wrapText="1"/>
    </xf>
    <xf numFmtId="0" fontId="99" fillId="0" borderId="13" xfId="0" applyFont="1" applyFill="1" applyBorder="1" applyAlignment="1">
      <alignment horizontal="center" vertical="center" wrapText="1"/>
    </xf>
    <xf numFmtId="0" fontId="44" fillId="0" borderId="27" xfId="0" applyFont="1" applyFill="1" applyBorder="1" applyAlignment="1">
      <alignment horizontal="left" vertical="center" wrapText="1"/>
    </xf>
    <xf numFmtId="0" fontId="44" fillId="0" borderId="6" xfId="0" applyFont="1" applyFill="1" applyBorder="1" applyAlignment="1">
      <alignment horizontal="left" vertical="center" wrapText="1"/>
    </xf>
    <xf numFmtId="0" fontId="45" fillId="0" borderId="136" xfId="0" applyFont="1" applyBorder="1" applyAlignment="1">
      <alignment horizontal="center" vertical="center" wrapText="1"/>
    </xf>
    <xf numFmtId="0" fontId="44" fillId="0" borderId="138" xfId="0" applyFont="1" applyBorder="1" applyAlignment="1">
      <alignment horizontal="center" vertical="center" wrapText="1"/>
    </xf>
    <xf numFmtId="0" fontId="44" fillId="0" borderId="24" xfId="0" applyFont="1" applyBorder="1" applyAlignment="1">
      <alignment horizontal="center" vertical="center" wrapText="1"/>
    </xf>
    <xf numFmtId="0" fontId="44" fillId="0" borderId="9" xfId="0" applyFont="1" applyBorder="1" applyAlignment="1">
      <alignment horizontal="center" vertical="center" wrapText="1"/>
    </xf>
    <xf numFmtId="0" fontId="44" fillId="0" borderId="137" xfId="0" applyFont="1" applyBorder="1" applyAlignment="1">
      <alignment horizontal="center" vertical="center" wrapText="1"/>
    </xf>
    <xf numFmtId="0" fontId="23" fillId="0" borderId="7" xfId="0" applyFont="1" applyBorder="1" applyAlignment="1">
      <alignment vertical="center" wrapText="1"/>
    </xf>
    <xf numFmtId="0" fontId="44" fillId="0" borderId="6" xfId="0" applyFont="1" applyBorder="1" applyAlignment="1">
      <alignment horizontal="center" vertical="center" wrapText="1"/>
    </xf>
    <xf numFmtId="0" fontId="44" fillId="0" borderId="28" xfId="0" applyFont="1" applyBorder="1" applyAlignment="1">
      <alignment horizontal="center" vertical="center" wrapText="1"/>
    </xf>
    <xf numFmtId="0" fontId="44" fillId="0" borderId="136" xfId="0" applyFont="1" applyBorder="1" applyAlignment="1">
      <alignment horizontal="center" vertical="center" wrapText="1"/>
    </xf>
    <xf numFmtId="0" fontId="44" fillId="0" borderId="30" xfId="0" applyFont="1" applyBorder="1" applyAlignment="1">
      <alignment horizontal="center" vertical="center" wrapText="1"/>
    </xf>
    <xf numFmtId="0" fontId="13" fillId="0" borderId="19" xfId="0" applyFont="1" applyBorder="1" applyAlignment="1">
      <alignment vertical="center" wrapText="1"/>
    </xf>
    <xf numFmtId="14" fontId="13" fillId="13" borderId="6" xfId="0" applyNumberFormat="1" applyFont="1" applyFill="1" applyBorder="1" applyAlignment="1">
      <alignment horizontal="center" vertical="center" wrapText="1"/>
    </xf>
    <xf numFmtId="14" fontId="13" fillId="0" borderId="6" xfId="0" applyNumberFormat="1" applyFont="1" applyBorder="1" applyAlignment="1">
      <alignment horizontal="center" vertical="center" wrapText="1"/>
    </xf>
    <xf numFmtId="3" fontId="12" fillId="10" borderId="6" xfId="0" applyNumberFormat="1" applyFont="1" applyFill="1" applyBorder="1" applyAlignment="1">
      <alignment horizontal="center" vertical="center" wrapText="1"/>
    </xf>
    <xf numFmtId="1" fontId="10" fillId="10" borderId="0" xfId="0" applyNumberFormat="1" applyFont="1" applyFill="1" applyBorder="1" applyAlignment="1">
      <alignment horizontal="center" wrapText="1"/>
    </xf>
    <xf numFmtId="3" fontId="4" fillId="13" borderId="23" xfId="0" applyNumberFormat="1" applyFont="1" applyFill="1" applyBorder="1" applyAlignment="1">
      <alignment horizontal="center" wrapText="1"/>
    </xf>
    <xf numFmtId="1" fontId="15" fillId="0" borderId="0" xfId="0" applyNumberFormat="1" applyFont="1" applyBorder="1" applyAlignment="1">
      <alignment horizontal="center" wrapText="1"/>
    </xf>
    <xf numFmtId="1" fontId="15" fillId="0" borderId="0" xfId="0" applyNumberFormat="1" applyFont="1" applyBorder="1" applyAlignment="1">
      <alignment horizontal="center"/>
    </xf>
    <xf numFmtId="0" fontId="56" fillId="0" borderId="0" xfId="0" applyFont="1" applyFill="1"/>
    <xf numFmtId="0" fontId="24" fillId="0" borderId="0" xfId="0" applyFont="1" applyFill="1"/>
    <xf numFmtId="0" fontId="20" fillId="0" borderId="0" xfId="0" applyFont="1" applyFill="1" applyAlignment="1">
      <alignment horizontal="center" vertical="center"/>
    </xf>
    <xf numFmtId="1" fontId="20" fillId="0" borderId="0" xfId="0" applyNumberFormat="1" applyFont="1" applyFill="1"/>
    <xf numFmtId="0" fontId="56" fillId="0" borderId="23" xfId="0" applyFont="1" applyFill="1" applyBorder="1" applyAlignment="1">
      <alignment horizontal="center" vertical="top" wrapText="1"/>
    </xf>
    <xf numFmtId="0" fontId="19" fillId="0" borderId="5" xfId="0" applyFont="1" applyFill="1" applyBorder="1" applyAlignment="1">
      <alignment horizontal="center" vertical="center" wrapText="1"/>
    </xf>
    <xf numFmtId="0" fontId="19" fillId="0" borderId="5" xfId="0" applyFont="1" applyFill="1" applyBorder="1" applyAlignment="1">
      <alignment horizontal="left" vertical="center" wrapText="1"/>
    </xf>
    <xf numFmtId="0" fontId="43" fillId="0" borderId="47" xfId="0" applyFont="1" applyFill="1" applyBorder="1" applyAlignment="1">
      <alignment horizontal="center" vertical="center" wrapText="1"/>
    </xf>
    <xf numFmtId="0" fontId="19" fillId="0" borderId="6" xfId="0" applyFont="1" applyFill="1" applyBorder="1" applyAlignment="1">
      <alignment horizontal="center" vertical="center" wrapText="1"/>
    </xf>
    <xf numFmtId="0" fontId="25" fillId="0" borderId="6" xfId="0" applyFont="1" applyFill="1" applyBorder="1" applyAlignment="1">
      <alignment horizontal="center" vertical="center" wrapText="1"/>
    </xf>
    <xf numFmtId="0" fontId="19" fillId="0" borderId="13" xfId="0" applyFont="1" applyFill="1" applyBorder="1" applyAlignment="1">
      <alignment horizontal="center" vertical="center" wrapText="1"/>
    </xf>
    <xf numFmtId="1" fontId="19" fillId="0" borderId="19" xfId="0" applyNumberFormat="1" applyFont="1" applyFill="1" applyBorder="1" applyAlignment="1">
      <alignment horizontal="center" vertical="center" wrapText="1"/>
    </xf>
    <xf numFmtId="0" fontId="19" fillId="0" borderId="6" xfId="0" applyFont="1" applyFill="1" applyBorder="1" applyAlignment="1">
      <alignment horizontal="center" vertical="top" wrapText="1"/>
    </xf>
    <xf numFmtId="0" fontId="13" fillId="0" borderId="5" xfId="0" applyFont="1" applyFill="1" applyBorder="1" applyAlignment="1">
      <alignment vertical="top" wrapText="1"/>
    </xf>
    <xf numFmtId="0" fontId="29" fillId="0" borderId="47" xfId="0" applyFont="1" applyFill="1" applyBorder="1" applyAlignment="1">
      <alignment horizontal="center" vertical="center" wrapText="1"/>
    </xf>
    <xf numFmtId="0" fontId="13" fillId="0" borderId="6" xfId="0" applyFont="1" applyFill="1" applyBorder="1" applyAlignment="1">
      <alignment vertical="top" wrapText="1"/>
    </xf>
    <xf numFmtId="0" fontId="13" fillId="0" borderId="6" xfId="0" applyFont="1" applyFill="1" applyBorder="1" applyAlignment="1">
      <alignment horizontal="center" vertical="center" wrapText="1"/>
    </xf>
    <xf numFmtId="1" fontId="13" fillId="0" borderId="6" xfId="0" applyNumberFormat="1" applyFont="1" applyFill="1" applyBorder="1" applyAlignment="1">
      <alignment vertical="top" wrapText="1"/>
    </xf>
    <xf numFmtId="0" fontId="13" fillId="0" borderId="6" xfId="0" applyFont="1" applyFill="1" applyBorder="1" applyAlignment="1">
      <alignment horizontal="center" vertical="top" wrapText="1"/>
    </xf>
    <xf numFmtId="0" fontId="13" fillId="0" borderId="27" xfId="0" applyFont="1" applyFill="1" applyBorder="1" applyAlignment="1">
      <alignment horizontal="center" vertical="top" wrapText="1"/>
    </xf>
    <xf numFmtId="0" fontId="13" fillId="0" borderId="19" xfId="0" applyFont="1" applyFill="1" applyBorder="1" applyAlignment="1">
      <alignment horizontal="center" vertical="top" wrapText="1"/>
    </xf>
    <xf numFmtId="0" fontId="13" fillId="0" borderId="23" xfId="0" applyFont="1" applyFill="1" applyBorder="1" applyAlignment="1">
      <alignment vertical="top" wrapText="1"/>
    </xf>
    <xf numFmtId="0" fontId="13" fillId="0" borderId="23" xfId="0" applyFont="1" applyFill="1" applyBorder="1" applyAlignment="1">
      <alignment horizontal="center" vertical="center" wrapText="1"/>
    </xf>
    <xf numFmtId="16" fontId="57" fillId="0" borderId="5" xfId="0" applyNumberFormat="1" applyFont="1" applyFill="1" applyBorder="1" applyAlignment="1">
      <alignment horizontal="center" vertical="center" wrapText="1"/>
    </xf>
    <xf numFmtId="3" fontId="57" fillId="0" borderId="6" xfId="0" applyNumberFormat="1" applyFont="1" applyFill="1" applyBorder="1" applyAlignment="1">
      <alignment horizontal="center" vertical="center" wrapText="1"/>
    </xf>
    <xf numFmtId="3" fontId="12" fillId="0" borderId="19" xfId="0" applyNumberFormat="1" applyFont="1" applyFill="1" applyBorder="1" applyAlignment="1">
      <alignment horizontal="center" vertical="center" wrapText="1"/>
    </xf>
    <xf numFmtId="1" fontId="12" fillId="0" borderId="6" xfId="0" applyNumberFormat="1" applyFont="1" applyFill="1" applyBorder="1" applyAlignment="1">
      <alignment horizontal="center" vertical="center" wrapText="1"/>
    </xf>
    <xf numFmtId="3" fontId="12" fillId="0" borderId="27" xfId="0" applyNumberFormat="1" applyFont="1" applyFill="1" applyBorder="1" applyAlignment="1">
      <alignment horizontal="center" vertical="center" wrapText="1"/>
    </xf>
    <xf numFmtId="2" fontId="20" fillId="0" borderId="0" xfId="0" applyNumberFormat="1" applyFont="1" applyFill="1"/>
    <xf numFmtId="14" fontId="20" fillId="0" borderId="0" xfId="0" applyNumberFormat="1" applyFont="1" applyFill="1"/>
    <xf numFmtId="14" fontId="56" fillId="0" borderId="5" xfId="0" applyNumberFormat="1" applyFont="1" applyFill="1" applyBorder="1" applyAlignment="1">
      <alignment horizontal="center" vertical="center" wrapText="1"/>
    </xf>
    <xf numFmtId="3" fontId="56" fillId="0" borderId="6" xfId="0" applyNumberFormat="1" applyFont="1" applyFill="1" applyBorder="1" applyAlignment="1">
      <alignment horizontal="center" vertical="center" wrapText="1"/>
    </xf>
    <xf numFmtId="0" fontId="43" fillId="0" borderId="5" xfId="0" applyFont="1" applyFill="1" applyBorder="1" applyAlignment="1">
      <alignment horizontal="center" vertical="center" wrapText="1"/>
    </xf>
    <xf numFmtId="3" fontId="43" fillId="0" borderId="6" xfId="0" applyNumberFormat="1" applyFont="1" applyFill="1" applyBorder="1" applyAlignment="1">
      <alignment horizontal="center" vertical="center" wrapText="1"/>
    </xf>
    <xf numFmtId="0" fontId="29" fillId="0" borderId="6" xfId="0" applyFont="1" applyFill="1" applyBorder="1" applyAlignment="1">
      <alignment horizontal="center" vertical="center" wrapText="1"/>
    </xf>
    <xf numFmtId="1" fontId="29" fillId="0" borderId="24" xfId="0" applyNumberFormat="1" applyFont="1" applyFill="1" applyBorder="1" applyAlignment="1">
      <alignment horizontal="center" vertical="center" wrapText="1"/>
    </xf>
    <xf numFmtId="3" fontId="28" fillId="0" borderId="27" xfId="0" applyNumberFormat="1" applyFont="1" applyFill="1" applyBorder="1" applyAlignment="1">
      <alignment horizontal="center" vertical="center" wrapText="1"/>
    </xf>
    <xf numFmtId="0" fontId="13" fillId="0" borderId="47" xfId="0" applyFont="1" applyFill="1" applyBorder="1" applyAlignment="1">
      <alignment horizontal="center" vertical="center" wrapText="1"/>
    </xf>
    <xf numFmtId="168" fontId="29" fillId="0" borderId="19" xfId="0" applyNumberFormat="1" applyFont="1" applyFill="1" applyBorder="1" applyAlignment="1">
      <alignment horizontal="center" vertical="center" wrapText="1"/>
    </xf>
    <xf numFmtId="3" fontId="12" fillId="0" borderId="23" xfId="0" applyNumberFormat="1" applyFont="1" applyFill="1" applyBorder="1" applyAlignment="1">
      <alignment horizontal="center" vertical="center" wrapText="1"/>
    </xf>
    <xf numFmtId="4" fontId="12" fillId="0" borderId="34" xfId="0" applyNumberFormat="1" applyFont="1" applyFill="1" applyBorder="1" applyAlignment="1">
      <alignment horizontal="center" vertical="center" wrapText="1"/>
    </xf>
    <xf numFmtId="3" fontId="13" fillId="0" borderId="23" xfId="0" applyNumberFormat="1" applyFont="1" applyFill="1" applyBorder="1" applyAlignment="1">
      <alignment horizontal="center" vertical="center" wrapText="1"/>
    </xf>
    <xf numFmtId="14" fontId="12" fillId="0" borderId="19" xfId="0" applyNumberFormat="1" applyFont="1" applyFill="1" applyBorder="1" applyAlignment="1">
      <alignment horizontal="center" vertical="center" wrapText="1"/>
    </xf>
    <xf numFmtId="4" fontId="12" fillId="0" borderId="55" xfId="0" applyNumberFormat="1" applyFont="1" applyFill="1" applyBorder="1" applyAlignment="1">
      <alignment horizontal="center" vertical="center" wrapText="1"/>
    </xf>
    <xf numFmtId="4" fontId="12" fillId="0" borderId="36" xfId="0" quotePrefix="1" applyNumberFormat="1" applyFont="1" applyFill="1" applyBorder="1" applyAlignment="1">
      <alignment horizontal="center" vertical="center" wrapText="1"/>
    </xf>
    <xf numFmtId="3" fontId="40" fillId="0" borderId="6" xfId="0" applyNumberFormat="1" applyFont="1" applyFill="1" applyBorder="1" applyAlignment="1">
      <alignment horizontal="center" vertical="center" wrapText="1"/>
    </xf>
    <xf numFmtId="166" fontId="40" fillId="0" borderId="6" xfId="0" applyNumberFormat="1" applyFont="1" applyFill="1" applyBorder="1" applyAlignment="1">
      <alignment horizontal="center" vertical="center" wrapText="1"/>
    </xf>
    <xf numFmtId="0" fontId="40" fillId="0" borderId="6" xfId="0" applyFont="1" applyFill="1" applyBorder="1" applyAlignment="1">
      <alignment horizontal="center" vertical="center" wrapText="1"/>
    </xf>
    <xf numFmtId="1" fontId="40" fillId="0" borderId="6" xfId="0" applyNumberFormat="1" applyFont="1" applyFill="1" applyBorder="1" applyAlignment="1">
      <alignment horizontal="center" vertical="center" wrapText="1"/>
    </xf>
    <xf numFmtId="3" fontId="28" fillId="0" borderId="6" xfId="0" applyNumberFormat="1" applyFont="1" applyFill="1" applyBorder="1" applyAlignment="1">
      <alignment horizontal="center" vertical="center" wrapText="1"/>
    </xf>
    <xf numFmtId="4" fontId="28" fillId="0" borderId="7" xfId="0" applyNumberFormat="1" applyFont="1" applyFill="1" applyBorder="1" applyAlignment="1">
      <alignment horizontal="center" vertical="center" wrapText="1"/>
    </xf>
    <xf numFmtId="2" fontId="42" fillId="0" borderId="0" xfId="0" applyNumberFormat="1" applyFont="1" applyFill="1"/>
    <xf numFmtId="166" fontId="43" fillId="0" borderId="6" xfId="0" applyNumberFormat="1" applyFont="1" applyFill="1" applyBorder="1" applyAlignment="1">
      <alignment horizontal="center" vertical="center" wrapText="1"/>
    </xf>
    <xf numFmtId="0" fontId="43" fillId="0" borderId="6" xfId="0" applyFont="1" applyFill="1" applyBorder="1" applyAlignment="1">
      <alignment horizontal="center" vertical="center" wrapText="1"/>
    </xf>
    <xf numFmtId="1" fontId="43" fillId="0" borderId="6" xfId="0" applyNumberFormat="1" applyFont="1" applyFill="1" applyBorder="1" applyAlignment="1">
      <alignment horizontal="center" vertical="center" wrapText="1"/>
    </xf>
    <xf numFmtId="0" fontId="27" fillId="0" borderId="5" xfId="0" applyFont="1" applyFill="1" applyBorder="1" applyAlignment="1">
      <alignment horizontal="center" vertical="center" wrapText="1"/>
    </xf>
    <xf numFmtId="3" fontId="12" fillId="0" borderId="26" xfId="0" applyNumberFormat="1" applyFont="1" applyFill="1" applyBorder="1" applyAlignment="1">
      <alignment horizontal="center" vertical="center" wrapText="1"/>
    </xf>
    <xf numFmtId="166" fontId="12" fillId="0" borderId="6" xfId="0" applyNumberFormat="1" applyFont="1" applyFill="1" applyBorder="1" applyAlignment="1">
      <alignment horizontal="center" vertical="center" wrapText="1"/>
    </xf>
    <xf numFmtId="168" fontId="13" fillId="0" borderId="19" xfId="0" applyNumberFormat="1" applyFont="1" applyFill="1" applyBorder="1" applyAlignment="1">
      <alignment horizontal="center" vertical="center" wrapText="1"/>
    </xf>
    <xf numFmtId="3" fontId="29" fillId="0" borderId="0" xfId="0" applyNumberFormat="1" applyFont="1" applyFill="1"/>
    <xf numFmtId="0" fontId="13" fillId="0" borderId="24" xfId="0" applyFont="1" applyFill="1" applyBorder="1" applyAlignment="1">
      <alignment horizontal="center" vertical="center" wrapText="1"/>
    </xf>
    <xf numFmtId="16" fontId="50" fillId="0" borderId="5" xfId="0" applyNumberFormat="1" applyFont="1" applyFill="1" applyBorder="1" applyAlignment="1">
      <alignment horizontal="center" vertical="center" wrapText="1"/>
    </xf>
    <xf numFmtId="0" fontId="29" fillId="0" borderId="15" xfId="0" applyFont="1" applyFill="1" applyBorder="1" applyAlignment="1">
      <alignment horizontal="center" vertical="center" wrapText="1"/>
    </xf>
    <xf numFmtId="3" fontId="50" fillId="0" borderId="6" xfId="0" applyNumberFormat="1" applyFont="1" applyFill="1" applyBorder="1" applyAlignment="1">
      <alignment horizontal="center" vertical="center" wrapText="1"/>
    </xf>
    <xf numFmtId="166" fontId="51" fillId="0" borderId="6" xfId="0" applyNumberFormat="1" applyFont="1" applyFill="1" applyBorder="1" applyAlignment="1">
      <alignment horizontal="center" vertical="center" wrapText="1"/>
    </xf>
    <xf numFmtId="0" fontId="51" fillId="0" borderId="6" xfId="0" applyFont="1" applyFill="1" applyBorder="1" applyAlignment="1">
      <alignment horizontal="center" vertical="center" wrapText="1"/>
    </xf>
    <xf numFmtId="1" fontId="51" fillId="0" borderId="6" xfId="0" applyNumberFormat="1" applyFont="1" applyFill="1" applyBorder="1" applyAlignment="1">
      <alignment horizontal="center" vertical="center" wrapText="1"/>
    </xf>
    <xf numFmtId="166" fontId="44" fillId="0" borderId="6" xfId="0" applyNumberFormat="1" applyFont="1" applyFill="1" applyBorder="1" applyAlignment="1">
      <alignment horizontal="center" vertical="center" wrapText="1"/>
    </xf>
    <xf numFmtId="0" fontId="44" fillId="0" borderId="6" xfId="0" applyFont="1" applyFill="1" applyBorder="1" applyAlignment="1">
      <alignment horizontal="center" vertical="center" wrapText="1"/>
    </xf>
    <xf numFmtId="1" fontId="44" fillId="0" borderId="6" xfId="0" applyNumberFormat="1" applyFont="1" applyFill="1" applyBorder="1" applyAlignment="1">
      <alignment horizontal="center" vertical="center" wrapText="1"/>
    </xf>
    <xf numFmtId="0" fontId="13" fillId="0" borderId="27" xfId="0" applyFont="1" applyFill="1" applyBorder="1" applyAlignment="1">
      <alignment horizontal="left" vertical="center" wrapText="1"/>
    </xf>
    <xf numFmtId="0" fontId="13" fillId="0" borderId="27" xfId="0" applyFont="1" applyFill="1" applyBorder="1" applyAlignment="1">
      <alignment horizontal="center" vertical="center" wrapText="1"/>
    </xf>
    <xf numFmtId="166" fontId="29" fillId="0" borderId="27" xfId="0" applyNumberFormat="1" applyFont="1" applyFill="1" applyBorder="1" applyAlignment="1">
      <alignment horizontal="center" vertical="center" wrapText="1"/>
    </xf>
    <xf numFmtId="168" fontId="29" fillId="0" borderId="27" xfId="0" applyNumberFormat="1" applyFont="1" applyFill="1" applyBorder="1" applyAlignment="1">
      <alignment horizontal="center" vertical="center" wrapText="1"/>
    </xf>
    <xf numFmtId="0" fontId="43" fillId="0" borderId="19" xfId="0" applyFont="1" applyFill="1" applyBorder="1" applyAlignment="1">
      <alignment horizontal="center" vertical="center" wrapText="1"/>
    </xf>
    <xf numFmtId="3" fontId="43" fillId="0" borderId="15" xfId="0" applyNumberFormat="1" applyFont="1" applyFill="1" applyBorder="1" applyAlignment="1">
      <alignment horizontal="center" vertical="center" wrapText="1"/>
    </xf>
    <xf numFmtId="3" fontId="40" fillId="0" borderId="15" xfId="0" applyNumberFormat="1" applyFont="1" applyFill="1" applyBorder="1" applyAlignment="1">
      <alignment horizontal="center" vertical="center" wrapText="1"/>
    </xf>
    <xf numFmtId="166" fontId="40" fillId="0" borderId="19" xfId="0" applyNumberFormat="1" applyFont="1" applyFill="1" applyBorder="1" applyAlignment="1">
      <alignment horizontal="center" vertical="center" wrapText="1"/>
    </xf>
    <xf numFmtId="0" fontId="40" fillId="0" borderId="19" xfId="0" applyFont="1" applyFill="1" applyBorder="1" applyAlignment="1">
      <alignment horizontal="center" vertical="center" wrapText="1"/>
    </xf>
    <xf numFmtId="1" fontId="40" fillId="0" borderId="19" xfId="0" applyNumberFormat="1" applyFont="1" applyFill="1" applyBorder="1" applyAlignment="1">
      <alignment horizontal="center" vertical="center" wrapText="1"/>
    </xf>
    <xf numFmtId="166" fontId="45" fillId="0" borderId="6" xfId="0" applyNumberFormat="1" applyFont="1" applyFill="1" applyBorder="1" applyAlignment="1">
      <alignment horizontal="center" vertical="center" wrapText="1"/>
    </xf>
    <xf numFmtId="0" fontId="45" fillId="0" borderId="6" xfId="0" applyFont="1" applyFill="1" applyBorder="1" applyAlignment="1">
      <alignment horizontal="center" vertical="center" wrapText="1"/>
    </xf>
    <xf numFmtId="1" fontId="45" fillId="0" borderId="6" xfId="0" applyNumberFormat="1" applyFont="1" applyFill="1" applyBorder="1" applyAlignment="1">
      <alignment horizontal="center" vertical="center" wrapText="1"/>
    </xf>
    <xf numFmtId="4" fontId="19" fillId="0" borderId="19" xfId="0" applyNumberFormat="1" applyFont="1" applyFill="1" applyBorder="1" applyAlignment="1">
      <alignment horizontal="center" vertical="center" wrapText="1"/>
    </xf>
    <xf numFmtId="4" fontId="19" fillId="0" borderId="7" xfId="0" applyNumberFormat="1" applyFont="1" applyFill="1" applyBorder="1" applyAlignment="1">
      <alignment horizontal="center" vertical="center" wrapText="1"/>
    </xf>
    <xf numFmtId="4" fontId="19" fillId="0" borderId="0" xfId="0" applyNumberFormat="1" applyFont="1" applyFill="1" applyBorder="1" applyAlignment="1">
      <alignment horizontal="center" vertical="center" wrapText="1"/>
    </xf>
    <xf numFmtId="4" fontId="20" fillId="0" borderId="0" xfId="0" applyNumberFormat="1" applyFont="1" applyFill="1"/>
    <xf numFmtId="0" fontId="41" fillId="0" borderId="0" xfId="0" applyFont="1" applyFill="1" applyAlignment="1">
      <alignment horizontal="center" vertical="center"/>
    </xf>
    <xf numFmtId="0" fontId="45" fillId="0" borderId="0" xfId="0" applyFont="1" applyFill="1" applyAlignment="1">
      <alignment horizontal="left" vertical="center"/>
    </xf>
    <xf numFmtId="0" fontId="32" fillId="0" borderId="52" xfId="0" applyFont="1" applyFill="1" applyBorder="1" applyAlignment="1">
      <alignment horizontal="center" vertical="center" wrapText="1"/>
    </xf>
    <xf numFmtId="0" fontId="32" fillId="0" borderId="47" xfId="0" applyFont="1" applyFill="1" applyBorder="1" applyAlignment="1">
      <alignment horizontal="center" vertical="center" wrapText="1"/>
    </xf>
    <xf numFmtId="0" fontId="43" fillId="0" borderId="53" xfId="0" applyFont="1" applyFill="1" applyBorder="1" applyAlignment="1">
      <alignment horizontal="center" vertical="center" wrapText="1"/>
    </xf>
    <xf numFmtId="0" fontId="43" fillId="0" borderId="57" xfId="0" applyFont="1" applyFill="1" applyBorder="1" applyAlignment="1">
      <alignment horizontal="center" vertical="center" wrapText="1"/>
    </xf>
    <xf numFmtId="0" fontId="43" fillId="0" borderId="100" xfId="0" applyFont="1" applyFill="1" applyBorder="1" applyAlignment="1">
      <alignment horizontal="center" vertical="center" wrapText="1"/>
    </xf>
    <xf numFmtId="0" fontId="78" fillId="0" borderId="105" xfId="0" applyFont="1" applyFill="1" applyBorder="1" applyAlignment="1">
      <alignment horizontal="center" vertical="center" wrapText="1"/>
    </xf>
    <xf numFmtId="0" fontId="78" fillId="0" borderId="107" xfId="0" applyFont="1" applyFill="1" applyBorder="1" applyAlignment="1">
      <alignment horizontal="center" vertical="center" wrapText="1"/>
    </xf>
    <xf numFmtId="0" fontId="32" fillId="0" borderId="100" xfId="0" applyFont="1" applyFill="1" applyBorder="1" applyAlignment="1">
      <alignment horizontal="center" vertical="center" wrapText="1"/>
    </xf>
    <xf numFmtId="0" fontId="32" fillId="0" borderId="106" xfId="0" applyFont="1" applyFill="1" applyBorder="1" applyAlignment="1">
      <alignment horizontal="center" vertical="center" wrapText="1"/>
    </xf>
    <xf numFmtId="0" fontId="43" fillId="0" borderId="36" xfId="0" applyFont="1" applyFill="1" applyBorder="1" applyAlignment="1">
      <alignment horizontal="center" vertical="center" wrapText="1"/>
    </xf>
    <xf numFmtId="0" fontId="78" fillId="0" borderId="36" xfId="0" applyFont="1" applyFill="1" applyBorder="1" applyAlignment="1">
      <alignment horizontal="center" vertical="center" wrapText="1"/>
    </xf>
    <xf numFmtId="0" fontId="78" fillId="0" borderId="79" xfId="0" applyFont="1" applyFill="1" applyBorder="1" applyAlignment="1">
      <alignment horizontal="center" vertical="center" wrapText="1"/>
    </xf>
    <xf numFmtId="0" fontId="43" fillId="0" borderId="99" xfId="0" applyFont="1" applyFill="1" applyBorder="1" applyAlignment="1">
      <alignment horizontal="center" vertical="center" wrapText="1"/>
    </xf>
    <xf numFmtId="0" fontId="78" fillId="0" borderId="106" xfId="0" applyFont="1" applyFill="1" applyBorder="1" applyAlignment="1">
      <alignment horizontal="center" vertical="center" wrapText="1"/>
    </xf>
    <xf numFmtId="0" fontId="43" fillId="0" borderId="13" xfId="0" applyFont="1" applyFill="1" applyBorder="1" applyAlignment="1">
      <alignment horizontal="center" vertical="center" wrapText="1"/>
    </xf>
    <xf numFmtId="0" fontId="29" fillId="0" borderId="13" xfId="0" applyFont="1" applyFill="1" applyBorder="1" applyAlignment="1">
      <alignment horizontal="center" vertical="center" wrapText="1"/>
    </xf>
    <xf numFmtId="0" fontId="43" fillId="0" borderId="58" xfId="0" applyFont="1" applyFill="1" applyBorder="1" applyAlignment="1">
      <alignment horizontal="center" vertical="center" wrapText="1"/>
    </xf>
    <xf numFmtId="0" fontId="97" fillId="0" borderId="53" xfId="0" applyFont="1" applyFill="1" applyBorder="1" applyAlignment="1">
      <alignment horizontal="center" vertical="center" wrapText="1"/>
    </xf>
    <xf numFmtId="0" fontId="28" fillId="0" borderId="19" xfId="0" applyFont="1" applyFill="1" applyBorder="1" applyAlignment="1">
      <alignment horizontal="center" vertical="center" wrapText="1"/>
    </xf>
    <xf numFmtId="0" fontId="28" fillId="0" borderId="13" xfId="0" applyFont="1" applyFill="1" applyBorder="1" applyAlignment="1">
      <alignment horizontal="center" vertical="center" wrapText="1"/>
    </xf>
    <xf numFmtId="0" fontId="28" fillId="0" borderId="15" xfId="0" applyFont="1" applyFill="1" applyBorder="1" applyAlignment="1">
      <alignment horizontal="center" vertical="center" wrapText="1"/>
    </xf>
    <xf numFmtId="0" fontId="27" fillId="0" borderId="13" xfId="0" applyFont="1" applyFill="1" applyBorder="1" applyAlignment="1">
      <alignment horizontal="center" vertical="center" wrapText="1"/>
    </xf>
    <xf numFmtId="0" fontId="13" fillId="0" borderId="14" xfId="0" applyFont="1" applyFill="1" applyBorder="1" applyAlignment="1">
      <alignment horizontal="center" vertical="center" wrapText="1"/>
    </xf>
    <xf numFmtId="0" fontId="27" fillId="0" borderId="19" xfId="0" applyFont="1" applyFill="1" applyBorder="1" applyAlignment="1">
      <alignment horizontal="center" vertical="center" wrapText="1"/>
    </xf>
    <xf numFmtId="0" fontId="13" fillId="0" borderId="57" xfId="0" applyFont="1" applyFill="1" applyBorder="1" applyAlignment="1">
      <alignment horizontal="center" vertical="center" wrapText="1"/>
    </xf>
    <xf numFmtId="1" fontId="13" fillId="0" borderId="14" xfId="0" applyNumberFormat="1" applyFont="1" applyFill="1" applyBorder="1" applyAlignment="1">
      <alignment horizontal="center" vertical="center" wrapText="1"/>
    </xf>
    <xf numFmtId="0" fontId="43" fillId="0" borderId="15" xfId="0" applyFont="1" applyFill="1" applyBorder="1" applyAlignment="1">
      <alignment horizontal="center" vertical="center" wrapText="1"/>
    </xf>
    <xf numFmtId="0" fontId="38" fillId="0" borderId="14" xfId="0" applyFont="1" applyFill="1" applyBorder="1" applyAlignment="1">
      <alignment horizontal="center" vertical="center" wrapText="1"/>
    </xf>
    <xf numFmtId="0" fontId="38" fillId="0" borderId="57" xfId="0" applyFont="1" applyFill="1" applyBorder="1" applyAlignment="1">
      <alignment horizontal="center" vertical="center" wrapText="1"/>
    </xf>
    <xf numFmtId="0" fontId="29" fillId="0" borderId="53" xfId="0" applyFont="1" applyFill="1" applyBorder="1" applyAlignment="1">
      <alignment horizontal="center" vertical="center" wrapText="1"/>
    </xf>
    <xf numFmtId="0" fontId="98" fillId="0" borderId="53" xfId="0" applyFont="1" applyFill="1" applyBorder="1" applyAlignment="1">
      <alignment horizontal="center" vertical="center" wrapText="1"/>
    </xf>
    <xf numFmtId="0" fontId="29" fillId="0" borderId="58" xfId="0" applyFont="1" applyFill="1" applyBorder="1" applyAlignment="1">
      <alignment horizontal="center" vertical="center" wrapText="1"/>
    </xf>
    <xf numFmtId="0" fontId="29" fillId="0" borderId="57" xfId="0" applyFont="1" applyFill="1" applyBorder="1" applyAlignment="1">
      <alignment horizontal="center" vertical="center" wrapText="1"/>
    </xf>
    <xf numFmtId="0" fontId="29" fillId="0" borderId="54" xfId="0" applyFont="1" applyFill="1" applyBorder="1" applyAlignment="1">
      <alignment horizontal="center" vertical="center" wrapText="1"/>
    </xf>
    <xf numFmtId="0" fontId="29" fillId="0" borderId="0" xfId="0" applyFont="1" applyFill="1" applyAlignment="1">
      <alignment horizontal="center" vertical="center"/>
    </xf>
    <xf numFmtId="0" fontId="97" fillId="0" borderId="57" xfId="0" applyFont="1" applyFill="1" applyBorder="1" applyAlignment="1">
      <alignment horizontal="center" vertical="center" wrapText="1"/>
    </xf>
    <xf numFmtId="0" fontId="27" fillId="0" borderId="14" xfId="0" applyFont="1" applyFill="1" applyBorder="1" applyAlignment="1">
      <alignment horizontal="center" vertical="center" wrapText="1"/>
    </xf>
    <xf numFmtId="0" fontId="27" fillId="0" borderId="15" xfId="0" applyFont="1" applyFill="1" applyBorder="1" applyAlignment="1">
      <alignment horizontal="center" vertical="center" wrapText="1"/>
    </xf>
    <xf numFmtId="0" fontId="38" fillId="0" borderId="23" xfId="0" applyFont="1" applyFill="1" applyBorder="1" applyAlignment="1">
      <alignment horizontal="center" vertical="center" wrapText="1"/>
    </xf>
    <xf numFmtId="16" fontId="40" fillId="0" borderId="45" xfId="0" applyNumberFormat="1" applyFont="1" applyFill="1" applyBorder="1" applyAlignment="1">
      <alignment horizontal="center" vertical="center" wrapText="1"/>
    </xf>
    <xf numFmtId="0" fontId="97" fillId="0" borderId="15" xfId="0" applyFont="1" applyFill="1" applyBorder="1" applyAlignment="1">
      <alignment horizontal="center" vertical="center" wrapText="1"/>
    </xf>
    <xf numFmtId="0" fontId="43" fillId="0" borderId="14" xfId="0" applyFont="1" applyFill="1" applyBorder="1" applyAlignment="1">
      <alignment horizontal="center" vertical="center" wrapText="1"/>
    </xf>
    <xf numFmtId="0" fontId="28" fillId="0" borderId="14" xfId="0" applyFont="1" applyFill="1" applyBorder="1" applyAlignment="1">
      <alignment horizontal="center" vertical="center" wrapText="1"/>
    </xf>
    <xf numFmtId="0" fontId="28" fillId="0" borderId="23" xfId="0" applyFont="1" applyFill="1" applyBorder="1" applyAlignment="1">
      <alignment horizontal="center" vertical="center" wrapText="1"/>
    </xf>
    <xf numFmtId="0" fontId="45" fillId="0" borderId="27" xfId="0" applyFont="1" applyFill="1" applyBorder="1" applyAlignment="1">
      <alignment horizontal="center" vertical="center" wrapText="1"/>
    </xf>
    <xf numFmtId="0" fontId="28" fillId="0" borderId="6" xfId="0" applyFont="1" applyFill="1" applyBorder="1" applyAlignment="1">
      <alignment horizontal="center" vertical="center" wrapText="1"/>
    </xf>
    <xf numFmtId="0" fontId="98" fillId="0" borderId="6" xfId="0" applyFont="1" applyFill="1" applyBorder="1" applyAlignment="1">
      <alignment horizontal="center" vertical="center" wrapText="1"/>
    </xf>
    <xf numFmtId="0" fontId="28" fillId="0" borderId="27" xfId="0" applyFont="1" applyFill="1" applyBorder="1" applyAlignment="1">
      <alignment horizontal="center" vertical="center" wrapText="1"/>
    </xf>
    <xf numFmtId="0" fontId="98" fillId="0" borderId="27" xfId="0" applyFont="1" applyFill="1" applyBorder="1" applyAlignment="1">
      <alignment horizontal="center" vertical="center" wrapText="1"/>
    </xf>
    <xf numFmtId="0" fontId="45" fillId="0" borderId="19" xfId="0" applyFont="1" applyFill="1" applyBorder="1" applyAlignment="1">
      <alignment horizontal="center" vertical="center" wrapText="1"/>
    </xf>
    <xf numFmtId="0" fontId="40" fillId="0" borderId="5" xfId="0" applyFont="1" applyFill="1" applyBorder="1" applyAlignment="1">
      <alignment horizontal="center" vertical="center" wrapText="1"/>
    </xf>
    <xf numFmtId="0" fontId="40" fillId="0" borderId="13" xfId="0" applyFont="1" applyFill="1" applyBorder="1" applyAlignment="1">
      <alignment horizontal="center" vertical="center" wrapText="1"/>
    </xf>
    <xf numFmtId="0" fontId="40" fillId="0" borderId="57" xfId="0" applyFont="1" applyFill="1" applyBorder="1" applyAlignment="1">
      <alignment horizontal="center" vertical="center" wrapText="1"/>
    </xf>
    <xf numFmtId="0" fontId="40" fillId="0" borderId="53" xfId="0" applyFont="1" applyFill="1" applyBorder="1" applyAlignment="1">
      <alignment horizontal="center" vertical="center" wrapText="1"/>
    </xf>
    <xf numFmtId="3" fontId="45" fillId="0" borderId="0" xfId="0" applyNumberFormat="1" applyFont="1" applyFill="1"/>
    <xf numFmtId="0" fontId="50" fillId="0" borderId="3" xfId="0" applyFont="1" applyFill="1" applyBorder="1" applyAlignment="1">
      <alignment horizontal="center" vertical="center" wrapText="1"/>
    </xf>
    <xf numFmtId="0" fontId="50" fillId="0" borderId="4" xfId="0" applyFont="1" applyFill="1" applyBorder="1" applyAlignment="1">
      <alignment horizontal="center" vertical="center" wrapText="1"/>
    </xf>
    <xf numFmtId="3" fontId="42" fillId="0" borderId="0" xfId="0" applyNumberFormat="1" applyFont="1" applyFill="1"/>
    <xf numFmtId="3" fontId="42" fillId="0" borderId="0" xfId="0" applyNumberFormat="1" applyFont="1" applyFill="1" applyAlignment="1">
      <alignment wrapText="1"/>
    </xf>
    <xf numFmtId="0" fontId="62" fillId="0" borderId="1" xfId="0" applyFont="1" applyFill="1" applyBorder="1" applyAlignment="1">
      <alignment horizontal="left" wrapText="1"/>
    </xf>
    <xf numFmtId="0" fontId="62" fillId="0" borderId="5" xfId="0" applyFont="1" applyFill="1" applyBorder="1" applyAlignment="1">
      <alignment horizontal="left" wrapText="1"/>
    </xf>
    <xf numFmtId="0" fontId="50" fillId="0" borderId="6" xfId="0" applyFont="1" applyFill="1" applyBorder="1"/>
    <xf numFmtId="0" fontId="50" fillId="0" borderId="7" xfId="0" applyFont="1" applyFill="1" applyBorder="1"/>
    <xf numFmtId="0" fontId="50" fillId="0" borderId="43" xfId="0" applyFont="1" applyFill="1" applyBorder="1" applyAlignment="1">
      <alignment horizontal="left" wrapText="1"/>
    </xf>
    <xf numFmtId="0" fontId="62" fillId="0" borderId="8" xfId="0" applyFont="1" applyFill="1" applyBorder="1" applyAlignment="1">
      <alignment horizontal="left" wrapText="1"/>
    </xf>
    <xf numFmtId="3" fontId="62" fillId="0" borderId="9" xfId="0" applyNumberFormat="1" applyFont="1" applyFill="1" applyBorder="1" applyAlignment="1">
      <alignment horizontal="center"/>
    </xf>
    <xf numFmtId="3" fontId="50" fillId="0" borderId="10" xfId="0" applyNumberFormat="1" applyFont="1" applyFill="1" applyBorder="1" applyAlignment="1">
      <alignment horizontal="center"/>
    </xf>
    <xf numFmtId="3" fontId="50" fillId="0" borderId="19" xfId="0" applyNumberFormat="1" applyFont="1" applyFill="1" applyBorder="1" applyAlignment="1">
      <alignment horizontal="center"/>
    </xf>
    <xf numFmtId="0" fontId="50" fillId="0" borderId="0" xfId="0" applyFont="1" applyFill="1" applyBorder="1" applyAlignment="1">
      <alignment horizontal="left" wrapText="1"/>
    </xf>
    <xf numFmtId="0" fontId="62" fillId="0" borderId="0" xfId="0" applyFont="1" applyFill="1" applyBorder="1" applyAlignment="1">
      <alignment horizontal="left" wrapText="1"/>
    </xf>
    <xf numFmtId="3" fontId="62" fillId="0" borderId="0" xfId="0" applyNumberFormat="1" applyFont="1" applyFill="1" applyBorder="1" applyAlignment="1">
      <alignment horizontal="center"/>
    </xf>
    <xf numFmtId="0" fontId="42" fillId="0" borderId="0" xfId="0" applyFont="1" applyFill="1" applyAlignment="1">
      <alignment horizontal="left" wrapText="1"/>
    </xf>
    <xf numFmtId="0" fontId="63" fillId="0" borderId="19" xfId="0" applyFont="1" applyFill="1" applyBorder="1" applyAlignment="1">
      <alignment vertical="top" wrapText="1"/>
    </xf>
    <xf numFmtId="0" fontId="63" fillId="0" borderId="15" xfId="0" applyFont="1" applyFill="1" applyBorder="1" applyAlignment="1">
      <alignment vertical="top" wrapText="1"/>
    </xf>
    <xf numFmtId="0" fontId="63" fillId="0" borderId="19" xfId="0" applyFont="1" applyFill="1" applyBorder="1" applyAlignment="1">
      <alignment horizontal="center" vertical="center" wrapText="1"/>
    </xf>
    <xf numFmtId="0" fontId="63" fillId="0" borderId="27" xfId="0" applyFont="1" applyFill="1" applyBorder="1" applyAlignment="1">
      <alignment horizontal="center" vertical="center" wrapText="1"/>
    </xf>
    <xf numFmtId="0" fontId="63" fillId="0" borderId="6" xfId="0" applyFont="1" applyFill="1" applyBorder="1" applyAlignment="1">
      <alignment vertical="top" wrapText="1"/>
    </xf>
    <xf numFmtId="3" fontId="23" fillId="0" borderId="0" xfId="0" applyNumberFormat="1" applyFont="1" applyFill="1"/>
    <xf numFmtId="4" fontId="45" fillId="0" borderId="19" xfId="0" applyNumberFormat="1" applyFont="1" applyFill="1" applyBorder="1" applyAlignment="1">
      <alignment horizontal="center" vertical="center" wrapText="1"/>
    </xf>
    <xf numFmtId="4" fontId="23" fillId="0" borderId="0" xfId="0" applyNumberFormat="1" applyFont="1" applyFill="1"/>
    <xf numFmtId="0" fontId="45" fillId="0" borderId="49" xfId="0" applyFont="1" applyFill="1" applyBorder="1" applyAlignment="1">
      <alignment horizontal="center" vertical="center" wrapText="1"/>
    </xf>
    <xf numFmtId="0" fontId="45" fillId="0" borderId="33" xfId="0" applyFont="1" applyFill="1" applyBorder="1" applyAlignment="1">
      <alignment horizontal="center" vertical="center" wrapText="1"/>
    </xf>
    <xf numFmtId="0" fontId="45" fillId="0" borderId="33" xfId="0" applyFont="1" applyFill="1" applyBorder="1" applyAlignment="1">
      <alignment horizontal="right" vertical="center" wrapText="1"/>
    </xf>
    <xf numFmtId="0" fontId="45" fillId="0" borderId="10" xfId="0" applyFont="1" applyFill="1" applyBorder="1" applyAlignment="1">
      <alignment horizontal="center" vertical="center" wrapText="1"/>
    </xf>
    <xf numFmtId="3" fontId="45" fillId="0" borderId="10" xfId="0" applyNumberFormat="1" applyFont="1" applyFill="1" applyBorder="1" applyAlignment="1">
      <alignment horizontal="center" vertical="center" wrapText="1"/>
    </xf>
    <xf numFmtId="3" fontId="41" fillId="0" borderId="10" xfId="0" applyNumberFormat="1" applyFont="1" applyFill="1" applyBorder="1" applyAlignment="1">
      <alignment horizontal="center" vertical="center" wrapText="1"/>
    </xf>
    <xf numFmtId="0" fontId="41" fillId="0" borderId="10" xfId="0" applyFont="1" applyFill="1" applyBorder="1" applyAlignment="1">
      <alignment horizontal="center" vertical="center" wrapText="1"/>
    </xf>
    <xf numFmtId="4" fontId="45" fillId="0" borderId="10" xfId="0" applyNumberFormat="1" applyFont="1" applyFill="1" applyBorder="1" applyAlignment="1">
      <alignment horizontal="center" vertical="center" wrapText="1"/>
    </xf>
    <xf numFmtId="0" fontId="23" fillId="0" borderId="0" xfId="0" applyFont="1" applyFill="1" applyAlignment="1">
      <alignment wrapText="1"/>
    </xf>
    <xf numFmtId="0" fontId="62" fillId="0" borderId="0" xfId="0" applyFont="1" applyFill="1"/>
    <xf numFmtId="0" fontId="44" fillId="0" borderId="0" xfId="0" applyFont="1" applyFill="1" applyAlignment="1">
      <alignment horizontal="justify" vertical="center" wrapText="1"/>
    </xf>
    <xf numFmtId="0" fontId="50" fillId="0" borderId="0" xfId="0" applyFont="1" applyFill="1" applyAlignment="1">
      <alignment horizontal="left"/>
    </xf>
    <xf numFmtId="0" fontId="50" fillId="0" borderId="0" xfId="0" applyFont="1" applyFill="1" applyAlignment="1">
      <alignment wrapText="1"/>
    </xf>
    <xf numFmtId="0" fontId="56" fillId="0" borderId="6" xfId="0" applyFont="1" applyFill="1" applyBorder="1" applyAlignment="1">
      <alignment horizontal="center"/>
    </xf>
    <xf numFmtId="0" fontId="56" fillId="0" borderId="7" xfId="0" applyFont="1" applyFill="1" applyBorder="1" applyAlignment="1">
      <alignment horizontal="center"/>
    </xf>
    <xf numFmtId="0" fontId="56" fillId="0" borderId="5" xfId="0" applyFont="1" applyFill="1" applyBorder="1" applyAlignment="1">
      <alignment horizontal="center" vertical="center"/>
    </xf>
    <xf numFmtId="0" fontId="45" fillId="0" borderId="6" xfId="0" applyFont="1" applyFill="1" applyBorder="1" applyAlignment="1">
      <alignment wrapText="1"/>
    </xf>
    <xf numFmtId="3" fontId="56" fillId="0" borderId="7" xfId="0" applyNumberFormat="1" applyFont="1" applyFill="1" applyBorder="1" applyAlignment="1">
      <alignment horizontal="center" vertical="center"/>
    </xf>
    <xf numFmtId="0" fontId="24" fillId="0" borderId="5" xfId="0" applyFont="1" applyFill="1" applyBorder="1" applyAlignment="1">
      <alignment horizontal="center" vertical="center"/>
    </xf>
    <xf numFmtId="0" fontId="41" fillId="0" borderId="6" xfId="0" applyFont="1" applyFill="1" applyBorder="1" applyAlignment="1">
      <alignment wrapText="1"/>
    </xf>
    <xf numFmtId="3" fontId="24" fillId="0" borderId="7" xfId="0" applyNumberFormat="1" applyFont="1" applyFill="1" applyBorder="1" applyAlignment="1">
      <alignment horizontal="center" vertical="center"/>
    </xf>
    <xf numFmtId="0" fontId="13" fillId="0" borderId="5" xfId="0" applyFont="1" applyFill="1" applyBorder="1" applyAlignment="1">
      <alignment horizontal="center" vertical="center"/>
    </xf>
    <xf numFmtId="0" fontId="29" fillId="0" borderId="6" xfId="0" applyFont="1" applyFill="1" applyBorder="1" applyAlignment="1">
      <alignment wrapText="1"/>
    </xf>
    <xf numFmtId="0" fontId="27" fillId="0" borderId="5" xfId="0" applyFont="1" applyFill="1" applyBorder="1" applyAlignment="1">
      <alignment horizontal="center" vertical="center"/>
    </xf>
    <xf numFmtId="0" fontId="13" fillId="0" borderId="6" xfId="0" applyFont="1" applyFill="1" applyBorder="1" applyAlignment="1">
      <alignment wrapText="1"/>
    </xf>
    <xf numFmtId="3" fontId="13" fillId="0" borderId="6" xfId="0" applyNumberFormat="1" applyFont="1" applyFill="1" applyBorder="1" applyAlignment="1">
      <alignment horizontal="center" vertical="center"/>
    </xf>
    <xf numFmtId="0" fontId="21" fillId="0" borderId="6" xfId="0" applyFont="1" applyFill="1" applyBorder="1" applyAlignment="1">
      <alignment wrapText="1"/>
    </xf>
    <xf numFmtId="3" fontId="56" fillId="0" borderId="6" xfId="0" applyNumberFormat="1" applyFont="1" applyFill="1" applyBorder="1"/>
    <xf numFmtId="3" fontId="56" fillId="0" borderId="7" xfId="0" applyNumberFormat="1" applyFont="1" applyFill="1" applyBorder="1"/>
    <xf numFmtId="0" fontId="21" fillId="0" borderId="9" xfId="0" applyFont="1" applyFill="1" applyBorder="1" applyAlignment="1">
      <alignment wrapText="1"/>
    </xf>
    <xf numFmtId="3" fontId="56" fillId="0" borderId="10" xfId="0" applyNumberFormat="1" applyFont="1" applyFill="1" applyBorder="1" applyAlignment="1">
      <alignment horizontal="center"/>
    </xf>
    <xf numFmtId="3" fontId="12" fillId="0" borderId="24" xfId="0" applyNumberFormat="1" applyFont="1" applyFill="1" applyBorder="1" applyAlignment="1">
      <alignment horizontal="center" vertical="center" wrapText="1"/>
    </xf>
    <xf numFmtId="0" fontId="65" fillId="0" borderId="19" xfId="0" applyFont="1" applyFill="1" applyBorder="1" applyAlignment="1">
      <alignment horizontal="left" vertical="center" wrapText="1"/>
    </xf>
    <xf numFmtId="3" fontId="65" fillId="0" borderId="6" xfId="0" applyNumberFormat="1" applyFont="1" applyFill="1" applyBorder="1" applyAlignment="1">
      <alignment horizontal="center" vertical="center" wrapText="1"/>
    </xf>
    <xf numFmtId="0" fontId="65" fillId="0" borderId="19" xfId="0" applyFont="1" applyFill="1" applyBorder="1" applyAlignment="1">
      <alignment horizontal="center" vertical="center" wrapText="1"/>
    </xf>
    <xf numFmtId="3" fontId="66" fillId="0" borderId="6" xfId="0" applyNumberFormat="1" applyFont="1" applyFill="1" applyBorder="1" applyAlignment="1">
      <alignment horizontal="center" vertical="center" wrapText="1"/>
    </xf>
    <xf numFmtId="0" fontId="109" fillId="0" borderId="27" xfId="0" applyFont="1" applyFill="1" applyBorder="1" applyAlignment="1">
      <alignment horizontal="center" vertical="center" wrapText="1"/>
    </xf>
    <xf numFmtId="0" fontId="109" fillId="0" borderId="6" xfId="0" applyFont="1" applyFill="1" applyBorder="1" applyAlignment="1">
      <alignment vertical="top" wrapText="1"/>
    </xf>
    <xf numFmtId="0" fontId="109" fillId="0" borderId="15" xfId="0" applyFont="1" applyFill="1" applyBorder="1" applyAlignment="1">
      <alignment horizontal="center" vertical="center" wrapText="1"/>
    </xf>
    <xf numFmtId="4" fontId="109" fillId="0" borderId="15" xfId="0" applyNumberFormat="1" applyFont="1" applyFill="1" applyBorder="1" applyAlignment="1">
      <alignment horizontal="center" vertical="center" wrapText="1"/>
    </xf>
    <xf numFmtId="0" fontId="110" fillId="0" borderId="41" xfId="0" applyFont="1" applyFill="1" applyBorder="1" applyAlignment="1">
      <alignment horizontal="center" vertical="center" wrapText="1"/>
    </xf>
    <xf numFmtId="0" fontId="110" fillId="0" borderId="10" xfId="0" applyFont="1" applyFill="1" applyBorder="1" applyAlignment="1">
      <alignment horizontal="center" vertical="center" wrapText="1"/>
    </xf>
    <xf numFmtId="3" fontId="110" fillId="0" borderId="10" xfId="0" applyNumberFormat="1" applyFont="1" applyFill="1" applyBorder="1" applyAlignment="1">
      <alignment horizontal="center" vertical="center" wrapText="1"/>
    </xf>
    <xf numFmtId="3" fontId="111" fillId="0" borderId="10" xfId="0" applyNumberFormat="1" applyFont="1" applyFill="1" applyBorder="1" applyAlignment="1">
      <alignment horizontal="center" vertical="center" wrapText="1"/>
    </xf>
    <xf numFmtId="14" fontId="66" fillId="0" borderId="6" xfId="0" applyNumberFormat="1" applyFont="1" applyBorder="1" applyAlignment="1">
      <alignment horizontal="center" vertical="center" wrapText="1"/>
    </xf>
    <xf numFmtId="0" fontId="65" fillId="0" borderId="19" xfId="0" applyFont="1" applyBorder="1" applyAlignment="1">
      <alignment horizontal="center" vertical="center" wrapText="1"/>
    </xf>
    <xf numFmtId="0" fontId="65" fillId="0" borderId="19" xfId="0" applyFont="1" applyBorder="1" applyAlignment="1">
      <alignment horizontal="left" vertical="center" wrapText="1"/>
    </xf>
    <xf numFmtId="0" fontId="66" fillId="0" borderId="19" xfId="0" applyFont="1" applyFill="1" applyBorder="1" applyAlignment="1">
      <alignment horizontal="center" vertical="center" wrapText="1"/>
    </xf>
    <xf numFmtId="0" fontId="108" fillId="0" borderId="13" xfId="0" applyFont="1" applyFill="1" applyBorder="1" applyAlignment="1">
      <alignment horizontal="center" vertical="center" wrapText="1"/>
    </xf>
    <xf numFmtId="3" fontId="95" fillId="0" borderId="6" xfId="0" applyNumberFormat="1" applyFont="1" applyFill="1" applyBorder="1" applyAlignment="1">
      <alignment horizontal="center" vertical="center" wrapText="1"/>
    </xf>
    <xf numFmtId="3" fontId="93" fillId="0" borderId="34" xfId="0" quotePrefix="1" applyNumberFormat="1" applyFont="1" applyBorder="1" applyAlignment="1">
      <alignment horizontal="center" vertical="center" wrapText="1"/>
    </xf>
    <xf numFmtId="14" fontId="93" fillId="0" borderId="34" xfId="0" applyNumberFormat="1" applyFont="1" applyBorder="1" applyAlignment="1">
      <alignment horizontal="center" vertical="center" wrapText="1"/>
    </xf>
    <xf numFmtId="0" fontId="93" fillId="13" borderId="34" xfId="0" applyFont="1" applyFill="1" applyBorder="1" applyAlignment="1">
      <alignment wrapText="1"/>
    </xf>
    <xf numFmtId="0" fontId="110" fillId="0" borderId="34" xfId="0" applyFont="1" applyBorder="1" applyAlignment="1">
      <alignment wrapText="1"/>
    </xf>
    <xf numFmtId="14" fontId="93" fillId="0" borderId="6" xfId="0" applyNumberFormat="1" applyFont="1" applyBorder="1" applyAlignment="1">
      <alignment horizontal="center" vertical="center" wrapText="1"/>
    </xf>
    <xf numFmtId="0" fontId="13" fillId="19" borderId="47" xfId="0" applyFont="1" applyFill="1" applyBorder="1" applyAlignment="1">
      <alignment horizontal="center" vertical="center" wrapText="1"/>
    </xf>
    <xf numFmtId="0" fontId="65" fillId="19" borderId="47" xfId="0" applyFont="1" applyFill="1" applyBorder="1" applyAlignment="1">
      <alignment horizontal="center" vertical="center" wrapText="1"/>
    </xf>
    <xf numFmtId="0" fontId="29" fillId="19" borderId="47" xfId="0" applyFont="1" applyFill="1" applyBorder="1" applyAlignment="1">
      <alignment horizontal="center" vertical="center" wrapText="1"/>
    </xf>
    <xf numFmtId="3" fontId="65" fillId="19" borderId="6" xfId="0" applyNumberFormat="1" applyFont="1" applyFill="1" applyBorder="1" applyAlignment="1">
      <alignment horizontal="center" vertical="center" wrapText="1"/>
    </xf>
    <xf numFmtId="168" fontId="93" fillId="0" borderId="6" xfId="0" applyNumberFormat="1" applyFont="1" applyBorder="1" applyAlignment="1">
      <alignment horizontal="center" vertical="center" wrapText="1"/>
    </xf>
    <xf numFmtId="3" fontId="13" fillId="19" borderId="6" xfId="0" applyNumberFormat="1" applyFont="1" applyFill="1" applyBorder="1" applyAlignment="1">
      <alignment horizontal="center" vertical="center" wrapText="1"/>
    </xf>
    <xf numFmtId="3" fontId="12" fillId="19" borderId="6" xfId="0" applyNumberFormat="1" applyFont="1" applyFill="1" applyBorder="1" applyAlignment="1">
      <alignment horizontal="center" vertical="center" wrapText="1"/>
    </xf>
    <xf numFmtId="1" fontId="29" fillId="19" borderId="19" xfId="0" applyNumberFormat="1" applyFont="1" applyFill="1" applyBorder="1" applyAlignment="1">
      <alignment horizontal="center" vertical="center" wrapText="1"/>
    </xf>
    <xf numFmtId="3" fontId="12" fillId="19" borderId="23" xfId="0" applyNumberFormat="1" applyFont="1" applyFill="1" applyBorder="1" applyAlignment="1">
      <alignment horizontal="center" vertical="center" wrapText="1"/>
    </xf>
    <xf numFmtId="14" fontId="66" fillId="19" borderId="6" xfId="0" applyNumberFormat="1" applyFont="1" applyFill="1" applyBorder="1" applyAlignment="1">
      <alignment horizontal="center" vertical="center" wrapText="1"/>
    </xf>
    <xf numFmtId="14" fontId="92" fillId="0" borderId="13" xfId="0" applyNumberFormat="1" applyFont="1" applyBorder="1" applyAlignment="1">
      <alignment horizontal="center" vertical="center" wrapText="1"/>
    </xf>
    <xf numFmtId="0" fontId="110" fillId="0" borderId="6" xfId="0" applyFont="1" applyFill="1" applyBorder="1" applyAlignment="1">
      <alignment vertical="top" wrapText="1"/>
    </xf>
    <xf numFmtId="0" fontId="13" fillId="19" borderId="19" xfId="0" applyFont="1" applyFill="1" applyBorder="1" applyAlignment="1">
      <alignment horizontal="center" vertical="center" wrapText="1"/>
    </xf>
    <xf numFmtId="0" fontId="94" fillId="0" borderId="19" xfId="0" applyFont="1" applyFill="1" applyBorder="1" applyAlignment="1">
      <alignment horizontal="center" vertical="center" wrapText="1"/>
    </xf>
    <xf numFmtId="0" fontId="110" fillId="0" borderId="27" xfId="0" applyFont="1" applyFill="1" applyBorder="1" applyAlignment="1">
      <alignment vertical="top" wrapText="1"/>
    </xf>
    <xf numFmtId="3" fontId="111" fillId="0" borderId="6" xfId="0" applyNumberFormat="1" applyFont="1" applyFill="1" applyBorder="1" applyAlignment="1">
      <alignment horizontal="center" wrapText="1"/>
    </xf>
    <xf numFmtId="0" fontId="40" fillId="19" borderId="57" xfId="0" applyFont="1" applyFill="1" applyBorder="1" applyAlignment="1">
      <alignment horizontal="center" vertical="center" wrapText="1"/>
    </xf>
    <xf numFmtId="0" fontId="40" fillId="19" borderId="53" xfId="0" applyFont="1" applyFill="1" applyBorder="1" applyAlignment="1">
      <alignment horizontal="center" vertical="center" wrapText="1"/>
    </xf>
    <xf numFmtId="0" fontId="28" fillId="19" borderId="19" xfId="0" applyFont="1" applyFill="1" applyBorder="1" applyAlignment="1">
      <alignment horizontal="center" vertical="center" wrapText="1"/>
    </xf>
    <xf numFmtId="0" fontId="13" fillId="19" borderId="14" xfId="0" applyFont="1" applyFill="1" applyBorder="1" applyAlignment="1">
      <alignment horizontal="center" vertical="center" wrapText="1"/>
    </xf>
    <xf numFmtId="0" fontId="65" fillId="0" borderId="58" xfId="0" applyFont="1" applyFill="1" applyBorder="1" applyAlignment="1">
      <alignment horizontal="center" vertical="center" wrapText="1"/>
    </xf>
    <xf numFmtId="3" fontId="110" fillId="0" borderId="6" xfId="0" applyNumberFormat="1" applyFont="1" applyFill="1" applyBorder="1" applyAlignment="1">
      <alignment horizontal="center" vertical="center" wrapText="1"/>
    </xf>
    <xf numFmtId="3" fontId="111" fillId="0" borderId="6" xfId="0" applyNumberFormat="1" applyFont="1" applyFill="1" applyBorder="1" applyAlignment="1">
      <alignment horizontal="center" vertical="center" wrapText="1"/>
    </xf>
    <xf numFmtId="0" fontId="109" fillId="0" borderId="34" xfId="0" applyFont="1" applyFill="1" applyBorder="1" applyAlignment="1">
      <alignment vertical="top" wrapText="1"/>
    </xf>
    <xf numFmtId="0" fontId="110" fillId="15" borderId="34" xfId="0" applyFont="1" applyFill="1" applyBorder="1" applyAlignment="1">
      <alignment horizontal="center" vertical="center" wrapText="1"/>
    </xf>
    <xf numFmtId="0" fontId="110" fillId="15" borderId="34" xfId="0" applyFont="1" applyFill="1" applyBorder="1" applyAlignment="1">
      <alignment horizontal="left" vertical="center" wrapText="1"/>
    </xf>
    <xf numFmtId="0" fontId="27" fillId="13" borderId="13" xfId="0" applyFont="1" applyFill="1" applyBorder="1" applyAlignment="1">
      <alignment horizontal="center" vertical="center" wrapText="1"/>
    </xf>
    <xf numFmtId="0" fontId="27" fillId="13" borderId="19" xfId="0" applyFont="1" applyFill="1" applyBorder="1" applyAlignment="1">
      <alignment horizontal="center" vertical="center" wrapText="1"/>
    </xf>
    <xf numFmtId="0" fontId="112" fillId="15" borderId="34" xfId="0" applyFont="1" applyFill="1" applyBorder="1" applyAlignment="1">
      <alignment horizontal="center" vertical="center" wrapText="1"/>
    </xf>
    <xf numFmtId="0" fontId="66" fillId="0" borderId="19" xfId="0" applyFont="1" applyFill="1" applyBorder="1" applyAlignment="1">
      <alignment vertical="top" wrapText="1"/>
    </xf>
    <xf numFmtId="0" fontId="66" fillId="0" borderId="19" xfId="0" applyFont="1" applyBorder="1" applyAlignment="1">
      <alignment vertical="top" wrapText="1"/>
    </xf>
    <xf numFmtId="0" fontId="14" fillId="0" borderId="55" xfId="0" applyFont="1" applyBorder="1"/>
    <xf numFmtId="3" fontId="22" fillId="17" borderId="19" xfId="0" applyNumberFormat="1" applyFont="1" applyFill="1" applyBorder="1" applyAlignment="1">
      <alignment horizontal="center" vertical="center" wrapText="1"/>
    </xf>
    <xf numFmtId="0" fontId="0" fillId="0" borderId="69" xfId="0" applyBorder="1"/>
    <xf numFmtId="0" fontId="0" fillId="0" borderId="42" xfId="0" applyBorder="1"/>
    <xf numFmtId="0" fontId="0" fillId="8" borderId="53" xfId="0" applyFill="1" applyBorder="1"/>
    <xf numFmtId="0" fontId="0" fillId="0" borderId="53" xfId="0" applyBorder="1"/>
    <xf numFmtId="0" fontId="0" fillId="0" borderId="54" xfId="0" applyBorder="1"/>
    <xf numFmtId="3" fontId="0" fillId="20" borderId="34" xfId="0" applyNumberFormat="1" applyFill="1" applyBorder="1"/>
    <xf numFmtId="0" fontId="0" fillId="17" borderId="34" xfId="0" applyFill="1" applyBorder="1"/>
    <xf numFmtId="14" fontId="45" fillId="0" borderId="140" xfId="0" applyNumberFormat="1" applyFont="1" applyFill="1" applyBorder="1" applyAlignment="1">
      <alignment horizontal="center" vertical="center" wrapText="1"/>
    </xf>
    <xf numFmtId="0" fontId="13" fillId="0" borderId="26" xfId="0" applyFont="1" applyFill="1" applyBorder="1" applyAlignment="1">
      <alignment horizontal="left" vertical="center" wrapText="1"/>
    </xf>
    <xf numFmtId="0" fontId="13" fillId="0" borderId="26" xfId="0" applyFont="1" applyFill="1" applyBorder="1" applyAlignment="1">
      <alignment horizontal="center" vertical="center" wrapText="1"/>
    </xf>
    <xf numFmtId="14" fontId="92" fillId="0" borderId="19" xfId="0" applyNumberFormat="1" applyFont="1" applyFill="1" applyBorder="1" applyAlignment="1">
      <alignment horizontal="center" vertical="center" wrapText="1"/>
    </xf>
    <xf numFmtId="14" fontId="65" fillId="0" borderId="19" xfId="0" applyNumberFormat="1" applyFont="1" applyFill="1" applyBorder="1" applyAlignment="1">
      <alignment horizontal="center" vertical="center" wrapText="1"/>
    </xf>
    <xf numFmtId="0" fontId="40" fillId="16" borderId="53" xfId="0" applyFont="1" applyFill="1" applyBorder="1" applyAlignment="1">
      <alignment horizontal="center" vertical="center" wrapText="1"/>
    </xf>
    <xf numFmtId="0" fontId="97" fillId="16" borderId="53" xfId="0" applyFont="1" applyFill="1" applyBorder="1" applyAlignment="1">
      <alignment horizontal="center" vertical="center" wrapText="1"/>
    </xf>
    <xf numFmtId="0" fontId="28" fillId="16" borderId="19" xfId="0" applyFont="1" applyFill="1" applyBorder="1" applyAlignment="1">
      <alignment horizontal="center" vertical="center" wrapText="1"/>
    </xf>
    <xf numFmtId="0" fontId="98" fillId="16" borderId="19" xfId="0" applyFont="1" applyFill="1" applyBorder="1" applyAlignment="1">
      <alignment horizontal="center" vertical="center" wrapText="1"/>
    </xf>
    <xf numFmtId="0" fontId="29" fillId="16" borderId="19" xfId="0" applyFont="1" applyFill="1" applyBorder="1" applyAlignment="1">
      <alignment horizontal="center" vertical="center" wrapText="1"/>
    </xf>
    <xf numFmtId="0" fontId="28" fillId="16" borderId="13" xfId="0" applyFont="1" applyFill="1" applyBorder="1" applyAlignment="1">
      <alignment horizontal="center" vertical="center" wrapText="1"/>
    </xf>
    <xf numFmtId="0" fontId="28" fillId="16" borderId="15" xfId="0" applyFont="1" applyFill="1" applyBorder="1" applyAlignment="1">
      <alignment horizontal="center" vertical="center" wrapText="1"/>
    </xf>
    <xf numFmtId="0" fontId="97" fillId="16" borderId="19" xfId="0" applyFont="1" applyFill="1" applyBorder="1" applyAlignment="1">
      <alignment horizontal="center" vertical="center" wrapText="1"/>
    </xf>
    <xf numFmtId="0" fontId="29" fillId="16" borderId="13" xfId="0" applyFont="1" applyFill="1" applyBorder="1" applyAlignment="1">
      <alignment horizontal="center" vertical="center" wrapText="1"/>
    </xf>
    <xf numFmtId="0" fontId="43" fillId="16" borderId="57" xfId="0" applyFont="1" applyFill="1" applyBorder="1" applyAlignment="1">
      <alignment horizontal="center" vertical="center" wrapText="1"/>
    </xf>
    <xf numFmtId="0" fontId="43" fillId="16" borderId="53" xfId="0" applyFont="1" applyFill="1" applyBorder="1" applyAlignment="1">
      <alignment horizontal="center" vertical="center" wrapText="1"/>
    </xf>
    <xf numFmtId="0" fontId="29" fillId="16" borderId="15" xfId="0" applyFont="1" applyFill="1" applyBorder="1" applyAlignment="1">
      <alignment horizontal="center" vertical="center" wrapText="1"/>
    </xf>
    <xf numFmtId="2" fontId="29" fillId="16" borderId="19" xfId="0" applyNumberFormat="1" applyFont="1" applyFill="1" applyBorder="1" applyAlignment="1">
      <alignment horizontal="center" vertical="center" wrapText="1"/>
    </xf>
    <xf numFmtId="0" fontId="43" fillId="16" borderId="15" xfId="0" applyFont="1" applyFill="1" applyBorder="1" applyAlignment="1">
      <alignment horizontal="center" vertical="center" wrapText="1"/>
    </xf>
    <xf numFmtId="4" fontId="40" fillId="0" borderId="19" xfId="0" applyNumberFormat="1" applyFont="1" applyFill="1" applyBorder="1" applyAlignment="1">
      <alignment horizontal="center" vertical="center" wrapText="1"/>
    </xf>
    <xf numFmtId="4" fontId="40" fillId="0" borderId="27" xfId="0" applyNumberFormat="1" applyFont="1" applyFill="1" applyBorder="1" applyAlignment="1">
      <alignment horizontal="center" vertical="center" wrapText="1"/>
    </xf>
    <xf numFmtId="2" fontId="44" fillId="0" borderId="10" xfId="0" applyNumberFormat="1" applyFont="1" applyFill="1" applyBorder="1" applyAlignment="1">
      <alignment horizontal="center" vertical="center" wrapText="1"/>
    </xf>
    <xf numFmtId="2" fontId="45" fillId="0" borderId="10" xfId="0" applyNumberFormat="1" applyFont="1" applyFill="1" applyBorder="1" applyAlignment="1">
      <alignment horizontal="center" vertical="center" wrapText="1"/>
    </xf>
    <xf numFmtId="0" fontId="93" fillId="16" borderId="19" xfId="0" applyFont="1" applyFill="1" applyBorder="1" applyAlignment="1">
      <alignment horizontal="center" vertical="center" wrapText="1"/>
    </xf>
    <xf numFmtId="0" fontId="66" fillId="0" borderId="5" xfId="0" applyFont="1" applyFill="1" applyBorder="1" applyAlignment="1">
      <alignment vertical="top" wrapText="1"/>
    </xf>
    <xf numFmtId="0" fontId="65" fillId="0" borderId="19" xfId="0" applyFont="1" applyFill="1" applyBorder="1" applyAlignment="1">
      <alignment vertical="top" wrapText="1"/>
    </xf>
    <xf numFmtId="3" fontId="9" fillId="0" borderId="34" xfId="0" applyNumberFormat="1" applyFont="1" applyBorder="1" applyAlignment="1">
      <alignment horizontal="center" vertical="center"/>
    </xf>
    <xf numFmtId="0" fontId="9" fillId="0" borderId="34" xfId="0" applyFont="1" applyBorder="1" applyAlignment="1">
      <alignment horizontal="center" vertical="center"/>
    </xf>
    <xf numFmtId="3" fontId="9" fillId="10" borderId="34" xfId="0" applyNumberFormat="1" applyFont="1" applyFill="1" applyBorder="1"/>
    <xf numFmtId="14" fontId="0" fillId="0" borderId="0" xfId="0" applyNumberFormat="1"/>
    <xf numFmtId="3" fontId="9" fillId="0" borderId="0" xfId="0" applyNumberFormat="1" applyFont="1" applyFill="1"/>
    <xf numFmtId="3" fontId="14" fillId="0" borderId="34" xfId="0" applyNumberFormat="1" applyFont="1" applyBorder="1"/>
    <xf numFmtId="3" fontId="14" fillId="0" borderId="34" xfId="0" applyNumberFormat="1" applyFont="1" applyBorder="1" applyAlignment="1">
      <alignment horizontal="center" vertical="center"/>
    </xf>
    <xf numFmtId="3" fontId="14" fillId="0" borderId="0" xfId="0" applyNumberFormat="1" applyFont="1" applyFill="1"/>
    <xf numFmtId="3" fontId="113" fillId="0" borderId="6" xfId="0" applyNumberFormat="1" applyFont="1" applyFill="1" applyBorder="1" applyAlignment="1">
      <alignment horizontal="center" vertical="center" wrapText="1"/>
    </xf>
    <xf numFmtId="1" fontId="43" fillId="0" borderId="23" xfId="0" applyNumberFormat="1" applyFont="1" applyFill="1" applyBorder="1" applyAlignment="1">
      <alignment horizontal="center" vertical="center" wrapText="1"/>
    </xf>
    <xf numFmtId="168" fontId="29" fillId="0" borderId="13" xfId="0" applyNumberFormat="1" applyFont="1" applyFill="1" applyBorder="1" applyAlignment="1">
      <alignment horizontal="center" vertical="center" wrapText="1"/>
    </xf>
    <xf numFmtId="3" fontId="12" fillId="0" borderId="30" xfId="0" applyNumberFormat="1" applyFont="1" applyFill="1" applyBorder="1" applyAlignment="1">
      <alignment horizontal="center" vertical="center" wrapText="1"/>
    </xf>
    <xf numFmtId="3" fontId="43" fillId="15" borderId="6" xfId="0" applyNumberFormat="1" applyFont="1" applyFill="1" applyBorder="1" applyAlignment="1">
      <alignment horizontal="center" vertical="center" wrapText="1"/>
    </xf>
    <xf numFmtId="3" fontId="13" fillId="15" borderId="7" xfId="0" applyNumberFormat="1" applyFont="1" applyFill="1" applyBorder="1" applyAlignment="1">
      <alignment horizontal="center" vertical="center"/>
    </xf>
    <xf numFmtId="0" fontId="44" fillId="15" borderId="27" xfId="0" applyFont="1" applyFill="1" applyBorder="1" applyAlignment="1">
      <alignment vertical="top" wrapText="1"/>
    </xf>
    <xf numFmtId="0" fontId="44" fillId="15" borderId="6" xfId="0" applyFont="1" applyFill="1" applyBorder="1" applyAlignment="1">
      <alignment vertical="top" wrapText="1"/>
    </xf>
    <xf numFmtId="3" fontId="45" fillId="15" borderId="6" xfId="0" applyNumberFormat="1" applyFont="1" applyFill="1" applyBorder="1" applyAlignment="1">
      <alignment horizontal="center" wrapText="1"/>
    </xf>
    <xf numFmtId="0" fontId="42" fillId="15" borderId="0" xfId="0" applyFont="1" applyFill="1"/>
    <xf numFmtId="0" fontId="95" fillId="15" borderId="19" xfId="0" applyFont="1" applyFill="1" applyBorder="1" applyAlignment="1">
      <alignment horizontal="center" vertical="center" wrapText="1"/>
    </xf>
    <xf numFmtId="0" fontId="65" fillId="15" borderId="19" xfId="0" applyFont="1" applyFill="1" applyBorder="1" applyAlignment="1">
      <alignment horizontal="center" vertical="center" wrapText="1"/>
    </xf>
    <xf numFmtId="0" fontId="43" fillId="0" borderId="13" xfId="0" applyFont="1" applyFill="1" applyBorder="1" applyAlignment="1">
      <alignment horizontal="center" vertical="center" wrapText="1"/>
    </xf>
    <xf numFmtId="0" fontId="66" fillId="0" borderId="13" xfId="0" applyFont="1" applyBorder="1" applyAlignment="1">
      <alignment horizontal="left" vertical="center" wrapText="1"/>
    </xf>
    <xf numFmtId="14" fontId="29" fillId="13" borderId="6" xfId="0" applyNumberFormat="1" applyFont="1" applyFill="1" applyBorder="1" applyAlignment="1">
      <alignment horizontal="center" vertical="center" wrapText="1"/>
    </xf>
    <xf numFmtId="14" fontId="92" fillId="0" borderId="6" xfId="0" applyNumberFormat="1" applyFont="1" applyBorder="1" applyAlignment="1">
      <alignment horizontal="center" vertical="center" wrapText="1"/>
    </xf>
    <xf numFmtId="0" fontId="65" fillId="0" borderId="6" xfId="0" applyFont="1" applyFill="1" applyBorder="1" applyAlignment="1">
      <alignment horizontal="left" vertical="center" wrapText="1"/>
    </xf>
    <xf numFmtId="0" fontId="65" fillId="0" borderId="15" xfId="0" applyFont="1" applyFill="1" applyBorder="1" applyAlignment="1">
      <alignment horizontal="left" vertical="center" wrapText="1"/>
    </xf>
    <xf numFmtId="166" fontId="65" fillId="0" borderId="6" xfId="0" applyNumberFormat="1" applyFont="1" applyFill="1" applyBorder="1" applyAlignment="1">
      <alignment horizontal="center" vertical="center" wrapText="1"/>
    </xf>
    <xf numFmtId="168" fontId="65" fillId="0" borderId="6" xfId="0" applyNumberFormat="1" applyFont="1" applyFill="1" applyBorder="1" applyAlignment="1">
      <alignment horizontal="center" vertical="center" wrapText="1"/>
    </xf>
    <xf numFmtId="14" fontId="13" fillId="13" borderId="19" xfId="0" applyNumberFormat="1" applyFont="1" applyFill="1" applyBorder="1" applyAlignment="1">
      <alignment horizontal="center" vertical="center" wrapText="1"/>
    </xf>
    <xf numFmtId="14" fontId="12" fillId="19" borderId="6" xfId="0" applyNumberFormat="1" applyFont="1" applyFill="1" applyBorder="1" applyAlignment="1">
      <alignment horizontal="center" vertical="center" wrapText="1"/>
    </xf>
    <xf numFmtId="1" fontId="13" fillId="19" borderId="19" xfId="0" applyNumberFormat="1" applyFont="1" applyFill="1" applyBorder="1" applyAlignment="1">
      <alignment horizontal="center" vertical="center" wrapText="1"/>
    </xf>
    <xf numFmtId="168" fontId="13" fillId="0" borderId="13" xfId="0" applyNumberFormat="1" applyFont="1" applyFill="1" applyBorder="1" applyAlignment="1">
      <alignment horizontal="center" vertical="center" wrapText="1"/>
    </xf>
    <xf numFmtId="0" fontId="65" fillId="0" borderId="6" xfId="0" applyFont="1" applyBorder="1" applyAlignment="1">
      <alignment horizontal="center" vertical="center" wrapText="1"/>
    </xf>
    <xf numFmtId="0" fontId="32" fillId="0" borderId="26" xfId="0" applyFont="1" applyFill="1" applyBorder="1" applyAlignment="1">
      <alignment horizontal="center" vertical="center" wrapText="1"/>
    </xf>
    <xf numFmtId="0" fontId="99" fillId="0" borderId="19" xfId="0" applyFont="1" applyFill="1" applyBorder="1" applyAlignment="1">
      <alignment horizontal="center" vertical="center" wrapText="1"/>
    </xf>
    <xf numFmtId="3" fontId="45" fillId="15" borderId="15" xfId="0" applyNumberFormat="1" applyFont="1" applyFill="1" applyBorder="1" applyAlignment="1">
      <alignment horizontal="center" wrapText="1"/>
    </xf>
    <xf numFmtId="0" fontId="43" fillId="15" borderId="19" xfId="0" applyFont="1" applyFill="1" applyBorder="1" applyAlignment="1">
      <alignment horizontal="center" vertical="center" wrapText="1"/>
    </xf>
    <xf numFmtId="0" fontId="32" fillId="0" borderId="37" xfId="0" applyFont="1" applyFill="1" applyBorder="1" applyAlignment="1">
      <alignment horizontal="center" vertical="center" wrapText="1"/>
    </xf>
    <xf numFmtId="0" fontId="32" fillId="0" borderId="113" xfId="0" applyFont="1" applyFill="1" applyBorder="1" applyAlignment="1">
      <alignment horizontal="center" vertical="center" wrapText="1"/>
    </xf>
    <xf numFmtId="0" fontId="32" fillId="0" borderId="38" xfId="0" applyFont="1" applyFill="1" applyBorder="1" applyAlignment="1">
      <alignment horizontal="center" vertical="center" wrapText="1"/>
    </xf>
    <xf numFmtId="0" fontId="32" fillId="0" borderId="30" xfId="0" applyFont="1" applyFill="1" applyBorder="1" applyAlignment="1">
      <alignment horizontal="center" vertical="center" wrapText="1"/>
    </xf>
    <xf numFmtId="0" fontId="43" fillId="0" borderId="105" xfId="0" applyFont="1" applyFill="1" applyBorder="1" applyAlignment="1">
      <alignment horizontal="center" vertical="center" wrapText="1"/>
    </xf>
    <xf numFmtId="14" fontId="56" fillId="0" borderId="140" xfId="0" applyNumberFormat="1" applyFont="1" applyFill="1" applyBorder="1" applyAlignment="1">
      <alignment horizontal="center" vertical="center" wrapText="1"/>
    </xf>
    <xf numFmtId="16" fontId="57" fillId="0" borderId="140" xfId="0" applyNumberFormat="1" applyFont="1" applyFill="1" applyBorder="1" applyAlignment="1">
      <alignment horizontal="center" vertical="center" wrapText="1"/>
    </xf>
    <xf numFmtId="16" fontId="45" fillId="0" borderId="140" xfId="0" applyNumberFormat="1" applyFont="1" applyFill="1" applyBorder="1" applyAlignment="1">
      <alignment horizontal="center" vertical="center" wrapText="1"/>
    </xf>
    <xf numFmtId="0" fontId="43" fillId="0" borderId="140" xfId="0" applyFont="1" applyFill="1" applyBorder="1" applyAlignment="1">
      <alignment horizontal="center" vertical="center" wrapText="1"/>
    </xf>
    <xf numFmtId="0" fontId="13" fillId="0" borderId="31" xfId="0" applyFont="1" applyFill="1" applyBorder="1" applyAlignment="1">
      <alignment horizontal="left" vertical="center" wrapText="1"/>
    </xf>
    <xf numFmtId="3" fontId="13" fillId="0" borderId="24" xfId="0" applyNumberFormat="1" applyFont="1" applyFill="1" applyBorder="1" applyAlignment="1">
      <alignment horizontal="center" vertical="center" wrapText="1"/>
    </xf>
    <xf numFmtId="0" fontId="23" fillId="0" borderId="0" xfId="0" applyFont="1" applyFill="1" applyAlignment="1"/>
    <xf numFmtId="0" fontId="56" fillId="0" borderId="51" xfId="0" applyFont="1" applyFill="1" applyBorder="1" applyAlignment="1">
      <alignment horizontal="center" vertical="center" wrapText="1"/>
    </xf>
    <xf numFmtId="0" fontId="23" fillId="0" borderId="27" xfId="0" applyFont="1" applyFill="1" applyBorder="1" applyAlignment="1">
      <alignment wrapText="1"/>
    </xf>
    <xf numFmtId="0" fontId="56" fillId="0" borderId="50" xfId="0" applyFont="1" applyFill="1" applyBorder="1" applyAlignment="1">
      <alignment horizontal="center" vertical="center"/>
    </xf>
    <xf numFmtId="0" fontId="23" fillId="0" borderId="5" xfId="0" applyFont="1" applyFill="1" applyBorder="1" applyAlignment="1"/>
    <xf numFmtId="0" fontId="56" fillId="0" borderId="12" xfId="0" applyFont="1" applyFill="1" applyBorder="1" applyAlignment="1">
      <alignment horizontal="center" vertical="center"/>
    </xf>
    <xf numFmtId="0" fontId="56" fillId="0" borderId="3" xfId="0" applyFont="1" applyFill="1" applyBorder="1" applyAlignment="1">
      <alignment horizontal="center" vertical="center"/>
    </xf>
    <xf numFmtId="0" fontId="56" fillId="0" borderId="12" xfId="0" applyFont="1" applyFill="1" applyBorder="1" applyAlignment="1">
      <alignment horizontal="center" wrapText="1"/>
    </xf>
    <xf numFmtId="0" fontId="56" fillId="0" borderId="4" xfId="0" applyFont="1" applyFill="1" applyBorder="1" applyAlignment="1">
      <alignment horizontal="center" wrapText="1"/>
    </xf>
    <xf numFmtId="0" fontId="44" fillId="0" borderId="0" xfId="0" applyFont="1" applyFill="1" applyAlignment="1">
      <alignment horizontal="justify" vertical="center" wrapText="1"/>
    </xf>
    <xf numFmtId="3" fontId="56" fillId="0" borderId="13" xfId="0" applyNumberFormat="1" applyFont="1" applyFill="1" applyBorder="1" applyAlignment="1">
      <alignment wrapText="1"/>
    </xf>
    <xf numFmtId="3" fontId="56" fillId="0" borderId="14" xfId="0" applyNumberFormat="1" applyFont="1" applyFill="1" applyBorder="1" applyAlignment="1">
      <alignment wrapText="1"/>
    </xf>
    <xf numFmtId="3" fontId="56" fillId="0" borderId="15" xfId="0" applyNumberFormat="1" applyFont="1" applyFill="1" applyBorder="1" applyAlignment="1">
      <alignment wrapText="1"/>
    </xf>
    <xf numFmtId="1" fontId="56" fillId="0" borderId="17" xfId="0" applyNumberFormat="1" applyFont="1" applyFill="1" applyBorder="1" applyAlignment="1">
      <alignment horizontal="center" vertical="center"/>
    </xf>
    <xf numFmtId="1" fontId="56" fillId="0" borderId="16" xfId="0" applyNumberFormat="1" applyFont="1" applyFill="1" applyBorder="1" applyAlignment="1">
      <alignment horizontal="center" vertical="center"/>
    </xf>
    <xf numFmtId="3" fontId="56" fillId="0" borderId="17" xfId="0" applyNumberFormat="1" applyFont="1" applyFill="1" applyBorder="1" applyAlignment="1">
      <alignment horizontal="center" wrapText="1"/>
    </xf>
    <xf numFmtId="3" fontId="56" fillId="0" borderId="18" xfId="0" applyNumberFormat="1" applyFont="1" applyFill="1" applyBorder="1" applyAlignment="1">
      <alignment horizontal="center" wrapText="1"/>
    </xf>
    <xf numFmtId="0" fontId="56" fillId="0" borderId="11" xfId="0" applyFont="1" applyFill="1" applyBorder="1" applyAlignment="1">
      <alignment horizontal="center" vertical="center"/>
    </xf>
    <xf numFmtId="1" fontId="56" fillId="0" borderId="13" xfId="0" applyNumberFormat="1" applyFont="1" applyFill="1" applyBorder="1" applyAlignment="1">
      <alignment horizontal="center" vertical="center"/>
    </xf>
    <xf numFmtId="14" fontId="0" fillId="0" borderId="55" xfId="0" applyNumberFormat="1" applyBorder="1" applyAlignment="1">
      <alignment horizontal="center"/>
    </xf>
    <xf numFmtId="0" fontId="0" fillId="0" borderId="34" xfId="0" applyBorder="1" applyAlignment="1">
      <alignment horizontal="center"/>
    </xf>
    <xf numFmtId="0" fontId="2" fillId="0" borderId="12" xfId="0" applyFont="1" applyBorder="1" applyAlignment="1">
      <alignment horizontal="center" wrapText="1"/>
    </xf>
    <xf numFmtId="0" fontId="2" fillId="0" borderId="21" xfId="0" applyFont="1" applyBorder="1" applyAlignment="1">
      <alignment horizontal="center" wrapText="1"/>
    </xf>
    <xf numFmtId="0" fontId="2" fillId="0" borderId="4" xfId="0" applyFont="1" applyBorder="1" applyAlignment="1">
      <alignment horizontal="center" wrapText="1"/>
    </xf>
    <xf numFmtId="0" fontId="2" fillId="0" borderId="13" xfId="0" applyFont="1" applyBorder="1" applyAlignment="1">
      <alignment horizontal="center"/>
    </xf>
    <xf numFmtId="0" fontId="2" fillId="0" borderId="16" xfId="0" applyFont="1" applyBorder="1" applyAlignment="1">
      <alignment horizontal="center"/>
    </xf>
    <xf numFmtId="0" fontId="2" fillId="0" borderId="17" xfId="0" applyFont="1" applyBorder="1" applyAlignment="1">
      <alignment horizontal="center"/>
    </xf>
    <xf numFmtId="0" fontId="2" fillId="0" borderId="14" xfId="0" applyFont="1" applyBorder="1" applyAlignment="1">
      <alignment horizontal="center"/>
    </xf>
    <xf numFmtId="14" fontId="2" fillId="0" borderId="11" xfId="0" applyNumberFormat="1" applyFont="1" applyBorder="1" applyAlignment="1">
      <alignment horizontal="center" wrapText="1"/>
    </xf>
    <xf numFmtId="0" fontId="2" fillId="0" borderId="3" xfId="0" applyFont="1" applyBorder="1" applyAlignment="1">
      <alignment horizontal="center" wrapText="1"/>
    </xf>
    <xf numFmtId="14" fontId="2" fillId="0" borderId="12" xfId="0" applyNumberFormat="1" applyFont="1" applyBorder="1" applyAlignment="1">
      <alignment horizontal="center" wrapText="1"/>
    </xf>
    <xf numFmtId="0" fontId="2" fillId="0" borderId="13" xfId="0" applyFont="1" applyBorder="1" applyAlignment="1">
      <alignment wrapText="1"/>
    </xf>
    <xf numFmtId="0" fontId="0" fillId="0" borderId="14" xfId="0" applyBorder="1" applyAlignment="1">
      <alignment wrapText="1"/>
    </xf>
    <xf numFmtId="0" fontId="0" fillId="0" borderId="15" xfId="0" applyBorder="1" applyAlignment="1">
      <alignment wrapText="1"/>
    </xf>
    <xf numFmtId="14" fontId="0" fillId="0" borderId="34" xfId="0" applyNumberFormat="1" applyBorder="1" applyAlignment="1">
      <alignment horizontal="center"/>
    </xf>
    <xf numFmtId="165" fontId="0" fillId="0" borderId="34" xfId="0" applyNumberFormat="1" applyBorder="1" applyAlignment="1">
      <alignment horizontal="center"/>
    </xf>
    <xf numFmtId="14" fontId="0" fillId="0" borderId="34" xfId="0" applyNumberFormat="1" applyFill="1" applyBorder="1" applyAlignment="1">
      <alignment horizontal="center"/>
    </xf>
    <xf numFmtId="0" fontId="0" fillId="0" borderId="34" xfId="0" applyFill="1" applyBorder="1" applyAlignment="1">
      <alignment horizontal="center"/>
    </xf>
    <xf numFmtId="14" fontId="0" fillId="0" borderId="69" xfId="0" applyNumberFormat="1" applyFill="1" applyBorder="1" applyAlignment="1">
      <alignment horizontal="center"/>
    </xf>
    <xf numFmtId="0" fontId="0" fillId="0" borderId="101" xfId="0" applyFill="1" applyBorder="1" applyAlignment="1">
      <alignment horizontal="center"/>
    </xf>
    <xf numFmtId="0" fontId="0" fillId="0" borderId="55" xfId="0" applyFill="1" applyBorder="1" applyAlignment="1">
      <alignment horizontal="center"/>
    </xf>
    <xf numFmtId="16" fontId="57" fillId="0" borderId="140" xfId="0" applyNumberFormat="1" applyFont="1" applyFill="1" applyBorder="1" applyAlignment="1">
      <alignment horizontal="left" vertical="center" wrapText="1"/>
    </xf>
    <xf numFmtId="0" fontId="0" fillId="0" borderId="23" xfId="0" applyBorder="1" applyAlignment="1">
      <alignment horizontal="left" vertical="center" wrapText="1"/>
    </xf>
    <xf numFmtId="0" fontId="0" fillId="0" borderId="6" xfId="0" applyBorder="1" applyAlignment="1">
      <alignment horizontal="left" vertical="center" wrapText="1"/>
    </xf>
    <xf numFmtId="0" fontId="27" fillId="0" borderId="80" xfId="0" applyFont="1" applyFill="1" applyBorder="1" applyAlignment="1">
      <alignment horizontal="left" vertical="center" wrapText="1"/>
    </xf>
    <xf numFmtId="0" fontId="0" fillId="0" borderId="0" xfId="0" applyAlignment="1">
      <alignment horizontal="left" wrapText="1"/>
    </xf>
    <xf numFmtId="0" fontId="0" fillId="0" borderId="24" xfId="0" applyBorder="1" applyAlignment="1">
      <alignment horizontal="left" wrapText="1"/>
    </xf>
    <xf numFmtId="0" fontId="0" fillId="0" borderId="0" xfId="0" applyAlignment="1">
      <alignment horizontal="left" vertical="center" wrapText="1"/>
    </xf>
    <xf numFmtId="0" fontId="0" fillId="0" borderId="24" xfId="0" applyBorder="1" applyAlignment="1">
      <alignment horizontal="left" vertical="center" wrapText="1"/>
    </xf>
    <xf numFmtId="0" fontId="43" fillId="0" borderId="13" xfId="0" applyFont="1" applyFill="1" applyBorder="1" applyAlignment="1">
      <alignment horizontal="left" vertical="center" wrapText="1"/>
    </xf>
    <xf numFmtId="0" fontId="78" fillId="0" borderId="14" xfId="0" applyFont="1" applyFill="1" applyBorder="1" applyAlignment="1">
      <alignment wrapText="1"/>
    </xf>
    <xf numFmtId="0" fontId="78" fillId="0" borderId="15" xfId="0" applyFont="1" applyFill="1" applyBorder="1" applyAlignment="1">
      <alignment wrapText="1"/>
    </xf>
    <xf numFmtId="14" fontId="45" fillId="0" borderId="13" xfId="0" applyNumberFormat="1" applyFont="1" applyFill="1" applyBorder="1" applyAlignment="1">
      <alignment horizontal="left" vertical="center" wrapText="1"/>
    </xf>
    <xf numFmtId="0" fontId="0" fillId="0" borderId="14" xfId="0" applyBorder="1" applyAlignment="1">
      <alignment horizontal="left" vertical="center" wrapText="1"/>
    </xf>
    <xf numFmtId="0" fontId="0" fillId="0" borderId="15" xfId="0" applyBorder="1" applyAlignment="1">
      <alignment horizontal="left" vertical="center" wrapText="1"/>
    </xf>
    <xf numFmtId="0" fontId="27" fillId="0" borderId="131" xfId="0" applyFont="1" applyFill="1" applyBorder="1" applyAlignment="1">
      <alignment horizontal="left" vertical="center" wrapText="1"/>
    </xf>
    <xf numFmtId="0" fontId="0" fillId="0" borderId="38" xfId="0" applyBorder="1" applyAlignment="1">
      <alignment horizontal="left" vertical="center" wrapText="1"/>
    </xf>
    <xf numFmtId="0" fontId="0" fillId="0" borderId="30" xfId="0" applyBorder="1" applyAlignment="1">
      <alignment horizontal="left" vertical="center" wrapText="1"/>
    </xf>
    <xf numFmtId="0" fontId="43" fillId="0" borderId="131" xfId="0" applyFont="1" applyFill="1" applyBorder="1" applyAlignment="1">
      <alignment horizontal="left" vertical="center" wrapText="1"/>
    </xf>
    <xf numFmtId="14" fontId="56" fillId="0" borderId="13" xfId="0" applyNumberFormat="1" applyFont="1" applyFill="1" applyBorder="1" applyAlignment="1">
      <alignment horizontal="left" vertical="center" wrapText="1"/>
    </xf>
    <xf numFmtId="0" fontId="0" fillId="0" borderId="14" xfId="0" applyBorder="1" applyAlignment="1">
      <alignment horizontal="left" wrapText="1"/>
    </xf>
    <xf numFmtId="0" fontId="0" fillId="0" borderId="15" xfId="0" applyBorder="1" applyAlignment="1">
      <alignment horizontal="left" wrapText="1"/>
    </xf>
    <xf numFmtId="0" fontId="0" fillId="0" borderId="38" xfId="0" applyBorder="1" applyAlignment="1">
      <alignment horizontal="left" wrapText="1"/>
    </xf>
    <xf numFmtId="0" fontId="0" fillId="0" borderId="30" xfId="0" applyBorder="1" applyAlignment="1">
      <alignment horizontal="left" wrapText="1"/>
    </xf>
    <xf numFmtId="0" fontId="43" fillId="0" borderId="80" xfId="0" applyFont="1" applyFill="1" applyBorder="1" applyAlignment="1">
      <alignment horizontal="left" vertical="center" wrapText="1"/>
    </xf>
    <xf numFmtId="16" fontId="50" fillId="0" borderId="141" xfId="0" applyNumberFormat="1" applyFont="1" applyFill="1" applyBorder="1" applyAlignment="1">
      <alignment horizontal="left" vertical="center" wrapText="1"/>
    </xf>
    <xf numFmtId="0" fontId="19" fillId="0" borderId="26" xfId="0" applyFont="1" applyFill="1" applyBorder="1" applyAlignment="1">
      <alignment horizontal="center" vertical="center" wrapText="1"/>
    </xf>
    <xf numFmtId="0" fontId="19" fillId="0" borderId="27" xfId="0" applyFont="1" applyFill="1" applyBorder="1" applyAlignment="1">
      <alignment horizontal="center" vertical="center" wrapText="1"/>
    </xf>
    <xf numFmtId="0" fontId="19" fillId="0" borderId="26" xfId="0" applyFont="1" applyFill="1" applyBorder="1" applyAlignment="1">
      <alignment vertical="top" wrapText="1"/>
    </xf>
    <xf numFmtId="0" fontId="19" fillId="0" borderId="27" xfId="0" applyFont="1" applyFill="1" applyBorder="1" applyAlignment="1">
      <alignment vertical="top" wrapText="1"/>
    </xf>
    <xf numFmtId="0" fontId="56" fillId="0" borderId="20" xfId="0" applyFont="1" applyFill="1" applyBorder="1" applyAlignment="1">
      <alignment horizontal="center" vertical="top" wrapText="1"/>
    </xf>
    <xf numFmtId="0" fontId="56" fillId="0" borderId="21" xfId="0" applyFont="1" applyFill="1" applyBorder="1" applyAlignment="1">
      <alignment horizontal="center" vertical="top" wrapText="1"/>
    </xf>
    <xf numFmtId="0" fontId="56" fillId="0" borderId="2" xfId="0" applyFont="1" applyFill="1" applyBorder="1" applyAlignment="1">
      <alignment horizontal="center" vertical="top" wrapText="1"/>
    </xf>
    <xf numFmtId="0" fontId="56" fillId="0" borderId="11" xfId="0" applyFont="1" applyFill="1" applyBorder="1" applyAlignment="1">
      <alignment horizontal="center" vertical="top" wrapText="1"/>
    </xf>
    <xf numFmtId="0" fontId="56" fillId="0" borderId="13" xfId="0" applyFont="1" applyFill="1" applyBorder="1" applyAlignment="1">
      <alignment horizontal="center" vertical="top" wrapText="1"/>
    </xf>
    <xf numFmtId="0" fontId="77" fillId="0" borderId="15" xfId="0" applyFont="1" applyFill="1" applyBorder="1" applyAlignment="1">
      <alignment horizontal="center" vertical="top" wrapText="1"/>
    </xf>
    <xf numFmtId="0" fontId="23" fillId="0" borderId="14" xfId="0" applyFont="1" applyFill="1" applyBorder="1" applyAlignment="1">
      <alignment horizontal="center" vertical="top" wrapText="1"/>
    </xf>
    <xf numFmtId="0" fontId="23" fillId="0" borderId="15" xfId="0" applyFont="1" applyFill="1" applyBorder="1" applyAlignment="1">
      <alignment horizontal="center" vertical="top" wrapText="1"/>
    </xf>
    <xf numFmtId="0" fontId="43" fillId="0" borderId="32" xfId="0" applyFont="1" applyFill="1" applyBorder="1" applyAlignment="1">
      <alignment horizontal="left" vertical="center" wrapText="1"/>
    </xf>
    <xf numFmtId="16" fontId="45" fillId="0" borderId="13" xfId="0" applyNumberFormat="1" applyFont="1" applyFill="1" applyBorder="1" applyAlignment="1">
      <alignment horizontal="left" vertical="center" wrapText="1"/>
    </xf>
    <xf numFmtId="0" fontId="45" fillId="6" borderId="13" xfId="0" applyFont="1" applyFill="1" applyBorder="1" applyAlignment="1">
      <alignment horizontal="left" vertical="center" wrapText="1"/>
    </xf>
    <xf numFmtId="0" fontId="23" fillId="0" borderId="14" xfId="0" applyFont="1" applyBorder="1" applyAlignment="1">
      <alignment vertical="center" wrapText="1"/>
    </xf>
    <xf numFmtId="0" fontId="23" fillId="0" borderId="15" xfId="0" applyFont="1" applyBorder="1" applyAlignment="1">
      <alignment vertical="center" wrapText="1"/>
    </xf>
    <xf numFmtId="0" fontId="43" fillId="16" borderId="13" xfId="0" applyFont="1" applyFill="1" applyBorder="1" applyAlignment="1">
      <alignment horizontal="left" vertical="center" wrapText="1"/>
    </xf>
    <xf numFmtId="0" fontId="78" fillId="16" borderId="14" xfId="0" applyFont="1" applyFill="1" applyBorder="1" applyAlignment="1">
      <alignment horizontal="left" vertical="center" wrapText="1"/>
    </xf>
    <xf numFmtId="0" fontId="78" fillId="16" borderId="15" xfId="0" applyFont="1" applyFill="1" applyBorder="1" applyAlignment="1">
      <alignment horizontal="left" vertical="center" wrapText="1"/>
    </xf>
    <xf numFmtId="0" fontId="78" fillId="16" borderId="14" xfId="0" applyFont="1" applyFill="1" applyBorder="1" applyAlignment="1">
      <alignment vertical="center" wrapText="1"/>
    </xf>
    <xf numFmtId="0" fontId="78" fillId="16" borderId="15" xfId="0" applyFont="1" applyFill="1" applyBorder="1" applyAlignment="1">
      <alignment vertical="center" wrapText="1"/>
    </xf>
    <xf numFmtId="0" fontId="52" fillId="16" borderId="13" xfId="0" applyFont="1" applyFill="1" applyBorder="1" applyAlignment="1">
      <alignment horizontal="left" vertical="center" wrapText="1"/>
    </xf>
    <xf numFmtId="0" fontId="50" fillId="7" borderId="13" xfId="0" applyFont="1" applyFill="1" applyBorder="1" applyAlignment="1">
      <alignment horizontal="left" vertical="center" wrapText="1"/>
    </xf>
    <xf numFmtId="0" fontId="54" fillId="6" borderId="13" xfId="0" applyFont="1" applyFill="1" applyBorder="1" applyAlignment="1">
      <alignment horizontal="left" vertical="center" wrapText="1"/>
    </xf>
    <xf numFmtId="0" fontId="77" fillId="0" borderId="14" xfId="0" applyFont="1" applyBorder="1" applyAlignment="1">
      <alignment vertical="center" wrapText="1"/>
    </xf>
    <xf numFmtId="0" fontId="77" fillId="0" borderId="15" xfId="0" applyFont="1" applyBorder="1" applyAlignment="1">
      <alignment vertical="center" wrapText="1"/>
    </xf>
    <xf numFmtId="0" fontId="53" fillId="16" borderId="13" xfId="0" applyFont="1" applyFill="1" applyBorder="1" applyAlignment="1">
      <alignment horizontal="left" vertical="center" wrapText="1"/>
    </xf>
    <xf numFmtId="0" fontId="23" fillId="16" borderId="14" xfId="0" applyFont="1" applyFill="1" applyBorder="1" applyAlignment="1">
      <alignment wrapText="1"/>
    </xf>
    <xf numFmtId="0" fontId="77" fillId="0" borderId="14" xfId="0" applyFont="1" applyBorder="1" applyAlignment="1">
      <alignment wrapText="1"/>
    </xf>
    <xf numFmtId="0" fontId="77" fillId="0" borderId="15" xfId="0" applyFont="1" applyBorder="1" applyAlignment="1">
      <alignment wrapText="1"/>
    </xf>
    <xf numFmtId="0" fontId="78" fillId="16" borderId="14" xfId="0" applyFont="1" applyFill="1" applyBorder="1" applyAlignment="1">
      <alignment wrapText="1"/>
    </xf>
    <xf numFmtId="0" fontId="78" fillId="16" borderId="15" xfId="0" applyFont="1" applyFill="1" applyBorder="1" applyAlignment="1">
      <alignment wrapText="1"/>
    </xf>
    <xf numFmtId="0" fontId="23" fillId="16" borderId="14" xfId="0" applyFont="1" applyFill="1" applyBorder="1" applyAlignment="1">
      <alignment vertical="center" wrapText="1"/>
    </xf>
    <xf numFmtId="0" fontId="58" fillId="7" borderId="13" xfId="0" applyFont="1" applyFill="1" applyBorder="1" applyAlignment="1">
      <alignment horizontal="left" vertical="center" wrapText="1"/>
    </xf>
    <xf numFmtId="0" fontId="79" fillId="0" borderId="14" xfId="0" applyFont="1" applyBorder="1" applyAlignment="1">
      <alignment vertical="center" wrapText="1"/>
    </xf>
    <xf numFmtId="0" fontId="79" fillId="0" borderId="15" xfId="0" applyFont="1" applyBorder="1" applyAlignment="1">
      <alignment vertical="center" wrapText="1"/>
    </xf>
    <xf numFmtId="0" fontId="80" fillId="0" borderId="14" xfId="0" applyFont="1" applyBorder="1" applyAlignment="1">
      <alignment vertical="center" wrapText="1"/>
    </xf>
    <xf numFmtId="0" fontId="80" fillId="0" borderId="15" xfId="0" applyFont="1" applyBorder="1" applyAlignment="1">
      <alignment vertical="center" wrapText="1"/>
    </xf>
    <xf numFmtId="0" fontId="45" fillId="6" borderId="13" xfId="0" applyFont="1" applyFill="1" applyBorder="1" applyAlignment="1">
      <alignment wrapText="1"/>
    </xf>
    <xf numFmtId="0" fontId="45" fillId="6" borderId="14" xfId="0" applyFont="1" applyFill="1" applyBorder="1" applyAlignment="1">
      <alignment wrapText="1"/>
    </xf>
    <xf numFmtId="0" fontId="45" fillId="6" borderId="15" xfId="0" applyFont="1" applyFill="1" applyBorder="1" applyAlignment="1">
      <alignment wrapText="1"/>
    </xf>
    <xf numFmtId="0" fontId="50" fillId="7" borderId="13" xfId="0" applyFont="1" applyFill="1" applyBorder="1" applyAlignment="1">
      <alignment vertical="center" wrapText="1"/>
    </xf>
    <xf numFmtId="0" fontId="52" fillId="16" borderId="13" xfId="0" applyFont="1" applyFill="1" applyBorder="1" applyAlignment="1">
      <alignment vertical="top" wrapText="1"/>
    </xf>
    <xf numFmtId="0" fontId="43" fillId="0" borderId="51" xfId="0" applyFont="1" applyFill="1" applyBorder="1" applyAlignment="1">
      <alignment horizontal="center" vertical="center" wrapText="1"/>
    </xf>
    <xf numFmtId="0" fontId="23" fillId="0" borderId="31" xfId="0" applyFont="1" applyFill="1" applyBorder="1" applyAlignment="1">
      <alignment horizontal="center" vertical="center" wrapText="1"/>
    </xf>
    <xf numFmtId="0" fontId="32" fillId="0" borderId="37" xfId="0" applyFont="1" applyFill="1" applyBorder="1" applyAlignment="1">
      <alignment horizontal="center" vertical="center" wrapText="1"/>
    </xf>
    <xf numFmtId="0" fontId="23" fillId="0" borderId="38" xfId="0" applyFont="1" applyFill="1" applyBorder="1" applyAlignment="1">
      <alignment horizontal="center" vertical="center" wrapText="1"/>
    </xf>
    <xf numFmtId="0" fontId="23" fillId="0" borderId="30" xfId="0" applyFont="1" applyFill="1" applyBorder="1" applyAlignment="1">
      <alignment horizontal="center" vertical="center" wrapText="1"/>
    </xf>
    <xf numFmtId="0" fontId="32" fillId="0" borderId="26" xfId="0" applyFont="1" applyFill="1" applyBorder="1" applyAlignment="1">
      <alignment horizontal="center" vertical="center" wrapText="1"/>
    </xf>
    <xf numFmtId="0" fontId="32" fillId="0" borderId="51" xfId="0" applyFont="1" applyFill="1" applyBorder="1" applyAlignment="1">
      <alignment horizontal="center" vertical="center" wrapText="1"/>
    </xf>
    <xf numFmtId="0" fontId="32" fillId="0" borderId="13" xfId="0" applyFont="1" applyFill="1" applyBorder="1" applyAlignment="1">
      <alignment horizontal="center" vertical="center" wrapText="1"/>
    </xf>
    <xf numFmtId="0" fontId="23" fillId="0" borderId="14" xfId="0" applyFont="1" applyFill="1" applyBorder="1" applyAlignment="1">
      <alignment horizontal="center" vertical="center" wrapText="1"/>
    </xf>
    <xf numFmtId="0" fontId="23" fillId="0" borderId="15" xfId="0" applyFont="1" applyFill="1" applyBorder="1" applyAlignment="1">
      <alignment horizontal="center" vertical="center" wrapText="1"/>
    </xf>
    <xf numFmtId="0" fontId="43" fillId="0" borderId="14" xfId="0" applyFont="1" applyFill="1" applyBorder="1" applyAlignment="1">
      <alignment horizontal="center" vertical="center" wrapText="1"/>
    </xf>
    <xf numFmtId="0" fontId="78" fillId="0" borderId="14" xfId="0" applyFont="1" applyFill="1" applyBorder="1" applyAlignment="1">
      <alignment horizontal="center" vertical="center" wrapText="1"/>
    </xf>
    <xf numFmtId="0" fontId="78" fillId="0" borderId="15" xfId="0" applyFont="1" applyFill="1" applyBorder="1" applyAlignment="1">
      <alignment horizontal="center" vertical="center" wrapText="1"/>
    </xf>
    <xf numFmtId="0" fontId="43" fillId="0" borderId="13" xfId="0" applyFont="1" applyFill="1" applyBorder="1" applyAlignment="1">
      <alignment horizontal="center" vertical="center" wrapText="1"/>
    </xf>
    <xf numFmtId="16" fontId="24" fillId="0" borderId="13" xfId="0" applyNumberFormat="1" applyFont="1" applyFill="1" applyBorder="1" applyAlignment="1">
      <alignment horizontal="left" vertical="center" wrapText="1"/>
    </xf>
    <xf numFmtId="0" fontId="0" fillId="0" borderId="14" xfId="0" applyFont="1" applyBorder="1" applyAlignment="1">
      <alignment horizontal="left" vertical="center" wrapText="1"/>
    </xf>
    <xf numFmtId="0" fontId="0" fillId="0" borderId="15" xfId="0" applyFont="1" applyBorder="1" applyAlignment="1">
      <alignment horizontal="left" vertical="center" wrapText="1"/>
    </xf>
    <xf numFmtId="0" fontId="43" fillId="0" borderId="50" xfId="0" applyFont="1" applyFill="1" applyBorder="1" applyAlignment="1">
      <alignment horizontal="center" vertical="center" wrapText="1"/>
    </xf>
    <xf numFmtId="0" fontId="23" fillId="0" borderId="43" xfId="0" applyFont="1" applyFill="1" applyBorder="1" applyAlignment="1">
      <alignment horizontal="center" vertical="center" wrapText="1"/>
    </xf>
    <xf numFmtId="0" fontId="0" fillId="0" borderId="14" xfId="0" applyBorder="1" applyAlignment="1">
      <alignment horizontal="center" vertical="center" wrapText="1"/>
    </xf>
    <xf numFmtId="0" fontId="0" fillId="0" borderId="15" xfId="0" applyBorder="1" applyAlignment="1">
      <alignment horizontal="center" vertical="center" wrapText="1"/>
    </xf>
    <xf numFmtId="16" fontId="57" fillId="0" borderId="13" xfId="0" applyNumberFormat="1" applyFont="1" applyFill="1" applyBorder="1" applyAlignment="1">
      <alignment horizontal="left" vertical="center" wrapText="1"/>
    </xf>
    <xf numFmtId="16" fontId="56" fillId="0" borderId="13" xfId="0" applyNumberFormat="1" applyFont="1" applyFill="1" applyBorder="1" applyAlignment="1">
      <alignment horizontal="left" vertical="center" wrapText="1"/>
    </xf>
    <xf numFmtId="0" fontId="60" fillId="0" borderId="14" xfId="0" applyFont="1" applyBorder="1" applyAlignment="1">
      <alignment horizontal="left" vertical="center" wrapText="1"/>
    </xf>
    <xf numFmtId="0" fontId="60" fillId="0" borderId="15" xfId="0" applyFont="1" applyBorder="1" applyAlignment="1">
      <alignment horizontal="left" vertical="center" wrapText="1"/>
    </xf>
    <xf numFmtId="0" fontId="40" fillId="0" borderId="51" xfId="0" applyFont="1" applyFill="1" applyBorder="1" applyAlignment="1">
      <alignment horizontal="center" vertical="center" wrapText="1"/>
    </xf>
    <xf numFmtId="0" fontId="104" fillId="0" borderId="31" xfId="0" applyFont="1" applyFill="1" applyBorder="1" applyAlignment="1">
      <alignment horizontal="center" vertical="center" wrapText="1"/>
    </xf>
    <xf numFmtId="0" fontId="45" fillId="0" borderId="48" xfId="0" applyFont="1" applyFill="1" applyBorder="1" applyAlignment="1">
      <alignment wrapText="1"/>
    </xf>
    <xf numFmtId="0" fontId="77" fillId="0" borderId="48" xfId="0" applyFont="1" applyFill="1" applyBorder="1" applyAlignment="1">
      <alignment wrapText="1"/>
    </xf>
    <xf numFmtId="0" fontId="50" fillId="0" borderId="60" xfId="0" applyFont="1" applyFill="1" applyBorder="1" applyAlignment="1">
      <alignment horizontal="center" wrapText="1"/>
    </xf>
    <xf numFmtId="0" fontId="23" fillId="0" borderId="61" xfId="0" applyFont="1" applyFill="1" applyBorder="1" applyAlignment="1">
      <alignment horizontal="center" wrapText="1"/>
    </xf>
    <xf numFmtId="0" fontId="23" fillId="0" borderId="62" xfId="0" applyFont="1" applyFill="1" applyBorder="1" applyAlignment="1">
      <alignment horizontal="center" wrapText="1"/>
    </xf>
    <xf numFmtId="0" fontId="50" fillId="0" borderId="50" xfId="0" applyFont="1" applyFill="1" applyBorder="1" applyAlignment="1">
      <alignment horizontal="center" vertical="center" wrapText="1"/>
    </xf>
    <xf numFmtId="0" fontId="91" fillId="0" borderId="5" xfId="0" applyFont="1" applyFill="1" applyBorder="1" applyAlignment="1">
      <alignment horizontal="center" vertical="center" wrapText="1"/>
    </xf>
    <xf numFmtId="0" fontId="45" fillId="0" borderId="63" xfId="0" applyFont="1" applyFill="1" applyBorder="1" applyAlignment="1">
      <alignment horizontal="center" vertical="center" wrapText="1"/>
    </xf>
    <xf numFmtId="0" fontId="80" fillId="0" borderId="40" xfId="0" applyFont="1" applyFill="1" applyBorder="1" applyAlignment="1">
      <alignment horizontal="center" vertical="center" wrapText="1"/>
    </xf>
    <xf numFmtId="0" fontId="52" fillId="16" borderId="14" xfId="0" applyFont="1" applyFill="1" applyBorder="1" applyAlignment="1">
      <alignment horizontal="left" vertical="center" wrapText="1"/>
    </xf>
    <xf numFmtId="0" fontId="52" fillId="16" borderId="15" xfId="0" applyFont="1" applyFill="1" applyBorder="1" applyAlignment="1">
      <alignment horizontal="left" vertical="center" wrapText="1"/>
    </xf>
    <xf numFmtId="0" fontId="54" fillId="6" borderId="14" xfId="0" applyFont="1" applyFill="1" applyBorder="1" applyAlignment="1">
      <alignment horizontal="left" vertical="center" wrapText="1"/>
    </xf>
    <xf numFmtId="0" fontId="54" fillId="6" borderId="15" xfId="0" applyFont="1" applyFill="1" applyBorder="1" applyAlignment="1">
      <alignment horizontal="left" vertical="center" wrapText="1"/>
    </xf>
    <xf numFmtId="0" fontId="45" fillId="6" borderId="14" xfId="0" applyFont="1" applyFill="1" applyBorder="1" applyAlignment="1">
      <alignment horizontal="left" vertical="center" wrapText="1"/>
    </xf>
    <xf numFmtId="0" fontId="45" fillId="6" borderId="15" xfId="0" applyFont="1" applyFill="1" applyBorder="1" applyAlignment="1">
      <alignment horizontal="left" vertical="center" wrapText="1"/>
    </xf>
    <xf numFmtId="0" fontId="50" fillId="7" borderId="14" xfId="0" applyFont="1" applyFill="1" applyBorder="1" applyAlignment="1">
      <alignment horizontal="left" vertical="center" wrapText="1"/>
    </xf>
    <xf numFmtId="0" fontId="50" fillId="7" borderId="15" xfId="0" applyFont="1" applyFill="1" applyBorder="1" applyAlignment="1">
      <alignment horizontal="left" vertical="center" wrapText="1"/>
    </xf>
    <xf numFmtId="0" fontId="23" fillId="0" borderId="14" xfId="0" applyFont="1" applyBorder="1" applyAlignment="1">
      <alignment wrapText="1"/>
    </xf>
    <xf numFmtId="0" fontId="23" fillId="0" borderId="15" xfId="0" applyFont="1" applyBorder="1" applyAlignment="1">
      <alignment wrapText="1"/>
    </xf>
    <xf numFmtId="0" fontId="19" fillId="10" borderId="26" xfId="0" applyFont="1" applyFill="1" applyBorder="1" applyAlignment="1">
      <alignment horizontal="center" vertical="center" wrapText="1"/>
    </xf>
    <xf numFmtId="0" fontId="19" fillId="10" borderId="27" xfId="0" applyFont="1" applyFill="1" applyBorder="1" applyAlignment="1">
      <alignment horizontal="center" vertical="center" wrapText="1"/>
    </xf>
    <xf numFmtId="0" fontId="19" fillId="0" borderId="20" xfId="0" applyFont="1" applyBorder="1" applyAlignment="1">
      <alignment horizontal="center" vertical="top" wrapText="1"/>
    </xf>
    <xf numFmtId="0" fontId="19" fillId="0" borderId="21" xfId="0" applyFont="1" applyBorder="1" applyAlignment="1">
      <alignment horizontal="center" vertical="top" wrapText="1"/>
    </xf>
    <xf numFmtId="0" fontId="19" fillId="0" borderId="2" xfId="0" applyFont="1" applyBorder="1" applyAlignment="1">
      <alignment horizontal="center" vertical="top" wrapText="1"/>
    </xf>
    <xf numFmtId="0" fontId="19" fillId="0" borderId="11" xfId="0" applyFont="1" applyBorder="1" applyAlignment="1">
      <alignment horizontal="center" vertical="top" wrapText="1"/>
    </xf>
    <xf numFmtId="0" fontId="19" fillId="0" borderId="4" xfId="0" applyFont="1" applyBorder="1" applyAlignment="1">
      <alignment horizontal="center" vertical="top" wrapText="1"/>
    </xf>
    <xf numFmtId="0" fontId="23" fillId="0" borderId="21" xfId="0" applyFont="1" applyBorder="1" applyAlignment="1">
      <alignment horizontal="center" vertical="top" wrapText="1"/>
    </xf>
    <xf numFmtId="0" fontId="23" fillId="0" borderId="4" xfId="0" applyFont="1" applyBorder="1" applyAlignment="1">
      <alignment horizontal="center" vertical="top" wrapText="1"/>
    </xf>
    <xf numFmtId="0" fontId="42" fillId="0" borderId="0" xfId="0" applyFont="1" applyAlignment="1">
      <alignment horizontal="justify" vertical="justify" wrapText="1"/>
    </xf>
    <xf numFmtId="0" fontId="23" fillId="0" borderId="0" xfId="0" applyFont="1" applyAlignment="1">
      <alignment horizontal="justify" vertical="justify"/>
    </xf>
    <xf numFmtId="0" fontId="42" fillId="0" borderId="0" xfId="0" applyFont="1" applyAlignment="1">
      <alignment vertical="top" wrapText="1"/>
    </xf>
    <xf numFmtId="0" fontId="23" fillId="0" borderId="0" xfId="0" applyFont="1" applyAlignment="1">
      <alignment vertical="top"/>
    </xf>
    <xf numFmtId="0" fontId="45" fillId="0" borderId="28" xfId="0" applyFont="1" applyBorder="1" applyAlignment="1">
      <alignment horizontal="center" vertical="center" wrapText="1"/>
    </xf>
    <xf numFmtId="0" fontId="45" fillId="0" borderId="137" xfId="0" applyFont="1" applyBorder="1" applyAlignment="1">
      <alignment horizontal="center" vertical="center" wrapText="1"/>
    </xf>
    <xf numFmtId="0" fontId="45" fillId="0" borderId="135" xfId="0" applyFont="1" applyBorder="1" applyAlignment="1">
      <alignment horizontal="center" vertical="center" wrapText="1"/>
    </xf>
    <xf numFmtId="0" fontId="45" fillId="0" borderId="41" xfId="0" applyFont="1" applyBorder="1" applyAlignment="1">
      <alignment horizontal="center" vertical="center" wrapText="1"/>
    </xf>
    <xf numFmtId="0" fontId="45" fillId="0" borderId="25" xfId="0" applyFont="1" applyBorder="1" applyAlignment="1">
      <alignment horizontal="center" vertical="center" wrapText="1"/>
    </xf>
    <xf numFmtId="0" fontId="45" fillId="0" borderId="22" xfId="0" applyFont="1" applyBorder="1" applyAlignment="1">
      <alignment horizontal="center" vertical="center" wrapText="1"/>
    </xf>
    <xf numFmtId="0" fontId="45" fillId="0" borderId="63" xfId="0" applyFont="1" applyBorder="1" applyAlignment="1">
      <alignment horizontal="center" vertical="center" wrapText="1"/>
    </xf>
    <xf numFmtId="0" fontId="45" fillId="0" borderId="108" xfId="0" applyFont="1" applyBorder="1" applyAlignment="1">
      <alignment horizontal="center" vertical="center" wrapText="1"/>
    </xf>
    <xf numFmtId="0" fontId="44" fillId="0" borderId="138" xfId="0" applyFont="1" applyBorder="1" applyAlignment="1">
      <alignment horizontal="center" vertical="center" wrapText="1"/>
    </xf>
    <xf numFmtId="0" fontId="44" fillId="0" borderId="137" xfId="0" applyFont="1" applyBorder="1" applyAlignment="1">
      <alignment horizontal="center" vertical="center" wrapText="1"/>
    </xf>
    <xf numFmtId="0" fontId="44" fillId="0" borderId="108" xfId="0" applyFont="1" applyBorder="1" applyAlignment="1">
      <alignment horizontal="center" vertical="center" wrapText="1"/>
    </xf>
    <xf numFmtId="0" fontId="44" fillId="0" borderId="41" xfId="0" applyFont="1" applyBorder="1" applyAlignment="1">
      <alignment horizontal="center" vertical="center" wrapText="1"/>
    </xf>
    <xf numFmtId="0" fontId="44" fillId="0" borderId="139" xfId="0" applyFont="1" applyBorder="1" applyAlignment="1">
      <alignment horizontal="center" vertical="center" wrapText="1"/>
    </xf>
    <xf numFmtId="0" fontId="44" fillId="0" borderId="63" xfId="0" applyFont="1" applyBorder="1" applyAlignment="1">
      <alignment horizontal="center" vertical="center" wrapText="1"/>
    </xf>
    <xf numFmtId="0" fontId="23" fillId="0" borderId="108" xfId="0" applyFont="1" applyBorder="1" applyAlignment="1">
      <alignment vertical="center" wrapText="1"/>
    </xf>
    <xf numFmtId="0" fontId="23" fillId="0" borderId="41" xfId="0" applyFont="1" applyBorder="1" applyAlignment="1">
      <alignment vertical="center" wrapText="1"/>
    </xf>
    <xf numFmtId="0" fontId="44" fillId="0" borderId="132" xfId="0" applyFont="1" applyBorder="1" applyAlignment="1">
      <alignment horizontal="center" vertical="center" wrapText="1"/>
    </xf>
    <xf numFmtId="0" fontId="44" fillId="0" borderId="40" xfId="0" applyFont="1" applyBorder="1" applyAlignment="1">
      <alignment horizontal="center" vertical="center" wrapText="1"/>
    </xf>
    <xf numFmtId="0" fontId="34" fillId="0" borderId="63" xfId="0" applyFont="1" applyBorder="1" applyAlignment="1">
      <alignment horizontal="center" vertical="center" wrapText="1"/>
    </xf>
    <xf numFmtId="0" fontId="34" fillId="0" borderId="108" xfId="0" applyFont="1" applyBorder="1" applyAlignment="1">
      <alignment horizontal="center" vertical="center" wrapText="1"/>
    </xf>
    <xf numFmtId="0" fontId="34" fillId="0" borderId="41" xfId="0" applyFont="1" applyBorder="1" applyAlignment="1">
      <alignment horizontal="center" vertical="center" wrapText="1"/>
    </xf>
    <xf numFmtId="0" fontId="36" fillId="0" borderId="110" xfId="0" applyFont="1" applyBorder="1" applyAlignment="1">
      <alignment horizontal="center" vertical="center" wrapText="1"/>
    </xf>
    <xf numFmtId="0" fontId="36" fillId="0" borderId="61" xfId="0" applyFont="1" applyBorder="1" applyAlignment="1">
      <alignment horizontal="center" vertical="center" wrapText="1"/>
    </xf>
    <xf numFmtId="0" fontId="36" fillId="0" borderId="33" xfId="0" applyFont="1" applyBorder="1" applyAlignment="1">
      <alignment horizontal="center" vertical="center" wrapText="1"/>
    </xf>
    <xf numFmtId="0" fontId="36" fillId="0" borderId="63" xfId="0" applyFont="1" applyBorder="1" applyAlignment="1">
      <alignment horizontal="center" vertical="center" wrapText="1"/>
    </xf>
    <xf numFmtId="0" fontId="36" fillId="0" borderId="108" xfId="0" applyFont="1" applyBorder="1" applyAlignment="1">
      <alignment horizontal="center" vertical="center" wrapText="1"/>
    </xf>
    <xf numFmtId="0" fontId="36" fillId="0" borderId="41" xfId="0" applyFont="1" applyBorder="1" applyAlignment="1">
      <alignment horizontal="center" vertical="center" wrapText="1"/>
    </xf>
    <xf numFmtId="0" fontId="44" fillId="0" borderId="63" xfId="0" applyFont="1" applyBorder="1" applyAlignment="1">
      <alignment vertical="center" wrapText="1"/>
    </xf>
    <xf numFmtId="0" fontId="44" fillId="0" borderId="108" xfId="0" applyFont="1" applyBorder="1" applyAlignment="1">
      <alignment vertical="center" wrapText="1"/>
    </xf>
    <xf numFmtId="0" fontId="44" fillId="0" borderId="41" xfId="0" applyFont="1" applyBorder="1" applyAlignment="1">
      <alignment vertical="center" wrapText="1"/>
    </xf>
    <xf numFmtId="0" fontId="45" fillId="0" borderId="63" xfId="0" applyFont="1" applyBorder="1" applyAlignment="1">
      <alignment vertical="center" wrapText="1"/>
    </xf>
    <xf numFmtId="0" fontId="45" fillId="0" borderId="108" xfId="0" applyFont="1" applyBorder="1" applyAlignment="1">
      <alignment vertical="center" wrapText="1"/>
    </xf>
    <xf numFmtId="0" fontId="45" fillId="0" borderId="41" xfId="0" applyFont="1" applyBorder="1" applyAlignment="1">
      <alignment vertical="center" wrapText="1"/>
    </xf>
    <xf numFmtId="0" fontId="71" fillId="0" borderId="63" xfId="0" applyFont="1" applyBorder="1" applyAlignment="1">
      <alignment vertical="center" wrapText="1"/>
    </xf>
    <xf numFmtId="0" fontId="71" fillId="0" borderId="108" xfId="0" applyFont="1" applyBorder="1" applyAlignment="1">
      <alignment vertical="center" wrapText="1"/>
    </xf>
    <xf numFmtId="0" fontId="71" fillId="0" borderId="41" xfId="0" applyFont="1" applyBorder="1" applyAlignment="1">
      <alignment vertical="center" wrapText="1"/>
    </xf>
    <xf numFmtId="0" fontId="45" fillId="0" borderId="0" xfId="0" applyFont="1" applyFill="1" applyAlignment="1">
      <alignment horizontal="justify" vertical="center"/>
    </xf>
    <xf numFmtId="0" fontId="45" fillId="16" borderId="13" xfId="0" applyFont="1" applyFill="1" applyBorder="1" applyAlignment="1">
      <alignment horizontal="center" vertical="center" wrapText="1"/>
    </xf>
    <xf numFmtId="0" fontId="60" fillId="0" borderId="14" xfId="0" applyFont="1" applyBorder="1" applyAlignment="1">
      <alignment horizontal="center" vertical="center" wrapText="1"/>
    </xf>
    <xf numFmtId="0" fontId="60" fillId="0" borderId="15" xfId="0" applyFont="1" applyBorder="1" applyAlignment="1">
      <alignment horizontal="center" vertical="center" wrapText="1"/>
    </xf>
    <xf numFmtId="0" fontId="46" fillId="0" borderId="125" xfId="0" applyFont="1" applyBorder="1" applyAlignment="1">
      <alignment horizontal="center" vertical="center" wrapText="1"/>
    </xf>
    <xf numFmtId="0" fontId="46" fillId="0" borderId="119" xfId="0" applyFont="1" applyBorder="1" applyAlignment="1">
      <alignment horizontal="center" vertical="center" wrapText="1"/>
    </xf>
    <xf numFmtId="0" fontId="46" fillId="0" borderId="118" xfId="0" applyFont="1" applyBorder="1" applyAlignment="1">
      <alignment horizontal="center" vertical="center" wrapText="1"/>
    </xf>
    <xf numFmtId="0" fontId="71" fillId="0" borderId="126" xfId="0" applyFont="1" applyBorder="1" applyAlignment="1">
      <alignment horizontal="center" vertical="center" wrapText="1"/>
    </xf>
    <xf numFmtId="0" fontId="71" fillId="0" borderId="121" xfId="0" applyFont="1" applyBorder="1" applyAlignment="1">
      <alignment horizontal="center" vertical="center" wrapText="1"/>
    </xf>
    <xf numFmtId="0" fontId="71" fillId="0" borderId="117" xfId="0" applyFont="1" applyBorder="1" applyAlignment="1">
      <alignment horizontal="center" vertical="center" wrapText="1"/>
    </xf>
    <xf numFmtId="0" fontId="71" fillId="0" borderId="127" xfId="0" applyFont="1" applyBorder="1" applyAlignment="1">
      <alignment horizontal="center" vertical="center" wrapText="1"/>
    </xf>
    <xf numFmtId="0" fontId="71" fillId="0" borderId="31" xfId="0" applyFont="1" applyBorder="1" applyAlignment="1">
      <alignment horizontal="center" vertical="center" wrapText="1"/>
    </xf>
    <xf numFmtId="0" fontId="71" fillId="0" borderId="128" xfId="0" applyFont="1" applyBorder="1" applyAlignment="1">
      <alignment horizontal="center" vertical="center" wrapText="1"/>
    </xf>
    <xf numFmtId="0" fontId="46" fillId="0" borderId="26" xfId="0" applyFont="1" applyBorder="1" applyAlignment="1">
      <alignment horizontal="center" vertical="center" wrapText="1"/>
    </xf>
    <xf numFmtId="0" fontId="46" fillId="0" borderId="31" xfId="0" applyFont="1" applyBorder="1" applyAlignment="1">
      <alignment horizontal="center" vertical="center" wrapText="1"/>
    </xf>
    <xf numFmtId="0" fontId="46" fillId="0" borderId="27" xfId="0" applyFont="1" applyBorder="1" applyAlignment="1">
      <alignment horizontal="center" vertical="center" wrapText="1"/>
    </xf>
    <xf numFmtId="0" fontId="46" fillId="0" borderId="126" xfId="0" applyFont="1" applyBorder="1" applyAlignment="1">
      <alignment horizontal="center" vertical="center" wrapText="1"/>
    </xf>
    <xf numFmtId="0" fontId="46" fillId="0" borderId="121" xfId="0" applyFont="1" applyBorder="1" applyAlignment="1">
      <alignment horizontal="center" vertical="center" wrapText="1"/>
    </xf>
    <xf numFmtId="0" fontId="46" fillId="0" borderId="117" xfId="0" applyFont="1" applyBorder="1" applyAlignment="1">
      <alignment horizontal="center" vertical="center" wrapText="1"/>
    </xf>
    <xf numFmtId="0" fontId="23" fillId="16" borderId="14" xfId="0" applyFont="1" applyFill="1" applyBorder="1" applyAlignment="1">
      <alignment horizontal="left" vertical="center" wrapText="1"/>
    </xf>
    <xf numFmtId="0" fontId="23" fillId="16" borderId="15" xfId="0" applyFont="1" applyFill="1" applyBorder="1" applyAlignment="1">
      <alignment horizontal="left" vertical="center" wrapText="1"/>
    </xf>
    <xf numFmtId="0" fontId="0" fillId="16" borderId="14" xfId="0" applyFill="1" applyBorder="1" applyAlignment="1">
      <alignment horizontal="left" vertical="center" wrapText="1"/>
    </xf>
    <xf numFmtId="0" fontId="0" fillId="16" borderId="15" xfId="0" applyFill="1" applyBorder="1" applyAlignment="1">
      <alignment horizontal="left" vertical="center" wrapText="1"/>
    </xf>
    <xf numFmtId="0" fontId="68" fillId="0" borderId="13" xfId="0" applyFont="1" applyBorder="1" applyAlignment="1">
      <alignment horizontal="center" vertical="center" wrapText="1"/>
    </xf>
    <xf numFmtId="0" fontId="68" fillId="0" borderId="14" xfId="0" applyFont="1" applyBorder="1" applyAlignment="1">
      <alignment horizontal="center" vertical="center" wrapText="1"/>
    </xf>
    <xf numFmtId="0" fontId="36" fillId="0" borderId="0" xfId="0" applyFont="1" applyAlignment="1">
      <alignment wrapText="1"/>
    </xf>
    <xf numFmtId="0" fontId="35" fillId="0" borderId="0" xfId="0" applyFont="1" applyAlignment="1"/>
    <xf numFmtId="0" fontId="68" fillId="0" borderId="15" xfId="0" applyFont="1" applyBorder="1" applyAlignment="1">
      <alignment horizontal="center" vertical="center" wrapText="1"/>
    </xf>
    <xf numFmtId="0" fontId="68" fillId="0" borderId="37" xfId="0" applyFont="1" applyBorder="1" applyAlignment="1">
      <alignment horizontal="center" vertical="center" wrapText="1"/>
    </xf>
    <xf numFmtId="0" fontId="68" fillId="0" borderId="38" xfId="0" applyFont="1" applyBorder="1" applyAlignment="1">
      <alignment horizontal="center" vertical="center" wrapText="1"/>
    </xf>
    <xf numFmtId="0" fontId="68" fillId="0" borderId="30" xfId="0" applyFont="1" applyBorder="1" applyAlignment="1">
      <alignment horizontal="center" vertical="center" wrapText="1"/>
    </xf>
    <xf numFmtId="0" fontId="57" fillId="7" borderId="13" xfId="0" applyFont="1" applyFill="1" applyBorder="1" applyAlignment="1">
      <alignment wrapText="1"/>
    </xf>
    <xf numFmtId="0" fontId="57" fillId="7" borderId="14" xfId="0" applyFont="1" applyFill="1" applyBorder="1" applyAlignment="1">
      <alignment wrapText="1"/>
    </xf>
    <xf numFmtId="0" fontId="57" fillId="7" borderId="15" xfId="0" applyFont="1" applyFill="1" applyBorder="1" applyAlignment="1">
      <alignment wrapText="1"/>
    </xf>
    <xf numFmtId="0" fontId="0" fillId="16" borderId="14" xfId="0" applyFill="1" applyBorder="1" applyAlignment="1">
      <alignment wrapText="1"/>
    </xf>
    <xf numFmtId="0" fontId="0" fillId="0" borderId="14" xfId="0" applyBorder="1" applyAlignment="1">
      <alignment vertical="center" wrapText="1"/>
    </xf>
    <xf numFmtId="0" fontId="96" fillId="16" borderId="13" xfId="0" applyFont="1" applyFill="1" applyBorder="1" applyAlignment="1">
      <alignment horizontal="left" vertical="center" wrapText="1"/>
    </xf>
    <xf numFmtId="0" fontId="14" fillId="16" borderId="14" xfId="0" applyFont="1" applyFill="1" applyBorder="1" applyAlignment="1">
      <alignment wrapText="1"/>
    </xf>
    <xf numFmtId="0" fontId="67" fillId="0" borderId="0" xfId="0" applyFont="1" applyAlignment="1">
      <alignment wrapText="1"/>
    </xf>
    <xf numFmtId="0" fontId="0" fillId="0" borderId="0" xfId="0" applyAlignment="1"/>
    <xf numFmtId="0" fontId="68" fillId="0" borderId="64" xfId="0" applyFont="1" applyBorder="1" applyAlignment="1">
      <alignment horizontal="center" vertical="center" wrapText="1"/>
    </xf>
    <xf numFmtId="0" fontId="68" fillId="0" borderId="65" xfId="0" applyFont="1" applyBorder="1" applyAlignment="1">
      <alignment horizontal="center" vertical="center" wrapText="1"/>
    </xf>
    <xf numFmtId="0" fontId="68" fillId="5" borderId="13" xfId="0" applyFont="1" applyFill="1" applyBorder="1" applyAlignment="1">
      <alignment horizontal="center" vertical="center" wrapText="1"/>
    </xf>
    <xf numFmtId="0" fontId="68" fillId="5" borderId="14" xfId="0" applyFont="1" applyFill="1" applyBorder="1" applyAlignment="1">
      <alignment horizontal="center" vertical="center" wrapText="1"/>
    </xf>
    <xf numFmtId="0" fontId="0" fillId="5" borderId="15" xfId="0" applyFill="1" applyBorder="1" applyAlignment="1">
      <alignment horizontal="center" vertical="center" wrapText="1"/>
    </xf>
    <xf numFmtId="0" fontId="57" fillId="7" borderId="37" xfId="0" applyFont="1" applyFill="1" applyBorder="1" applyAlignment="1">
      <alignment wrapText="1"/>
    </xf>
    <xf numFmtId="0" fontId="57" fillId="7" borderId="38" xfId="0" applyFont="1" applyFill="1" applyBorder="1" applyAlignment="1">
      <alignment wrapText="1"/>
    </xf>
    <xf numFmtId="0" fontId="57" fillId="7" borderId="30" xfId="0" applyFont="1" applyFill="1" applyBorder="1" applyAlignment="1">
      <alignment wrapText="1"/>
    </xf>
    <xf numFmtId="0" fontId="36" fillId="0" borderId="0" xfId="0" applyFont="1" applyAlignment="1"/>
    <xf numFmtId="0" fontId="68" fillId="0" borderId="84" xfId="0" applyFont="1" applyBorder="1" applyAlignment="1">
      <alignment horizontal="center" vertical="center" wrapText="1"/>
    </xf>
    <xf numFmtId="0" fontId="0" fillId="0" borderId="72" xfId="0" applyBorder="1" applyAlignment="1">
      <alignment wrapText="1"/>
    </xf>
    <xf numFmtId="0" fontId="68" fillId="0" borderId="85" xfId="0" applyFont="1" applyBorder="1" applyAlignment="1">
      <alignment horizontal="center" vertical="center" wrapText="1"/>
    </xf>
    <xf numFmtId="0" fontId="0" fillId="0" borderId="36" xfId="0" applyBorder="1" applyAlignment="1">
      <alignment wrapText="1"/>
    </xf>
    <xf numFmtId="0" fontId="45" fillId="6" borderId="46" xfId="0" applyFont="1" applyFill="1" applyBorder="1" applyAlignment="1">
      <alignment wrapText="1"/>
    </xf>
    <xf numFmtId="0" fontId="0" fillId="0" borderId="23" xfId="0" applyBorder="1" applyAlignment="1">
      <alignment wrapText="1"/>
    </xf>
    <xf numFmtId="0" fontId="0" fillId="0" borderId="6" xfId="0" applyBorder="1" applyAlignment="1">
      <alignment wrapText="1"/>
    </xf>
    <xf numFmtId="0" fontId="50" fillId="7" borderId="46" xfId="0" applyFont="1" applyFill="1" applyBorder="1" applyAlignment="1">
      <alignment vertical="center" wrapText="1"/>
    </xf>
    <xf numFmtId="0" fontId="0" fillId="0" borderId="23" xfId="0" applyBorder="1" applyAlignment="1">
      <alignment vertical="center" wrapText="1"/>
    </xf>
    <xf numFmtId="0" fontId="37" fillId="0" borderId="52" xfId="0" applyFont="1" applyBorder="1" applyAlignment="1">
      <alignment horizontal="center" vertical="center" wrapText="1"/>
    </xf>
    <xf numFmtId="0" fontId="37" fillId="0" borderId="92" xfId="0" applyFont="1" applyBorder="1" applyAlignment="1">
      <alignment horizontal="center" vertical="center" wrapText="1"/>
    </xf>
    <xf numFmtId="0" fontId="55" fillId="0" borderId="13" xfId="0" applyFont="1" applyBorder="1" applyAlignment="1">
      <alignment horizontal="center" vertical="center" wrapText="1"/>
    </xf>
    <xf numFmtId="0" fontId="55" fillId="0" borderId="14" xfId="0" applyFont="1" applyBorder="1" applyAlignment="1">
      <alignment horizontal="center" vertical="center" wrapText="1"/>
    </xf>
    <xf numFmtId="0" fontId="0" fillId="0" borderId="15" xfId="0" applyBorder="1" applyAlignment="1">
      <alignment horizontal="center" vertical="center"/>
    </xf>
    <xf numFmtId="0" fontId="0" fillId="0" borderId="15" xfId="0" applyBorder="1" applyAlignment="1"/>
    <xf numFmtId="0" fontId="37" fillId="0" borderId="13" xfId="0" applyFont="1" applyBorder="1" applyAlignment="1">
      <alignment horizontal="center" vertical="center" wrapText="1"/>
    </xf>
    <xf numFmtId="0" fontId="37" fillId="0" borderId="14" xfId="0" applyFont="1" applyBorder="1" applyAlignment="1">
      <alignment horizontal="center" vertical="center" wrapText="1"/>
    </xf>
    <xf numFmtId="0" fontId="37" fillId="0" borderId="15" xfId="0" applyFont="1" applyBorder="1" applyAlignment="1">
      <alignment horizontal="center" vertical="center" wrapText="1"/>
    </xf>
    <xf numFmtId="0" fontId="50" fillId="6" borderId="13" xfId="0" applyFont="1" applyFill="1" applyBorder="1" applyAlignment="1">
      <alignment horizontal="right" vertical="center" wrapText="1"/>
    </xf>
    <xf numFmtId="0" fontId="0" fillId="6" borderId="14" xfId="0" applyFill="1" applyBorder="1" applyAlignment="1">
      <alignment horizontal="right" vertical="center" wrapText="1"/>
    </xf>
    <xf numFmtId="0" fontId="56" fillId="7" borderId="37" xfId="0" applyFont="1" applyFill="1" applyBorder="1" applyAlignment="1">
      <alignment wrapText="1"/>
    </xf>
    <xf numFmtId="0" fontId="56" fillId="7" borderId="38" xfId="0" applyFont="1" applyFill="1" applyBorder="1" applyAlignment="1">
      <alignment wrapText="1"/>
    </xf>
    <xf numFmtId="0" fontId="56" fillId="7" borderId="30" xfId="0" applyFont="1" applyFill="1" applyBorder="1" applyAlignment="1">
      <alignment wrapText="1"/>
    </xf>
    <xf numFmtId="0" fontId="45" fillId="6" borderId="23" xfId="0" applyFont="1" applyFill="1" applyBorder="1" applyAlignment="1">
      <alignment wrapText="1"/>
    </xf>
    <xf numFmtId="0" fontId="45" fillId="6" borderId="6" xfId="0" applyFont="1" applyFill="1" applyBorder="1" applyAlignment="1">
      <alignment wrapText="1"/>
    </xf>
    <xf numFmtId="0" fontId="57" fillId="7" borderId="32" xfId="0" applyFont="1" applyFill="1" applyBorder="1" applyAlignment="1">
      <alignment wrapText="1"/>
    </xf>
    <xf numFmtId="0" fontId="57" fillId="7" borderId="0" xfId="0" applyFont="1" applyFill="1" applyBorder="1" applyAlignment="1">
      <alignment wrapText="1"/>
    </xf>
    <xf numFmtId="0" fontId="57" fillId="7" borderId="24" xfId="0" applyFont="1" applyFill="1" applyBorder="1" applyAlignment="1">
      <alignment wrapText="1"/>
    </xf>
    <xf numFmtId="0" fontId="36" fillId="0" borderId="48" xfId="0" applyFont="1" applyBorder="1" applyAlignment="1">
      <alignment horizontal="left" vertical="top" wrapText="1"/>
    </xf>
    <xf numFmtId="0" fontId="34" fillId="0" borderId="48" xfId="0" applyFont="1" applyBorder="1" applyAlignment="1">
      <alignment horizontal="left" vertical="top"/>
    </xf>
    <xf numFmtId="0" fontId="37" fillId="0" borderId="90" xfId="0" applyFont="1" applyBorder="1" applyAlignment="1">
      <alignment horizontal="center" vertical="center" wrapText="1"/>
    </xf>
    <xf numFmtId="0" fontId="55" fillId="0" borderId="46" xfId="0" applyFont="1" applyBorder="1" applyAlignment="1">
      <alignment horizontal="center" vertical="center" wrapText="1"/>
    </xf>
    <xf numFmtId="0" fontId="55" fillId="0" borderId="23" xfId="0" applyFont="1" applyBorder="1" applyAlignment="1">
      <alignment horizontal="center" vertical="center" wrapText="1"/>
    </xf>
    <xf numFmtId="0" fontId="55" fillId="0" borderId="6" xfId="0" applyFont="1" applyBorder="1" applyAlignment="1">
      <alignment horizontal="center" vertical="center" wrapText="1"/>
    </xf>
    <xf numFmtId="0" fontId="55" fillId="0" borderId="15" xfId="0" applyFont="1" applyBorder="1" applyAlignment="1">
      <alignment horizontal="center" vertical="center" wrapText="1"/>
    </xf>
    <xf numFmtId="0" fontId="36" fillId="0" borderId="28" xfId="0" applyFont="1" applyBorder="1" applyAlignment="1">
      <alignment horizontal="center" vertical="center" wrapText="1"/>
    </xf>
    <xf numFmtId="0" fontId="36" fillId="0" borderId="132" xfId="0" applyFont="1" applyBorder="1" applyAlignment="1">
      <alignment horizontal="center" vertical="center" wrapText="1"/>
    </xf>
    <xf numFmtId="0" fontId="36" fillId="0" borderId="131" xfId="0" applyFont="1" applyBorder="1" applyAlignment="1">
      <alignment horizontal="center" vertical="center" wrapText="1"/>
    </xf>
    <xf numFmtId="0" fontId="36" fillId="0" borderId="40" xfId="0" applyFont="1" applyBorder="1" applyAlignment="1">
      <alignment horizontal="center" vertical="center" wrapText="1"/>
    </xf>
    <xf numFmtId="0" fontId="0" fillId="0" borderId="14" xfId="0" applyBorder="1" applyAlignment="1"/>
    <xf numFmtId="0" fontId="0" fillId="0" borderId="0" xfId="0" applyAlignment="1">
      <alignment wrapText="1"/>
    </xf>
  </cellXfs>
  <cellStyles count="3">
    <cellStyle name="Hipersaitas" xfId="2" builtinId="8"/>
    <cellStyle name="Įprastas" xfId="0" builtinId="0"/>
    <cellStyle name="Įprastas 2" xfId="1"/>
  </cellStyles>
  <dxfs count="0"/>
  <tableStyles count="0" defaultTableStyle="TableStyleMedium9" defaultPivotStyle="PivotStyleLight16"/>
  <colors>
    <mruColors>
      <color rgb="FFFFFFFF"/>
      <color rgb="FFFFFF99"/>
      <color rgb="FFFFFFCC"/>
      <color rgb="FFFF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s>
</file>

<file path=xl/theme/theme1.xml><?xml version="1.0" encoding="utf-8"?>
<a:theme xmlns:a="http://schemas.openxmlformats.org/drawingml/2006/main" name="„Office“ t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hyperlink" Target="http://www.llri.lt/" TargetMode="Externa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55"/>
  <sheetViews>
    <sheetView showGridLines="0" tabSelected="1" showRuler="0" zoomScaleNormal="100" workbookViewId="0">
      <pane ySplit="4365" topLeftCell="A15"/>
      <selection activeCell="N6" sqref="N6:P6"/>
      <selection pane="bottomLeft" activeCell="O48" sqref="O48:P48"/>
    </sheetView>
  </sheetViews>
  <sheetFormatPr defaultRowHeight="15" x14ac:dyDescent="0.25"/>
  <cols>
    <col min="1" max="1" width="9.140625" style="190"/>
    <col min="2" max="2" width="67.7109375" style="1402" customWidth="1"/>
    <col min="3" max="4" width="9" style="190" bestFit="1" customWidth="1"/>
    <col min="5" max="7" width="11.42578125" style="190" bestFit="1" customWidth="1"/>
    <col min="8" max="8" width="11.28515625" style="190" bestFit="1" customWidth="1"/>
    <col min="9" max="9" width="12.42578125" style="190" customWidth="1"/>
    <col min="10" max="11" width="11.42578125" style="190" bestFit="1" customWidth="1"/>
    <col min="12" max="12" width="11.85546875" style="190" customWidth="1"/>
    <col min="13" max="14" width="10.28515625" style="190" bestFit="1" customWidth="1"/>
    <col min="15" max="16" width="14.5703125" style="190" bestFit="1" customWidth="1"/>
    <col min="17" max="18" width="9.85546875" style="190" hidden="1" customWidth="1"/>
    <col min="19" max="19" width="9.85546875" style="190" bestFit="1" customWidth="1"/>
    <col min="20" max="16384" width="9.140625" style="190"/>
  </cols>
  <sheetData>
    <row r="1" spans="1:19" ht="18.75" x14ac:dyDescent="0.3">
      <c r="E1" s="1563"/>
      <c r="F1" s="1563"/>
      <c r="G1" s="1563"/>
      <c r="H1" s="1563"/>
      <c r="I1" s="1563"/>
      <c r="K1" s="1403"/>
      <c r="N1" s="1404" t="s">
        <v>902</v>
      </c>
    </row>
    <row r="2" spans="1:19" ht="18.75" x14ac:dyDescent="0.3">
      <c r="K2" s="1403"/>
      <c r="N2" s="1572" t="s">
        <v>903</v>
      </c>
      <c r="O2" s="1563"/>
      <c r="P2" s="1563"/>
    </row>
    <row r="3" spans="1:19" x14ac:dyDescent="0.25">
      <c r="N3" s="1572" t="s">
        <v>904</v>
      </c>
      <c r="O3" s="1563"/>
      <c r="P3" s="1563"/>
    </row>
    <row r="4" spans="1:19" x14ac:dyDescent="0.25">
      <c r="N4" s="1572" t="s">
        <v>905</v>
      </c>
      <c r="O4" s="1563"/>
      <c r="P4" s="1563"/>
    </row>
    <row r="5" spans="1:19" ht="3" customHeight="1" x14ac:dyDescent="0.25">
      <c r="N5" s="1404"/>
    </row>
    <row r="6" spans="1:19" ht="32.25" customHeight="1" x14ac:dyDescent="0.25">
      <c r="N6" s="1572" t="s">
        <v>1804</v>
      </c>
      <c r="O6" s="1563"/>
      <c r="P6" s="1563"/>
    </row>
    <row r="7" spans="1:19" ht="18.75" x14ac:dyDescent="0.3">
      <c r="A7" s="1405" t="s">
        <v>907</v>
      </c>
      <c r="B7" s="1406" t="s">
        <v>906</v>
      </c>
      <c r="N7" s="1572"/>
      <c r="O7" s="1563"/>
      <c r="P7" s="1563"/>
    </row>
    <row r="8" spans="1:19" ht="15.75" x14ac:dyDescent="0.25">
      <c r="N8" s="1404"/>
    </row>
    <row r="9" spans="1:19" ht="16.5" thickBot="1" x14ac:dyDescent="0.3">
      <c r="A9" s="843" t="s">
        <v>1668</v>
      </c>
      <c r="B9" s="843" t="s">
        <v>1669</v>
      </c>
      <c r="N9" s="1404"/>
    </row>
    <row r="10" spans="1:19" ht="33" customHeight="1" thickTop="1" thickBot="1" x14ac:dyDescent="0.3">
      <c r="A10" s="1566" t="s">
        <v>7</v>
      </c>
      <c r="B10" s="1564" t="s">
        <v>8</v>
      </c>
      <c r="C10" s="1580" t="s">
        <v>0</v>
      </c>
      <c r="D10" s="1569"/>
      <c r="E10" s="1568" t="s">
        <v>1</v>
      </c>
      <c r="F10" s="1569"/>
      <c r="G10" s="1568" t="s">
        <v>2</v>
      </c>
      <c r="H10" s="1569"/>
      <c r="I10" s="1568" t="s">
        <v>3</v>
      </c>
      <c r="J10" s="1569"/>
      <c r="K10" s="1568" t="s">
        <v>4</v>
      </c>
      <c r="L10" s="1569"/>
      <c r="M10" s="1568" t="s">
        <v>5</v>
      </c>
      <c r="N10" s="1569"/>
      <c r="O10" s="1570" t="s">
        <v>6</v>
      </c>
      <c r="P10" s="1571"/>
    </row>
    <row r="11" spans="1:19" ht="16.5" thickBot="1" x14ac:dyDescent="0.3">
      <c r="A11" s="1567"/>
      <c r="B11" s="1565"/>
      <c r="C11" s="1407" t="s">
        <v>9</v>
      </c>
      <c r="D11" s="1407" t="s">
        <v>10</v>
      </c>
      <c r="E11" s="1407" t="s">
        <v>9</v>
      </c>
      <c r="F11" s="1407" t="s">
        <v>10</v>
      </c>
      <c r="G11" s="1407" t="s">
        <v>9</v>
      </c>
      <c r="H11" s="1407" t="s">
        <v>10</v>
      </c>
      <c r="I11" s="1407" t="s">
        <v>9</v>
      </c>
      <c r="J11" s="1407" t="s">
        <v>10</v>
      </c>
      <c r="K11" s="1407" t="s">
        <v>9</v>
      </c>
      <c r="L11" s="1407" t="s">
        <v>10</v>
      </c>
      <c r="M11" s="1407" t="s">
        <v>9</v>
      </c>
      <c r="N11" s="1407" t="s">
        <v>10</v>
      </c>
      <c r="O11" s="1407" t="s">
        <v>9</v>
      </c>
      <c r="P11" s="1408" t="s">
        <v>10</v>
      </c>
    </row>
    <row r="12" spans="1:19" ht="79.5" thickBot="1" x14ac:dyDescent="0.3">
      <c r="A12" s="1409" t="s">
        <v>11</v>
      </c>
      <c r="B12" s="1410" t="s">
        <v>1431</v>
      </c>
      <c r="C12" s="1411">
        <f>SUM('IV-1 su proj'!C6)</f>
        <v>0</v>
      </c>
      <c r="D12" s="1411">
        <f>SUM('IV-1 su proj'!D6)</f>
        <v>0</v>
      </c>
      <c r="E12" s="1411">
        <f>SUM('IV-1 su proj'!E6)</f>
        <v>835238.47455074196</v>
      </c>
      <c r="F12" s="1411">
        <f>SUM('IV-1 su proj'!J6)</f>
        <v>368715.55</v>
      </c>
      <c r="G12" s="1411">
        <f>SUM('IV-1 su proj'!K6)</f>
        <v>5639058.8499999996</v>
      </c>
      <c r="H12" s="1411">
        <f>SUM('IV-1 su proj'!P6)</f>
        <v>4681721.07</v>
      </c>
      <c r="I12" s="1411">
        <f>SUM('IV-1 su proj'!Q6)</f>
        <v>17656575.403174091</v>
      </c>
      <c r="J12" s="1411">
        <f>SUM('IV-1 su proj'!V6)</f>
        <v>11500168.653302239</v>
      </c>
      <c r="K12" s="1411">
        <f>SUM('IV-1 su proj'!W6)</f>
        <v>14814417.973582553</v>
      </c>
      <c r="L12" s="1411">
        <f>SUM('IV-1 su proj'!AB6)</f>
        <v>10281297.56349037</v>
      </c>
      <c r="M12" s="1411">
        <f>SUM('IV-1 su proj'!AC6)</f>
        <v>7996565.9239867311</v>
      </c>
      <c r="N12" s="1411">
        <f>SUM('IV-1 su proj'!AH6)</f>
        <v>5359556.8232073914</v>
      </c>
      <c r="O12" s="1411">
        <f>SUM('IV-1 su proj'!AI6)</f>
        <v>46941856.625294112</v>
      </c>
      <c r="P12" s="1411">
        <f>SUM('IV-1 su proj'!AS6)</f>
        <v>32191459.659999996</v>
      </c>
      <c r="R12" s="1391"/>
      <c r="S12" s="1391"/>
    </row>
    <row r="13" spans="1:19" ht="58.5" thickBot="1" x14ac:dyDescent="0.3">
      <c r="A13" s="1412" t="s">
        <v>12</v>
      </c>
      <c r="B13" s="1413" t="s">
        <v>1432</v>
      </c>
      <c r="C13" s="1414">
        <f>SUM('IV-1 su proj'!C7)</f>
        <v>0</v>
      </c>
      <c r="D13" s="1414">
        <f>SUM('IV-1 su proj'!D7)</f>
        <v>0</v>
      </c>
      <c r="E13" s="1414">
        <f>SUM('IV-1 su proj'!E7)</f>
        <v>835238.47455074196</v>
      </c>
      <c r="F13" s="1414">
        <f>SUM('IV-1 su proj'!J7)</f>
        <v>368715.55</v>
      </c>
      <c r="G13" s="1414">
        <f>SUM('IV-1 su proj'!K7)</f>
        <v>4679389.67</v>
      </c>
      <c r="H13" s="1414">
        <f>SUM('IV-1 su proj'!P7)</f>
        <v>3866002.47</v>
      </c>
      <c r="I13" s="1414">
        <f>SUM('IV-1 su proj'!Q7)</f>
        <v>14779021.225876257</v>
      </c>
      <c r="J13" s="1414">
        <f>SUM('IV-1 su proj'!V7)</f>
        <v>9559781.9932665788</v>
      </c>
      <c r="K13" s="1414">
        <f>SUM('IV-1 su proj'!W7)</f>
        <v>11295954.608989203</v>
      </c>
      <c r="L13" s="1414">
        <f>SUM('IV-1 su proj'!AB7)</f>
        <v>7805487.1797990771</v>
      </c>
      <c r="M13" s="1414">
        <f>SUM('IV-1 su proj'!AC7)</f>
        <v>6689911.1976426216</v>
      </c>
      <c r="N13" s="1414">
        <f>SUM('IV-1 su proj'!AH7)</f>
        <v>4248967.6069343444</v>
      </c>
      <c r="O13" s="1414">
        <f>SUM('IV-1 su proj'!AI7)</f>
        <v>38279515.177058816</v>
      </c>
      <c r="P13" s="1414">
        <f>SUM('IV-1 su proj'!AS7)</f>
        <v>25848954.799999997</v>
      </c>
      <c r="Q13" s="1522">
        <f t="shared" ref="Q13:Q24" si="0">SUM(C13+E13+G13+I13+K13+M13)</f>
        <v>38279515.177058823</v>
      </c>
      <c r="R13" s="1522">
        <f t="shared" ref="R13:R24" si="1">SUM(D13+F13+H13+J13+L13+N13)</f>
        <v>25848954.799999997</v>
      </c>
    </row>
    <row r="14" spans="1:19" ht="27" thickBot="1" x14ac:dyDescent="0.3">
      <c r="A14" s="1415" t="s">
        <v>13</v>
      </c>
      <c r="B14" s="1416" t="s">
        <v>1433</v>
      </c>
      <c r="C14" s="832">
        <f>SUM('IV-1 su proj'!C8)</f>
        <v>0</v>
      </c>
      <c r="D14" s="832">
        <f>SUM('IV-1 su proj'!D8)</f>
        <v>0</v>
      </c>
      <c r="E14" s="832">
        <f>SUM('IV-1 su proj'!E8)</f>
        <v>0</v>
      </c>
      <c r="F14" s="832">
        <f>SUM('IV-1 su proj'!J8)</f>
        <v>0</v>
      </c>
      <c r="G14" s="832">
        <f>SUM('IV-1 su proj'!K8)</f>
        <v>0</v>
      </c>
      <c r="H14" s="832">
        <f>SUM('IV-1 su proj'!P8)</f>
        <v>0</v>
      </c>
      <c r="I14" s="832">
        <f>SUM('IV-1 su proj'!Q8)</f>
        <v>3630830.8983516484</v>
      </c>
      <c r="J14" s="832">
        <f>SUM('IV-1 su proj'!V8)</f>
        <v>2412248.3708791211</v>
      </c>
      <c r="K14" s="832">
        <f>SUM('IV-1 su proj'!W8)</f>
        <v>416867.10164835159</v>
      </c>
      <c r="L14" s="832">
        <f>SUM('IV-1 su proj'!AB8)</f>
        <v>283469.62912087911</v>
      </c>
      <c r="M14" s="832">
        <f>SUM('IV-1 su proj'!AC8)</f>
        <v>0</v>
      </c>
      <c r="N14" s="832">
        <f>SUM('IV-1 su proj'!AH8)</f>
        <v>0</v>
      </c>
      <c r="O14" s="832">
        <f>SUM('IV-1 su proj'!AI8)</f>
        <v>4047698</v>
      </c>
      <c r="P14" s="1528">
        <f>SUM('IV-1 su proj'!AS8)</f>
        <v>2695718</v>
      </c>
      <c r="Q14" s="1522">
        <f t="shared" si="0"/>
        <v>4047698</v>
      </c>
      <c r="R14" s="1522">
        <f t="shared" si="1"/>
        <v>2695718</v>
      </c>
    </row>
    <row r="15" spans="1:19" ht="27" thickBot="1" x14ac:dyDescent="0.3">
      <c r="A15" s="1415" t="s">
        <v>14</v>
      </c>
      <c r="B15" s="1416" t="s">
        <v>1434</v>
      </c>
      <c r="C15" s="832" t="str">
        <f>CONCATENATE('IV-1 su proj'!C32)</f>
        <v>0</v>
      </c>
      <c r="D15" s="832" t="str">
        <f>CONCATENATE('IV-1 su proj'!D32)</f>
        <v>0</v>
      </c>
      <c r="E15" s="832">
        <f>SUM('IV-1 su proj'!E32)</f>
        <v>0</v>
      </c>
      <c r="F15" s="832">
        <f>SUM('IV-1 su proj'!J32)</f>
        <v>0</v>
      </c>
      <c r="G15" s="832">
        <f>SUM('IV-1 su proj'!K32)</f>
        <v>0</v>
      </c>
      <c r="H15" s="832">
        <f>SUM('IV-1 su proj'!P32)</f>
        <v>0</v>
      </c>
      <c r="I15" s="832">
        <f>SUM('IV-1 su proj'!Q32)</f>
        <v>657887.79646711727</v>
      </c>
      <c r="J15" s="832">
        <f>SUM('IV-1 su proj'!V32)</f>
        <v>546751.59655886737</v>
      </c>
      <c r="K15" s="832">
        <f>SUM('IV-1 su proj'!W32)</f>
        <v>1519120.627530206</v>
      </c>
      <c r="L15" s="832">
        <f>SUM('IV-1 su proj'!AB32)</f>
        <v>1266549.6195934576</v>
      </c>
      <c r="M15" s="832">
        <f>SUM('IV-1 su proj'!AC32)</f>
        <v>1209320.5760026765</v>
      </c>
      <c r="N15" s="832">
        <f>SUM('IV-1 su proj'!AH32)</f>
        <v>1003151.7838476752</v>
      </c>
      <c r="O15" s="832">
        <f>SUM('IV-1 su proj'!AI32)</f>
        <v>3386329</v>
      </c>
      <c r="P15" s="832">
        <f>SUM('IV-1 su proj'!AS32)</f>
        <v>2816453</v>
      </c>
      <c r="Q15" s="1522">
        <f t="shared" si="0"/>
        <v>3386328.9999999995</v>
      </c>
      <c r="R15" s="1522">
        <f t="shared" si="1"/>
        <v>2816453</v>
      </c>
    </row>
    <row r="16" spans="1:19" ht="27" thickBot="1" x14ac:dyDescent="0.3">
      <c r="A16" s="1415" t="s">
        <v>15</v>
      </c>
      <c r="B16" s="1416" t="s">
        <v>1435</v>
      </c>
      <c r="C16" s="832">
        <f>SUM('IV-1 su proj'!C38)</f>
        <v>0</v>
      </c>
      <c r="D16" s="832">
        <f>SUM('IV-1 su proj'!D38)</f>
        <v>0</v>
      </c>
      <c r="E16" s="832">
        <f>SUM('IV-1 su proj'!E38)</f>
        <v>0</v>
      </c>
      <c r="F16" s="832">
        <f>SUM('IV-1 su proj'!J38)</f>
        <v>0</v>
      </c>
      <c r="G16" s="832">
        <f>SUM('IV-1 su proj'!K38)</f>
        <v>1186280.8599999999</v>
      </c>
      <c r="H16" s="832">
        <f>SUM('IV-1 su proj'!P38)</f>
        <v>1029679.4099999999</v>
      </c>
      <c r="I16" s="832">
        <f>SUM('IV-1 su proj'!Q38)</f>
        <v>1445599.0359360029</v>
      </c>
      <c r="J16" s="832">
        <f>SUM('IV-1 su proj'!V38)</f>
        <v>1144083.7079145426</v>
      </c>
      <c r="K16" s="832">
        <f>SUM('IV-1 su proj'!W38)</f>
        <v>1288310.8622480971</v>
      </c>
      <c r="L16" s="832">
        <f>SUM('IV-1 su proj'!AB38)</f>
        <v>1028283.4679359671</v>
      </c>
      <c r="M16" s="832">
        <f>SUM('IV-1 su proj'!AC38)</f>
        <v>481822.37181590009</v>
      </c>
      <c r="N16" s="832">
        <f>SUM('IV-1 su proj'!AH38)</f>
        <v>409548.95414949028</v>
      </c>
      <c r="O16" s="832">
        <f>SUM('IV-1 su proj'!AI38)</f>
        <v>4402013.13</v>
      </c>
      <c r="P16" s="832">
        <f>SUM('IV-1 su proj'!AS38)</f>
        <v>3611595.5399999996</v>
      </c>
      <c r="Q16" s="1391">
        <f t="shared" si="0"/>
        <v>4402013.13</v>
      </c>
      <c r="R16" s="1391">
        <f t="shared" si="1"/>
        <v>3611595.54</v>
      </c>
    </row>
    <row r="17" spans="1:18" ht="27" thickBot="1" x14ac:dyDescent="0.3">
      <c r="A17" s="1415" t="s">
        <v>16</v>
      </c>
      <c r="B17" s="1416" t="s">
        <v>1436</v>
      </c>
      <c r="C17" s="832">
        <f>SUM('IV-1 su proj'!C45)</f>
        <v>0</v>
      </c>
      <c r="D17" s="832">
        <f>SUM('IV-1 su proj'!D45)</f>
        <v>0</v>
      </c>
      <c r="E17" s="832">
        <f>SUM('IV-1 su proj'!E45)</f>
        <v>0</v>
      </c>
      <c r="F17" s="832">
        <f>SUM('IV-1 su proj'!J45)</f>
        <v>0</v>
      </c>
      <c r="G17" s="832">
        <f>SUM('IV-1 su proj'!K45)</f>
        <v>1263963.08</v>
      </c>
      <c r="H17" s="832">
        <f>SUM('IV-1 su proj'!P45)</f>
        <v>1098406.45</v>
      </c>
      <c r="I17" s="832">
        <f>SUM('IV-1 su proj'!Q45)</f>
        <v>848060.47999999975</v>
      </c>
      <c r="J17" s="832">
        <f>SUM('IV-1 su proj'!V45)</f>
        <v>576751.12000000011</v>
      </c>
      <c r="K17" s="832">
        <f>SUM('IV-1 su proj'!W45)</f>
        <v>0</v>
      </c>
      <c r="L17" s="832">
        <f>SUM('IV-1 su proj'!AB45)</f>
        <v>0</v>
      </c>
      <c r="M17" s="832">
        <f>SUM('IV-1 su proj'!AC45)</f>
        <v>0</v>
      </c>
      <c r="N17" s="832">
        <f>SUM('IV-1 su proj'!AH45)</f>
        <v>0</v>
      </c>
      <c r="O17" s="832">
        <f>SUM('IV-1 su proj'!AI45)</f>
        <v>2112023.5599999996</v>
      </c>
      <c r="P17" s="832">
        <f>SUM('IV-1 su proj'!AS45)</f>
        <v>1675157.5699999998</v>
      </c>
      <c r="Q17" s="1391">
        <f t="shared" si="0"/>
        <v>2112023.5599999996</v>
      </c>
      <c r="R17" s="1391">
        <f t="shared" si="1"/>
        <v>1675157.57</v>
      </c>
    </row>
    <row r="18" spans="1:18" ht="39.75" thickBot="1" x14ac:dyDescent="0.3">
      <c r="A18" s="1415" t="s">
        <v>17</v>
      </c>
      <c r="B18" s="1416" t="s">
        <v>1437</v>
      </c>
      <c r="C18" s="832">
        <f>SUM('IV-1 su proj'!C49)</f>
        <v>0</v>
      </c>
      <c r="D18" s="832">
        <f>SUM('IV-1 su proj'!D49)</f>
        <v>0</v>
      </c>
      <c r="E18" s="832">
        <f>SUM('IV-1 su proj'!E49)</f>
        <v>835238.47455074196</v>
      </c>
      <c r="F18" s="832">
        <f>SUM('IV-1 su proj'!J49)</f>
        <v>368715.55</v>
      </c>
      <c r="G18" s="832">
        <f>SUM('IV-1 su proj'!K49)</f>
        <v>1262440.74</v>
      </c>
      <c r="H18" s="832">
        <f>SUM('IV-1 su proj'!P49)</f>
        <v>893611.76</v>
      </c>
      <c r="I18" s="832">
        <f>SUM('IV-1 su proj'!Q49)</f>
        <v>5114057.1113960929</v>
      </c>
      <c r="J18" s="832">
        <f>SUM('IV-1 su proj'!V49)</f>
        <v>2679589.0094579561</v>
      </c>
      <c r="K18" s="832">
        <f>SUM('IV-1 su proj'!W49)</f>
        <v>4821314.7930078153</v>
      </c>
      <c r="L18" s="832">
        <f>SUM('IV-1 su proj'!AB49)</f>
        <v>2505479.1846960513</v>
      </c>
      <c r="M18" s="832">
        <f>SUM('IV-1 su proj'!AC49)</f>
        <v>4393975.1210453501</v>
      </c>
      <c r="N18" s="832">
        <f>SUM('IV-1 su proj'!AH49)</f>
        <v>2363278.0058459924</v>
      </c>
      <c r="O18" s="832">
        <f>SUM('IV-1 su proj'!AI49)</f>
        <v>16427026.24</v>
      </c>
      <c r="P18" s="832">
        <f>SUM('IV-1 su proj'!AS49)</f>
        <v>8810673.5099999998</v>
      </c>
      <c r="Q18" s="1391">
        <f t="shared" si="0"/>
        <v>16427026.240000002</v>
      </c>
      <c r="R18" s="1391">
        <f t="shared" si="1"/>
        <v>8810673.5099999998</v>
      </c>
    </row>
    <row r="19" spans="1:18" ht="27" thickBot="1" x14ac:dyDescent="0.3">
      <c r="A19" s="1415" t="s">
        <v>18</v>
      </c>
      <c r="B19" s="1416" t="s">
        <v>1438</v>
      </c>
      <c r="C19" s="832">
        <f>SUM('IV-1 su proj'!C55)</f>
        <v>0</v>
      </c>
      <c r="D19" s="832">
        <f>SUM('IV-1 su proj'!D55)</f>
        <v>0</v>
      </c>
      <c r="E19" s="832">
        <f>SUM('IV-1 su proj'!E55)</f>
        <v>0</v>
      </c>
      <c r="F19" s="832">
        <f>SUM('IV-1 su proj'!J55)</f>
        <v>0</v>
      </c>
      <c r="G19" s="832">
        <f>SUM('IV-1 su proj'!K55)</f>
        <v>682624.23</v>
      </c>
      <c r="H19" s="832">
        <f>SUM('IV-1 su proj'!P55)</f>
        <v>580230.6</v>
      </c>
      <c r="I19" s="832">
        <f>SUM('IV-1 su proj'!Q55)</f>
        <v>1104584.5336678831</v>
      </c>
      <c r="J19" s="832">
        <f>SUM('IV-1 su proj'!V55)</f>
        <v>938896.85328467144</v>
      </c>
      <c r="K19" s="832">
        <f>SUM('IV-1 su proj'!W55)</f>
        <v>2212195.326332117</v>
      </c>
      <c r="L19" s="832">
        <f>SUM('IV-1 su proj'!AB55)</f>
        <v>1880366.0267153285</v>
      </c>
      <c r="M19" s="832">
        <f>SUM('IV-1 su proj'!AC55)</f>
        <v>0</v>
      </c>
      <c r="N19" s="832">
        <f>SUM('IV-1 su proj'!AH55)</f>
        <v>0</v>
      </c>
      <c r="O19" s="832">
        <f>SUM('IV-1 su proj'!AI55)</f>
        <v>3999404.09</v>
      </c>
      <c r="P19" s="832">
        <f>SUM('IV-1 su proj'!AS55)</f>
        <v>3399493.48</v>
      </c>
      <c r="Q19" s="1391">
        <f t="shared" si="0"/>
        <v>3999404.09</v>
      </c>
      <c r="R19" s="1391">
        <f t="shared" si="1"/>
        <v>3399493.48</v>
      </c>
    </row>
    <row r="20" spans="1:18" ht="39.75" thickBot="1" x14ac:dyDescent="0.3">
      <c r="A20" s="1415" t="s">
        <v>19</v>
      </c>
      <c r="B20" s="1416" t="s">
        <v>1439</v>
      </c>
      <c r="C20" s="832">
        <f>SUM('IV-1 su proj'!C57)</f>
        <v>0</v>
      </c>
      <c r="D20" s="832">
        <f>SUM('IV-1 su proj'!D57)</f>
        <v>0</v>
      </c>
      <c r="E20" s="832">
        <f>SUM('IV-1 su proj'!E57)</f>
        <v>0</v>
      </c>
      <c r="F20" s="832">
        <f>SUM('IV-1 su proj'!J57)</f>
        <v>0</v>
      </c>
      <c r="G20" s="832">
        <f>SUM('IV-1 su proj'!K57)</f>
        <v>0</v>
      </c>
      <c r="H20" s="832">
        <f>SUM('IV-1 su proj'!P57)</f>
        <v>0</v>
      </c>
      <c r="I20" s="832">
        <f>SUM('IV-1 su proj'!Q57)</f>
        <v>320933.7174044876</v>
      </c>
      <c r="J20" s="832">
        <f>SUM('IV-1 su proj'!V57)</f>
        <v>272793.65979381441</v>
      </c>
      <c r="K20" s="832">
        <f>SUM('IV-1 su proj'!W57)</f>
        <v>267614.55776998901</v>
      </c>
      <c r="L20" s="832">
        <f>SUM('IV-1 su proj'!AB57)</f>
        <v>227472.37410449065</v>
      </c>
      <c r="M20" s="832">
        <f>SUM('IV-1 su proj'!AC57)</f>
        <v>130769.37188434695</v>
      </c>
      <c r="N20" s="832">
        <f>SUM('IV-1 su proj'!AH57)</f>
        <v>111153.96610169491</v>
      </c>
      <c r="O20" s="832">
        <f>SUM('IV-1 su proj'!AI57)</f>
        <v>719317.64705882361</v>
      </c>
      <c r="P20" s="832">
        <f>SUM('IV-1 su proj'!AS57)</f>
        <v>611420</v>
      </c>
      <c r="Q20" s="1391">
        <f t="shared" si="0"/>
        <v>719317.64705882361</v>
      </c>
      <c r="R20" s="1391">
        <f t="shared" si="1"/>
        <v>611420</v>
      </c>
    </row>
    <row r="21" spans="1:18" ht="27" thickBot="1" x14ac:dyDescent="0.3">
      <c r="A21" s="1415" t="s">
        <v>20</v>
      </c>
      <c r="B21" s="1416" t="s">
        <v>1440</v>
      </c>
      <c r="C21" s="832">
        <f>SUM('IV-1 su proj'!C61)</f>
        <v>0</v>
      </c>
      <c r="D21" s="832">
        <f>SUM('IV-1 su proj'!D61)</f>
        <v>0</v>
      </c>
      <c r="E21" s="832">
        <f>SUM('IV-1 su proj'!E61)</f>
        <v>0</v>
      </c>
      <c r="F21" s="832">
        <f>SUM('IV-1 su proj'!J61)</f>
        <v>0</v>
      </c>
      <c r="G21" s="832">
        <f>SUM('IV-1 su proj'!K61)</f>
        <v>284080.76</v>
      </c>
      <c r="H21" s="832">
        <f>SUM('IV-1 su proj'!P61)</f>
        <v>264074.25</v>
      </c>
      <c r="I21" s="832">
        <f>SUM('IV-1 su proj'!Q61)</f>
        <v>1336983.7504970178</v>
      </c>
      <c r="J21" s="832">
        <f>SUM('IV-1 su proj'!V61)</f>
        <v>716728.68459244526</v>
      </c>
      <c r="K21" s="832">
        <f>SUM('IV-1 su proj'!W61)</f>
        <v>175885.49975149106</v>
      </c>
      <c r="L21" s="832">
        <f>SUM('IV-1 su proj'!AB61)</f>
        <v>108680.38270377733</v>
      </c>
      <c r="M21" s="832">
        <f>SUM('IV-1 su proj'!AC61)</f>
        <v>175885.49975149106</v>
      </c>
      <c r="N21" s="832">
        <f>SUM('IV-1 su proj'!AH61)</f>
        <v>108680.38270377733</v>
      </c>
      <c r="O21" s="832">
        <f>SUM('IV-1 su proj'!AI61)</f>
        <v>1972835.5100000002</v>
      </c>
      <c r="P21" s="832">
        <f>SUM('IV-1 su proj'!AS61)</f>
        <v>1198163.7</v>
      </c>
      <c r="Q21" s="1391">
        <f t="shared" si="0"/>
        <v>1972835.5099999998</v>
      </c>
      <c r="R21" s="1391">
        <f t="shared" si="1"/>
        <v>1198163.7</v>
      </c>
    </row>
    <row r="22" spans="1:18" ht="27" thickBot="1" x14ac:dyDescent="0.3">
      <c r="A22" s="1415" t="s">
        <v>21</v>
      </c>
      <c r="B22" s="1416" t="s">
        <v>1441</v>
      </c>
      <c r="C22" s="832">
        <f>SUM('IV-1 su proj'!C66)</f>
        <v>0</v>
      </c>
      <c r="D22" s="832">
        <f>SUM('IV-1 su proj'!D66)</f>
        <v>0</v>
      </c>
      <c r="E22" s="832">
        <f>SUM('IV-1 su proj'!E66)</f>
        <v>0</v>
      </c>
      <c r="F22" s="832">
        <f>SUM('IV-1 su proj'!J66)</f>
        <v>0</v>
      </c>
      <c r="G22" s="832">
        <f>SUM('IV-1 su proj'!K66)</f>
        <v>0</v>
      </c>
      <c r="H22" s="832">
        <f>SUM('IV-1 su proj'!P66)</f>
        <v>0</v>
      </c>
      <c r="I22" s="832">
        <f>SUM('IV-1 su proj'!Q66)</f>
        <v>320083.90215600759</v>
      </c>
      <c r="J22" s="832">
        <f>SUM('IV-1 su proj'!V66)</f>
        <v>271938.99078516086</v>
      </c>
      <c r="K22" s="832">
        <f>SUM('IV-1 su proj'!W66)</f>
        <v>594645.84070113534</v>
      </c>
      <c r="L22" s="832">
        <f>SUM('IV-1 su proj'!AB66)</f>
        <v>505186.49492912483</v>
      </c>
      <c r="M22" s="832">
        <f>SUM('IV-1 su proj'!AC66)</f>
        <v>298138.25714285712</v>
      </c>
      <c r="N22" s="832">
        <f>SUM('IV-1 su proj'!AH66)</f>
        <v>253154.51428571428</v>
      </c>
      <c r="O22" s="832">
        <f>SUM('IV-1 su proj'!AI66)</f>
        <v>1212868</v>
      </c>
      <c r="P22" s="832">
        <f>SUM('IV-1 su proj'!AS66)</f>
        <v>1030280</v>
      </c>
      <c r="Q22" s="1522">
        <f t="shared" si="0"/>
        <v>1212868</v>
      </c>
      <c r="R22" s="1391">
        <f t="shared" si="1"/>
        <v>1030279.9999999999</v>
      </c>
    </row>
    <row r="23" spans="1:18" ht="44.25" thickBot="1" x14ac:dyDescent="0.3">
      <c r="A23" s="1412" t="s">
        <v>22</v>
      </c>
      <c r="B23" s="1413" t="s">
        <v>1442</v>
      </c>
      <c r="C23" s="1414">
        <f>SUM('IV-1 su proj'!C72)</f>
        <v>0</v>
      </c>
      <c r="D23" s="1414">
        <f>SUM('IV-1 su proj'!D72)</f>
        <v>0</v>
      </c>
      <c r="E23" s="1414">
        <f>SUM('IV-1 su proj'!E72)</f>
        <v>0</v>
      </c>
      <c r="F23" s="1414">
        <f>SUM('IV-1 su proj'!J72)</f>
        <v>0</v>
      </c>
      <c r="G23" s="1414">
        <f>SUM('IV-1 su proj'!K72)</f>
        <v>959669.18</v>
      </c>
      <c r="H23" s="1414">
        <f>SUM('IV-1 su proj'!P72)</f>
        <v>815718.60000000009</v>
      </c>
      <c r="I23" s="1414">
        <f>SUM('IV-1 su proj'!Q72)</f>
        <v>2877554.1772978352</v>
      </c>
      <c r="J23" s="1414">
        <f>SUM('IV-1 su proj'!V72)</f>
        <v>1940386.6600356603</v>
      </c>
      <c r="K23" s="1414">
        <f>SUM('IV-1 su proj'!W72)</f>
        <v>3518463.3645933494</v>
      </c>
      <c r="L23" s="1414">
        <f>SUM('IV-1 su proj'!AB72)</f>
        <v>2475810.3836912927</v>
      </c>
      <c r="M23" s="1414">
        <f>SUM('IV-1 su proj'!AC72)</f>
        <v>1306654.726344109</v>
      </c>
      <c r="N23" s="1414">
        <f>SUM('IV-1 su proj'!AH72)</f>
        <v>1110589.2162730466</v>
      </c>
      <c r="O23" s="1414">
        <f>SUM('IV-1 su proj'!AI72)</f>
        <v>8662341.4482352957</v>
      </c>
      <c r="P23" s="1414">
        <f>SUM('IV-1 su proj'!AS72)</f>
        <v>6342504.8599999994</v>
      </c>
      <c r="Q23" s="1522">
        <f t="shared" si="0"/>
        <v>8662341.4482352939</v>
      </c>
      <c r="R23" s="1522">
        <f t="shared" si="1"/>
        <v>6342504.8599999994</v>
      </c>
    </row>
    <row r="24" spans="1:18" ht="27" thickBot="1" x14ac:dyDescent="0.3">
      <c r="A24" s="1415" t="s">
        <v>23</v>
      </c>
      <c r="B24" s="1416" t="s">
        <v>1443</v>
      </c>
      <c r="C24" s="832">
        <f>SUM('IV-1 su proj'!C73)</f>
        <v>0</v>
      </c>
      <c r="D24" s="832">
        <f>SUM('IV-1 su proj'!D73)</f>
        <v>0</v>
      </c>
      <c r="E24" s="832">
        <f>SUM('IV-1 su proj'!E73)</f>
        <v>0</v>
      </c>
      <c r="F24" s="832">
        <f>SUM('IV-1 su proj'!J73)</f>
        <v>0</v>
      </c>
      <c r="G24" s="832">
        <f>SUM('IV-1 su proj'!K73)</f>
        <v>0</v>
      </c>
      <c r="H24" s="832">
        <f>SUM('IV-1 su proj'!P73)</f>
        <v>0</v>
      </c>
      <c r="I24" s="832">
        <f>SUM('IV-1 su proj'!Q73)</f>
        <v>79069.408155630386</v>
      </c>
      <c r="J24" s="832">
        <f>SUM('IV-1 su proj'!V73)</f>
        <v>43236.777902481605</v>
      </c>
      <c r="K24" s="832">
        <f>SUM('IV-1 su proj'!W73)</f>
        <v>1457226.7942432049</v>
      </c>
      <c r="L24" s="832">
        <f>SUM('IV-1 su proj'!AB73)</f>
        <v>965958.96644237055</v>
      </c>
      <c r="M24" s="832">
        <f>SUM('IV-1 su proj'!AC73)</f>
        <v>298913.38583645871</v>
      </c>
      <c r="N24" s="832">
        <f>SUM('IV-1 su proj'!AH73)</f>
        <v>254076.2556551478</v>
      </c>
      <c r="O24" s="832">
        <f>SUM('IV-1 su proj'!AI73)</f>
        <v>1835209.588235294</v>
      </c>
      <c r="P24" s="832">
        <f>SUM('IV-1 su proj'!AS73)</f>
        <v>1263272</v>
      </c>
      <c r="Q24" s="1522">
        <f t="shared" si="0"/>
        <v>1835209.588235294</v>
      </c>
      <c r="R24" s="1522">
        <f t="shared" si="1"/>
        <v>1263272</v>
      </c>
    </row>
    <row r="25" spans="1:18" ht="27" thickBot="1" x14ac:dyDescent="0.3">
      <c r="A25" s="1415" t="s">
        <v>24</v>
      </c>
      <c r="B25" s="1416" t="s">
        <v>1444</v>
      </c>
      <c r="C25" s="832">
        <f>SUM('IV-1 su proj'!C78)</f>
        <v>0</v>
      </c>
      <c r="D25" s="832">
        <f>SUM('IV-1 su proj'!D78)</f>
        <v>0</v>
      </c>
      <c r="E25" s="832">
        <f>SUM('IV-1 su proj'!E78)</f>
        <v>0</v>
      </c>
      <c r="F25" s="832">
        <f>SUM('IV-1 su proj'!J78)</f>
        <v>0</v>
      </c>
      <c r="G25" s="832">
        <f>SUM('IV-1 su proj'!K78)</f>
        <v>37182.800000000003</v>
      </c>
      <c r="H25" s="832">
        <f>SUM('IV-1 su proj'!P78)</f>
        <v>31605.38</v>
      </c>
      <c r="I25" s="832">
        <f>SUM('IV-1 su proj'!Q78)</f>
        <v>13455.199999999997</v>
      </c>
      <c r="J25" s="832">
        <f>SUM('IV-1 su proj'!V78)</f>
        <v>11436.919999999998</v>
      </c>
      <c r="K25" s="832">
        <f>SUM('IV-1 su proj'!W78)</f>
        <v>866381.48519686412</v>
      </c>
      <c r="L25" s="832">
        <f>SUM('IV-1 su proj'!AB78)</f>
        <v>736424.2596283392</v>
      </c>
      <c r="M25" s="832">
        <f>SUM('IV-1 su proj'!AC78)</f>
        <v>977924.4048031359</v>
      </c>
      <c r="N25" s="832">
        <f>SUM('IV-1 su proj'!AH78)</f>
        <v>831235.74037166091</v>
      </c>
      <c r="O25" s="832">
        <f>SUM('IV-1 su proj'!AI78)</f>
        <v>1894943.89</v>
      </c>
      <c r="P25" s="832">
        <f>SUM('IV-1 su proj'!AS78)</f>
        <v>1610702.3</v>
      </c>
      <c r="Q25" s="1391">
        <f>SUM(G25+I25+K25+M25)</f>
        <v>1894943.8900000001</v>
      </c>
      <c r="R25" s="1391">
        <f>SUM(H25+J25+L25+N25)</f>
        <v>1610702.3000000003</v>
      </c>
    </row>
    <row r="26" spans="1:18" ht="27" thickBot="1" x14ac:dyDescent="0.3">
      <c r="A26" s="1415" t="s">
        <v>25</v>
      </c>
      <c r="B26" s="1416" t="s">
        <v>1445</v>
      </c>
      <c r="C26" s="832">
        <f>SUM('IV-1 su proj'!C85)</f>
        <v>0</v>
      </c>
      <c r="D26" s="832">
        <f>SUM('IV-1 su proj'!D85)</f>
        <v>0</v>
      </c>
      <c r="E26" s="832">
        <f>SUM('IV-1 su proj'!E85)</f>
        <v>0</v>
      </c>
      <c r="F26" s="832">
        <f>SUM('IV-1 su proj'!J85)</f>
        <v>0</v>
      </c>
      <c r="G26" s="832">
        <f>SUM('IV-1 su proj'!K85)</f>
        <v>48895.060000000005</v>
      </c>
      <c r="H26" s="832">
        <f>SUM('IV-1 su proj'!P85)</f>
        <v>41560.800000000003</v>
      </c>
      <c r="I26" s="832">
        <f>SUM('IV-1 su proj'!Q85)</f>
        <v>421612.69637110014</v>
      </c>
      <c r="J26" s="832">
        <f>SUM('IV-1 su proj'!V85)</f>
        <v>344714.08348111657</v>
      </c>
      <c r="K26" s="832">
        <f>SUM('IV-1 su proj'!W85)</f>
        <v>40329.313628899836</v>
      </c>
      <c r="L26" s="832">
        <f>SUM('IV-1 su proj'!AB85)</f>
        <v>29448.676518883414</v>
      </c>
      <c r="M26" s="832">
        <f>SUM('IV-1 su proj'!AC85)</f>
        <v>0</v>
      </c>
      <c r="N26" s="832">
        <f>SUM('IV-1 su proj'!AH85)</f>
        <v>0</v>
      </c>
      <c r="O26" s="832">
        <f>SUM('IV-1 su proj'!AI85)</f>
        <v>510837.07</v>
      </c>
      <c r="P26" s="832">
        <f>SUM('IV-1 su proj'!AS85)</f>
        <v>415723.56</v>
      </c>
      <c r="Q26" s="1391">
        <f t="shared" ref="Q26:Q45" si="2">SUM(C26+E26+G26+I26+K26+M26)</f>
        <v>510837.06999999995</v>
      </c>
      <c r="R26" s="1391">
        <f t="shared" ref="R26:R45" si="3">SUM(D26+F26+H26+J26+L26+N26)</f>
        <v>415723.56</v>
      </c>
    </row>
    <row r="27" spans="1:18" ht="27" thickBot="1" x14ac:dyDescent="0.3">
      <c r="A27" s="1415" t="s">
        <v>26</v>
      </c>
      <c r="B27" s="1416" t="s">
        <v>1446</v>
      </c>
      <c r="C27" s="832">
        <f>SUM('IV-1 su proj'!C91)</f>
        <v>0</v>
      </c>
      <c r="D27" s="832">
        <f>SUM('IV-1 su proj'!D91)</f>
        <v>0</v>
      </c>
      <c r="E27" s="832">
        <f>SUM('IV-1 su proj'!E91)</f>
        <v>0</v>
      </c>
      <c r="F27" s="832">
        <f>SUM('IV-1 su proj'!J91)</f>
        <v>0</v>
      </c>
      <c r="G27" s="832">
        <f>SUM('IV-1 su proj'!K91)</f>
        <v>873591.32000000007</v>
      </c>
      <c r="H27" s="832">
        <f>SUM('IV-1 su proj'!P91)</f>
        <v>742552.42</v>
      </c>
      <c r="I27" s="832">
        <f>SUM('IV-1 su proj'!Q91)</f>
        <v>2363416.8727711048</v>
      </c>
      <c r="J27" s="832">
        <f>SUM('IV-1 su proj'!V91)</f>
        <v>1540998.878652062</v>
      </c>
      <c r="K27" s="832">
        <f>SUM('IV-1 su proj'!W91)</f>
        <v>1154525.7715243807</v>
      </c>
      <c r="L27" s="832">
        <f>SUM('IV-1 su proj'!AB91)</f>
        <v>743978.48110169964</v>
      </c>
      <c r="M27" s="832">
        <f>SUM('IV-1 su proj'!AC91)</f>
        <v>29816.935704514362</v>
      </c>
      <c r="N27" s="832">
        <f>SUM('IV-1 su proj'!AH91)</f>
        <v>25277.22024623803</v>
      </c>
      <c r="O27" s="832">
        <f>SUM('IV-1 su proj'!AI91)</f>
        <v>4421350.9000000004</v>
      </c>
      <c r="P27" s="832">
        <f>SUM('IV-1 su proj'!AS91)</f>
        <v>3052807</v>
      </c>
      <c r="Q27" s="1391">
        <f t="shared" si="2"/>
        <v>4421350.9000000004</v>
      </c>
      <c r="R27" s="1391">
        <f t="shared" si="3"/>
        <v>3052807</v>
      </c>
    </row>
    <row r="28" spans="1:18" ht="32.25" thickBot="1" x14ac:dyDescent="0.3">
      <c r="A28" s="1409" t="s">
        <v>27</v>
      </c>
      <c r="B28" s="1410" t="s">
        <v>1447</v>
      </c>
      <c r="C28" s="1411">
        <f>SUM('IV-1 su proj'!C99)</f>
        <v>0</v>
      </c>
      <c r="D28" s="1411">
        <f>SUM('IV-1 su proj'!D99)</f>
        <v>0</v>
      </c>
      <c r="E28" s="1411">
        <f>SUM('IV-1 su proj'!E99)</f>
        <v>272169.55999999994</v>
      </c>
      <c r="F28" s="1411">
        <f>SUM('IV-1 su proj'!J99)</f>
        <v>239547.65159038958</v>
      </c>
      <c r="G28" s="1411">
        <f>SUM('IV-1 su proj'!K99)</f>
        <v>1241878.396438356</v>
      </c>
      <c r="H28" s="1411">
        <f>SUM('IV-1 su proj'!P99)</f>
        <v>1121451.6374507062</v>
      </c>
      <c r="I28" s="1411">
        <f>SUM('IV-1 su proj'!Q99)</f>
        <v>5032654.9517004015</v>
      </c>
      <c r="J28" s="1411">
        <f>SUM('IV-1 su proj'!V99)</f>
        <v>3965046.9018183379</v>
      </c>
      <c r="K28" s="1411">
        <f>SUM('IV-1 su proj'!W99)</f>
        <v>4281564.5432301145</v>
      </c>
      <c r="L28" s="1411">
        <f>SUM('IV-1 su proj'!AB99)</f>
        <v>3449794.0723820329</v>
      </c>
      <c r="M28" s="1411">
        <f>SUM('IV-1 su proj'!AC99)</f>
        <v>1768487.3586311273</v>
      </c>
      <c r="N28" s="1411">
        <f>SUM('IV-1 su proj'!AH99)</f>
        <v>1502405.0429747491</v>
      </c>
      <c r="O28" s="1411">
        <f>SUM('IV-1 su proj'!AI99)</f>
        <v>12596754.809999999</v>
      </c>
      <c r="P28" s="1411">
        <f>SUM('IV-1 su proj'!AS99)</f>
        <v>10278245.306216216</v>
      </c>
      <c r="Q28" s="1519">
        <f t="shared" si="2"/>
        <v>12596754.809999999</v>
      </c>
      <c r="R28" s="1391">
        <f t="shared" si="3"/>
        <v>10278245.306216216</v>
      </c>
    </row>
    <row r="29" spans="1:18" ht="58.5" thickBot="1" x14ac:dyDescent="0.3">
      <c r="A29" s="1412" t="s">
        <v>28</v>
      </c>
      <c r="B29" s="1413" t="s">
        <v>1448</v>
      </c>
      <c r="C29" s="1414">
        <f>SUM('IV-1 su proj'!C100)</f>
        <v>0</v>
      </c>
      <c r="D29" s="1414">
        <f>SUM('IV-1 su proj'!D100)</f>
        <v>0</v>
      </c>
      <c r="E29" s="1414">
        <f>SUM('IV-1 su proj'!E100)</f>
        <v>0</v>
      </c>
      <c r="F29" s="1414">
        <f>SUM('IV-1 su proj'!J100)</f>
        <v>0</v>
      </c>
      <c r="G29" s="1414">
        <f>SUM('IV-1 su proj'!K100)</f>
        <v>70280.39643835614</v>
      </c>
      <c r="H29" s="1414">
        <f>SUM('IV-1 su proj'!P100)</f>
        <v>59719.429041095878</v>
      </c>
      <c r="I29" s="1414">
        <f>SUM('IV-1 su proj'!Q100)</f>
        <v>2369222.5903965067</v>
      </c>
      <c r="J29" s="1414">
        <f>SUM('IV-1 su proj'!V100)</f>
        <v>1895087.3869297891</v>
      </c>
      <c r="K29" s="1414">
        <f>SUM('IV-1 su proj'!W100)</f>
        <v>2073124.6649459582</v>
      </c>
      <c r="L29" s="1414">
        <f>SUM('IV-1 su proj'!AB100)</f>
        <v>1648893.238601495</v>
      </c>
      <c r="M29" s="1414">
        <f>SUM('IV-1 su proj'!AC100)</f>
        <v>193037.5382191781</v>
      </c>
      <c r="N29" s="1414">
        <f>SUM('IV-1 su proj'!AH100)</f>
        <v>163273.1616438356</v>
      </c>
      <c r="O29" s="1414">
        <f>SUM('IV-1 su proj'!AI100)</f>
        <v>4705665.1899999995</v>
      </c>
      <c r="P29" s="1414">
        <f>SUM('IV-1 su proj'!AS100)</f>
        <v>3766973.2162162159</v>
      </c>
      <c r="Q29" s="1391">
        <f t="shared" si="2"/>
        <v>4705665.1899999995</v>
      </c>
      <c r="R29" s="1391">
        <f t="shared" si="3"/>
        <v>3766973.2162162159</v>
      </c>
    </row>
    <row r="30" spans="1:18" ht="27" thickBot="1" x14ac:dyDescent="0.3">
      <c r="A30" s="1415" t="s">
        <v>29</v>
      </c>
      <c r="B30" s="1416" t="s">
        <v>1449</v>
      </c>
      <c r="C30" s="832">
        <f>SUM('IV-1 su proj'!C101)</f>
        <v>0</v>
      </c>
      <c r="D30" s="832">
        <f>SUM('IV-1 su proj'!D101)</f>
        <v>0</v>
      </c>
      <c r="E30" s="832">
        <f>SUM('IV-1 su proj'!E101)</f>
        <v>0</v>
      </c>
      <c r="F30" s="832">
        <f>SUM('IV-1 su proj'!J101)</f>
        <v>0</v>
      </c>
      <c r="G30" s="832">
        <f>SUM('IV-1 su proj'!K101)</f>
        <v>36761.229315068478</v>
      </c>
      <c r="H30" s="832">
        <f>SUM('IV-1 su proj'!P101)</f>
        <v>31247.008219178068</v>
      </c>
      <c r="I30" s="832">
        <f>SUM('IV-1 su proj'!Q101)</f>
        <v>569071.54520547902</v>
      </c>
      <c r="J30" s="832">
        <f>SUM('IV-1 su proj'!V101)</f>
        <v>483710.13835616398</v>
      </c>
      <c r="K30" s="832">
        <f>SUM('IV-1 su proj'!W101)</f>
        <v>569806.95369863056</v>
      </c>
      <c r="L30" s="832">
        <f>SUM('IV-1 su proj'!AB101)</f>
        <v>484335.23835616477</v>
      </c>
      <c r="M30" s="832">
        <f>SUM('IV-1 su proj'!AC101)</f>
        <v>168335.09178082191</v>
      </c>
      <c r="N30" s="832">
        <f>SUM('IV-1 su proj'!AH101)</f>
        <v>143084.61506849315</v>
      </c>
      <c r="O30" s="832">
        <f>SUM('IV-1 su proj'!AI101)</f>
        <v>1343974.82</v>
      </c>
      <c r="P30" s="832">
        <f>SUM('IV-1 su proj'!AS101)</f>
        <v>1142377</v>
      </c>
      <c r="Q30" s="1391">
        <f t="shared" si="2"/>
        <v>1343974.8199999998</v>
      </c>
      <c r="R30" s="1391">
        <f t="shared" si="3"/>
        <v>1142377</v>
      </c>
    </row>
    <row r="31" spans="1:18" ht="27" thickBot="1" x14ac:dyDescent="0.3">
      <c r="A31" s="1415" t="s">
        <v>30</v>
      </c>
      <c r="B31" s="1416" t="s">
        <v>1450</v>
      </c>
      <c r="C31" s="832">
        <f>SUM('IV-1 su proj'!C107)</f>
        <v>0</v>
      </c>
      <c r="D31" s="832">
        <f>SUM('IV-1 su proj'!D107)</f>
        <v>0</v>
      </c>
      <c r="E31" s="832">
        <f>SUM('IV-1 su proj'!E107)</f>
        <v>0</v>
      </c>
      <c r="F31" s="832">
        <f>SUM('IV-1 su proj'!J107)</f>
        <v>0</v>
      </c>
      <c r="G31" s="832">
        <f>SUM('IV-1 su proj'!K107)</f>
        <v>33519.167123287669</v>
      </c>
      <c r="H31" s="832">
        <f>SUM('IV-1 su proj'!P107)</f>
        <v>28472.420821917807</v>
      </c>
      <c r="I31" s="832">
        <f>SUM('IV-1 su proj'!Q107)</f>
        <v>1082263.6972602739</v>
      </c>
      <c r="J31" s="832">
        <f>SUM('IV-1 su proj'!V107)</f>
        <v>824347.86136986292</v>
      </c>
      <c r="K31" s="832">
        <f>SUM('IV-1 su proj'!W107)</f>
        <v>845692.5</v>
      </c>
      <c r="L31" s="832">
        <f>SUM('IV-1 su proj'!AB107)</f>
        <v>623150</v>
      </c>
      <c r="M31" s="832">
        <f>SUM('IV-1 su proj'!AC107)</f>
        <v>12425.935616438357</v>
      </c>
      <c r="N31" s="832">
        <f>SUM('IV-1 su proj'!AH107)</f>
        <v>10037.717808219177</v>
      </c>
      <c r="O31" s="832">
        <f>SUM('IV-1 su proj'!AI107)</f>
        <v>1973901.3</v>
      </c>
      <c r="P31" s="832">
        <f>SUM('IV-1 su proj'!AS107)</f>
        <v>1486008</v>
      </c>
      <c r="Q31" s="1391">
        <f t="shared" si="2"/>
        <v>1973901.2999999998</v>
      </c>
      <c r="R31" s="1391">
        <f t="shared" si="3"/>
        <v>1486008</v>
      </c>
    </row>
    <row r="32" spans="1:18" ht="27" thickBot="1" x14ac:dyDescent="0.3">
      <c r="A32" s="1415" t="s">
        <v>31</v>
      </c>
      <c r="B32" s="1416" t="s">
        <v>1451</v>
      </c>
      <c r="C32" s="832">
        <f>SUM('IV-1 su proj'!C113)</f>
        <v>0</v>
      </c>
      <c r="D32" s="832">
        <f>SUM('IV-1 su proj'!D113)</f>
        <v>0</v>
      </c>
      <c r="E32" s="832">
        <f>SUM('IV-1 su proj'!E113)</f>
        <v>0</v>
      </c>
      <c r="F32" s="832">
        <f>SUM('IV-1 su proj'!J113)</f>
        <v>0</v>
      </c>
      <c r="G32" s="832">
        <f>SUM('IV-1 su proj'!K113)</f>
        <v>0</v>
      </c>
      <c r="H32" s="832">
        <f>SUM('IV-1 su proj'!P113)</f>
        <v>0</v>
      </c>
      <c r="I32" s="832">
        <f>SUM('IV-1 su proj'!Q113)</f>
        <v>717887.34793075407</v>
      </c>
      <c r="J32" s="832">
        <f>SUM('IV-1 su proj'!V113)</f>
        <v>587029.38720376242</v>
      </c>
      <c r="K32" s="832">
        <f>SUM('IV-1 su proj'!W113)</f>
        <v>657625.21124732785</v>
      </c>
      <c r="L32" s="832">
        <f>SUM('IV-1 su proj'!AB113)</f>
        <v>541408.00024533027</v>
      </c>
      <c r="M32" s="832">
        <f>SUM('IV-1 su proj'!AC113)</f>
        <v>12276.510821917809</v>
      </c>
      <c r="N32" s="832">
        <f>SUM('IV-1 su proj'!AH113)</f>
        <v>10150.828767123288</v>
      </c>
      <c r="O32" s="832">
        <f>SUM('IV-1 su proj'!AI113)</f>
        <v>1387789.0699999996</v>
      </c>
      <c r="P32" s="832">
        <f>SUM('IV-1 su proj'!AS113)</f>
        <v>1138588.2162162161</v>
      </c>
      <c r="Q32" s="1391">
        <f t="shared" si="2"/>
        <v>1387789.0699999996</v>
      </c>
      <c r="R32" s="1391">
        <f t="shared" si="3"/>
        <v>1138588.2162162161</v>
      </c>
    </row>
    <row r="33" spans="1:18" ht="58.5" thickBot="1" x14ac:dyDescent="0.3">
      <c r="A33" s="1417" t="s">
        <v>32</v>
      </c>
      <c r="B33" s="1413" t="s">
        <v>1452</v>
      </c>
      <c r="C33" s="1414">
        <f>SUM('IV-1 su proj'!C119)</f>
        <v>0</v>
      </c>
      <c r="D33" s="1414">
        <f>SUM('IV-1 su proj'!D119)</f>
        <v>0</v>
      </c>
      <c r="E33" s="1414">
        <f>SUM('IV-1 su proj'!E119)</f>
        <v>0</v>
      </c>
      <c r="F33" s="1414">
        <f>SUM('IV-1 su proj'!J119)</f>
        <v>0</v>
      </c>
      <c r="G33" s="1414">
        <f>SUM('IV-1 su proj'!K119)</f>
        <v>0</v>
      </c>
      <c r="H33" s="1414">
        <f>SUM('IV-1 su proj'!P119)</f>
        <v>0</v>
      </c>
      <c r="I33" s="1414">
        <f>SUM('IV-1 su proj'!Q119)</f>
        <v>114036.02720894036</v>
      </c>
      <c r="J33" s="1414">
        <f>SUM('IV-1 su proj'!V119)</f>
        <v>96930.606482470757</v>
      </c>
      <c r="K33" s="1414">
        <f>SUM('IV-1 su proj'!W119)</f>
        <v>1052134.5023791105</v>
      </c>
      <c r="L33" s="1414">
        <f>SUM('IV-1 su proj'!AB119)</f>
        <v>894312.51218661573</v>
      </c>
      <c r="M33" s="1414">
        <f>SUM('IV-1 su proj'!AC119)</f>
        <v>1342094.0204119491</v>
      </c>
      <c r="N33" s="1414">
        <f>SUM('IV-1 su proj'!AH119)</f>
        <v>1140779.4813309137</v>
      </c>
      <c r="O33" s="1414">
        <f>SUM('IV-1 su proj'!AI119)</f>
        <v>2508264.5499999998</v>
      </c>
      <c r="P33" s="1414">
        <f>SUM('IV-1 su proj'!AS119)</f>
        <v>2132022.6</v>
      </c>
      <c r="Q33" s="1391">
        <f t="shared" si="2"/>
        <v>2508264.5499999998</v>
      </c>
      <c r="R33" s="1391">
        <f t="shared" si="3"/>
        <v>2132022.6</v>
      </c>
    </row>
    <row r="34" spans="1:18" ht="39.75" thickBot="1" x14ac:dyDescent="0.3">
      <c r="A34" s="1415" t="s">
        <v>33</v>
      </c>
      <c r="B34" s="1416" t="s">
        <v>1453</v>
      </c>
      <c r="C34" s="832">
        <f>SUM('IV-1 su proj'!C120)</f>
        <v>0</v>
      </c>
      <c r="D34" s="832">
        <f>SUM('IV-1 su proj'!D120)</f>
        <v>0</v>
      </c>
      <c r="E34" s="832">
        <f>SUM('IV-1 su proj'!E120)</f>
        <v>0</v>
      </c>
      <c r="F34" s="832">
        <f>SUM('IV-1 su proj'!J120)</f>
        <v>0</v>
      </c>
      <c r="G34" s="832">
        <f>SUM('IV-1 su proj'!K120)</f>
        <v>0</v>
      </c>
      <c r="H34" s="832">
        <f>SUM('IV-1 su proj'!P120)</f>
        <v>0</v>
      </c>
      <c r="I34" s="832">
        <f>SUM('IV-1 su proj'!Q120)</f>
        <v>0</v>
      </c>
      <c r="J34" s="832">
        <f>SUM('IV-1 su proj'!V120)</f>
        <v>0</v>
      </c>
      <c r="K34" s="832">
        <f>SUM('IV-1 su proj'!W120)</f>
        <v>663133.10115235136</v>
      </c>
      <c r="L34" s="832">
        <f>SUM('IV-1 su proj'!AB120)</f>
        <v>563661.37792398175</v>
      </c>
      <c r="M34" s="832">
        <f>SUM('IV-1 su proj'!AC120)</f>
        <v>784932.89884764852</v>
      </c>
      <c r="N34" s="832">
        <f>SUM('IV-1 su proj'!AH120)</f>
        <v>667192.62207601825</v>
      </c>
      <c r="O34" s="832">
        <f>SUM('IV-1 su proj'!AI120)</f>
        <v>1448066</v>
      </c>
      <c r="P34" s="832">
        <f>SUM('IV-1 su proj'!AS120)</f>
        <v>1230854</v>
      </c>
      <c r="Q34" s="1391">
        <f t="shared" si="2"/>
        <v>1448066</v>
      </c>
      <c r="R34" s="1391">
        <f t="shared" si="3"/>
        <v>1230854</v>
      </c>
    </row>
    <row r="35" spans="1:18" ht="15.75" thickBot="1" x14ac:dyDescent="0.3">
      <c r="A35" s="1415" t="s">
        <v>34</v>
      </c>
      <c r="B35" s="1418" t="str">
        <f>CONCATENATE('3 pr-2'!D135)</f>
        <v/>
      </c>
      <c r="C35" s="516">
        <f>SUM('IV-1 su proj'!C134)</f>
        <v>0</v>
      </c>
      <c r="D35" s="516">
        <f>SUM('IV-1 su proj'!D134)</f>
        <v>0</v>
      </c>
      <c r="E35" s="516">
        <f>SUM('IV-1 su proj'!E134)</f>
        <v>0</v>
      </c>
      <c r="F35" s="516">
        <f>SUM('IV-1 su proj'!J134)</f>
        <v>0</v>
      </c>
      <c r="G35" s="516">
        <f>SUM('IV-1 su proj'!K134)</f>
        <v>0</v>
      </c>
      <c r="H35" s="516">
        <f>SUM('IV-1 su proj'!P134)</f>
        <v>0</v>
      </c>
      <c r="I35" s="516">
        <f>SUM('IV-1 su proj'!Q134)</f>
        <v>106838.75578549532</v>
      </c>
      <c r="J35" s="516">
        <f>SUM('IV-1 su proj'!V134)</f>
        <v>90812.940807013685</v>
      </c>
      <c r="K35" s="516">
        <f>SUM('IV-1 su proj'!W134)</f>
        <v>364449.96132435324</v>
      </c>
      <c r="L35" s="516">
        <f>SUM('IV-1 su proj'!AB134)</f>
        <v>309782.46163140185</v>
      </c>
      <c r="M35" s="516">
        <f>SUM('IV-1 su proj'!AC134)</f>
        <v>523697.18289015139</v>
      </c>
      <c r="N35" s="516">
        <f>SUM('IV-1 su proj'!AH134)</f>
        <v>445142.59756158449</v>
      </c>
      <c r="O35" s="516">
        <f>SUM('IV-1 su proj'!AI134)</f>
        <v>994985.89999999991</v>
      </c>
      <c r="P35" s="516">
        <f>SUM('IV-1 su proj'!AS134)</f>
        <v>845738</v>
      </c>
      <c r="Q35" s="1391">
        <f t="shared" si="2"/>
        <v>994985.89999999991</v>
      </c>
      <c r="R35" s="1391">
        <f t="shared" si="3"/>
        <v>845738</v>
      </c>
    </row>
    <row r="36" spans="1:18" ht="15.75" thickBot="1" x14ac:dyDescent="0.3">
      <c r="A36" s="1415" t="str">
        <f>CONCATENATE('3 pr-2'!A141)</f>
        <v>2.1.2.3</v>
      </c>
      <c r="B36" s="1418" t="str">
        <f>CONCATENATE('3 pr-2'!D141)</f>
        <v/>
      </c>
      <c r="C36" s="516">
        <f>SUM('IV-1 su proj'!C140)</f>
        <v>0</v>
      </c>
      <c r="D36" s="516">
        <f>SUM('IV-1 su proj'!D140)</f>
        <v>0</v>
      </c>
      <c r="E36" s="516">
        <f>SUM('IV-1 su proj'!E140)</f>
        <v>0</v>
      </c>
      <c r="F36" s="516">
        <f>SUM('IV-1 su proj'!J140)</f>
        <v>0</v>
      </c>
      <c r="G36" s="516">
        <f>SUM('IV-1 su proj'!K140)</f>
        <v>0</v>
      </c>
      <c r="H36" s="516">
        <f>SUM('IV-1 su proj'!P140)</f>
        <v>0</v>
      </c>
      <c r="I36" s="516">
        <f>SUM('IV-1 su proj'!Q140)</f>
        <v>7197.271423445035</v>
      </c>
      <c r="J36" s="516">
        <f>SUM('IV-1 su proj'!V140)</f>
        <v>6117.6656754570795</v>
      </c>
      <c r="K36" s="516">
        <f>SUM('IV-1 su proj'!W140)</f>
        <v>24551.439902405964</v>
      </c>
      <c r="L36" s="516">
        <f>SUM('IV-1 su proj'!AB140)</f>
        <v>20868.67263123209</v>
      </c>
      <c r="M36" s="516">
        <f>SUM('IV-1 su proj'!AC140)</f>
        <v>33463.938674149002</v>
      </c>
      <c r="N36" s="516">
        <f>SUM('IV-1 su proj'!AH140)</f>
        <v>28444.261693310833</v>
      </c>
      <c r="O36" s="516">
        <f>SUM('IV-1 su proj'!AI140)</f>
        <v>65212.65</v>
      </c>
      <c r="P36" s="516">
        <f>SUM('IV-1 su proj'!AS140)</f>
        <v>55430.6</v>
      </c>
      <c r="Q36" s="1391">
        <f t="shared" si="2"/>
        <v>65212.65</v>
      </c>
      <c r="R36" s="1391">
        <f t="shared" si="3"/>
        <v>55430.600000000006</v>
      </c>
    </row>
    <row r="37" spans="1:18" ht="44.25" thickBot="1" x14ac:dyDescent="0.3">
      <c r="A37" s="1412" t="s">
        <v>35</v>
      </c>
      <c r="B37" s="1413" t="s">
        <v>1454</v>
      </c>
      <c r="C37" s="1414">
        <f>SUM('IV-1 su proj'!C146)</f>
        <v>0</v>
      </c>
      <c r="D37" s="1414">
        <f>SUM('IV-1 su proj'!D146)</f>
        <v>0</v>
      </c>
      <c r="E37" s="1414">
        <f>SUM('IV-1 su proj'!E146)</f>
        <v>272169.55999999994</v>
      </c>
      <c r="F37" s="1414">
        <f>SUM('IV-1 su proj'!J146)</f>
        <v>239547.65159038958</v>
      </c>
      <c r="G37" s="1414">
        <f>SUM('IV-1 su proj'!K146)</f>
        <v>1171598</v>
      </c>
      <c r="H37" s="1414">
        <f>SUM('IV-1 su proj'!P146)</f>
        <v>1061732.2084096104</v>
      </c>
      <c r="I37" s="1414">
        <f>SUM('IV-1 su proj'!Q146)</f>
        <v>2173186.2740949546</v>
      </c>
      <c r="J37" s="1414">
        <f>SUM('IV-1 su proj'!V146)</f>
        <v>1653250.2634060779</v>
      </c>
      <c r="K37" s="1414">
        <f>SUM('IV-1 su proj'!W146)</f>
        <v>621736.71590504551</v>
      </c>
      <c r="L37" s="1414">
        <f>SUM('IV-1 su proj'!AB146)</f>
        <v>452204.87659392226</v>
      </c>
      <c r="M37" s="1414">
        <f>SUM('IV-1 su proj'!AC146)</f>
        <v>0</v>
      </c>
      <c r="N37" s="1414">
        <f>SUM('IV-1 su proj'!AH146)</f>
        <v>0</v>
      </c>
      <c r="O37" s="1414">
        <f>SUM('IV-1 su proj'!AI146)</f>
        <v>4238690.55</v>
      </c>
      <c r="P37" s="1414">
        <f>SUM('IV-1 su proj'!AS146)</f>
        <v>3406735</v>
      </c>
      <c r="Q37" s="1522">
        <f t="shared" si="2"/>
        <v>4238690.55</v>
      </c>
      <c r="R37" s="1391">
        <f t="shared" si="3"/>
        <v>3406735</v>
      </c>
    </row>
    <row r="38" spans="1:18" ht="27" thickBot="1" x14ac:dyDescent="0.3">
      <c r="A38" s="1415" t="s">
        <v>36</v>
      </c>
      <c r="B38" s="1416" t="s">
        <v>1455</v>
      </c>
      <c r="C38" s="832">
        <f>SUM('IV-1 su proj'!C147)</f>
        <v>0</v>
      </c>
      <c r="D38" s="832">
        <f>SUM('IV-1 su proj'!D147)</f>
        <v>0</v>
      </c>
      <c r="E38" s="832">
        <f>SUM('IV-1 su proj'!E147)</f>
        <v>0</v>
      </c>
      <c r="F38" s="832">
        <f>SUM('IV-1 su proj'!J147)</f>
        <v>0</v>
      </c>
      <c r="G38" s="832">
        <f>SUM('IV-1 su proj'!K147)</f>
        <v>25688.32</v>
      </c>
      <c r="H38" s="832">
        <f>SUM('IV-1 su proj'!P147)</f>
        <v>22923.620000000003</v>
      </c>
      <c r="I38" s="832">
        <f>SUM('IV-1 su proj'!Q147)</f>
        <v>862676.28722733411</v>
      </c>
      <c r="J38" s="832">
        <f>SUM('IV-1 su proj'!V147)</f>
        <v>601723.33576780837</v>
      </c>
      <c r="K38" s="832">
        <f>SUM('IV-1 su proj'!W147)</f>
        <v>384124.94277266593</v>
      </c>
      <c r="L38" s="832">
        <f>SUM('IV-1 su proj'!AB147)</f>
        <v>261114.04423219166</v>
      </c>
      <c r="M38" s="832">
        <f>SUM('IV-1 su proj'!AC147)</f>
        <v>0</v>
      </c>
      <c r="N38" s="832">
        <f>SUM('IV-1 su proj'!AH147)</f>
        <v>0</v>
      </c>
      <c r="O38" s="832">
        <f>SUM('IV-1 su proj'!AI147)</f>
        <v>1272489.55</v>
      </c>
      <c r="P38" s="832">
        <f>SUM('IV-1 su proj'!AS147)</f>
        <v>885761</v>
      </c>
      <c r="Q38" s="1391">
        <f t="shared" si="2"/>
        <v>1272489.55</v>
      </c>
      <c r="R38" s="1391">
        <f t="shared" si="3"/>
        <v>885761</v>
      </c>
    </row>
    <row r="39" spans="1:18" ht="27" thickBot="1" x14ac:dyDescent="0.3">
      <c r="A39" s="1415" t="s">
        <v>37</v>
      </c>
      <c r="B39" s="1416" t="s">
        <v>1456</v>
      </c>
      <c r="C39" s="832">
        <f>SUM('IV-1 su proj'!C153)</f>
        <v>0</v>
      </c>
      <c r="D39" s="832">
        <f>SUM('IV-1 su proj'!D153)</f>
        <v>0</v>
      </c>
      <c r="E39" s="832">
        <f>SUM('IV-1 su proj'!E153)</f>
        <v>272169.55999999994</v>
      </c>
      <c r="F39" s="832">
        <f>SUM('IV-1 su proj'!J153)</f>
        <v>239547.65159038958</v>
      </c>
      <c r="G39" s="832">
        <f>SUM('IV-1 su proj'!K153)</f>
        <v>1145909.68</v>
      </c>
      <c r="H39" s="832">
        <f>SUM('IV-1 su proj'!P153)</f>
        <v>1038808.5884096104</v>
      </c>
      <c r="I39" s="832">
        <f>SUM('IV-1 su proj'!Q153)</f>
        <v>1310509.9868676206</v>
      </c>
      <c r="J39" s="832">
        <f>SUM('IV-1 su proj'!V153)</f>
        <v>1051526.9276382695</v>
      </c>
      <c r="K39" s="832">
        <f>SUM('IV-1 su proj'!W153)</f>
        <v>237611.77313237955</v>
      </c>
      <c r="L39" s="832">
        <f>SUM('IV-1 su proj'!AB153)</f>
        <v>191090.83236173063</v>
      </c>
      <c r="M39" s="832">
        <f>SUM('IV-1 su proj'!AC153)</f>
        <v>0</v>
      </c>
      <c r="N39" s="832">
        <f>SUM('IV-1 su proj'!AH153)</f>
        <v>0</v>
      </c>
      <c r="O39" s="832">
        <f>SUM('IV-1 su proj'!AI153)</f>
        <v>2966201</v>
      </c>
      <c r="P39" s="832">
        <f>SUM('IV-1 su proj'!AS153)</f>
        <v>2520974</v>
      </c>
      <c r="Q39" s="1522">
        <f t="shared" si="2"/>
        <v>2966201</v>
      </c>
      <c r="R39" s="1391">
        <f t="shared" si="3"/>
        <v>2520974</v>
      </c>
    </row>
    <row r="40" spans="1:18" ht="44.25" thickBot="1" x14ac:dyDescent="0.3">
      <c r="A40" s="1412" t="s">
        <v>38</v>
      </c>
      <c r="B40" s="1413" t="s">
        <v>1457</v>
      </c>
      <c r="C40" s="1414">
        <f>SUM('IV-1 su proj'!C159)</f>
        <v>0</v>
      </c>
      <c r="D40" s="1414">
        <f>SUM('IV-1 su proj'!D159)</f>
        <v>0</v>
      </c>
      <c r="E40" s="1414">
        <f>SUM('IV-1 su proj'!E159)</f>
        <v>0</v>
      </c>
      <c r="F40" s="1414">
        <f>SUM('IV-1 su proj'!J159)</f>
        <v>0</v>
      </c>
      <c r="G40" s="1414">
        <f>SUM('IV-1 su proj'!K159)</f>
        <v>0</v>
      </c>
      <c r="H40" s="1414">
        <f>SUM('IV-1 su proj'!P159)</f>
        <v>0</v>
      </c>
      <c r="I40" s="1414">
        <f>SUM('IV-1 su proj'!Q159)</f>
        <v>376210.06</v>
      </c>
      <c r="J40" s="1414">
        <f>SUM('IV-1 su proj'!V159)</f>
        <v>319778.64500000002</v>
      </c>
      <c r="K40" s="1414">
        <f>SUM('IV-1 su proj'!W159)</f>
        <v>534568.65999999992</v>
      </c>
      <c r="L40" s="1414">
        <f>SUM('IV-1 su proj'!AB159)</f>
        <v>454383.44500000001</v>
      </c>
      <c r="M40" s="1414">
        <f>SUM('IV-1 su proj'!AC159)</f>
        <v>233355.8</v>
      </c>
      <c r="N40" s="1414">
        <f>SUM('IV-1 su proj'!AH159)</f>
        <v>198352.40000000002</v>
      </c>
      <c r="O40" s="1414">
        <f>SUM('IV-1 su proj'!AI159)</f>
        <v>1144134.52</v>
      </c>
      <c r="P40" s="1414">
        <f>SUM('IV-1 su proj'!AS159)</f>
        <v>972514.49</v>
      </c>
      <c r="Q40" s="1391">
        <f t="shared" si="2"/>
        <v>1144134.52</v>
      </c>
      <c r="R40" s="1391">
        <f t="shared" si="3"/>
        <v>972514.49000000011</v>
      </c>
    </row>
    <row r="41" spans="1:18" ht="27" thickBot="1" x14ac:dyDescent="0.3">
      <c r="A41" s="1415" t="s">
        <v>39</v>
      </c>
      <c r="B41" s="1416" t="s">
        <v>1458</v>
      </c>
      <c r="C41" s="833">
        <f>SUM('IV-1 su proj'!C160)</f>
        <v>0</v>
      </c>
      <c r="D41" s="832">
        <f>SUM('IV-1 su proj'!D160)</f>
        <v>0</v>
      </c>
      <c r="E41" s="832">
        <f>SUM('IV-1 su proj'!E160)</f>
        <v>0</v>
      </c>
      <c r="F41" s="832">
        <f>SUM('IV-1 su proj'!J160)</f>
        <v>0</v>
      </c>
      <c r="G41" s="832">
        <f>SUM('IV-1 su proj'!K160)</f>
        <v>0</v>
      </c>
      <c r="H41" s="832">
        <f>SUM('IV-1 su proj'!P160)</f>
        <v>0</v>
      </c>
      <c r="I41" s="832">
        <f>SUM('IV-1 su proj'!Q160)</f>
        <v>376210.06</v>
      </c>
      <c r="J41" s="832">
        <f>SUM('IV-1 su proj'!V160)</f>
        <v>319778.64500000002</v>
      </c>
      <c r="K41" s="832">
        <f>SUM('IV-1 su proj'!W160)</f>
        <v>534568.65999999992</v>
      </c>
      <c r="L41" s="832">
        <f>SUM('IV-1 su proj'!AB160)</f>
        <v>454383.44500000001</v>
      </c>
      <c r="M41" s="832">
        <f>SUM('IV-1 su proj'!AC160)</f>
        <v>233355.8</v>
      </c>
      <c r="N41" s="832">
        <f>SUM('IV-1 su proj'!AH160)</f>
        <v>198352.40000000002</v>
      </c>
      <c r="O41" s="832">
        <f>SUM('IV-1 su proj'!AI160)</f>
        <v>1144134.52</v>
      </c>
      <c r="P41" s="832">
        <f>SUM('IV-1 su proj'!AS160)</f>
        <v>972514.49</v>
      </c>
      <c r="Q41" s="1391">
        <f t="shared" si="2"/>
        <v>1144134.52</v>
      </c>
      <c r="R41" s="1391">
        <f t="shared" si="3"/>
        <v>972514.49000000011</v>
      </c>
    </row>
    <row r="42" spans="1:18" ht="32.25" thickBot="1" x14ac:dyDescent="0.3">
      <c r="A42" s="1409" t="s">
        <v>40</v>
      </c>
      <c r="B42" s="1410" t="s">
        <v>1459</v>
      </c>
      <c r="C42" s="1411">
        <f>SUM('IV-1 su proj'!C167)</f>
        <v>0</v>
      </c>
      <c r="D42" s="1411">
        <f>SUM('IV-1 su proj'!D167)</f>
        <v>0</v>
      </c>
      <c r="E42" s="1411">
        <f>SUM('IV-1 su proj'!E167)</f>
        <v>0</v>
      </c>
      <c r="F42" s="1411">
        <f>SUM('IV-1 su proj'!J167)</f>
        <v>0</v>
      </c>
      <c r="G42" s="1411">
        <f>SUM('IV-1 su proj'!K167)</f>
        <v>281356.90848513809</v>
      </c>
      <c r="H42" s="1411">
        <f>SUM('IV-1 su proj'!P167)</f>
        <v>272426.602295327</v>
      </c>
      <c r="I42" s="1411">
        <f>SUM('IV-1 su proj'!Q167)</f>
        <v>3682397.3091244292</v>
      </c>
      <c r="J42" s="1411">
        <f>SUM('IV-1 su proj'!V167)</f>
        <v>2997417.4315914195</v>
      </c>
      <c r="K42" s="1411">
        <f>SUM('IV-1 su proj'!W167)</f>
        <v>2495934.9415943832</v>
      </c>
      <c r="L42" s="1411">
        <f>SUM('IV-1 su proj'!AB167)</f>
        <v>2062615.1905366112</v>
      </c>
      <c r="M42" s="1411">
        <f>SUM('IV-1 su proj'!AC167)</f>
        <v>178795.99197252039</v>
      </c>
      <c r="N42" s="1411">
        <f>SUM('IV-1 su proj'!AH167)</f>
        <v>151976.59557664231</v>
      </c>
      <c r="O42" s="1411">
        <f>SUM('IV-1 su proj'!AI167)</f>
        <v>6638485.1511764703</v>
      </c>
      <c r="P42" s="1411">
        <f>SUM('IV-1 su proj'!AS167)</f>
        <v>5484435.8200000003</v>
      </c>
      <c r="Q42" s="1522">
        <f t="shared" si="2"/>
        <v>6638485.1511764703</v>
      </c>
      <c r="R42" s="1391">
        <f t="shared" si="3"/>
        <v>5484435.8200000003</v>
      </c>
    </row>
    <row r="43" spans="1:18" ht="30" thickBot="1" x14ac:dyDescent="0.3">
      <c r="A43" s="1412" t="s">
        <v>41</v>
      </c>
      <c r="B43" s="1413" t="s">
        <v>1460</v>
      </c>
      <c r="C43" s="1414">
        <f>SUM('IV-1 su proj'!C168)</f>
        <v>0</v>
      </c>
      <c r="D43" s="1414">
        <f>SUM('IV-1 su proj'!D168)</f>
        <v>0</v>
      </c>
      <c r="E43" s="1414">
        <f>SUM('IV-1 su proj'!E168)</f>
        <v>0</v>
      </c>
      <c r="F43" s="1414">
        <f>SUM('IV-1 su proj'!J168)</f>
        <v>0</v>
      </c>
      <c r="G43" s="1414">
        <f>SUM('IV-1 su proj'!K168)</f>
        <v>0</v>
      </c>
      <c r="H43" s="1414">
        <f>SUM('IV-1 su proj'!P168)</f>
        <v>0</v>
      </c>
      <c r="I43" s="1414">
        <f>SUM('IV-1 su proj'!Q168)</f>
        <v>2756308.5434186473</v>
      </c>
      <c r="J43" s="1414">
        <f>SUM('IV-1 su proj'!V168)</f>
        <v>2237248.3291590493</v>
      </c>
      <c r="K43" s="1414">
        <f>SUM('IV-1 su proj'!W168)</f>
        <v>1374378.5065813528</v>
      </c>
      <c r="L43" s="1414">
        <f>SUM('IV-1 su proj'!AB168)</f>
        <v>1115559.4408409507</v>
      </c>
      <c r="M43" s="1414">
        <f>SUM('IV-1 su proj'!AC168)</f>
        <v>0</v>
      </c>
      <c r="N43" s="1414">
        <f>SUM('IV-1 su proj'!AH168)</f>
        <v>0</v>
      </c>
      <c r="O43" s="1414">
        <f>SUM('IV-1 su proj'!AI168)</f>
        <v>4130687.05</v>
      </c>
      <c r="P43" s="1414">
        <f>SUM('IV-1 su proj'!AS168)</f>
        <v>3352807.77</v>
      </c>
      <c r="Q43" s="1391">
        <f t="shared" si="2"/>
        <v>4130687.05</v>
      </c>
      <c r="R43" s="1391">
        <f t="shared" si="3"/>
        <v>3352807.77</v>
      </c>
    </row>
    <row r="44" spans="1:18" ht="27" thickBot="1" x14ac:dyDescent="0.3">
      <c r="A44" s="1415" t="s">
        <v>42</v>
      </c>
      <c r="B44" s="1416" t="s">
        <v>1461</v>
      </c>
      <c r="C44" s="516">
        <v>0</v>
      </c>
      <c r="D44" s="1419">
        <v>0</v>
      </c>
      <c r="E44" s="832">
        <f>SUM('IV-1 su proj'!E169)</f>
        <v>0</v>
      </c>
      <c r="F44" s="832">
        <f>SUM('IV-1 su proj'!J169)</f>
        <v>0</v>
      </c>
      <c r="G44" s="832">
        <f>SUM('IV-1 su proj'!K169)</f>
        <v>0</v>
      </c>
      <c r="H44" s="832">
        <f>SUM('IV-1 su proj'!P169)</f>
        <v>0</v>
      </c>
      <c r="I44" s="832">
        <f>SUM('IV-1 su proj'!Q169)</f>
        <v>2756308.5434186473</v>
      </c>
      <c r="J44" s="832">
        <f>SUM('IV-1 su proj'!V169)</f>
        <v>2237248.3291590493</v>
      </c>
      <c r="K44" s="832">
        <f>SUM('IV-1 su proj'!W169)</f>
        <v>1374378.5065813528</v>
      </c>
      <c r="L44" s="832">
        <f>SUM('IV-1 su proj'!AB169)</f>
        <v>1115559.4408409507</v>
      </c>
      <c r="M44" s="832">
        <f>SUM('IV-1 su proj'!AC169)</f>
        <v>0</v>
      </c>
      <c r="N44" s="832">
        <f>SUM('IV-1 su proj'!AH169)</f>
        <v>0</v>
      </c>
      <c r="O44" s="832">
        <f>SUM('IV-1 su proj'!AI169)</f>
        <v>4130687.05</v>
      </c>
      <c r="P44" s="832">
        <f>SUM('IV-1 su proj'!AS169)</f>
        <v>3352807.77</v>
      </c>
      <c r="Q44" s="1391">
        <f t="shared" si="2"/>
        <v>4130687.05</v>
      </c>
      <c r="R44" s="1391">
        <f t="shared" si="3"/>
        <v>3352807.77</v>
      </c>
    </row>
    <row r="45" spans="1:18" ht="30" thickBot="1" x14ac:dyDescent="0.3">
      <c r="A45" s="1412" t="s">
        <v>43</v>
      </c>
      <c r="B45" s="1413" t="s">
        <v>1462</v>
      </c>
      <c r="C45" s="1414">
        <f>SUM('IV-1 su proj'!C172)</f>
        <v>0</v>
      </c>
      <c r="D45" s="1414">
        <f>SUM('IV-1 su proj'!D172)</f>
        <v>0</v>
      </c>
      <c r="E45" s="1414">
        <f>SUM('IV-1 su proj'!E172)</f>
        <v>0</v>
      </c>
      <c r="F45" s="1414">
        <f>SUM('IV-1 su proj'!J172)</f>
        <v>0</v>
      </c>
      <c r="G45" s="1414">
        <f>SUM('IV-1 su proj'!K172)</f>
        <v>281356.90848513809</v>
      </c>
      <c r="H45" s="1414">
        <f>SUM('IV-1 su proj'!P172)</f>
        <v>272426.602295327</v>
      </c>
      <c r="I45" s="1414">
        <f>SUM('IV-1 su proj'!Q172)</f>
        <v>926088.76570578199</v>
      </c>
      <c r="J45" s="1414">
        <f>SUM('IV-1 su proj'!V172)</f>
        <v>760169.10243236995</v>
      </c>
      <c r="K45" s="1414">
        <f>SUM('IV-1 su proj'!W172)</f>
        <v>1121556.4350130304</v>
      </c>
      <c r="L45" s="1414">
        <f>SUM('IV-1 su proj'!AB172)</f>
        <v>947055.74969566066</v>
      </c>
      <c r="M45" s="1414">
        <f>SUM('IV-1 su proj'!AC172)</f>
        <v>178795.99197252039</v>
      </c>
      <c r="N45" s="1414">
        <f>SUM('IV-1 su proj'!AH172)</f>
        <v>151976.59557664231</v>
      </c>
      <c r="O45" s="1414">
        <f>SUM('IV-1 su proj'!AI172)</f>
        <v>2507798.1011764705</v>
      </c>
      <c r="P45" s="1414">
        <f>SUM('IV-1 su proj'!AS172)</f>
        <v>2131628.0500000003</v>
      </c>
      <c r="Q45" s="1522">
        <f t="shared" si="2"/>
        <v>2507798.101176471</v>
      </c>
      <c r="R45" s="1391">
        <f t="shared" si="3"/>
        <v>2131628.0499999998</v>
      </c>
    </row>
    <row r="46" spans="1:18" ht="27" thickBot="1" x14ac:dyDescent="0.3">
      <c r="A46" s="1415" t="s">
        <v>44</v>
      </c>
      <c r="B46" s="1416" t="s">
        <v>1463</v>
      </c>
      <c r="C46" s="832">
        <f>SUM('IV-1 su proj'!C173)</f>
        <v>0</v>
      </c>
      <c r="D46" s="832">
        <f>SUM('IV-1 su proj'!D173)</f>
        <v>0</v>
      </c>
      <c r="E46" s="832">
        <f>SUM('IV-1 su proj'!E173)</f>
        <v>0</v>
      </c>
      <c r="F46" s="832">
        <f>SUM('IV-1 su proj'!J173)</f>
        <v>0</v>
      </c>
      <c r="G46" s="832">
        <f>SUM('IV-1 su proj'!K173)</f>
        <v>281356.90848513809</v>
      </c>
      <c r="H46" s="832">
        <f>SUM('IV-1 su proj'!P173)</f>
        <v>272426.602295327</v>
      </c>
      <c r="I46" s="832">
        <f>SUM('IV-1 su proj'!Q173)</f>
        <v>926088.76570578199</v>
      </c>
      <c r="J46" s="832">
        <f>SUM('IV-1 su proj'!V173)</f>
        <v>760169.10243236995</v>
      </c>
      <c r="K46" s="832">
        <f>SUM('IV-1 su proj'!W173)</f>
        <v>1121556.4350130304</v>
      </c>
      <c r="L46" s="832">
        <f>SUM('IV-1 su proj'!AB173)</f>
        <v>947055.74969566066</v>
      </c>
      <c r="M46" s="832">
        <f>SUM('IV-1 su proj'!AC173)</f>
        <v>178795.99197252039</v>
      </c>
      <c r="N46" s="832">
        <f>SUM('IV-1 su proj'!AH173)</f>
        <v>151976.59557664231</v>
      </c>
      <c r="O46" s="832">
        <f>SUM('IV-1 su proj'!AI173)</f>
        <v>2507798.1011764705</v>
      </c>
      <c r="P46" s="832">
        <f>SUM('IV-1 su proj'!AS173)</f>
        <v>2131628.0500000003</v>
      </c>
      <c r="Q46" s="1522">
        <f>SUM(G46+I46+K46+M46)</f>
        <v>2507798.101176471</v>
      </c>
      <c r="R46" s="1391">
        <f>SUM(H46+J46+L46+N46)</f>
        <v>2131628.0499999998</v>
      </c>
    </row>
    <row r="47" spans="1:18" ht="16.5" thickBot="1" x14ac:dyDescent="0.3">
      <c r="A47" s="193"/>
      <c r="B47" s="1420"/>
      <c r="C47" s="1573" t="s">
        <v>45</v>
      </c>
      <c r="D47" s="1574"/>
      <c r="E47" s="1574"/>
      <c r="F47" s="1574"/>
      <c r="G47" s="1574"/>
      <c r="H47" s="1574"/>
      <c r="I47" s="1574"/>
      <c r="J47" s="1574"/>
      <c r="K47" s="1574"/>
      <c r="L47" s="1574"/>
      <c r="M47" s="1574"/>
      <c r="N47" s="1574"/>
      <c r="O47" s="1574"/>
      <c r="P47" s="1575"/>
    </row>
    <row r="48" spans="1:18" ht="31.5" customHeight="1" thickBot="1" x14ac:dyDescent="0.3">
      <c r="A48" s="193"/>
      <c r="B48" s="1420"/>
      <c r="C48" s="1581">
        <v>2015</v>
      </c>
      <c r="D48" s="1577"/>
      <c r="E48" s="1576">
        <v>2016</v>
      </c>
      <c r="F48" s="1577"/>
      <c r="G48" s="1576">
        <v>2017</v>
      </c>
      <c r="H48" s="1577"/>
      <c r="I48" s="1576">
        <v>2018</v>
      </c>
      <c r="J48" s="1577"/>
      <c r="K48" s="1576">
        <v>2019</v>
      </c>
      <c r="L48" s="1577"/>
      <c r="M48" s="1576">
        <v>2020</v>
      </c>
      <c r="N48" s="1577"/>
      <c r="O48" s="1578" t="s">
        <v>6</v>
      </c>
      <c r="P48" s="1579"/>
    </row>
    <row r="49" spans="1:16" ht="16.5" thickBot="1" x14ac:dyDescent="0.3">
      <c r="A49" s="193"/>
      <c r="B49" s="1420"/>
      <c r="C49" s="1421" t="s">
        <v>9</v>
      </c>
      <c r="D49" s="1421" t="s">
        <v>10</v>
      </c>
      <c r="E49" s="1421" t="s">
        <v>9</v>
      </c>
      <c r="F49" s="1421" t="s">
        <v>10</v>
      </c>
      <c r="G49" s="1421" t="s">
        <v>9</v>
      </c>
      <c r="H49" s="1421" t="s">
        <v>10</v>
      </c>
      <c r="I49" s="1421" t="s">
        <v>9</v>
      </c>
      <c r="J49" s="1421" t="s">
        <v>10</v>
      </c>
      <c r="K49" s="1421" t="s">
        <v>9</v>
      </c>
      <c r="L49" s="1421" t="s">
        <v>10</v>
      </c>
      <c r="M49" s="1421" t="s">
        <v>9</v>
      </c>
      <c r="N49" s="1421" t="s">
        <v>10</v>
      </c>
      <c r="O49" s="1421" t="s">
        <v>9</v>
      </c>
      <c r="P49" s="1422" t="s">
        <v>10</v>
      </c>
    </row>
    <row r="50" spans="1:16" ht="16.5" thickBot="1" x14ac:dyDescent="0.3">
      <c r="A50" s="195"/>
      <c r="B50" s="1423"/>
      <c r="C50" s="1424">
        <f>SUM('IV-1 su proj'!C186)</f>
        <v>0</v>
      </c>
      <c r="D50" s="1424">
        <f>SUM('IV-1 su proj'!D186)</f>
        <v>0</v>
      </c>
      <c r="E50" s="1424">
        <f>SUM('IV-1 su proj'!E186)</f>
        <v>1107408.0345507418</v>
      </c>
      <c r="F50" s="1424">
        <f>SUM('IV-1 su proj'!J186)</f>
        <v>608263.2015903896</v>
      </c>
      <c r="G50" s="1424">
        <f>SUM('IV-1 su proj'!K186)</f>
        <v>7162294.154923494</v>
      </c>
      <c r="H50" s="1424">
        <f>SUM('IV-1 su proj'!P186)</f>
        <v>6075599.3097460335</v>
      </c>
      <c r="I50" s="1424">
        <f>SUM('IV-1 su proj'!Q186)</f>
        <v>26371627.66399892</v>
      </c>
      <c r="J50" s="1424">
        <f>SUM('IV-1 su proj'!V186)</f>
        <v>18462632.986711994</v>
      </c>
      <c r="K50" s="1424">
        <f>SUM('IV-1 su proj'!W186)</f>
        <v>21591917.458407052</v>
      </c>
      <c r="L50" s="1424">
        <f>SUM('IV-1 su proj'!AB186)</f>
        <v>15793706.826409014</v>
      </c>
      <c r="M50" s="1424">
        <f>SUM('IV-1 su proj'!AC186)</f>
        <v>9943849.2745903786</v>
      </c>
      <c r="N50" s="1424">
        <f>SUM('IV-1 su proj'!AH186)</f>
        <v>7013938.4617587831</v>
      </c>
      <c r="O50" s="1424">
        <f>SUM('IV-1 su proj'!AI186)</f>
        <v>66177096.586470574</v>
      </c>
      <c r="P50" s="1424">
        <f>SUM('IV-1 su proj'!AS186)</f>
        <v>47954140.786216214</v>
      </c>
    </row>
    <row r="51" spans="1:16" ht="15.75" thickTop="1" x14ac:dyDescent="0.25"/>
    <row r="55" spans="1:16" x14ac:dyDescent="0.25">
      <c r="P55" s="1391"/>
    </row>
  </sheetData>
  <mergeCells count="23">
    <mergeCell ref="C47:P47"/>
    <mergeCell ref="M48:N48"/>
    <mergeCell ref="O48:P48"/>
    <mergeCell ref="C10:D10"/>
    <mergeCell ref="E10:F10"/>
    <mergeCell ref="G10:H10"/>
    <mergeCell ref="I10:J10"/>
    <mergeCell ref="K10:L10"/>
    <mergeCell ref="C48:D48"/>
    <mergeCell ref="E48:F48"/>
    <mergeCell ref="G48:H48"/>
    <mergeCell ref="I48:J48"/>
    <mergeCell ref="K48:L48"/>
    <mergeCell ref="E1:I1"/>
    <mergeCell ref="B10:B11"/>
    <mergeCell ref="A10:A11"/>
    <mergeCell ref="M10:N10"/>
    <mergeCell ref="O10:P10"/>
    <mergeCell ref="N2:P2"/>
    <mergeCell ref="N3:P3"/>
    <mergeCell ref="N4:P4"/>
    <mergeCell ref="N6:P6"/>
    <mergeCell ref="N7:P7"/>
  </mergeCells>
  <pageMargins left="0.25" right="0.25" top="0.75" bottom="0.75" header="0.3" footer="0.3"/>
  <pageSetup paperSize="8" scale="86" fitToHeight="0" orientation="landscape" r:id="rId1"/>
  <headerFooter>
    <oddHeader>&amp;C&amp;"Times New Roman,Paprastas"&amp;12Alytaus regiono 2014 – 2020 metų plėtros planas (Projektas)</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79"/>
  <sheetViews>
    <sheetView workbookViewId="0">
      <pane ySplit="2640" topLeftCell="A47" activePane="bottomLeft"/>
      <selection activeCell="B1" sqref="B1:B1048576"/>
      <selection pane="bottomLeft" activeCell="R34" sqref="R34"/>
    </sheetView>
  </sheetViews>
  <sheetFormatPr defaultColWidth="9.140625" defaultRowHeight="15" x14ac:dyDescent="0.25"/>
  <cols>
    <col min="1" max="1" width="9.140625" style="85"/>
    <col min="2" max="2" width="13.28515625" style="85" customWidth="1"/>
    <col min="3" max="3" width="27.5703125" style="85" customWidth="1"/>
    <col min="4" max="4" width="12.42578125" style="85" customWidth="1"/>
    <col min="5" max="5" width="14.42578125" style="85" bestFit="1" customWidth="1"/>
    <col min="6" max="6" width="11.42578125" style="85" customWidth="1"/>
    <col min="7" max="7" width="17.28515625" style="85" customWidth="1"/>
    <col min="8" max="8" width="4.5703125" style="85" bestFit="1" customWidth="1"/>
    <col min="9" max="9" width="5" style="85" bestFit="1" customWidth="1"/>
    <col min="10" max="10" width="6.42578125" style="85" bestFit="1" customWidth="1"/>
    <col min="11" max="11" width="12.7109375" style="85" bestFit="1" customWidth="1"/>
    <col min="12" max="12" width="10.5703125" style="85" bestFit="1" customWidth="1"/>
    <col min="13" max="13" width="11.5703125" style="85" bestFit="1" customWidth="1"/>
    <col min="14" max="14" width="10.5703125" style="85" bestFit="1" customWidth="1"/>
    <col min="15" max="15" width="9.140625" style="85"/>
    <col min="16" max="16" width="12.7109375" style="85" bestFit="1" customWidth="1"/>
    <col min="17" max="17" width="12.7109375" style="85" hidden="1" customWidth="1"/>
    <col min="18" max="18" width="11.85546875" style="85" customWidth="1"/>
    <col min="19" max="19" width="10.28515625" style="85" customWidth="1"/>
    <col min="20" max="20" width="9.140625" style="85"/>
    <col min="21" max="21" width="10.85546875" style="85" customWidth="1"/>
    <col min="22" max="23" width="18" style="85" hidden="1" customWidth="1"/>
    <col min="24" max="24" width="22.42578125" style="85" hidden="1" customWidth="1"/>
    <col min="25" max="16384" width="9.140625" style="85"/>
  </cols>
  <sheetData>
    <row r="1" spans="1:24" ht="15.75" thickBot="1" x14ac:dyDescent="0.3">
      <c r="A1" s="59" t="s">
        <v>73</v>
      </c>
      <c r="B1" s="59"/>
    </row>
    <row r="2" spans="1:24" ht="16.5" customHeight="1" thickTop="1" thickBot="1" x14ac:dyDescent="0.3">
      <c r="A2" s="1721" t="s">
        <v>46</v>
      </c>
      <c r="B2" s="1722"/>
      <c r="C2" s="1722"/>
      <c r="D2" s="1722"/>
      <c r="E2" s="1722"/>
      <c r="F2" s="1722"/>
      <c r="G2" s="1722"/>
      <c r="H2" s="1722"/>
      <c r="I2" s="1722"/>
      <c r="J2" s="1723"/>
      <c r="K2" s="1724" t="s">
        <v>47</v>
      </c>
      <c r="L2" s="1722"/>
      <c r="M2" s="1722"/>
      <c r="N2" s="1722"/>
      <c r="O2" s="1722"/>
      <c r="P2" s="1723"/>
      <c r="Q2" s="1724" t="s">
        <v>48</v>
      </c>
      <c r="R2" s="1726"/>
      <c r="S2" s="1726"/>
      <c r="T2" s="1726"/>
      <c r="U2" s="1727"/>
      <c r="V2" s="1719" t="s">
        <v>117</v>
      </c>
      <c r="W2" s="1719" t="s">
        <v>118</v>
      </c>
      <c r="X2" s="1719" t="s">
        <v>122</v>
      </c>
    </row>
    <row r="3" spans="1:24" ht="84.75" thickBot="1" x14ac:dyDescent="0.3">
      <c r="A3" s="60" t="s">
        <v>7</v>
      </c>
      <c r="B3" s="61"/>
      <c r="C3" s="61" t="s">
        <v>49</v>
      </c>
      <c r="D3" s="61" t="s">
        <v>50</v>
      </c>
      <c r="E3" s="61" t="s">
        <v>51</v>
      </c>
      <c r="F3" s="61" t="s">
        <v>52</v>
      </c>
      <c r="G3" s="62" t="s">
        <v>53</v>
      </c>
      <c r="H3" s="61" t="s">
        <v>54</v>
      </c>
      <c r="I3" s="61" t="s">
        <v>55</v>
      </c>
      <c r="J3" s="61" t="s">
        <v>56</v>
      </c>
      <c r="K3" s="61" t="s">
        <v>57</v>
      </c>
      <c r="L3" s="61" t="s">
        <v>58</v>
      </c>
      <c r="M3" s="61" t="s">
        <v>59</v>
      </c>
      <c r="N3" s="61" t="s">
        <v>60</v>
      </c>
      <c r="O3" s="61" t="s">
        <v>61</v>
      </c>
      <c r="P3" s="61" t="s">
        <v>10</v>
      </c>
      <c r="Q3" s="1112" t="s">
        <v>1379</v>
      </c>
      <c r="R3" s="61" t="s">
        <v>62</v>
      </c>
      <c r="S3" s="61" t="s">
        <v>63</v>
      </c>
      <c r="T3" s="61" t="s">
        <v>64</v>
      </c>
      <c r="U3" s="63" t="s">
        <v>65</v>
      </c>
      <c r="V3" s="1720"/>
      <c r="W3" s="1720"/>
      <c r="X3" s="1720"/>
    </row>
    <row r="4" spans="1:24" ht="15.75" thickBot="1" x14ac:dyDescent="0.3">
      <c r="A4" s="44"/>
      <c r="B4" s="41"/>
      <c r="C4" s="41"/>
      <c r="D4" s="41"/>
      <c r="E4" s="41"/>
      <c r="F4" s="41"/>
      <c r="G4" s="36"/>
      <c r="H4" s="41"/>
      <c r="I4" s="41"/>
      <c r="J4" s="41"/>
      <c r="K4" s="41"/>
      <c r="L4" s="41"/>
      <c r="M4" s="41"/>
      <c r="N4" s="41"/>
      <c r="O4" s="41"/>
      <c r="P4" s="41"/>
      <c r="Q4" s="41"/>
      <c r="R4" s="41"/>
      <c r="S4" s="41"/>
      <c r="T4" s="41"/>
      <c r="U4" s="86"/>
      <c r="V4" s="67"/>
      <c r="W4" s="67"/>
      <c r="X4" s="67"/>
    </row>
    <row r="5" spans="1:24" ht="57" customHeight="1" thickBot="1" x14ac:dyDescent="0.3">
      <c r="A5" s="224" t="s">
        <v>11</v>
      </c>
      <c r="B5" s="1107"/>
      <c r="C5" s="1663" t="s">
        <v>1686</v>
      </c>
      <c r="D5" s="1664"/>
      <c r="E5" s="1664"/>
      <c r="F5" s="1664"/>
      <c r="G5" s="1664"/>
      <c r="H5" s="1664"/>
      <c r="I5" s="1664"/>
      <c r="J5" s="1665"/>
      <c r="K5" s="218">
        <f t="shared" ref="K5:P5" si="0">SUM(K6+K32)</f>
        <v>4793749.7058823528</v>
      </c>
      <c r="L5" s="218">
        <f t="shared" si="0"/>
        <v>490028.70588235295</v>
      </c>
      <c r="M5" s="218">
        <f t="shared" si="0"/>
        <v>235280</v>
      </c>
      <c r="N5" s="218">
        <f t="shared" si="0"/>
        <v>613256</v>
      </c>
      <c r="O5" s="218">
        <f t="shared" si="0"/>
        <v>0</v>
      </c>
      <c r="P5" s="218">
        <f t="shared" si="0"/>
        <v>3455185</v>
      </c>
      <c r="Q5" s="218"/>
      <c r="R5" s="225" t="s">
        <v>66</v>
      </c>
      <c r="S5" s="225" t="s">
        <v>66</v>
      </c>
      <c r="T5" s="225" t="s">
        <v>66</v>
      </c>
      <c r="U5" s="236"/>
      <c r="V5" s="68">
        <f>SUM(V6+V32)</f>
        <v>3455125.3220000002</v>
      </c>
      <c r="W5" s="68">
        <f>SUM(W6+W32)</f>
        <v>4146150.3863999997</v>
      </c>
      <c r="X5" s="68" t="e">
        <f>SUM(X6+X32)</f>
        <v>#REF!</v>
      </c>
    </row>
    <row r="6" spans="1:24" ht="54.75" customHeight="1" thickBot="1" x14ac:dyDescent="0.3">
      <c r="A6" s="216" t="s">
        <v>12</v>
      </c>
      <c r="B6" s="1106"/>
      <c r="C6" s="1653" t="s">
        <v>1687</v>
      </c>
      <c r="D6" s="1666"/>
      <c r="E6" s="1666"/>
      <c r="F6" s="1666"/>
      <c r="G6" s="1666"/>
      <c r="H6" s="1666"/>
      <c r="I6" s="1666"/>
      <c r="J6" s="1667"/>
      <c r="K6" s="196">
        <f t="shared" ref="K6:P6" si="1">SUM(K7+K16+K18+K20+K22+K24+K26+K28+K30)</f>
        <v>4120319.7058823528</v>
      </c>
      <c r="L6" s="196">
        <f t="shared" si="1"/>
        <v>385861.70588235295</v>
      </c>
      <c r="M6" s="196">
        <f t="shared" si="1"/>
        <v>235280</v>
      </c>
      <c r="N6" s="196">
        <f t="shared" si="1"/>
        <v>613256</v>
      </c>
      <c r="O6" s="196">
        <f t="shared" si="1"/>
        <v>0</v>
      </c>
      <c r="P6" s="196">
        <f t="shared" si="1"/>
        <v>2885922</v>
      </c>
      <c r="Q6" s="196"/>
      <c r="R6" s="197" t="s">
        <v>66</v>
      </c>
      <c r="S6" s="197" t="s">
        <v>66</v>
      </c>
      <c r="T6" s="197" t="s">
        <v>66</v>
      </c>
      <c r="U6" s="237"/>
      <c r="V6" s="69">
        <f>SUM(V7+V16+V18+V20+V22+V24+V26+V28+V30)</f>
        <v>2885862.3220000002</v>
      </c>
      <c r="W6" s="69">
        <f>SUM(W7+W16+W18+W20+W22+W24+W26+W28+W30)</f>
        <v>3463034.7863999996</v>
      </c>
      <c r="X6" s="69" t="e">
        <f>SUM(X7+X16+X18+X20+X22+X24+X26+X28+X30)</f>
        <v>#REF!</v>
      </c>
    </row>
    <row r="7" spans="1:24" ht="39" customHeight="1" thickBot="1" x14ac:dyDescent="0.3">
      <c r="A7" s="498" t="s">
        <v>67</v>
      </c>
      <c r="B7" s="1102"/>
      <c r="C7" s="1651" t="s">
        <v>635</v>
      </c>
      <c r="D7" s="1660"/>
      <c r="E7" s="1660"/>
      <c r="F7" s="1660"/>
      <c r="G7" s="1660"/>
      <c r="H7" s="1660"/>
      <c r="I7" s="1660"/>
      <c r="J7" s="1661"/>
      <c r="K7" s="500">
        <f t="shared" ref="K7:P7" si="2">SUM(K8:K15)</f>
        <v>1311016</v>
      </c>
      <c r="L7" s="500">
        <f t="shared" si="2"/>
        <v>264219</v>
      </c>
      <c r="M7" s="500">
        <f t="shared" si="2"/>
        <v>157020</v>
      </c>
      <c r="N7" s="500">
        <f t="shared" si="2"/>
        <v>0</v>
      </c>
      <c r="O7" s="500">
        <f t="shared" si="2"/>
        <v>0</v>
      </c>
      <c r="P7" s="500">
        <f t="shared" si="2"/>
        <v>889777</v>
      </c>
      <c r="Q7" s="148"/>
      <c r="R7" s="500" t="s">
        <v>66</v>
      </c>
      <c r="S7" s="500" t="s">
        <v>66</v>
      </c>
      <c r="T7" s="500" t="s">
        <v>66</v>
      </c>
      <c r="U7" s="500"/>
      <c r="V7" s="70">
        <v>889717</v>
      </c>
      <c r="W7" s="70">
        <f>SUM(V7*120/100)</f>
        <v>1067660.3999999999</v>
      </c>
      <c r="X7" s="71" t="e">
        <f>SUM(V7-(P7+#REF!))</f>
        <v>#REF!</v>
      </c>
    </row>
    <row r="8" spans="1:24" s="89" customFormat="1" ht="48.75" thickBot="1" x14ac:dyDescent="0.3">
      <c r="A8" s="189" t="str">
        <f>CONCATENATE('3 pr-2'!A16)</f>
        <v>1.1.1.1.7</v>
      </c>
      <c r="B8" s="189"/>
      <c r="C8" s="189" t="s">
        <v>446</v>
      </c>
      <c r="D8" s="189" t="s">
        <v>185</v>
      </c>
      <c r="E8" s="189" t="s">
        <v>74</v>
      </c>
      <c r="F8" s="189" t="s">
        <v>191</v>
      </c>
      <c r="G8" s="189" t="s">
        <v>466</v>
      </c>
      <c r="H8" s="590" t="s">
        <v>119</v>
      </c>
      <c r="I8" s="590" t="s">
        <v>66</v>
      </c>
      <c r="J8" s="590" t="s">
        <v>66</v>
      </c>
      <c r="K8" s="468">
        <f t="shared" ref="K8:K15" si="3">SUM(L8:P8)</f>
        <v>252212</v>
      </c>
      <c r="L8" s="468">
        <v>52212</v>
      </c>
      <c r="M8" s="468">
        <v>30000</v>
      </c>
      <c r="N8" s="468">
        <v>0</v>
      </c>
      <c r="O8" s="468">
        <v>0</v>
      </c>
      <c r="P8" s="468">
        <v>170000</v>
      </c>
      <c r="Q8" s="1111">
        <v>42643</v>
      </c>
      <c r="R8" s="1111">
        <v>42855</v>
      </c>
      <c r="S8" s="1111">
        <v>43010</v>
      </c>
      <c r="T8" s="1111">
        <v>43102</v>
      </c>
      <c r="U8" s="1111">
        <v>43465</v>
      </c>
      <c r="V8" s="88"/>
      <c r="W8" s="88"/>
      <c r="X8" s="88"/>
    </row>
    <row r="9" spans="1:24" s="89" customFormat="1" ht="36.75" thickBot="1" x14ac:dyDescent="0.3">
      <c r="A9" s="189" t="str">
        <f>CONCATENATE('3 pr-2'!A17)</f>
        <v>1.1.1.1.8</v>
      </c>
      <c r="B9" s="189"/>
      <c r="C9" s="189" t="s">
        <v>447</v>
      </c>
      <c r="D9" s="189" t="s">
        <v>185</v>
      </c>
      <c r="E9" s="189" t="s">
        <v>74</v>
      </c>
      <c r="F9" s="189" t="s">
        <v>191</v>
      </c>
      <c r="G9" s="189" t="s">
        <v>466</v>
      </c>
      <c r="H9" s="590" t="s">
        <v>119</v>
      </c>
      <c r="I9" s="590" t="s">
        <v>66</v>
      </c>
      <c r="J9" s="590" t="s">
        <v>66</v>
      </c>
      <c r="K9" s="468">
        <f t="shared" si="3"/>
        <v>250309</v>
      </c>
      <c r="L9" s="468">
        <v>50309</v>
      </c>
      <c r="M9" s="468">
        <v>30000</v>
      </c>
      <c r="N9" s="468">
        <v>0</v>
      </c>
      <c r="O9" s="468">
        <v>0</v>
      </c>
      <c r="P9" s="468">
        <v>170000</v>
      </c>
      <c r="Q9" s="1111">
        <v>42643</v>
      </c>
      <c r="R9" s="1111">
        <v>42855</v>
      </c>
      <c r="S9" s="1111">
        <v>43010</v>
      </c>
      <c r="T9" s="1111">
        <v>43102</v>
      </c>
      <c r="U9" s="1111">
        <v>43465</v>
      </c>
      <c r="V9" s="1145"/>
      <c r="W9" s="1145"/>
      <c r="X9" s="1146"/>
    </row>
    <row r="10" spans="1:24" s="89" customFormat="1" ht="36.75" thickBot="1" x14ac:dyDescent="0.3">
      <c r="A10" s="189" t="str">
        <f>CONCATENATE('3 pr-2'!A21)</f>
        <v>1.1.1.1.12</v>
      </c>
      <c r="B10" s="189"/>
      <c r="C10" s="189" t="s">
        <v>451</v>
      </c>
      <c r="D10" s="189" t="s">
        <v>185</v>
      </c>
      <c r="E10" s="189" t="s">
        <v>74</v>
      </c>
      <c r="F10" s="189" t="s">
        <v>191</v>
      </c>
      <c r="G10" s="189" t="s">
        <v>466</v>
      </c>
      <c r="H10" s="590" t="s">
        <v>119</v>
      </c>
      <c r="I10" s="590" t="s">
        <v>66</v>
      </c>
      <c r="J10" s="590" t="s">
        <v>66</v>
      </c>
      <c r="K10" s="468">
        <f t="shared" si="3"/>
        <v>153566</v>
      </c>
      <c r="L10" s="468">
        <v>30713</v>
      </c>
      <c r="M10" s="468">
        <v>18428</v>
      </c>
      <c r="N10" s="468">
        <v>0</v>
      </c>
      <c r="O10" s="468">
        <v>0</v>
      </c>
      <c r="P10" s="468">
        <v>104425</v>
      </c>
      <c r="Q10" s="1111">
        <v>42643</v>
      </c>
      <c r="R10" s="1111">
        <v>42855</v>
      </c>
      <c r="S10" s="1111">
        <v>43010</v>
      </c>
      <c r="T10" s="1111">
        <v>43102</v>
      </c>
      <c r="U10" s="1111">
        <v>43465</v>
      </c>
      <c r="V10" s="88"/>
      <c r="W10" s="88"/>
      <c r="X10" s="595"/>
    </row>
    <row r="11" spans="1:24" s="89" customFormat="1" ht="36.75" thickBot="1" x14ac:dyDescent="0.3">
      <c r="A11" s="189" t="str">
        <f>CONCATENATE('3 pr-2'!A22)</f>
        <v>1.1.1.1.13</v>
      </c>
      <c r="B11" s="189"/>
      <c r="C11" s="189" t="s">
        <v>452</v>
      </c>
      <c r="D11" s="189" t="s">
        <v>185</v>
      </c>
      <c r="E11" s="189" t="s">
        <v>74</v>
      </c>
      <c r="F11" s="189" t="s">
        <v>191</v>
      </c>
      <c r="G11" s="189" t="s">
        <v>466</v>
      </c>
      <c r="H11" s="590" t="s">
        <v>119</v>
      </c>
      <c r="I11" s="590" t="s">
        <v>66</v>
      </c>
      <c r="J11" s="590" t="s">
        <v>66</v>
      </c>
      <c r="K11" s="468">
        <f t="shared" si="3"/>
        <v>250000</v>
      </c>
      <c r="L11" s="468">
        <v>50000</v>
      </c>
      <c r="M11" s="468">
        <v>30000</v>
      </c>
      <c r="N11" s="468">
        <v>0</v>
      </c>
      <c r="O11" s="468">
        <v>0</v>
      </c>
      <c r="P11" s="468">
        <v>170000</v>
      </c>
      <c r="Q11" s="1111">
        <v>42643</v>
      </c>
      <c r="R11" s="1111">
        <v>42855</v>
      </c>
      <c r="S11" s="1111">
        <v>43010</v>
      </c>
      <c r="T11" s="1111">
        <v>43102</v>
      </c>
      <c r="U11" s="1111">
        <v>43465</v>
      </c>
      <c r="V11" s="88"/>
      <c r="W11" s="88"/>
      <c r="X11" s="595"/>
    </row>
    <row r="12" spans="1:24" s="89" customFormat="1" ht="36.75" thickBot="1" x14ac:dyDescent="0.3">
      <c r="A12" s="189" t="str">
        <f>CONCATENATE('3 pr-2'!A24)</f>
        <v>1.1.1.1.15</v>
      </c>
      <c r="B12" s="189"/>
      <c r="C12" s="189" t="s">
        <v>454</v>
      </c>
      <c r="D12" s="189" t="s">
        <v>185</v>
      </c>
      <c r="E12" s="189" t="s">
        <v>74</v>
      </c>
      <c r="F12" s="189" t="s">
        <v>191</v>
      </c>
      <c r="G12" s="189" t="s">
        <v>466</v>
      </c>
      <c r="H12" s="590" t="s">
        <v>119</v>
      </c>
      <c r="I12" s="590" t="s">
        <v>66</v>
      </c>
      <c r="J12" s="590" t="s">
        <v>66</v>
      </c>
      <c r="K12" s="468">
        <f t="shared" si="3"/>
        <v>76480</v>
      </c>
      <c r="L12" s="468">
        <v>15296</v>
      </c>
      <c r="M12" s="468">
        <v>9178</v>
      </c>
      <c r="N12" s="468">
        <v>0</v>
      </c>
      <c r="O12" s="468">
        <v>0</v>
      </c>
      <c r="P12" s="468">
        <v>52006</v>
      </c>
      <c r="Q12" s="1111">
        <v>42643</v>
      </c>
      <c r="R12" s="1111">
        <v>42855</v>
      </c>
      <c r="S12" s="1111">
        <v>43010</v>
      </c>
      <c r="T12" s="1111">
        <v>43102</v>
      </c>
      <c r="U12" s="1111">
        <v>43465</v>
      </c>
      <c r="V12" s="88"/>
      <c r="W12" s="88"/>
      <c r="X12" s="595"/>
    </row>
    <row r="13" spans="1:24" s="89" customFormat="1" ht="36.75" thickBot="1" x14ac:dyDescent="0.3">
      <c r="A13" s="189" t="str">
        <f>CONCATENATE('3 pr-2'!A25)</f>
        <v>1.1.1.1.16</v>
      </c>
      <c r="B13" s="189"/>
      <c r="C13" s="189" t="s">
        <v>455</v>
      </c>
      <c r="D13" s="189" t="s">
        <v>185</v>
      </c>
      <c r="E13" s="189" t="s">
        <v>74</v>
      </c>
      <c r="F13" s="189" t="s">
        <v>191</v>
      </c>
      <c r="G13" s="189" t="s">
        <v>466</v>
      </c>
      <c r="H13" s="590" t="s">
        <v>119</v>
      </c>
      <c r="I13" s="590" t="s">
        <v>66</v>
      </c>
      <c r="J13" s="590" t="s">
        <v>66</v>
      </c>
      <c r="K13" s="468">
        <f t="shared" si="3"/>
        <v>139472</v>
      </c>
      <c r="L13" s="468">
        <v>27894</v>
      </c>
      <c r="M13" s="468">
        <v>16737</v>
      </c>
      <c r="N13" s="468">
        <v>0</v>
      </c>
      <c r="O13" s="468">
        <v>0</v>
      </c>
      <c r="P13" s="468">
        <v>94841</v>
      </c>
      <c r="Q13" s="1111">
        <v>42643</v>
      </c>
      <c r="R13" s="1111">
        <v>42855</v>
      </c>
      <c r="S13" s="1111">
        <v>43010</v>
      </c>
      <c r="T13" s="1111">
        <v>43102</v>
      </c>
      <c r="U13" s="1111">
        <v>43465</v>
      </c>
      <c r="V13" s="88"/>
      <c r="W13" s="88"/>
      <c r="X13" s="595"/>
    </row>
    <row r="14" spans="1:24" s="89" customFormat="1" ht="36.75" thickBot="1" x14ac:dyDescent="0.3">
      <c r="A14" s="189" t="str">
        <f>CONCATENATE('3 pr-2'!A28)</f>
        <v>1.1.1.1.19</v>
      </c>
      <c r="B14" s="189"/>
      <c r="C14" s="189" t="s">
        <v>458</v>
      </c>
      <c r="D14" s="189" t="s">
        <v>185</v>
      </c>
      <c r="E14" s="189" t="s">
        <v>74</v>
      </c>
      <c r="F14" s="189" t="s">
        <v>191</v>
      </c>
      <c r="G14" s="189" t="s">
        <v>466</v>
      </c>
      <c r="H14" s="590" t="s">
        <v>119</v>
      </c>
      <c r="I14" s="590" t="s">
        <v>66</v>
      </c>
      <c r="J14" s="590" t="s">
        <v>66</v>
      </c>
      <c r="K14" s="468">
        <f t="shared" si="3"/>
        <v>117986</v>
      </c>
      <c r="L14" s="468">
        <v>23597</v>
      </c>
      <c r="M14" s="468">
        <v>14158</v>
      </c>
      <c r="N14" s="468">
        <v>0</v>
      </c>
      <c r="O14" s="468">
        <v>0</v>
      </c>
      <c r="P14" s="468">
        <v>80231</v>
      </c>
      <c r="Q14" s="1111">
        <v>42643</v>
      </c>
      <c r="R14" s="1111">
        <v>42855</v>
      </c>
      <c r="S14" s="1111">
        <v>43010</v>
      </c>
      <c r="T14" s="1111">
        <v>43102</v>
      </c>
      <c r="U14" s="1111">
        <v>43465</v>
      </c>
      <c r="V14" s="88"/>
      <c r="W14" s="88"/>
      <c r="X14" s="595"/>
    </row>
    <row r="15" spans="1:24" s="89" customFormat="1" ht="36.75" thickBot="1" x14ac:dyDescent="0.3">
      <c r="A15" s="189" t="str">
        <f>CONCATENATE('3 pr-2'!A31)</f>
        <v>1.1.1.1.22</v>
      </c>
      <c r="B15" s="189"/>
      <c r="C15" s="189" t="s">
        <v>461</v>
      </c>
      <c r="D15" s="189" t="s">
        <v>185</v>
      </c>
      <c r="E15" s="189" t="s">
        <v>74</v>
      </c>
      <c r="F15" s="189" t="s">
        <v>191</v>
      </c>
      <c r="G15" s="189" t="s">
        <v>466</v>
      </c>
      <c r="H15" s="590" t="s">
        <v>119</v>
      </c>
      <c r="I15" s="590" t="s">
        <v>66</v>
      </c>
      <c r="J15" s="590" t="s">
        <v>66</v>
      </c>
      <c r="K15" s="468">
        <f t="shared" si="3"/>
        <v>70991</v>
      </c>
      <c r="L15" s="468">
        <v>14198</v>
      </c>
      <c r="M15" s="468">
        <v>8519</v>
      </c>
      <c r="N15" s="468">
        <v>0</v>
      </c>
      <c r="O15" s="468">
        <v>0</v>
      </c>
      <c r="P15" s="468">
        <v>48274</v>
      </c>
      <c r="Q15" s="1111">
        <v>42643</v>
      </c>
      <c r="R15" s="1111">
        <v>42855</v>
      </c>
      <c r="S15" s="1111">
        <v>43010</v>
      </c>
      <c r="T15" s="1111">
        <v>43102</v>
      </c>
      <c r="U15" s="1111">
        <v>43465</v>
      </c>
      <c r="V15" s="88"/>
      <c r="W15" s="88"/>
      <c r="X15" s="595"/>
    </row>
    <row r="16" spans="1:24" ht="39" customHeight="1" thickBot="1" x14ac:dyDescent="0.3">
      <c r="A16" s="498" t="s">
        <v>14</v>
      </c>
      <c r="B16" s="1102"/>
      <c r="C16" s="1651" t="s">
        <v>636</v>
      </c>
      <c r="D16" s="1660"/>
      <c r="E16" s="1660"/>
      <c r="F16" s="1660"/>
      <c r="G16" s="1660"/>
      <c r="H16" s="1660"/>
      <c r="I16" s="1660"/>
      <c r="J16" s="1661"/>
      <c r="K16" s="500">
        <f t="shared" ref="K16:O16" si="4">SUM(K17)</f>
        <v>1043467</v>
      </c>
      <c r="L16" s="500">
        <f t="shared" si="4"/>
        <v>78260</v>
      </c>
      <c r="M16" s="500">
        <f t="shared" si="4"/>
        <v>78260</v>
      </c>
      <c r="N16" s="500">
        <f t="shared" si="4"/>
        <v>0</v>
      </c>
      <c r="O16" s="500">
        <f t="shared" si="4"/>
        <v>0</v>
      </c>
      <c r="P16" s="500">
        <f>SUM(P17)</f>
        <v>886947</v>
      </c>
      <c r="Q16" s="148"/>
      <c r="R16" s="500"/>
      <c r="S16" s="500"/>
      <c r="T16" s="500"/>
      <c r="U16" s="500"/>
      <c r="V16" s="70">
        <v>886947</v>
      </c>
      <c r="W16" s="70">
        <f>SUM(V16*120/100)</f>
        <v>1064336.3999999999</v>
      </c>
      <c r="X16" s="71">
        <f>SUM(V16-P16)</f>
        <v>0</v>
      </c>
    </row>
    <row r="17" spans="1:24" s="1147" customFormat="1" ht="48.75" thickBot="1" x14ac:dyDescent="0.25">
      <c r="A17" s="189" t="str">
        <f>CONCATENATE('3 pr-2'!A36)</f>
        <v>1.1.1.2.3</v>
      </c>
      <c r="B17" s="189"/>
      <c r="C17" s="189" t="s">
        <v>184</v>
      </c>
      <c r="D17" s="189" t="s">
        <v>185</v>
      </c>
      <c r="E17" s="189" t="s">
        <v>75</v>
      </c>
      <c r="F17" s="189" t="s">
        <v>294</v>
      </c>
      <c r="G17" s="189" t="s">
        <v>146</v>
      </c>
      <c r="H17" s="590" t="s">
        <v>119</v>
      </c>
      <c r="I17" s="590" t="s">
        <v>66</v>
      </c>
      <c r="J17" s="590" t="s">
        <v>66</v>
      </c>
      <c r="K17" s="468">
        <f>SUM(L17:P17)</f>
        <v>1043467</v>
      </c>
      <c r="L17" s="468">
        <v>78260</v>
      </c>
      <c r="M17" s="468">
        <v>78260</v>
      </c>
      <c r="N17" s="468">
        <v>0</v>
      </c>
      <c r="O17" s="468">
        <v>0</v>
      </c>
      <c r="P17" s="468">
        <v>886947</v>
      </c>
      <c r="Q17" s="1111">
        <v>42982</v>
      </c>
      <c r="R17" s="1111">
        <v>43190</v>
      </c>
      <c r="S17" s="1111">
        <v>43281</v>
      </c>
      <c r="T17" s="1111">
        <v>43373</v>
      </c>
      <c r="U17" s="1111">
        <v>44196</v>
      </c>
      <c r="V17" s="88"/>
      <c r="W17" s="88"/>
      <c r="X17" s="88"/>
    </row>
    <row r="18" spans="1:24" ht="39" customHeight="1" thickBot="1" x14ac:dyDescent="0.3">
      <c r="A18" s="498" t="s">
        <v>70</v>
      </c>
      <c r="B18" s="1102"/>
      <c r="C18" s="1651" t="s">
        <v>645</v>
      </c>
      <c r="D18" s="1660"/>
      <c r="E18" s="1660"/>
      <c r="F18" s="1660"/>
      <c r="G18" s="1660"/>
      <c r="H18" s="1660"/>
      <c r="I18" s="1660"/>
      <c r="J18" s="1661"/>
      <c r="K18" s="500">
        <f t="shared" ref="K18:P20" si="5">SUM(K19:K19)</f>
        <v>0</v>
      </c>
      <c r="L18" s="500">
        <f t="shared" si="5"/>
        <v>0</v>
      </c>
      <c r="M18" s="500">
        <f t="shared" si="5"/>
        <v>0</v>
      </c>
      <c r="N18" s="500">
        <f t="shared" si="5"/>
        <v>0</v>
      </c>
      <c r="O18" s="500">
        <f t="shared" si="5"/>
        <v>0</v>
      </c>
      <c r="P18" s="500">
        <f t="shared" si="5"/>
        <v>0</v>
      </c>
      <c r="Q18" s="148"/>
      <c r="R18" s="500"/>
      <c r="S18" s="500"/>
      <c r="T18" s="500"/>
      <c r="U18" s="500"/>
      <c r="V18" s="70">
        <v>0</v>
      </c>
      <c r="W18" s="70">
        <f>SUM(V18*120/100)</f>
        <v>0</v>
      </c>
      <c r="X18" s="71">
        <f>SUM(V18-P18)</f>
        <v>0</v>
      </c>
    </row>
    <row r="19" spans="1:24" ht="15.75" thickBot="1" x14ac:dyDescent="0.3">
      <c r="A19" s="34"/>
      <c r="B19" s="34"/>
      <c r="C19" s="34"/>
      <c r="D19" s="33"/>
      <c r="E19" s="33"/>
      <c r="F19" s="33"/>
      <c r="G19" s="17"/>
      <c r="H19" s="33" t="s">
        <v>66</v>
      </c>
      <c r="I19" s="33"/>
      <c r="J19" s="33" t="s">
        <v>66</v>
      </c>
      <c r="K19" s="38"/>
      <c r="L19" s="38"/>
      <c r="M19" s="38"/>
      <c r="N19" s="38"/>
      <c r="O19" s="38"/>
      <c r="P19" s="38"/>
      <c r="Q19" s="38"/>
      <c r="R19" s="99"/>
      <c r="S19" s="99"/>
      <c r="T19" s="99"/>
      <c r="U19" s="33"/>
      <c r="V19" s="67"/>
      <c r="W19" s="67"/>
      <c r="X19" s="67"/>
    </row>
    <row r="20" spans="1:24" ht="39" customHeight="1" thickBot="1" x14ac:dyDescent="0.3">
      <c r="A20" s="498" t="s">
        <v>16</v>
      </c>
      <c r="B20" s="1102"/>
      <c r="C20" s="1651" t="s">
        <v>646</v>
      </c>
      <c r="D20" s="1660"/>
      <c r="E20" s="1660"/>
      <c r="F20" s="1660"/>
      <c r="G20" s="1660"/>
      <c r="H20" s="1660"/>
      <c r="I20" s="1660"/>
      <c r="J20" s="1661"/>
      <c r="K20" s="500">
        <f t="shared" si="5"/>
        <v>0</v>
      </c>
      <c r="L20" s="500">
        <f t="shared" si="5"/>
        <v>0</v>
      </c>
      <c r="M20" s="500">
        <f t="shared" si="5"/>
        <v>0</v>
      </c>
      <c r="N20" s="500">
        <f t="shared" si="5"/>
        <v>0</v>
      </c>
      <c r="O20" s="500">
        <f t="shared" si="5"/>
        <v>0</v>
      </c>
      <c r="P20" s="500">
        <f t="shared" si="5"/>
        <v>0</v>
      </c>
      <c r="Q20" s="148"/>
      <c r="R20" s="500"/>
      <c r="S20" s="500"/>
      <c r="T20" s="500"/>
      <c r="U20" s="500"/>
      <c r="V20" s="70">
        <v>0</v>
      </c>
      <c r="W20" s="70">
        <f>SUM(V20*120/100)</f>
        <v>0</v>
      </c>
      <c r="X20" s="71">
        <v>0</v>
      </c>
    </row>
    <row r="21" spans="1:24" ht="15.75" thickBot="1" x14ac:dyDescent="0.3">
      <c r="A21" s="32"/>
      <c r="B21" s="39"/>
      <c r="C21" s="41"/>
      <c r="D21" s="41"/>
      <c r="E21" s="41"/>
      <c r="F21" s="41"/>
      <c r="G21" s="36"/>
      <c r="H21" s="41"/>
      <c r="I21" s="41"/>
      <c r="J21" s="41"/>
      <c r="K21" s="18"/>
      <c r="L21" s="18"/>
      <c r="M21" s="18"/>
      <c r="N21" s="18"/>
      <c r="O21" s="18"/>
      <c r="P21" s="18"/>
      <c r="Q21" s="18"/>
      <c r="R21" s="41"/>
      <c r="S21" s="41"/>
      <c r="T21" s="41"/>
      <c r="U21" s="90"/>
      <c r="V21" s="67"/>
      <c r="W21" s="67"/>
      <c r="X21" s="67"/>
    </row>
    <row r="22" spans="1:24" ht="39" customHeight="1" thickBot="1" x14ac:dyDescent="0.3">
      <c r="A22" s="498" t="s">
        <v>76</v>
      </c>
      <c r="B22" s="1102"/>
      <c r="C22" s="1651" t="s">
        <v>647</v>
      </c>
      <c r="D22" s="1660"/>
      <c r="E22" s="1660"/>
      <c r="F22" s="1660"/>
      <c r="G22" s="1660"/>
      <c r="H22" s="1660"/>
      <c r="I22" s="1660"/>
      <c r="J22" s="1661"/>
      <c r="K22" s="500">
        <f t="shared" ref="K22:P22" si="6">SUM(K23:K23)</f>
        <v>1481000</v>
      </c>
      <c r="L22" s="500">
        <f t="shared" si="6"/>
        <v>0</v>
      </c>
      <c r="M22" s="500">
        <f t="shared" si="6"/>
        <v>0</v>
      </c>
      <c r="N22" s="500">
        <f t="shared" si="6"/>
        <v>613256</v>
      </c>
      <c r="O22" s="500">
        <f t="shared" si="6"/>
        <v>0</v>
      </c>
      <c r="P22" s="500">
        <f t="shared" si="6"/>
        <v>867744</v>
      </c>
      <c r="Q22" s="148"/>
      <c r="R22" s="500"/>
      <c r="S22" s="500"/>
      <c r="T22" s="500"/>
      <c r="U22" s="500"/>
      <c r="V22" s="70">
        <v>867744</v>
      </c>
      <c r="W22" s="70">
        <f>SUM(V22*120/100)</f>
        <v>1041292.8</v>
      </c>
      <c r="X22" s="71">
        <f>SUM(V22-P22)</f>
        <v>0</v>
      </c>
    </row>
    <row r="23" spans="1:24" s="89" customFormat="1" ht="48.75" thickBot="1" x14ac:dyDescent="0.3">
      <c r="A23" s="189" t="str">
        <f>CONCATENATE('3 pr-2'!A55)</f>
        <v>1.1.1.5.5.</v>
      </c>
      <c r="B23" s="189"/>
      <c r="C23" s="189" t="s">
        <v>318</v>
      </c>
      <c r="D23" s="189" t="s">
        <v>311</v>
      </c>
      <c r="E23" s="189" t="s">
        <v>77</v>
      </c>
      <c r="F23" s="189" t="s">
        <v>312</v>
      </c>
      <c r="G23" s="189" t="s">
        <v>144</v>
      </c>
      <c r="H23" s="590" t="s">
        <v>119</v>
      </c>
      <c r="I23" s="590" t="s">
        <v>66</v>
      </c>
      <c r="J23" s="590" t="s">
        <v>66</v>
      </c>
      <c r="K23" s="1142">
        <f>SUM(L23:P23)</f>
        <v>1481000</v>
      </c>
      <c r="L23" s="1142">
        <v>0</v>
      </c>
      <c r="M23" s="468">
        <v>0</v>
      </c>
      <c r="N23" s="1142">
        <v>613256</v>
      </c>
      <c r="O23" s="468">
        <v>0</v>
      </c>
      <c r="P23" s="468">
        <v>867744</v>
      </c>
      <c r="Q23" s="1111">
        <v>42451</v>
      </c>
      <c r="R23" s="1111">
        <v>42551</v>
      </c>
      <c r="S23" s="1111">
        <v>42919</v>
      </c>
      <c r="T23" s="1111">
        <v>43039</v>
      </c>
      <c r="U23" s="1144">
        <v>44196</v>
      </c>
      <c r="V23" s="88"/>
      <c r="W23" s="88"/>
      <c r="X23" s="88"/>
    </row>
    <row r="24" spans="1:24" ht="39" customHeight="1" thickBot="1" x14ac:dyDescent="0.3">
      <c r="A24" s="498" t="s">
        <v>79</v>
      </c>
      <c r="B24" s="1102"/>
      <c r="C24" s="1651" t="s">
        <v>648</v>
      </c>
      <c r="D24" s="1660"/>
      <c r="E24" s="1660"/>
      <c r="F24" s="1660"/>
      <c r="G24" s="1660"/>
      <c r="H24" s="1660"/>
      <c r="I24" s="1660"/>
      <c r="J24" s="1661"/>
      <c r="K24" s="500">
        <f t="shared" ref="K24:P24" si="7">SUM(K25)</f>
        <v>0</v>
      </c>
      <c r="L24" s="500">
        <f t="shared" si="7"/>
        <v>0</v>
      </c>
      <c r="M24" s="500">
        <f t="shared" si="7"/>
        <v>0</v>
      </c>
      <c r="N24" s="500">
        <f t="shared" si="7"/>
        <v>0</v>
      </c>
      <c r="O24" s="500">
        <f t="shared" si="7"/>
        <v>0</v>
      </c>
      <c r="P24" s="500">
        <f t="shared" si="7"/>
        <v>0</v>
      </c>
      <c r="Q24" s="148"/>
      <c r="R24" s="500"/>
      <c r="S24" s="500"/>
      <c r="T24" s="500"/>
      <c r="U24" s="500"/>
      <c r="V24" s="70">
        <v>0</v>
      </c>
      <c r="W24" s="70">
        <f>SUM(V24*120/100)</f>
        <v>0</v>
      </c>
      <c r="X24" s="71">
        <f>SUM(V24-P24)</f>
        <v>0</v>
      </c>
    </row>
    <row r="25" spans="1:24" ht="15.75" thickBot="1" x14ac:dyDescent="0.3">
      <c r="A25" s="147"/>
      <c r="B25" s="147"/>
      <c r="C25" s="147"/>
      <c r="D25" s="147"/>
      <c r="E25" s="147"/>
      <c r="F25" s="147"/>
      <c r="G25" s="147"/>
      <c r="H25" s="40"/>
      <c r="I25" s="40"/>
      <c r="J25" s="40"/>
      <c r="K25" s="42"/>
      <c r="L25" s="42"/>
      <c r="M25" s="42"/>
      <c r="N25" s="42"/>
      <c r="O25" s="42"/>
      <c r="P25" s="42"/>
      <c r="Q25" s="42"/>
      <c r="R25" s="550"/>
      <c r="S25" s="550"/>
      <c r="T25" s="550"/>
      <c r="U25" s="1137"/>
      <c r="V25" s="67"/>
      <c r="W25" s="67"/>
      <c r="X25" s="67"/>
    </row>
    <row r="26" spans="1:24" ht="39" customHeight="1" thickBot="1" x14ac:dyDescent="0.3">
      <c r="A26" s="498" t="s">
        <v>81</v>
      </c>
      <c r="B26" s="1102"/>
      <c r="C26" s="1651" t="s">
        <v>649</v>
      </c>
      <c r="D26" s="1660"/>
      <c r="E26" s="1660"/>
      <c r="F26" s="1660"/>
      <c r="G26" s="1660"/>
      <c r="H26" s="1660"/>
      <c r="I26" s="1660"/>
      <c r="J26" s="1661"/>
      <c r="K26" s="500">
        <f>SUM(K27)</f>
        <v>41644.705882352944</v>
      </c>
      <c r="L26" s="500">
        <f>SUM(L27)</f>
        <v>6246.7058823529414</v>
      </c>
      <c r="M26" s="500">
        <f t="shared" ref="M26:O28" si="8">SUM(M27)</f>
        <v>0</v>
      </c>
      <c r="N26" s="500">
        <f t="shared" si="8"/>
        <v>0</v>
      </c>
      <c r="O26" s="500">
        <f t="shared" si="8"/>
        <v>0</v>
      </c>
      <c r="P26" s="500">
        <f>SUM(P27)</f>
        <v>35398</v>
      </c>
      <c r="Q26" s="148"/>
      <c r="R26" s="500"/>
      <c r="S26" s="500"/>
      <c r="T26" s="500"/>
      <c r="U26" s="500"/>
      <c r="V26" s="70">
        <v>35398</v>
      </c>
      <c r="W26" s="70">
        <f>SUM(V26*120/100)</f>
        <v>42477.599999999999</v>
      </c>
      <c r="X26" s="71">
        <f>SUM(V26-P26)</f>
        <v>0</v>
      </c>
    </row>
    <row r="27" spans="1:24" ht="36.75" thickBot="1" x14ac:dyDescent="0.3">
      <c r="A27" s="147" t="s">
        <v>83</v>
      </c>
      <c r="B27" s="147"/>
      <c r="C27" s="147" t="s">
        <v>278</v>
      </c>
      <c r="D27" s="147" t="s">
        <v>368</v>
      </c>
      <c r="E27" s="147" t="s">
        <v>82</v>
      </c>
      <c r="F27" s="147" t="s">
        <v>187</v>
      </c>
      <c r="G27" s="324" t="s">
        <v>142</v>
      </c>
      <c r="H27" s="40" t="s">
        <v>119</v>
      </c>
      <c r="I27" s="40" t="s">
        <v>66</v>
      </c>
      <c r="J27" s="42" t="s">
        <v>66</v>
      </c>
      <c r="K27" s="42">
        <f>SUM(L27:P27)</f>
        <v>41644.705882352944</v>
      </c>
      <c r="L27" s="42">
        <v>6246.7058823529414</v>
      </c>
      <c r="M27" s="42">
        <v>0</v>
      </c>
      <c r="N27" s="42">
        <v>0</v>
      </c>
      <c r="O27" s="42">
        <v>0</v>
      </c>
      <c r="P27" s="42">
        <v>35398</v>
      </c>
      <c r="Q27" s="42"/>
      <c r="R27" s="550">
        <v>42643</v>
      </c>
      <c r="S27" s="550">
        <v>42766</v>
      </c>
      <c r="T27" s="550">
        <v>42855</v>
      </c>
      <c r="U27" s="1111">
        <v>43830</v>
      </c>
      <c r="V27" s="67"/>
      <c r="W27" s="67"/>
      <c r="X27" s="67"/>
    </row>
    <row r="28" spans="1:24" ht="39" customHeight="1" thickBot="1" x14ac:dyDescent="0.3">
      <c r="A28" s="498" t="s">
        <v>84</v>
      </c>
      <c r="B28" s="1102"/>
      <c r="C28" s="1651" t="s">
        <v>650</v>
      </c>
      <c r="D28" s="1660"/>
      <c r="E28" s="1660"/>
      <c r="F28" s="1660"/>
      <c r="G28" s="1660"/>
      <c r="H28" s="1660"/>
      <c r="I28" s="1660"/>
      <c r="J28" s="1661"/>
      <c r="K28" s="500">
        <f>SUM(K29)</f>
        <v>0</v>
      </c>
      <c r="L28" s="500">
        <f>SUM(L29)</f>
        <v>0</v>
      </c>
      <c r="M28" s="500">
        <f t="shared" si="8"/>
        <v>0</v>
      </c>
      <c r="N28" s="500">
        <f t="shared" si="8"/>
        <v>0</v>
      </c>
      <c r="O28" s="500">
        <f t="shared" si="8"/>
        <v>0</v>
      </c>
      <c r="P28" s="500">
        <f>SUM(P29)</f>
        <v>0</v>
      </c>
      <c r="Q28" s="148"/>
      <c r="R28" s="500"/>
      <c r="S28" s="500"/>
      <c r="T28" s="500"/>
      <c r="U28" s="500"/>
      <c r="V28" s="70">
        <v>0</v>
      </c>
      <c r="W28" s="70">
        <f>SUM(V28*120/100)</f>
        <v>0</v>
      </c>
      <c r="X28" s="71">
        <f>SUM(V28-P28)</f>
        <v>0</v>
      </c>
    </row>
    <row r="29" spans="1:24" ht="15.75" thickBot="1" x14ac:dyDescent="0.3">
      <c r="A29" s="34"/>
      <c r="B29" s="34"/>
      <c r="C29" s="34"/>
      <c r="D29" s="33"/>
      <c r="E29" s="33"/>
      <c r="F29" s="33"/>
      <c r="G29" s="37"/>
      <c r="H29" s="34"/>
      <c r="I29" s="34"/>
      <c r="J29" s="34"/>
      <c r="K29" s="1148"/>
      <c r="L29" s="31"/>
      <c r="M29" s="31"/>
      <c r="N29" s="31"/>
      <c r="O29" s="31"/>
      <c r="P29" s="31"/>
      <c r="Q29" s="31"/>
      <c r="R29" s="1149"/>
      <c r="S29" s="1149"/>
      <c r="T29" s="1149"/>
      <c r="U29" s="34"/>
      <c r="V29" s="67"/>
      <c r="W29" s="67"/>
      <c r="X29" s="67"/>
    </row>
    <row r="30" spans="1:24" ht="39" customHeight="1" thickBot="1" x14ac:dyDescent="0.3">
      <c r="A30" s="498" t="s">
        <v>86</v>
      </c>
      <c r="B30" s="1102"/>
      <c r="C30" s="1651" t="s">
        <v>651</v>
      </c>
      <c r="D30" s="1660"/>
      <c r="E30" s="1660"/>
      <c r="F30" s="1660"/>
      <c r="G30" s="1660"/>
      <c r="H30" s="1660"/>
      <c r="I30" s="1660"/>
      <c r="J30" s="1661"/>
      <c r="K30" s="500">
        <f>SUM(K31)</f>
        <v>243192</v>
      </c>
      <c r="L30" s="500">
        <f t="shared" ref="L30:O30" si="9">SUM(L31)</f>
        <v>37136</v>
      </c>
      <c r="M30" s="500">
        <f t="shared" si="9"/>
        <v>0</v>
      </c>
      <c r="N30" s="500">
        <f t="shared" si="9"/>
        <v>0</v>
      </c>
      <c r="O30" s="500">
        <f t="shared" si="9"/>
        <v>0</v>
      </c>
      <c r="P30" s="500">
        <f>SUM(P31)</f>
        <v>206056</v>
      </c>
      <c r="Q30" s="148"/>
      <c r="R30" s="500"/>
      <c r="S30" s="500"/>
      <c r="T30" s="500"/>
      <c r="U30" s="500"/>
      <c r="V30" s="70">
        <v>206056.32199999999</v>
      </c>
      <c r="W30" s="70">
        <f>SUM(V30*120/100)</f>
        <v>247267.58639999997</v>
      </c>
      <c r="X30" s="71">
        <f>SUM(V30-P30)</f>
        <v>0.3219999999855645</v>
      </c>
    </row>
    <row r="31" spans="1:24" ht="36.75" thickBot="1" x14ac:dyDescent="0.3">
      <c r="A31" s="147" t="str">
        <f>CONCATENATE('3 pr-2'!A71)</f>
        <v>1.1.1.9.4</v>
      </c>
      <c r="B31" s="147"/>
      <c r="C31" s="147" t="s">
        <v>404</v>
      </c>
      <c r="D31" s="147" t="s">
        <v>185</v>
      </c>
      <c r="E31" s="147" t="s">
        <v>116</v>
      </c>
      <c r="F31" s="147" t="s">
        <v>312</v>
      </c>
      <c r="G31" s="324" t="s">
        <v>183</v>
      </c>
      <c r="H31" s="40" t="s">
        <v>119</v>
      </c>
      <c r="I31" s="40" t="s">
        <v>66</v>
      </c>
      <c r="J31" s="42" t="s">
        <v>66</v>
      </c>
      <c r="K31" s="42">
        <f>SUM(L31:P31)</f>
        <v>243192</v>
      </c>
      <c r="L31" s="42">
        <v>37136</v>
      </c>
      <c r="M31" s="42">
        <v>0</v>
      </c>
      <c r="N31" s="42">
        <v>0</v>
      </c>
      <c r="O31" s="42">
        <v>0</v>
      </c>
      <c r="P31" s="42">
        <v>206056</v>
      </c>
      <c r="Q31" s="788">
        <v>42667</v>
      </c>
      <c r="R31" s="550">
        <v>42794</v>
      </c>
      <c r="S31" s="479">
        <v>43190</v>
      </c>
      <c r="T31" s="479">
        <v>43281</v>
      </c>
      <c r="U31" s="1111">
        <v>44196</v>
      </c>
      <c r="V31" s="67"/>
      <c r="W31" s="67"/>
      <c r="X31" s="67"/>
    </row>
    <row r="32" spans="1:24" ht="37.5" customHeight="1" thickBot="1" x14ac:dyDescent="0.3">
      <c r="A32" s="216" t="s">
        <v>22</v>
      </c>
      <c r="B32" s="1106"/>
      <c r="C32" s="1653" t="s">
        <v>1688</v>
      </c>
      <c r="D32" s="1666"/>
      <c r="E32" s="1666"/>
      <c r="F32" s="1666"/>
      <c r="G32" s="1666"/>
      <c r="H32" s="1666"/>
      <c r="I32" s="1666"/>
      <c r="J32" s="1667"/>
      <c r="K32" s="196">
        <f t="shared" ref="K32:P32" si="10">SUM(K33+K35+K37+K39)</f>
        <v>673430</v>
      </c>
      <c r="L32" s="196">
        <f t="shared" si="10"/>
        <v>104167</v>
      </c>
      <c r="M32" s="196">
        <f t="shared" si="10"/>
        <v>0</v>
      </c>
      <c r="N32" s="196">
        <f t="shared" si="10"/>
        <v>0</v>
      </c>
      <c r="O32" s="196">
        <f t="shared" si="10"/>
        <v>0</v>
      </c>
      <c r="P32" s="196">
        <f t="shared" si="10"/>
        <v>569263</v>
      </c>
      <c r="Q32" s="196"/>
      <c r="R32" s="197"/>
      <c r="S32" s="197"/>
      <c r="T32" s="197"/>
      <c r="U32" s="237"/>
      <c r="V32" s="69">
        <f>SUM(V33+V35+V37+V39)</f>
        <v>569263</v>
      </c>
      <c r="W32" s="69">
        <f>SUM(W33+W35+W37+W39)</f>
        <v>683115.6</v>
      </c>
      <c r="X32" s="69">
        <f>SUM(X33+X35+X37+X39)</f>
        <v>0</v>
      </c>
    </row>
    <row r="33" spans="1:26" ht="39" customHeight="1" thickBot="1" x14ac:dyDescent="0.3">
      <c r="A33" s="498" t="s">
        <v>88</v>
      </c>
      <c r="B33" s="1102"/>
      <c r="C33" s="1651" t="s">
        <v>653</v>
      </c>
      <c r="D33" s="1660"/>
      <c r="E33" s="1660"/>
      <c r="F33" s="1660"/>
      <c r="G33" s="1660"/>
      <c r="H33" s="1660"/>
      <c r="I33" s="1660"/>
      <c r="J33" s="1661"/>
      <c r="K33" s="500">
        <f t="shared" ref="K33:O33" si="11">SUM(K34)</f>
        <v>326175</v>
      </c>
      <c r="L33" s="500">
        <f t="shared" si="11"/>
        <v>48926</v>
      </c>
      <c r="M33" s="500">
        <f t="shared" si="11"/>
        <v>0</v>
      </c>
      <c r="N33" s="500">
        <f t="shared" si="11"/>
        <v>0</v>
      </c>
      <c r="O33" s="500">
        <f t="shared" si="11"/>
        <v>0</v>
      </c>
      <c r="P33" s="500">
        <f>SUM(P34)</f>
        <v>277249</v>
      </c>
      <c r="Q33" s="148"/>
      <c r="R33" s="500"/>
      <c r="S33" s="500"/>
      <c r="T33" s="500"/>
      <c r="U33" s="500"/>
      <c r="V33" s="70">
        <f>SUM(P34)</f>
        <v>277249</v>
      </c>
      <c r="W33" s="70">
        <f>SUM(V33*120/100)</f>
        <v>332698.8</v>
      </c>
      <c r="X33" s="71">
        <f>SUM(V33-P33)</f>
        <v>0</v>
      </c>
    </row>
    <row r="34" spans="1:26" ht="48.75" thickBot="1" x14ac:dyDescent="0.3">
      <c r="A34" s="147" t="str">
        <f>CONCATENATE('3 pr-2'!A76)</f>
        <v>1.1.2.1.2</v>
      </c>
      <c r="B34" s="147"/>
      <c r="C34" s="848" t="s">
        <v>1752</v>
      </c>
      <c r="D34" s="147" t="s">
        <v>185</v>
      </c>
      <c r="E34" s="147" t="s">
        <v>115</v>
      </c>
      <c r="F34" s="147" t="s">
        <v>312</v>
      </c>
      <c r="G34" s="324" t="s">
        <v>135</v>
      </c>
      <c r="H34" s="40" t="s">
        <v>119</v>
      </c>
      <c r="I34" s="40" t="s">
        <v>66</v>
      </c>
      <c r="J34" s="42" t="s">
        <v>66</v>
      </c>
      <c r="K34" s="42">
        <f>SUM(L34:P34)</f>
        <v>326175</v>
      </c>
      <c r="L34" s="42">
        <v>48926</v>
      </c>
      <c r="M34" s="42" t="s">
        <v>66</v>
      </c>
      <c r="N34" s="42">
        <v>0</v>
      </c>
      <c r="O34" s="42">
        <v>0</v>
      </c>
      <c r="P34" s="42">
        <v>277249</v>
      </c>
      <c r="Q34" s="788">
        <v>42877</v>
      </c>
      <c r="R34" s="245">
        <v>43281</v>
      </c>
      <c r="S34" s="245">
        <v>43455</v>
      </c>
      <c r="T34" s="245">
        <v>43554</v>
      </c>
      <c r="U34" s="245">
        <v>43920</v>
      </c>
      <c r="V34" s="67"/>
      <c r="W34" s="67"/>
      <c r="X34" s="67"/>
      <c r="Y34" s="85">
        <f>SUM(365/12)</f>
        <v>30.416666666666668</v>
      </c>
      <c r="Z34" s="85">
        <f>SUM(U34-T34)/Y34</f>
        <v>12.032876712328767</v>
      </c>
    </row>
    <row r="35" spans="1:26" ht="39" customHeight="1" thickBot="1" x14ac:dyDescent="0.3">
      <c r="A35" s="498" t="s">
        <v>90</v>
      </c>
      <c r="B35" s="1102"/>
      <c r="C35" s="1651" t="s">
        <v>654</v>
      </c>
      <c r="D35" s="1660"/>
      <c r="E35" s="1660"/>
      <c r="F35" s="1660"/>
      <c r="G35" s="1660"/>
      <c r="H35" s="1660"/>
      <c r="I35" s="1660"/>
      <c r="J35" s="1661"/>
      <c r="K35" s="500">
        <f>SUM(K36)</f>
        <v>0</v>
      </c>
      <c r="L35" s="500">
        <f t="shared" ref="L35:P35" si="12">SUM(L36)</f>
        <v>0</v>
      </c>
      <c r="M35" s="500">
        <f t="shared" si="12"/>
        <v>0</v>
      </c>
      <c r="N35" s="500">
        <f t="shared" si="12"/>
        <v>0</v>
      </c>
      <c r="O35" s="500">
        <f t="shared" si="12"/>
        <v>0</v>
      </c>
      <c r="P35" s="500">
        <f t="shared" si="12"/>
        <v>0</v>
      </c>
      <c r="Q35" s="148"/>
      <c r="R35" s="500"/>
      <c r="S35" s="500"/>
      <c r="T35" s="500"/>
      <c r="U35" s="500"/>
      <c r="V35" s="70">
        <v>0</v>
      </c>
      <c r="W35" s="70">
        <f>SUM(V35*120/100)</f>
        <v>0</v>
      </c>
      <c r="X35" s="71">
        <f>SUM(V35-P35)</f>
        <v>0</v>
      </c>
    </row>
    <row r="36" spans="1:26" ht="15.75" thickBot="1" x14ac:dyDescent="0.3">
      <c r="A36" s="141"/>
      <c r="B36" s="141"/>
      <c r="C36" s="141"/>
      <c r="D36" s="141"/>
      <c r="E36" s="142"/>
      <c r="F36" s="141"/>
      <c r="G36" s="143"/>
      <c r="H36" s="34"/>
      <c r="I36" s="34"/>
      <c r="J36" s="34"/>
      <c r="K36" s="38"/>
      <c r="L36" s="1128"/>
      <c r="M36" s="125"/>
      <c r="N36" s="125"/>
      <c r="O36" s="125"/>
      <c r="P36" s="1128"/>
      <c r="Q36" s="1128"/>
      <c r="R36" s="34"/>
      <c r="S36" s="1150"/>
      <c r="T36" s="34"/>
      <c r="U36" s="34"/>
      <c r="V36" s="67"/>
      <c r="W36" s="67"/>
      <c r="X36" s="67"/>
    </row>
    <row r="37" spans="1:26" ht="39" customHeight="1" thickBot="1" x14ac:dyDescent="0.3">
      <c r="A37" s="498" t="s">
        <v>92</v>
      </c>
      <c r="B37" s="1102"/>
      <c r="C37" s="1651" t="s">
        <v>655</v>
      </c>
      <c r="D37" s="1660"/>
      <c r="E37" s="1660"/>
      <c r="F37" s="1660"/>
      <c r="G37" s="1660"/>
      <c r="H37" s="1660"/>
      <c r="I37" s="1660"/>
      <c r="J37" s="1661"/>
      <c r="K37" s="500">
        <f t="shared" ref="K37:O37" si="13">SUM(K38)</f>
        <v>110340</v>
      </c>
      <c r="L37" s="500">
        <f t="shared" si="13"/>
        <v>19170</v>
      </c>
      <c r="M37" s="500">
        <f t="shared" si="13"/>
        <v>0</v>
      </c>
      <c r="N37" s="500">
        <f t="shared" si="13"/>
        <v>0</v>
      </c>
      <c r="O37" s="500">
        <f t="shared" si="13"/>
        <v>0</v>
      </c>
      <c r="P37" s="500">
        <f t="shared" ref="P37" si="14">SUM(P38)</f>
        <v>91170</v>
      </c>
      <c r="Q37" s="148"/>
      <c r="R37" s="500"/>
      <c r="S37" s="500"/>
      <c r="T37" s="500"/>
      <c r="U37" s="500"/>
      <c r="V37" s="70">
        <v>91170</v>
      </c>
      <c r="W37" s="70">
        <f>SUM(V37*120/100)</f>
        <v>109404</v>
      </c>
      <c r="X37" s="71">
        <f>SUM(V37-P37)</f>
        <v>0</v>
      </c>
    </row>
    <row r="38" spans="1:26" s="89" customFormat="1" ht="48.75" thickBot="1" x14ac:dyDescent="0.3">
      <c r="A38" s="189" t="str">
        <f>CONCATENATE('3 pr-2'!A90)</f>
        <v>1.1.2.3.4</v>
      </c>
      <c r="B38" s="189"/>
      <c r="C38" s="189" t="s">
        <v>408</v>
      </c>
      <c r="D38" s="189" t="s">
        <v>185</v>
      </c>
      <c r="E38" s="189" t="s">
        <v>115</v>
      </c>
      <c r="F38" s="189" t="s">
        <v>186</v>
      </c>
      <c r="G38" s="525" t="s">
        <v>148</v>
      </c>
      <c r="H38" s="590" t="s">
        <v>119</v>
      </c>
      <c r="I38" s="590" t="s">
        <v>66</v>
      </c>
      <c r="J38" s="468" t="s">
        <v>66</v>
      </c>
      <c r="K38" s="468">
        <f>SUM(L38:P38)</f>
        <v>110340</v>
      </c>
      <c r="L38" s="468">
        <v>19170</v>
      </c>
      <c r="M38" s="468">
        <v>0</v>
      </c>
      <c r="N38" s="468">
        <v>0</v>
      </c>
      <c r="O38" s="468">
        <v>0</v>
      </c>
      <c r="P38" s="468">
        <v>91170</v>
      </c>
      <c r="Q38" s="1111">
        <v>42660</v>
      </c>
      <c r="R38" s="1111">
        <v>42735</v>
      </c>
      <c r="S38" s="1111">
        <v>43131</v>
      </c>
      <c r="T38" s="1111">
        <v>43220</v>
      </c>
      <c r="U38" s="1111">
        <v>43830</v>
      </c>
      <c r="V38" s="88"/>
      <c r="W38" s="88"/>
      <c r="X38" s="88"/>
    </row>
    <row r="39" spans="1:26" ht="39" customHeight="1" thickBot="1" x14ac:dyDescent="0.3">
      <c r="A39" s="498" t="s">
        <v>94</v>
      </c>
      <c r="B39" s="1102"/>
      <c r="C39" s="1651" t="s">
        <v>656</v>
      </c>
      <c r="D39" s="1660"/>
      <c r="E39" s="1660"/>
      <c r="F39" s="1660"/>
      <c r="G39" s="1660"/>
      <c r="H39" s="1660"/>
      <c r="I39" s="1660"/>
      <c r="J39" s="1661"/>
      <c r="K39" s="500">
        <f t="shared" ref="K39:O39" si="15">SUM(K40)</f>
        <v>236915</v>
      </c>
      <c r="L39" s="500">
        <f t="shared" si="15"/>
        <v>36071</v>
      </c>
      <c r="M39" s="500">
        <f t="shared" si="15"/>
        <v>0</v>
      </c>
      <c r="N39" s="500">
        <f t="shared" si="15"/>
        <v>0</v>
      </c>
      <c r="O39" s="500">
        <f t="shared" si="15"/>
        <v>0</v>
      </c>
      <c r="P39" s="500">
        <f t="shared" ref="P39" si="16">SUM(P40)</f>
        <v>200844</v>
      </c>
      <c r="Q39" s="148"/>
      <c r="R39" s="500"/>
      <c r="S39" s="500"/>
      <c r="T39" s="500"/>
      <c r="U39" s="500"/>
      <c r="V39" s="70">
        <v>200844</v>
      </c>
      <c r="W39" s="70">
        <f>SUM(V39*120/100)</f>
        <v>241012.8</v>
      </c>
      <c r="X39" s="71">
        <f>SUM(V39-P39)</f>
        <v>0</v>
      </c>
    </row>
    <row r="40" spans="1:26" s="89" customFormat="1" ht="48.75" thickBot="1" x14ac:dyDescent="0.3">
      <c r="A40" s="189" t="str">
        <f>CONCATENATE('3 pr-2'!A96)</f>
        <v>1.1.2.4.4</v>
      </c>
      <c r="B40" s="189"/>
      <c r="C40" s="189" t="s">
        <v>188</v>
      </c>
      <c r="D40" s="189" t="s">
        <v>185</v>
      </c>
      <c r="E40" s="189" t="s">
        <v>115</v>
      </c>
      <c r="F40" s="189" t="s">
        <v>312</v>
      </c>
      <c r="G40" s="525" t="s">
        <v>141</v>
      </c>
      <c r="H40" s="590" t="s">
        <v>119</v>
      </c>
      <c r="I40" s="590" t="s">
        <v>66</v>
      </c>
      <c r="J40" s="468" t="s">
        <v>66</v>
      </c>
      <c r="K40" s="468">
        <f>SUM(L40:P40)</f>
        <v>236915</v>
      </c>
      <c r="L40" s="468">
        <v>36071</v>
      </c>
      <c r="M40" s="468">
        <v>0</v>
      </c>
      <c r="N40" s="468">
        <v>0</v>
      </c>
      <c r="O40" s="468">
        <v>0</v>
      </c>
      <c r="P40" s="468">
        <v>200844</v>
      </c>
      <c r="Q40" s="1111">
        <v>42639</v>
      </c>
      <c r="R40" s="1111">
        <v>42735</v>
      </c>
      <c r="S40" s="1492">
        <v>43252</v>
      </c>
      <c r="T40" s="1492">
        <v>43344</v>
      </c>
      <c r="U40" s="1492">
        <v>43921</v>
      </c>
      <c r="V40" s="88"/>
      <c r="W40" s="88"/>
      <c r="X40" s="88"/>
    </row>
    <row r="41" spans="1:26" ht="49.5" customHeight="1" thickBot="1" x14ac:dyDescent="0.3">
      <c r="A41" s="224" t="s">
        <v>27</v>
      </c>
      <c r="B41" s="1107"/>
      <c r="C41" s="1663" t="s">
        <v>657</v>
      </c>
      <c r="D41" s="1664"/>
      <c r="E41" s="1664"/>
      <c r="F41" s="1664"/>
      <c r="G41" s="1664"/>
      <c r="H41" s="1664"/>
      <c r="I41" s="1664"/>
      <c r="J41" s="1665"/>
      <c r="K41" s="218">
        <f t="shared" ref="K41:P41" si="17">SUM(K42+K49+K57+K62)</f>
        <v>2600470.8000000003</v>
      </c>
      <c r="L41" s="218">
        <f t="shared" si="17"/>
        <v>512488.02999999997</v>
      </c>
      <c r="M41" s="218">
        <f t="shared" si="17"/>
        <v>81487.170000000013</v>
      </c>
      <c r="N41" s="218">
        <f t="shared" si="17"/>
        <v>1304</v>
      </c>
      <c r="O41" s="218">
        <f t="shared" si="17"/>
        <v>0</v>
      </c>
      <c r="P41" s="218">
        <f t="shared" si="17"/>
        <v>2005191.6</v>
      </c>
      <c r="Q41" s="218"/>
      <c r="R41" s="225"/>
      <c r="S41" s="225"/>
      <c r="T41" s="225"/>
      <c r="U41" s="236"/>
      <c r="V41" s="78">
        <f>SUM(V42+V49+V57+V62)</f>
        <v>2738068.7952358783</v>
      </c>
      <c r="W41" s="78">
        <f>SUM(W42+W49+W57+W62)</f>
        <v>3285682.5542830536</v>
      </c>
      <c r="X41" s="78">
        <f>SUM(X42+X49+X57+X62)</f>
        <v>741762.195235878</v>
      </c>
    </row>
    <row r="42" spans="1:26" ht="48.75" customHeight="1" thickBot="1" x14ac:dyDescent="0.3">
      <c r="A42" s="216" t="s">
        <v>28</v>
      </c>
      <c r="B42" s="1106"/>
      <c r="C42" s="1653" t="s">
        <v>658</v>
      </c>
      <c r="D42" s="1666"/>
      <c r="E42" s="1666"/>
      <c r="F42" s="1666"/>
      <c r="G42" s="1666"/>
      <c r="H42" s="1666"/>
      <c r="I42" s="1666"/>
      <c r="J42" s="1667"/>
      <c r="K42" s="196">
        <f t="shared" ref="K42:P42" si="18">SUM(K43+K45+K47)</f>
        <v>1560757.6800000002</v>
      </c>
      <c r="L42" s="196">
        <f t="shared" si="18"/>
        <v>387720.26999999996</v>
      </c>
      <c r="M42" s="196">
        <f t="shared" si="18"/>
        <v>51601.41</v>
      </c>
      <c r="N42" s="196">
        <f t="shared" si="18"/>
        <v>0</v>
      </c>
      <c r="O42" s="196">
        <f t="shared" si="18"/>
        <v>0</v>
      </c>
      <c r="P42" s="196">
        <f t="shared" si="18"/>
        <v>1121436</v>
      </c>
      <c r="Q42" s="196"/>
      <c r="R42" s="197"/>
      <c r="S42" s="197"/>
      <c r="T42" s="197"/>
      <c r="U42" s="237"/>
      <c r="V42" s="69">
        <f>SUM(V43+V45+V47)</f>
        <v>1231014</v>
      </c>
      <c r="W42" s="69">
        <f>SUM(W43+W45+W47)</f>
        <v>1477216.7999999998</v>
      </c>
      <c r="X42" s="69">
        <f>SUM(X43+X45+X47)</f>
        <v>109578</v>
      </c>
    </row>
    <row r="43" spans="1:26" ht="45" customHeight="1" thickBot="1" x14ac:dyDescent="0.3">
      <c r="A43" s="498" t="s">
        <v>96</v>
      </c>
      <c r="B43" s="1102"/>
      <c r="C43" s="1651" t="s">
        <v>659</v>
      </c>
      <c r="D43" s="1660"/>
      <c r="E43" s="1660"/>
      <c r="F43" s="1660"/>
      <c r="G43" s="1660"/>
      <c r="H43" s="1660"/>
      <c r="I43" s="1660"/>
      <c r="J43" s="1661"/>
      <c r="K43" s="500">
        <f t="shared" ref="K43:O43" si="19">SUM(K44)</f>
        <v>106844.82</v>
      </c>
      <c r="L43" s="500">
        <f t="shared" si="19"/>
        <v>8013.41</v>
      </c>
      <c r="M43" s="500">
        <f t="shared" si="19"/>
        <v>8013.41</v>
      </c>
      <c r="N43" s="500">
        <f t="shared" si="19"/>
        <v>0</v>
      </c>
      <c r="O43" s="500">
        <f t="shared" si="19"/>
        <v>0</v>
      </c>
      <c r="P43" s="500">
        <f t="shared" ref="P43" si="20">SUM(P44)</f>
        <v>90818</v>
      </c>
      <c r="Q43" s="148"/>
      <c r="R43" s="500"/>
      <c r="S43" s="500"/>
      <c r="T43" s="500"/>
      <c r="U43" s="500"/>
      <c r="V43" s="70">
        <v>90818</v>
      </c>
      <c r="W43" s="70">
        <f>SUM(V43*120/100)</f>
        <v>108981.6</v>
      </c>
      <c r="X43" s="71">
        <f>SUM(V43-P43)</f>
        <v>0</v>
      </c>
    </row>
    <row r="44" spans="1:26" ht="48.75" thickBot="1" x14ac:dyDescent="0.3">
      <c r="A44" s="147" t="str">
        <f>CONCATENATE('3 pr-2'!A104)</f>
        <v>2.1.1.1.2</v>
      </c>
      <c r="B44" s="147"/>
      <c r="C44" s="147" t="s">
        <v>189</v>
      </c>
      <c r="D44" s="147" t="s">
        <v>185</v>
      </c>
      <c r="E44" s="147" t="s">
        <v>97</v>
      </c>
      <c r="F44" s="147" t="s">
        <v>312</v>
      </c>
      <c r="G44" s="324" t="s">
        <v>136</v>
      </c>
      <c r="H44" s="40" t="s">
        <v>119</v>
      </c>
      <c r="I44" s="40" t="s">
        <v>66</v>
      </c>
      <c r="J44" s="42" t="s">
        <v>66</v>
      </c>
      <c r="K44" s="42">
        <f>SUM(L44:P44)</f>
        <v>106844.82</v>
      </c>
      <c r="L44" s="42">
        <v>8013.41</v>
      </c>
      <c r="M44" s="42">
        <v>8013.41</v>
      </c>
      <c r="N44" s="42">
        <v>0</v>
      </c>
      <c r="O44" s="42">
        <v>0</v>
      </c>
      <c r="P44" s="42">
        <v>90818</v>
      </c>
      <c r="Q44" s="788">
        <v>42863</v>
      </c>
      <c r="R44" s="550">
        <v>42916</v>
      </c>
      <c r="S44" s="550">
        <v>42993</v>
      </c>
      <c r="T44" s="550">
        <v>43100</v>
      </c>
      <c r="U44" s="799">
        <v>43526</v>
      </c>
      <c r="V44" s="67"/>
      <c r="W44" s="67"/>
      <c r="X44" s="67"/>
    </row>
    <row r="45" spans="1:26" ht="39" customHeight="1" thickBot="1" x14ac:dyDescent="0.3">
      <c r="A45" s="498" t="s">
        <v>99</v>
      </c>
      <c r="B45" s="1102"/>
      <c r="C45" s="1651" t="s">
        <v>660</v>
      </c>
      <c r="D45" s="1660"/>
      <c r="E45" s="1660"/>
      <c r="F45" s="1660"/>
      <c r="G45" s="1660"/>
      <c r="H45" s="1660"/>
      <c r="I45" s="1660"/>
      <c r="J45" s="1661"/>
      <c r="K45" s="500">
        <f t="shared" ref="K45:P45" si="21">SUM(K46:K46)</f>
        <v>856456</v>
      </c>
      <c r="L45" s="500">
        <f t="shared" si="21"/>
        <v>319845</v>
      </c>
      <c r="M45" s="500">
        <f t="shared" si="21"/>
        <v>0</v>
      </c>
      <c r="N45" s="500">
        <f t="shared" si="21"/>
        <v>0</v>
      </c>
      <c r="O45" s="500">
        <f t="shared" si="21"/>
        <v>0</v>
      </c>
      <c r="P45" s="500">
        <f t="shared" si="21"/>
        <v>536611</v>
      </c>
      <c r="Q45" s="148"/>
      <c r="R45" s="500"/>
      <c r="S45" s="500"/>
      <c r="T45" s="500"/>
      <c r="U45" s="500"/>
      <c r="V45" s="70">
        <v>536611</v>
      </c>
      <c r="W45" s="70">
        <f>SUM(V45*120/100)</f>
        <v>643933.19999999995</v>
      </c>
      <c r="X45" s="71">
        <f>SUM(V45-P45)</f>
        <v>0</v>
      </c>
    </row>
    <row r="46" spans="1:26" ht="48.75" thickBot="1" x14ac:dyDescent="0.3">
      <c r="A46" s="147" t="str">
        <f>CONCATENATE('3 pr-2'!A110)</f>
        <v>2.1.1.2.2</v>
      </c>
      <c r="B46" s="147"/>
      <c r="C46" s="147" t="s">
        <v>677</v>
      </c>
      <c r="D46" s="147" t="s">
        <v>185</v>
      </c>
      <c r="E46" s="147" t="s">
        <v>97</v>
      </c>
      <c r="F46" s="147" t="s">
        <v>312</v>
      </c>
      <c r="G46" s="324" t="s">
        <v>139</v>
      </c>
      <c r="H46" s="40" t="s">
        <v>119</v>
      </c>
      <c r="I46" s="40" t="s">
        <v>66</v>
      </c>
      <c r="J46" s="42" t="s">
        <v>66</v>
      </c>
      <c r="K46" s="42">
        <f>SUM(L46:P46)</f>
        <v>856456</v>
      </c>
      <c r="L46" s="42">
        <v>319845</v>
      </c>
      <c r="M46" s="42">
        <v>0</v>
      </c>
      <c r="N46" s="42">
        <v>0</v>
      </c>
      <c r="O46" s="42">
        <v>0</v>
      </c>
      <c r="P46" s="42">
        <v>536611</v>
      </c>
      <c r="Q46" s="788">
        <v>42870</v>
      </c>
      <c r="R46" s="550">
        <v>42916</v>
      </c>
      <c r="S46" s="550">
        <v>43008</v>
      </c>
      <c r="T46" s="550">
        <v>43100</v>
      </c>
      <c r="U46" s="799">
        <f>SUM('IV-1 su proj'!CH109)</f>
        <v>43832</v>
      </c>
      <c r="V46" s="67"/>
      <c r="W46" s="67"/>
      <c r="X46" s="67"/>
    </row>
    <row r="47" spans="1:26" ht="39" customHeight="1" thickBot="1" x14ac:dyDescent="0.3">
      <c r="A47" s="498" t="s">
        <v>101</v>
      </c>
      <c r="B47" s="1102"/>
      <c r="C47" s="1651" t="s">
        <v>1685</v>
      </c>
      <c r="D47" s="1660"/>
      <c r="E47" s="1660"/>
      <c r="F47" s="1660"/>
      <c r="G47" s="1660"/>
      <c r="H47" s="1660"/>
      <c r="I47" s="1660"/>
      <c r="J47" s="1661"/>
      <c r="K47" s="500">
        <f t="shared" ref="K47:O47" si="22">SUM(K48)</f>
        <v>597456.86</v>
      </c>
      <c r="L47" s="500">
        <f t="shared" si="22"/>
        <v>59861.86</v>
      </c>
      <c r="M47" s="500">
        <f t="shared" si="22"/>
        <v>43588</v>
      </c>
      <c r="N47" s="500">
        <f t="shared" si="22"/>
        <v>0</v>
      </c>
      <c r="O47" s="500">
        <f t="shared" si="22"/>
        <v>0</v>
      </c>
      <c r="P47" s="500">
        <f t="shared" ref="P47" si="23">SUM(P48)</f>
        <v>494007</v>
      </c>
      <c r="Q47" s="148"/>
      <c r="R47" s="500"/>
      <c r="S47" s="500"/>
      <c r="T47" s="500"/>
      <c r="U47" s="500"/>
      <c r="V47" s="70">
        <v>603585</v>
      </c>
      <c r="W47" s="70">
        <f>SUM(V47*120/100)</f>
        <v>724302</v>
      </c>
      <c r="X47" s="71">
        <f>SUM(V47-P47)</f>
        <v>109578</v>
      </c>
    </row>
    <row r="48" spans="1:26" ht="48.75" thickBot="1" x14ac:dyDescent="0.3">
      <c r="A48" s="147" t="str">
        <f>CONCATENATE('3 pr-2'!A116)</f>
        <v>2.1.1.3.2</v>
      </c>
      <c r="B48" s="147"/>
      <c r="C48" s="147" t="s">
        <v>190</v>
      </c>
      <c r="D48" s="147" t="s">
        <v>185</v>
      </c>
      <c r="E48" s="147" t="s">
        <v>97</v>
      </c>
      <c r="F48" s="147" t="s">
        <v>312</v>
      </c>
      <c r="G48" s="324" t="s">
        <v>140</v>
      </c>
      <c r="H48" s="40" t="s">
        <v>119</v>
      </c>
      <c r="I48" s="40"/>
      <c r="J48" s="42"/>
      <c r="K48" s="42">
        <f>SUM(L48:P48)</f>
        <v>597456.86</v>
      </c>
      <c r="L48" s="42">
        <v>59861.86</v>
      </c>
      <c r="M48" s="42">
        <v>43588</v>
      </c>
      <c r="N48" s="42">
        <v>0</v>
      </c>
      <c r="O48" s="42">
        <v>0</v>
      </c>
      <c r="P48" s="42">
        <v>494007</v>
      </c>
      <c r="Q48" s="788">
        <v>42968</v>
      </c>
      <c r="R48" s="550">
        <v>43039</v>
      </c>
      <c r="S48" s="550">
        <v>43080</v>
      </c>
      <c r="T48" s="550">
        <v>43159</v>
      </c>
      <c r="U48" s="799">
        <f>SUM('IV-1 su proj'!CH115)</f>
        <v>43845</v>
      </c>
      <c r="V48" s="67"/>
      <c r="W48" s="67"/>
      <c r="X48" s="67"/>
    </row>
    <row r="49" spans="1:27" ht="57.75" customHeight="1" thickBot="1" x14ac:dyDescent="0.3">
      <c r="A49" s="216" t="s">
        <v>32</v>
      </c>
      <c r="B49" s="1106"/>
      <c r="C49" s="1653" t="s">
        <v>661</v>
      </c>
      <c r="D49" s="1666"/>
      <c r="E49" s="1666"/>
      <c r="F49" s="1666"/>
      <c r="G49" s="1666"/>
      <c r="H49" s="1666"/>
      <c r="I49" s="1666"/>
      <c r="J49" s="1667"/>
      <c r="K49" s="196">
        <f>SUM(K50+K53+K55)</f>
        <v>398472.12</v>
      </c>
      <c r="L49" s="196">
        <f t="shared" ref="L49:P49" si="24">SUM(L50+L53+L55)</f>
        <v>28581.760000000002</v>
      </c>
      <c r="M49" s="196">
        <f t="shared" si="24"/>
        <v>29885.760000000002</v>
      </c>
      <c r="N49" s="196">
        <f t="shared" si="24"/>
        <v>1304</v>
      </c>
      <c r="O49" s="196">
        <f t="shared" si="24"/>
        <v>0</v>
      </c>
      <c r="P49" s="196">
        <f t="shared" si="24"/>
        <v>338700.6</v>
      </c>
      <c r="Q49" s="196"/>
      <c r="R49" s="197"/>
      <c r="S49" s="197"/>
      <c r="T49" s="197"/>
      <c r="U49" s="237"/>
      <c r="V49" s="69">
        <f>SUM(V50+V53)</f>
        <v>962000</v>
      </c>
      <c r="W49" s="69">
        <f>SUM(W50+W53)</f>
        <v>1154400</v>
      </c>
      <c r="X49" s="69">
        <f>SUM(X50+X53)</f>
        <v>632184.4</v>
      </c>
    </row>
    <row r="50" spans="1:27" ht="39" customHeight="1" thickBot="1" x14ac:dyDescent="0.3">
      <c r="A50" s="498" t="s">
        <v>33</v>
      </c>
      <c r="B50" s="1102"/>
      <c r="C50" s="1651" t="s">
        <v>662</v>
      </c>
      <c r="D50" s="1660"/>
      <c r="E50" s="1660"/>
      <c r="F50" s="1660"/>
      <c r="G50" s="1660"/>
      <c r="H50" s="1660"/>
      <c r="I50" s="1660"/>
      <c r="J50" s="1661"/>
      <c r="K50" s="500">
        <f t="shared" ref="K50:O50" si="25">SUM(K51:K52)</f>
        <v>189022</v>
      </c>
      <c r="L50" s="500">
        <f t="shared" si="25"/>
        <v>12873</v>
      </c>
      <c r="M50" s="500">
        <f t="shared" si="25"/>
        <v>14177</v>
      </c>
      <c r="N50" s="500">
        <f t="shared" si="25"/>
        <v>1304</v>
      </c>
      <c r="O50" s="500">
        <f t="shared" si="25"/>
        <v>0</v>
      </c>
      <c r="P50" s="500">
        <f>SUM(P51:P52)</f>
        <v>160668</v>
      </c>
      <c r="Q50" s="148"/>
      <c r="R50" s="500"/>
      <c r="S50" s="500"/>
      <c r="T50" s="500"/>
      <c r="U50" s="500"/>
      <c r="V50" s="70">
        <v>733000</v>
      </c>
      <c r="W50" s="70">
        <f>SUM(V50*120/100)</f>
        <v>879600</v>
      </c>
      <c r="X50" s="71">
        <f>SUM(V50-P50)</f>
        <v>572332</v>
      </c>
    </row>
    <row r="51" spans="1:27" ht="84.75" thickBot="1" x14ac:dyDescent="0.3">
      <c r="A51" s="147" t="str">
        <f>CONCATENATE('3 pr-2'!A126)</f>
        <v>2.1.2.1.5</v>
      </c>
      <c r="B51" s="147" t="str">
        <f>CONCATENATE('3 pr-2'!B126)</f>
        <v>R01-6609-274710-2215</v>
      </c>
      <c r="C51" s="848" t="s">
        <v>1729</v>
      </c>
      <c r="D51" s="848" t="s">
        <v>1484</v>
      </c>
      <c r="E51" s="848" t="s">
        <v>103</v>
      </c>
      <c r="F51" s="848" t="s">
        <v>186</v>
      </c>
      <c r="G51" s="851" t="s">
        <v>153</v>
      </c>
      <c r="H51" s="850" t="s">
        <v>119</v>
      </c>
      <c r="I51" s="850" t="s">
        <v>66</v>
      </c>
      <c r="J51" s="849" t="s">
        <v>66</v>
      </c>
      <c r="K51" s="849">
        <f>SUM(L51:P51)</f>
        <v>171636</v>
      </c>
      <c r="L51" s="849">
        <v>12873</v>
      </c>
      <c r="M51" s="849">
        <v>12873</v>
      </c>
      <c r="N51" s="849">
        <v>0</v>
      </c>
      <c r="O51" s="849">
        <v>0</v>
      </c>
      <c r="P51" s="849">
        <v>145890</v>
      </c>
      <c r="Q51" s="788">
        <v>43189</v>
      </c>
      <c r="R51" s="886">
        <v>43312</v>
      </c>
      <c r="S51" s="886">
        <v>43403</v>
      </c>
      <c r="T51" s="886">
        <v>43496</v>
      </c>
      <c r="U51" s="1453">
        <v>44134</v>
      </c>
      <c r="V51" s="87"/>
      <c r="W51" s="67"/>
      <c r="X51" s="67"/>
      <c r="Z51" s="85">
        <v>904059.15999999992</v>
      </c>
      <c r="AA51" s="85">
        <v>698591.2</v>
      </c>
    </row>
    <row r="52" spans="1:27" ht="26.25" customHeight="1" thickBot="1" x14ac:dyDescent="0.3">
      <c r="A52" s="147" t="str">
        <f>CONCATENATE('3 pr-2'!A127)</f>
        <v>2.1.2.1.6</v>
      </c>
      <c r="B52" s="147" t="str">
        <f>CONCATENATE('3 pr-2'!B127)</f>
        <v>R01-6609-471000-2216</v>
      </c>
      <c r="C52" s="848" t="s">
        <v>1730</v>
      </c>
      <c r="D52" s="848" t="s">
        <v>1731</v>
      </c>
      <c r="E52" s="848" t="s">
        <v>103</v>
      </c>
      <c r="F52" s="848" t="s">
        <v>186</v>
      </c>
      <c r="G52" s="851" t="s">
        <v>153</v>
      </c>
      <c r="H52" s="850" t="s">
        <v>119</v>
      </c>
      <c r="I52" s="850" t="s">
        <v>66</v>
      </c>
      <c r="J52" s="849" t="s">
        <v>66</v>
      </c>
      <c r="K52" s="849">
        <f>SUM(L52:P52)</f>
        <v>17386</v>
      </c>
      <c r="L52" s="849">
        <v>0</v>
      </c>
      <c r="M52" s="849">
        <v>1304</v>
      </c>
      <c r="N52" s="849">
        <v>1304</v>
      </c>
      <c r="O52" s="849">
        <v>0</v>
      </c>
      <c r="P52" s="849">
        <v>14778</v>
      </c>
      <c r="Q52" s="788"/>
      <c r="R52" s="886">
        <v>43312</v>
      </c>
      <c r="S52" s="886">
        <v>43403</v>
      </c>
      <c r="T52" s="886">
        <v>43495</v>
      </c>
      <c r="U52" s="1453">
        <v>43830</v>
      </c>
      <c r="V52" s="74"/>
      <c r="W52" s="67"/>
      <c r="X52" s="67"/>
    </row>
    <row r="53" spans="1:27" ht="39" customHeight="1" thickBot="1" x14ac:dyDescent="0.3">
      <c r="A53" s="498" t="s">
        <v>34</v>
      </c>
      <c r="B53" s="1102"/>
      <c r="C53" s="1651" t="str">
        <f>CONCATENATE('3 pr-2'!D135)</f>
        <v/>
      </c>
      <c r="D53" s="1660"/>
      <c r="E53" s="1660"/>
      <c r="F53" s="1660"/>
      <c r="G53" s="1660"/>
      <c r="H53" s="1660"/>
      <c r="I53" s="1660"/>
      <c r="J53" s="1661"/>
      <c r="K53" s="500">
        <f t="shared" ref="K53:P55" si="26">SUM(K54:K54)</f>
        <v>198997.18</v>
      </c>
      <c r="L53" s="500">
        <f t="shared" si="26"/>
        <v>14924.79</v>
      </c>
      <c r="M53" s="500">
        <f t="shared" si="26"/>
        <v>14924.79</v>
      </c>
      <c r="N53" s="500">
        <f t="shared" si="26"/>
        <v>0</v>
      </c>
      <c r="O53" s="500">
        <f t="shared" si="26"/>
        <v>0</v>
      </c>
      <c r="P53" s="500">
        <f t="shared" si="26"/>
        <v>169147.6</v>
      </c>
      <c r="Q53" s="148"/>
      <c r="R53" s="500"/>
      <c r="S53" s="500"/>
      <c r="T53" s="500"/>
      <c r="U53" s="500"/>
      <c r="V53" s="70">
        <v>229000</v>
      </c>
      <c r="W53" s="70">
        <f>SUM(V53*120/100)</f>
        <v>274800</v>
      </c>
      <c r="X53" s="71">
        <f>SUM(V53-P53)</f>
        <v>59852.399999999994</v>
      </c>
    </row>
    <row r="54" spans="1:27" ht="64.5" thickBot="1" x14ac:dyDescent="0.3">
      <c r="A54" s="147" t="str">
        <f>CONCATENATE('3 pr-2'!A136)</f>
        <v>2.1.2.2.1</v>
      </c>
      <c r="B54" s="324"/>
      <c r="C54" s="1151" t="s">
        <v>1468</v>
      </c>
      <c r="D54" s="1151" t="s">
        <v>1469</v>
      </c>
      <c r="E54" s="1151" t="s">
        <v>103</v>
      </c>
      <c r="F54" s="1151" t="s">
        <v>191</v>
      </c>
      <c r="G54" s="125" t="s">
        <v>1467</v>
      </c>
      <c r="H54" s="125" t="s">
        <v>119</v>
      </c>
      <c r="I54" s="125" t="s">
        <v>66</v>
      </c>
      <c r="J54" s="125" t="s">
        <v>66</v>
      </c>
      <c r="K54" s="1152">
        <f>SUM(L54:P54)</f>
        <v>198997.18</v>
      </c>
      <c r="L54" s="1152">
        <v>14924.79</v>
      </c>
      <c r="M54" s="1152">
        <v>14924.79</v>
      </c>
      <c r="N54" s="125">
        <v>0</v>
      </c>
      <c r="O54" s="125">
        <v>0</v>
      </c>
      <c r="P54" s="1152">
        <v>169147.6</v>
      </c>
      <c r="Q54" s="42"/>
      <c r="R54" s="1153">
        <v>43159</v>
      </c>
      <c r="S54" s="1153">
        <v>43220</v>
      </c>
      <c r="T54" s="1153">
        <v>43312</v>
      </c>
      <c r="U54" s="1154">
        <v>44196</v>
      </c>
      <c r="V54" s="67"/>
      <c r="W54" s="67"/>
      <c r="X54" s="67"/>
    </row>
    <row r="55" spans="1:27" ht="39" customHeight="1" thickBot="1" x14ac:dyDescent="0.3">
      <c r="A55" s="498" t="str">
        <f>CONCATENATE('3 pr-2'!A141)</f>
        <v>2.1.2.3</v>
      </c>
      <c r="B55" s="1102"/>
      <c r="C55" s="1651" t="str">
        <f>CONCATENATE('3 pr-2'!D141)</f>
        <v/>
      </c>
      <c r="D55" s="1660"/>
      <c r="E55" s="1660"/>
      <c r="F55" s="1660"/>
      <c r="G55" s="1660"/>
      <c r="H55" s="1660"/>
      <c r="I55" s="1660"/>
      <c r="J55" s="1661"/>
      <c r="K55" s="500">
        <f t="shared" si="26"/>
        <v>10452.94</v>
      </c>
      <c r="L55" s="500">
        <f t="shared" si="26"/>
        <v>783.97</v>
      </c>
      <c r="M55" s="500">
        <f t="shared" si="26"/>
        <v>783.97</v>
      </c>
      <c r="N55" s="500">
        <f t="shared" si="26"/>
        <v>0</v>
      </c>
      <c r="O55" s="500">
        <f t="shared" si="26"/>
        <v>0</v>
      </c>
      <c r="P55" s="500">
        <f t="shared" si="26"/>
        <v>8885</v>
      </c>
      <c r="Q55" s="148"/>
      <c r="R55" s="500"/>
      <c r="S55" s="500"/>
      <c r="T55" s="500"/>
      <c r="U55" s="500"/>
      <c r="V55" s="70">
        <v>229000</v>
      </c>
      <c r="W55" s="70">
        <f>SUM(V55*120/100)</f>
        <v>274800</v>
      </c>
      <c r="X55" s="71">
        <f>SUM(V55-P55)</f>
        <v>220115</v>
      </c>
    </row>
    <row r="56" spans="1:27" ht="90" thickBot="1" x14ac:dyDescent="0.3">
      <c r="A56" s="147" t="str">
        <f>CONCATENATE('3 pr-2'!A142)</f>
        <v>2.1.2.3.1</v>
      </c>
      <c r="B56" s="147"/>
      <c r="C56" s="1155" t="s">
        <v>1483</v>
      </c>
      <c r="D56" s="1156" t="s">
        <v>1484</v>
      </c>
      <c r="E56" s="1156" t="s">
        <v>103</v>
      </c>
      <c r="F56" s="1156" t="s">
        <v>191</v>
      </c>
      <c r="G56" s="1157" t="s">
        <v>1482</v>
      </c>
      <c r="H56" s="1157" t="s">
        <v>119</v>
      </c>
      <c r="I56" s="1157" t="s">
        <v>66</v>
      </c>
      <c r="J56" s="1157" t="s">
        <v>66</v>
      </c>
      <c r="K56" s="1152">
        <v>10452.94</v>
      </c>
      <c r="L56" s="1152">
        <v>783.97</v>
      </c>
      <c r="M56" s="1152">
        <v>783.97</v>
      </c>
      <c r="N56" s="125">
        <v>0</v>
      </c>
      <c r="O56" s="125">
        <v>0</v>
      </c>
      <c r="P56" s="1152">
        <v>8885</v>
      </c>
      <c r="Q56" s="42"/>
      <c r="R56" s="1153">
        <v>43189</v>
      </c>
      <c r="S56" s="1153">
        <v>43252</v>
      </c>
      <c r="T56" s="1153">
        <v>43373</v>
      </c>
      <c r="U56" s="1154">
        <v>44561</v>
      </c>
      <c r="V56" s="67"/>
      <c r="W56" s="67"/>
      <c r="X56" s="67"/>
    </row>
    <row r="57" spans="1:27" ht="42.75" customHeight="1" thickBot="1" x14ac:dyDescent="0.3">
      <c r="A57" s="216" t="s">
        <v>35</v>
      </c>
      <c r="B57" s="1106"/>
      <c r="C57" s="1653" t="s">
        <v>667</v>
      </c>
      <c r="D57" s="1666"/>
      <c r="E57" s="1666"/>
      <c r="F57" s="1666"/>
      <c r="G57" s="1666"/>
      <c r="H57" s="1666"/>
      <c r="I57" s="1666"/>
      <c r="J57" s="1667"/>
      <c r="K57" s="196">
        <f t="shared" ref="K57:P57" si="27">SUM(K58+K60)</f>
        <v>430242</v>
      </c>
      <c r="L57" s="196">
        <f t="shared" si="27"/>
        <v>64536</v>
      </c>
      <c r="M57" s="196">
        <f t="shared" si="27"/>
        <v>0</v>
      </c>
      <c r="N57" s="196">
        <f t="shared" si="27"/>
        <v>0</v>
      </c>
      <c r="O57" s="196">
        <f t="shared" si="27"/>
        <v>0</v>
      </c>
      <c r="P57" s="196">
        <f t="shared" si="27"/>
        <v>365706</v>
      </c>
      <c r="Q57" s="196"/>
      <c r="R57" s="197"/>
      <c r="S57" s="197"/>
      <c r="T57" s="197"/>
      <c r="U57" s="237"/>
      <c r="V57" s="69">
        <f>SUM(V58+V60)</f>
        <v>365706.20852641336</v>
      </c>
      <c r="W57" s="69">
        <f>SUM(W58+W60)</f>
        <v>438847.45023169601</v>
      </c>
      <c r="X57" s="69">
        <f>SUM(X58+X60)</f>
        <v>0.20852641336387023</v>
      </c>
    </row>
    <row r="58" spans="1:27" ht="39" customHeight="1" thickBot="1" x14ac:dyDescent="0.3">
      <c r="A58" s="498" t="s">
        <v>36</v>
      </c>
      <c r="B58" s="1102"/>
      <c r="C58" s="1651" t="s">
        <v>663</v>
      </c>
      <c r="D58" s="1660"/>
      <c r="E58" s="1660"/>
      <c r="F58" s="1660"/>
      <c r="G58" s="1660"/>
      <c r="H58" s="1660"/>
      <c r="I58" s="1660"/>
      <c r="J58" s="1661"/>
      <c r="K58" s="500">
        <f>SUM(K59)</f>
        <v>188353</v>
      </c>
      <c r="L58" s="500">
        <f>SUM(L59)</f>
        <v>28253</v>
      </c>
      <c r="M58" s="500">
        <f t="shared" ref="M58:O58" si="28">SUM(M59)</f>
        <v>0</v>
      </c>
      <c r="N58" s="500">
        <f t="shared" si="28"/>
        <v>0</v>
      </c>
      <c r="O58" s="500">
        <f t="shared" si="28"/>
        <v>0</v>
      </c>
      <c r="P58" s="500">
        <f>SUM(P59)</f>
        <v>160100</v>
      </c>
      <c r="Q58" s="148"/>
      <c r="R58" s="500"/>
      <c r="S58" s="500"/>
      <c r="T58" s="500"/>
      <c r="U58" s="500"/>
      <c r="V58" s="70">
        <v>160100.20852641336</v>
      </c>
      <c r="W58" s="70">
        <f>SUM(V58*120/100)</f>
        <v>192120.25023169603</v>
      </c>
      <c r="X58" s="71">
        <f>SUM(V58-P58)</f>
        <v>0.20852641336387023</v>
      </c>
    </row>
    <row r="59" spans="1:27" ht="48.75" thickBot="1" x14ac:dyDescent="0.3">
      <c r="A59" s="147" t="str">
        <f>CONCATENATE('3 pr-2'!A150)</f>
        <v>2.1.3.1.2</v>
      </c>
      <c r="B59" s="147"/>
      <c r="C59" s="147" t="s">
        <v>328</v>
      </c>
      <c r="D59" s="147" t="s">
        <v>185</v>
      </c>
      <c r="E59" s="147" t="s">
        <v>106</v>
      </c>
      <c r="F59" s="147" t="s">
        <v>329</v>
      </c>
      <c r="G59" s="324" t="s">
        <v>154</v>
      </c>
      <c r="H59" s="40" t="s">
        <v>119</v>
      </c>
      <c r="I59" s="40"/>
      <c r="J59" s="42" t="s">
        <v>66</v>
      </c>
      <c r="K59" s="42">
        <f>SUM(L59:P59)</f>
        <v>188353</v>
      </c>
      <c r="L59" s="42">
        <v>28253</v>
      </c>
      <c r="M59" s="42">
        <v>0</v>
      </c>
      <c r="N59" s="42">
        <v>0</v>
      </c>
      <c r="O59" s="42">
        <v>0</v>
      </c>
      <c r="P59" s="42">
        <v>160100</v>
      </c>
      <c r="Q59" s="788">
        <v>42618</v>
      </c>
      <c r="R59" s="550">
        <v>42669</v>
      </c>
      <c r="S59" s="550">
        <v>42734</v>
      </c>
      <c r="T59" s="550">
        <v>42855</v>
      </c>
      <c r="U59" s="799">
        <f>SUM('IV-1 su proj'!CH149)</f>
        <v>43646</v>
      </c>
      <c r="V59" s="67"/>
      <c r="W59" s="67"/>
      <c r="X59" s="67"/>
    </row>
    <row r="60" spans="1:27" ht="39" customHeight="1" thickBot="1" x14ac:dyDescent="0.3">
      <c r="A60" s="498" t="s">
        <v>37</v>
      </c>
      <c r="B60" s="1102"/>
      <c r="C60" s="1651" t="s">
        <v>664</v>
      </c>
      <c r="D60" s="1660"/>
      <c r="E60" s="1660"/>
      <c r="F60" s="1660"/>
      <c r="G60" s="1660"/>
      <c r="H60" s="1660"/>
      <c r="I60" s="1660"/>
      <c r="J60" s="1661"/>
      <c r="K60" s="500">
        <f>SUM(K61)</f>
        <v>241889</v>
      </c>
      <c r="L60" s="500">
        <f>SUM(L61)</f>
        <v>36283</v>
      </c>
      <c r="M60" s="500">
        <f t="shared" ref="M60:O60" si="29">SUM(M61)</f>
        <v>0</v>
      </c>
      <c r="N60" s="500">
        <f t="shared" si="29"/>
        <v>0</v>
      </c>
      <c r="O60" s="500">
        <f t="shared" si="29"/>
        <v>0</v>
      </c>
      <c r="P60" s="500">
        <f>SUM(P61)</f>
        <v>205606</v>
      </c>
      <c r="Q60" s="148"/>
      <c r="R60" s="500"/>
      <c r="S60" s="500"/>
      <c r="T60" s="500"/>
      <c r="U60" s="500"/>
      <c r="V60" s="70">
        <v>205606</v>
      </c>
      <c r="W60" s="70">
        <f>SUM(V60*120/100)</f>
        <v>246727.2</v>
      </c>
      <c r="X60" s="71">
        <f>SUM(V60-P60)</f>
        <v>0</v>
      </c>
    </row>
    <row r="61" spans="1:27" ht="48.75" thickBot="1" x14ac:dyDescent="0.3">
      <c r="A61" s="147" t="str">
        <f>CONCATENATE('3 pr-2'!A156)</f>
        <v>2.1.3.2.2</v>
      </c>
      <c r="B61" s="147"/>
      <c r="C61" s="147" t="s">
        <v>192</v>
      </c>
      <c r="D61" s="147" t="s">
        <v>185</v>
      </c>
      <c r="E61" s="147" t="s">
        <v>106</v>
      </c>
      <c r="F61" s="147" t="s">
        <v>312</v>
      </c>
      <c r="G61" s="324" t="s">
        <v>155</v>
      </c>
      <c r="H61" s="40" t="s">
        <v>119</v>
      </c>
      <c r="I61" s="40" t="s">
        <v>66</v>
      </c>
      <c r="J61" s="42" t="s">
        <v>66</v>
      </c>
      <c r="K61" s="42">
        <f>SUM(L61:P61)</f>
        <v>241889</v>
      </c>
      <c r="L61" s="42">
        <v>36283</v>
      </c>
      <c r="M61" s="42">
        <v>0</v>
      </c>
      <c r="N61" s="42">
        <v>0</v>
      </c>
      <c r="O61" s="42">
        <v>0</v>
      </c>
      <c r="P61" s="42">
        <v>205606</v>
      </c>
      <c r="Q61" s="788">
        <v>42401</v>
      </c>
      <c r="R61" s="550">
        <v>42490</v>
      </c>
      <c r="S61" s="550">
        <v>42674</v>
      </c>
      <c r="T61" s="550">
        <v>42735</v>
      </c>
      <c r="U61" s="799">
        <v>43373</v>
      </c>
      <c r="V61" s="67"/>
      <c r="W61" s="67"/>
      <c r="X61" s="67"/>
    </row>
    <row r="62" spans="1:27" ht="36" customHeight="1" thickBot="1" x14ac:dyDescent="0.3">
      <c r="A62" s="216" t="s">
        <v>38</v>
      </c>
      <c r="B62" s="1106"/>
      <c r="C62" s="1653" t="s">
        <v>665</v>
      </c>
      <c r="D62" s="1666"/>
      <c r="E62" s="1666"/>
      <c r="F62" s="1666"/>
      <c r="G62" s="1666"/>
      <c r="H62" s="1666"/>
      <c r="I62" s="1666"/>
      <c r="J62" s="1667"/>
      <c r="K62" s="196">
        <f>SUM(K63)</f>
        <v>210999</v>
      </c>
      <c r="L62" s="196">
        <f>SUM(L63)</f>
        <v>31650</v>
      </c>
      <c r="M62" s="196">
        <f t="shared" ref="M62:P63" si="30">SUM(M63)</f>
        <v>0</v>
      </c>
      <c r="N62" s="196">
        <f t="shared" si="30"/>
        <v>0</v>
      </c>
      <c r="O62" s="196">
        <f t="shared" si="30"/>
        <v>0</v>
      </c>
      <c r="P62" s="196">
        <f t="shared" si="30"/>
        <v>179349</v>
      </c>
      <c r="Q62" s="196"/>
      <c r="R62" s="197"/>
      <c r="S62" s="197"/>
      <c r="T62" s="197"/>
      <c r="U62" s="237"/>
      <c r="V62" s="69">
        <f>SUM(V63)</f>
        <v>179348.58670946473</v>
      </c>
      <c r="W62" s="69">
        <f>SUM(W63)</f>
        <v>215218.30405135767</v>
      </c>
      <c r="X62" s="69">
        <f>SUM(X63)</f>
        <v>-0.41329053527442738</v>
      </c>
    </row>
    <row r="63" spans="1:27" ht="39" customHeight="1" thickBot="1" x14ac:dyDescent="0.3">
      <c r="A63" s="498" t="s">
        <v>109</v>
      </c>
      <c r="B63" s="1102"/>
      <c r="C63" s="1651" t="s">
        <v>666</v>
      </c>
      <c r="D63" s="1660"/>
      <c r="E63" s="1660"/>
      <c r="F63" s="1660"/>
      <c r="G63" s="1660"/>
      <c r="H63" s="1660"/>
      <c r="I63" s="1660"/>
      <c r="J63" s="1661"/>
      <c r="K63" s="500">
        <f>SUM(K64)</f>
        <v>210999</v>
      </c>
      <c r="L63" s="500">
        <f>SUM(L64)</f>
        <v>31650</v>
      </c>
      <c r="M63" s="500">
        <f t="shared" si="30"/>
        <v>0</v>
      </c>
      <c r="N63" s="500">
        <f t="shared" si="30"/>
        <v>0</v>
      </c>
      <c r="O63" s="500">
        <f t="shared" si="30"/>
        <v>0</v>
      </c>
      <c r="P63" s="500">
        <f>SUM(P64)</f>
        <v>179349</v>
      </c>
      <c r="Q63" s="148"/>
      <c r="R63" s="500"/>
      <c r="S63" s="500"/>
      <c r="T63" s="500"/>
      <c r="U63" s="500"/>
      <c r="V63" s="70">
        <v>179348.58670946473</v>
      </c>
      <c r="W63" s="70">
        <f>SUM(V63*120/100)</f>
        <v>215218.30405135767</v>
      </c>
      <c r="X63" s="71">
        <f>SUM(V63-P63)</f>
        <v>-0.41329053527442738</v>
      </c>
    </row>
    <row r="64" spans="1:27" ht="48.75" thickBot="1" x14ac:dyDescent="0.3">
      <c r="A64" s="147" t="str">
        <f>CONCATENATE('3 pr-2'!A163)</f>
        <v>2.1.4.1.2</v>
      </c>
      <c r="B64" s="147"/>
      <c r="C64" s="147" t="s">
        <v>420</v>
      </c>
      <c r="D64" s="147" t="s">
        <v>185</v>
      </c>
      <c r="E64" s="147" t="s">
        <v>75</v>
      </c>
      <c r="F64" s="147" t="s">
        <v>312</v>
      </c>
      <c r="G64" s="324" t="s">
        <v>1375</v>
      </c>
      <c r="H64" s="40" t="s">
        <v>119</v>
      </c>
      <c r="I64" s="40" t="s">
        <v>66</v>
      </c>
      <c r="J64" s="42" t="s">
        <v>66</v>
      </c>
      <c r="K64" s="42">
        <f>SUM(L64:P64)</f>
        <v>210999</v>
      </c>
      <c r="L64" s="42">
        <v>31650</v>
      </c>
      <c r="M64" s="42">
        <v>0</v>
      </c>
      <c r="N64" s="42">
        <v>0</v>
      </c>
      <c r="O64" s="42">
        <v>0</v>
      </c>
      <c r="P64" s="42">
        <v>179349</v>
      </c>
      <c r="Q64" s="788">
        <v>43017</v>
      </c>
      <c r="R64" s="550">
        <v>43100</v>
      </c>
      <c r="S64" s="550">
        <v>43131</v>
      </c>
      <c r="T64" s="550">
        <v>43190</v>
      </c>
      <c r="U64" s="550">
        <v>44561</v>
      </c>
      <c r="V64" s="67"/>
      <c r="W64" s="67"/>
      <c r="X64" s="67"/>
    </row>
    <row r="65" spans="1:24" ht="41.25" customHeight="1" thickBot="1" x14ac:dyDescent="0.3">
      <c r="A65" s="224" t="s">
        <v>40</v>
      </c>
      <c r="B65" s="1107"/>
      <c r="C65" s="1663" t="s">
        <v>1689</v>
      </c>
      <c r="D65" s="1664"/>
      <c r="E65" s="1664"/>
      <c r="F65" s="1664"/>
      <c r="G65" s="1664"/>
      <c r="H65" s="1664"/>
      <c r="I65" s="1664"/>
      <c r="J65" s="1665"/>
      <c r="K65" s="218">
        <f t="shared" ref="K65:P65" si="31">SUM(K66+K69)</f>
        <v>1558149.9411764704</v>
      </c>
      <c r="L65" s="218">
        <f t="shared" si="31"/>
        <v>267704.32372679451</v>
      </c>
      <c r="M65" s="218">
        <f t="shared" si="31"/>
        <v>0</v>
      </c>
      <c r="N65" s="218">
        <f t="shared" si="31"/>
        <v>0</v>
      </c>
      <c r="O65" s="218">
        <f t="shared" si="31"/>
        <v>0</v>
      </c>
      <c r="P65" s="218">
        <f t="shared" si="31"/>
        <v>1324427.1499999999</v>
      </c>
      <c r="Q65" s="218"/>
      <c r="R65" s="225"/>
      <c r="S65" s="225"/>
      <c r="T65" s="225"/>
      <c r="U65" s="236"/>
      <c r="V65" s="68">
        <f>SUM(V66+V69)</f>
        <v>1313858.3500000001</v>
      </c>
      <c r="W65" s="68">
        <f>SUM(W66+W69)</f>
        <v>1576630.02</v>
      </c>
      <c r="X65" s="68">
        <f>SUM(X66+X69)</f>
        <v>-10568.800000000047</v>
      </c>
    </row>
    <row r="66" spans="1:24" ht="47.25" customHeight="1" thickBot="1" x14ac:dyDescent="0.3">
      <c r="A66" s="216" t="s">
        <v>41</v>
      </c>
      <c r="B66" s="1106"/>
      <c r="C66" s="1653" t="s">
        <v>1690</v>
      </c>
      <c r="D66" s="1666"/>
      <c r="E66" s="1666"/>
      <c r="F66" s="1666"/>
      <c r="G66" s="1666"/>
      <c r="H66" s="1666"/>
      <c r="I66" s="1666"/>
      <c r="J66" s="1667"/>
      <c r="K66" s="196">
        <f>SUM(K67)</f>
        <v>719846.29411764699</v>
      </c>
      <c r="L66" s="196">
        <f>SUM(L67)</f>
        <v>141958.77666797099</v>
      </c>
      <c r="M66" s="196">
        <f t="shared" ref="M66:P66" si="32">SUM(M67)</f>
        <v>0</v>
      </c>
      <c r="N66" s="196">
        <f t="shared" si="32"/>
        <v>0</v>
      </c>
      <c r="O66" s="196">
        <f t="shared" si="32"/>
        <v>0</v>
      </c>
      <c r="P66" s="196">
        <f t="shared" si="32"/>
        <v>611869.35</v>
      </c>
      <c r="Q66" s="196"/>
      <c r="R66" s="197"/>
      <c r="S66" s="197"/>
      <c r="T66" s="197"/>
      <c r="U66" s="237"/>
      <c r="V66" s="69">
        <f>SUM(V67)</f>
        <v>611869.35</v>
      </c>
      <c r="W66" s="69">
        <f>SUM(W67)</f>
        <v>734243.22</v>
      </c>
      <c r="X66" s="69">
        <f>SUM(X67)</f>
        <v>0</v>
      </c>
    </row>
    <row r="67" spans="1:24" ht="39" customHeight="1" thickBot="1" x14ac:dyDescent="0.3">
      <c r="A67" s="498" t="s">
        <v>42</v>
      </c>
      <c r="B67" s="1102"/>
      <c r="C67" s="1651" t="s">
        <v>637</v>
      </c>
      <c r="D67" s="1660"/>
      <c r="E67" s="1660"/>
      <c r="F67" s="1660"/>
      <c r="G67" s="1660"/>
      <c r="H67" s="1660"/>
      <c r="I67" s="1660"/>
      <c r="J67" s="1661"/>
      <c r="K67" s="500">
        <f t="shared" ref="K67:P67" si="33">SUM(K68:K68)</f>
        <v>719846.29411764699</v>
      </c>
      <c r="L67" s="500">
        <f>SUM(L68:L68)</f>
        <v>141958.77666797099</v>
      </c>
      <c r="M67" s="500">
        <f t="shared" si="33"/>
        <v>0</v>
      </c>
      <c r="N67" s="500">
        <f t="shared" si="33"/>
        <v>0</v>
      </c>
      <c r="O67" s="500">
        <f t="shared" si="33"/>
        <v>0</v>
      </c>
      <c r="P67" s="500">
        <f t="shared" si="33"/>
        <v>611869.35</v>
      </c>
      <c r="Q67" s="148"/>
      <c r="R67" s="500"/>
      <c r="S67" s="500"/>
      <c r="T67" s="500"/>
      <c r="U67" s="500"/>
      <c r="V67" s="70">
        <v>611869.35</v>
      </c>
      <c r="W67" s="70">
        <f>SUM(V67*120/100)</f>
        <v>734243.22</v>
      </c>
      <c r="X67" s="71">
        <f>SUM(V67-P67)</f>
        <v>0</v>
      </c>
    </row>
    <row r="68" spans="1:24" s="89" customFormat="1" ht="48.75" thickBot="1" x14ac:dyDescent="0.3">
      <c r="A68" s="189" t="str">
        <f>CONCATENATE('3 pr-2'!A166)</f>
        <v>2.1.4.1.5</v>
      </c>
      <c r="B68" s="189"/>
      <c r="C68" s="189" t="s">
        <v>323</v>
      </c>
      <c r="D68" s="189" t="s">
        <v>193</v>
      </c>
      <c r="E68" s="189" t="s">
        <v>77</v>
      </c>
      <c r="F68" s="189" t="s">
        <v>324</v>
      </c>
      <c r="G68" s="525" t="s">
        <v>194</v>
      </c>
      <c r="H68" s="590" t="s">
        <v>119</v>
      </c>
      <c r="I68" s="590" t="s">
        <v>66</v>
      </c>
      <c r="J68" s="468" t="s">
        <v>66</v>
      </c>
      <c r="K68" s="468">
        <v>719846.29411764699</v>
      </c>
      <c r="L68" s="468">
        <v>141958.77666797099</v>
      </c>
      <c r="M68" s="468">
        <v>0</v>
      </c>
      <c r="N68" s="468">
        <v>0</v>
      </c>
      <c r="O68" s="468">
        <v>0</v>
      </c>
      <c r="P68" s="468">
        <v>611869.35</v>
      </c>
      <c r="Q68" s="468"/>
      <c r="R68" s="1111">
        <v>42766</v>
      </c>
      <c r="S68" s="1111">
        <v>42916</v>
      </c>
      <c r="T68" s="1111">
        <v>43008</v>
      </c>
      <c r="U68" s="1111">
        <v>43830</v>
      </c>
      <c r="V68" s="88"/>
      <c r="W68" s="88"/>
      <c r="X68" s="88"/>
    </row>
    <row r="69" spans="1:24" ht="36" customHeight="1" thickBot="1" x14ac:dyDescent="0.3">
      <c r="A69" s="216" t="s">
        <v>43</v>
      </c>
      <c r="B69" s="1106"/>
      <c r="C69" s="1653" t="s">
        <v>1691</v>
      </c>
      <c r="D69" s="1666"/>
      <c r="E69" s="1666"/>
      <c r="F69" s="1666"/>
      <c r="G69" s="1666"/>
      <c r="H69" s="1666"/>
      <c r="I69" s="1666"/>
      <c r="J69" s="1667"/>
      <c r="K69" s="196">
        <f>SUM(K70)</f>
        <v>838303.6470588235</v>
      </c>
      <c r="L69" s="196">
        <f>SUM(L70)</f>
        <v>125745.54705882352</v>
      </c>
      <c r="M69" s="196">
        <f t="shared" ref="M69:P69" si="34">SUM(M70)</f>
        <v>0</v>
      </c>
      <c r="N69" s="196">
        <f t="shared" si="34"/>
        <v>0</v>
      </c>
      <c r="O69" s="196">
        <f t="shared" si="34"/>
        <v>0</v>
      </c>
      <c r="P69" s="196">
        <f t="shared" si="34"/>
        <v>712557.8</v>
      </c>
      <c r="Q69" s="196"/>
      <c r="R69" s="197"/>
      <c r="S69" s="197"/>
      <c r="T69" s="197"/>
      <c r="U69" s="237"/>
      <c r="V69" s="69">
        <f>SUM(V70)</f>
        <v>701989</v>
      </c>
      <c r="W69" s="69">
        <f>SUM(W70)</f>
        <v>842386.8</v>
      </c>
      <c r="X69" s="69">
        <f>SUM(X70)</f>
        <v>-10568.800000000047</v>
      </c>
    </row>
    <row r="70" spans="1:24" ht="39" customHeight="1" thickBot="1" x14ac:dyDescent="0.3">
      <c r="A70" s="498" t="s">
        <v>113</v>
      </c>
      <c r="B70" s="1102"/>
      <c r="C70" s="1651" t="s">
        <v>641</v>
      </c>
      <c r="D70" s="1660"/>
      <c r="E70" s="1660"/>
      <c r="F70" s="1660"/>
      <c r="G70" s="1660"/>
      <c r="H70" s="1660"/>
      <c r="I70" s="1660"/>
      <c r="J70" s="1661"/>
      <c r="K70" s="500">
        <f>SUM(K71:K72)</f>
        <v>838303.6470588235</v>
      </c>
      <c r="L70" s="500">
        <f t="shared" ref="L70:P70" si="35">SUM(L71:L72)</f>
        <v>125745.54705882352</v>
      </c>
      <c r="M70" s="500">
        <f t="shared" si="35"/>
        <v>0</v>
      </c>
      <c r="N70" s="500">
        <f t="shared" si="35"/>
        <v>0</v>
      </c>
      <c r="O70" s="500">
        <f t="shared" si="35"/>
        <v>0</v>
      </c>
      <c r="P70" s="500">
        <f t="shared" si="35"/>
        <v>712557.8</v>
      </c>
      <c r="Q70" s="148"/>
      <c r="R70" s="500"/>
      <c r="S70" s="500"/>
      <c r="T70" s="500"/>
      <c r="U70" s="500"/>
      <c r="V70" s="70">
        <v>701989</v>
      </c>
      <c r="W70" s="70">
        <f>SUM(V70*120/100)</f>
        <v>842386.8</v>
      </c>
      <c r="X70" s="71">
        <f>SUM(V70-P70)</f>
        <v>-10568.800000000047</v>
      </c>
    </row>
    <row r="71" spans="1:24" ht="48.75" thickBot="1" x14ac:dyDescent="0.3">
      <c r="A71" s="147" t="str">
        <f>CONCATENATE('3 pr-2'!A176)</f>
        <v>3.1.2.1.3</v>
      </c>
      <c r="B71" s="147"/>
      <c r="C71" s="147" t="s">
        <v>195</v>
      </c>
      <c r="D71" s="147" t="s">
        <v>185</v>
      </c>
      <c r="E71" s="147" t="s">
        <v>77</v>
      </c>
      <c r="F71" s="147" t="s">
        <v>186</v>
      </c>
      <c r="G71" s="324" t="s">
        <v>196</v>
      </c>
      <c r="H71" s="40" t="s">
        <v>119</v>
      </c>
      <c r="I71" s="40"/>
      <c r="J71" s="42"/>
      <c r="K71" s="1110">
        <v>101766</v>
      </c>
      <c r="L71" s="1110">
        <v>15264.9</v>
      </c>
      <c r="M71" s="1110">
        <v>0</v>
      </c>
      <c r="N71" s="1110">
        <v>0</v>
      </c>
      <c r="O71" s="1110">
        <v>0</v>
      </c>
      <c r="P71" s="1110">
        <v>86500.800000000003</v>
      </c>
      <c r="Q71" s="788">
        <v>42598</v>
      </c>
      <c r="R71" s="550">
        <v>42632</v>
      </c>
      <c r="S71" s="550">
        <v>42767</v>
      </c>
      <c r="T71" s="550">
        <v>42886</v>
      </c>
      <c r="U71" s="1158">
        <v>43465</v>
      </c>
      <c r="V71" s="67"/>
      <c r="W71" s="67"/>
      <c r="X71" s="67"/>
    </row>
    <row r="72" spans="1:24" ht="48.75" thickBot="1" x14ac:dyDescent="0.3">
      <c r="A72" s="147" t="str">
        <f>CONCATENATE('3 pr-2'!A181)</f>
        <v>3.1.2.1.8</v>
      </c>
      <c r="B72" s="147"/>
      <c r="C72" s="147" t="s">
        <v>643</v>
      </c>
      <c r="D72" s="147" t="s">
        <v>185</v>
      </c>
      <c r="E72" s="147" t="s">
        <v>77</v>
      </c>
      <c r="F72" s="147" t="s">
        <v>191</v>
      </c>
      <c r="G72" s="324" t="s">
        <v>196</v>
      </c>
      <c r="H72" s="40" t="s">
        <v>119</v>
      </c>
      <c r="I72" s="40" t="s">
        <v>66</v>
      </c>
      <c r="J72" s="42" t="s">
        <v>66</v>
      </c>
      <c r="K72" s="1110">
        <v>736537.6470588235</v>
      </c>
      <c r="L72" s="1110">
        <v>110480.64705882352</v>
      </c>
      <c r="M72" s="1110">
        <v>0</v>
      </c>
      <c r="N72" s="1110">
        <v>0</v>
      </c>
      <c r="O72" s="1110">
        <v>0</v>
      </c>
      <c r="P72" s="1110">
        <v>626057</v>
      </c>
      <c r="Q72" s="788">
        <v>43128</v>
      </c>
      <c r="R72" s="550">
        <v>43159</v>
      </c>
      <c r="S72" s="886">
        <v>43222</v>
      </c>
      <c r="T72" s="886">
        <v>43342</v>
      </c>
      <c r="U72" s="550">
        <v>43830</v>
      </c>
      <c r="V72" s="67"/>
      <c r="W72" s="67"/>
      <c r="X72" s="67"/>
    </row>
    <row r="73" spans="1:24" ht="15.75" thickBot="1" x14ac:dyDescent="0.3">
      <c r="A73" s="92"/>
      <c r="B73" s="93"/>
      <c r="C73" s="93"/>
      <c r="D73" s="93"/>
      <c r="E73" s="93"/>
      <c r="F73" s="93"/>
      <c r="G73" s="94"/>
      <c r="H73" s="93"/>
      <c r="I73" s="93"/>
      <c r="J73" s="93"/>
      <c r="K73" s="84">
        <f t="shared" ref="K73:P73" si="36">SUM(K5+K41+K65)</f>
        <v>8952370.447058823</v>
      </c>
      <c r="L73" s="84">
        <f t="shared" si="36"/>
        <v>1270221.0596091475</v>
      </c>
      <c r="M73" s="84">
        <f t="shared" si="36"/>
        <v>316767.17000000004</v>
      </c>
      <c r="N73" s="84">
        <f t="shared" si="36"/>
        <v>614560</v>
      </c>
      <c r="O73" s="84">
        <f t="shared" si="36"/>
        <v>0</v>
      </c>
      <c r="P73" s="84">
        <f t="shared" si="36"/>
        <v>6784803.75</v>
      </c>
      <c r="Q73" s="579"/>
      <c r="R73" s="93"/>
      <c r="S73" s="93"/>
      <c r="T73" s="93"/>
      <c r="U73" s="95"/>
      <c r="V73" s="84">
        <f>SUM(V5+V41+V65)</f>
        <v>7507052.4672358781</v>
      </c>
      <c r="W73" s="84">
        <f>SUM(W5+W41+W65)</f>
        <v>9008462.9606830534</v>
      </c>
      <c r="X73" s="84" t="e">
        <f>SUM(X5+X41+X65)</f>
        <v>#REF!</v>
      </c>
    </row>
    <row r="74" spans="1:24" ht="15.75" thickTop="1" x14ac:dyDescent="0.25"/>
    <row r="75" spans="1:24" x14ac:dyDescent="0.25">
      <c r="M75" s="96">
        <f>SUM(M73:O73)</f>
        <v>931327.17</v>
      </c>
    </row>
    <row r="77" spans="1:24" x14ac:dyDescent="0.25">
      <c r="M77" s="85">
        <v>777879.2799999998</v>
      </c>
      <c r="N77" s="85">
        <v>3352807.77</v>
      </c>
    </row>
    <row r="79" spans="1:24" x14ac:dyDescent="0.25">
      <c r="M79" s="103">
        <f>SUM(M77*N79/N77)</f>
        <v>141958.77666797099</v>
      </c>
      <c r="N79" s="85">
        <v>611869.35</v>
      </c>
    </row>
  </sheetData>
  <mergeCells count="41">
    <mergeCell ref="C41:J41"/>
    <mergeCell ref="C65:J65"/>
    <mergeCell ref="C32:J32"/>
    <mergeCell ref="C42:J42"/>
    <mergeCell ref="C49:J49"/>
    <mergeCell ref="C57:J57"/>
    <mergeCell ref="C62:J62"/>
    <mergeCell ref="C63:J63"/>
    <mergeCell ref="C55:J55"/>
    <mergeCell ref="C67:J67"/>
    <mergeCell ref="C70:J70"/>
    <mergeCell ref="C66:J66"/>
    <mergeCell ref="C69:J69"/>
    <mergeCell ref="C43:J43"/>
    <mergeCell ref="C45:J45"/>
    <mergeCell ref="C47:J47"/>
    <mergeCell ref="C50:J50"/>
    <mergeCell ref="C53:J53"/>
    <mergeCell ref="C58:J58"/>
    <mergeCell ref="C60:J60"/>
    <mergeCell ref="C30:J30"/>
    <mergeCell ref="C33:J33"/>
    <mergeCell ref="C35:J35"/>
    <mergeCell ref="C37:J37"/>
    <mergeCell ref="C39:J39"/>
    <mergeCell ref="C20:J20"/>
    <mergeCell ref="C22:J22"/>
    <mergeCell ref="C24:J24"/>
    <mergeCell ref="C26:J26"/>
    <mergeCell ref="C28:J28"/>
    <mergeCell ref="C5:J5"/>
    <mergeCell ref="C6:J6"/>
    <mergeCell ref="C7:J7"/>
    <mergeCell ref="C16:J16"/>
    <mergeCell ref="C18:J18"/>
    <mergeCell ref="X2:X3"/>
    <mergeCell ref="A2:J2"/>
    <mergeCell ref="K2:P2"/>
    <mergeCell ref="V2:V3"/>
    <mergeCell ref="W2:W3"/>
    <mergeCell ref="Q2:U2"/>
  </mergeCell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82"/>
  <sheetViews>
    <sheetView workbookViewId="0">
      <pane ySplit="2955" topLeftCell="A10" activePane="bottomLeft"/>
      <selection activeCell="U1" sqref="U1:Y1048576"/>
      <selection pane="bottomLeft" activeCell="P20" sqref="P20"/>
    </sheetView>
  </sheetViews>
  <sheetFormatPr defaultColWidth="9.140625" defaultRowHeight="15" x14ac:dyDescent="0.25"/>
  <cols>
    <col min="1" max="1" width="9.140625" style="85"/>
    <col min="2" max="2" width="13.28515625" style="85" customWidth="1"/>
    <col min="3" max="3" width="46.140625" style="85" customWidth="1"/>
    <col min="4" max="4" width="11.7109375" style="85" customWidth="1"/>
    <col min="5" max="5" width="14.42578125" style="85" bestFit="1" customWidth="1"/>
    <col min="6" max="6" width="11.42578125" style="85" customWidth="1"/>
    <col min="7" max="7" width="18.28515625" style="85" customWidth="1"/>
    <col min="8" max="10" width="9.140625" style="85"/>
    <col min="11" max="11" width="14.28515625" style="85" bestFit="1" customWidth="1"/>
    <col min="12" max="12" width="12.7109375" style="85" bestFit="1" customWidth="1"/>
    <col min="13" max="13" width="10.7109375" style="85" bestFit="1" customWidth="1"/>
    <col min="14" max="14" width="13.140625" style="85" customWidth="1"/>
    <col min="15" max="15" width="10.5703125" style="85" bestFit="1" customWidth="1"/>
    <col min="16" max="16" width="12.85546875" style="85" bestFit="1" customWidth="1"/>
    <col min="17" max="17" width="12.7109375" style="85" hidden="1" customWidth="1"/>
    <col min="18" max="18" width="11.85546875" style="85" customWidth="1"/>
    <col min="19" max="19" width="10.28515625" style="85" customWidth="1"/>
    <col min="20" max="20" width="11.5703125" style="85" bestFit="1" customWidth="1"/>
    <col min="21" max="21" width="10.85546875" style="85" customWidth="1"/>
    <col min="22" max="23" width="18" style="85" customWidth="1"/>
    <col min="24" max="24" width="22.42578125" style="85" customWidth="1"/>
    <col min="25" max="25" width="9.140625" style="85" customWidth="1"/>
    <col min="26" max="16384" width="9.140625" style="85"/>
  </cols>
  <sheetData>
    <row r="1" spans="1:24" ht="15.75" thickBot="1" x14ac:dyDescent="0.3">
      <c r="A1" s="59" t="s">
        <v>73</v>
      </c>
      <c r="B1" s="59"/>
    </row>
    <row r="2" spans="1:24" ht="16.5" customHeight="1" thickTop="1" thickBot="1" x14ac:dyDescent="0.3">
      <c r="A2" s="1721" t="s">
        <v>46</v>
      </c>
      <c r="B2" s="1722"/>
      <c r="C2" s="1722"/>
      <c r="D2" s="1722"/>
      <c r="E2" s="1722"/>
      <c r="F2" s="1722"/>
      <c r="G2" s="1722"/>
      <c r="H2" s="1722"/>
      <c r="I2" s="1722"/>
      <c r="J2" s="1723"/>
      <c r="K2" s="1724" t="s">
        <v>47</v>
      </c>
      <c r="L2" s="1722"/>
      <c r="M2" s="1722"/>
      <c r="N2" s="1722"/>
      <c r="O2" s="1722"/>
      <c r="P2" s="1723"/>
      <c r="Q2" s="1724" t="s">
        <v>48</v>
      </c>
      <c r="R2" s="1726"/>
      <c r="S2" s="1726"/>
      <c r="T2" s="1726"/>
      <c r="U2" s="1727"/>
      <c r="V2" s="1719" t="s">
        <v>117</v>
      </c>
      <c r="W2" s="1719" t="s">
        <v>118</v>
      </c>
      <c r="X2" s="1719" t="s">
        <v>122</v>
      </c>
    </row>
    <row r="3" spans="1:24" ht="84.75" thickBot="1" x14ac:dyDescent="0.3">
      <c r="A3" s="60" t="s">
        <v>7</v>
      </c>
      <c r="B3" s="61" t="str">
        <f>CONCATENATE('3 pr-2'!B4)</f>
        <v xml:space="preserve">Unikalus numeris**** </v>
      </c>
      <c r="C3" s="61" t="s">
        <v>49</v>
      </c>
      <c r="D3" s="61" t="s">
        <v>50</v>
      </c>
      <c r="E3" s="61" t="s">
        <v>51</v>
      </c>
      <c r="F3" s="61" t="s">
        <v>52</v>
      </c>
      <c r="G3" s="62" t="s">
        <v>53</v>
      </c>
      <c r="H3" s="61" t="s">
        <v>54</v>
      </c>
      <c r="I3" s="61" t="s">
        <v>55</v>
      </c>
      <c r="J3" s="61" t="s">
        <v>56</v>
      </c>
      <c r="K3" s="61" t="s">
        <v>57</v>
      </c>
      <c r="L3" s="61" t="s">
        <v>58</v>
      </c>
      <c r="M3" s="61" t="s">
        <v>59</v>
      </c>
      <c r="N3" s="61" t="s">
        <v>60</v>
      </c>
      <c r="O3" s="61" t="s">
        <v>61</v>
      </c>
      <c r="P3" s="61" t="s">
        <v>10</v>
      </c>
      <c r="Q3" s="1112" t="s">
        <v>1379</v>
      </c>
      <c r="R3" s="61" t="s">
        <v>62</v>
      </c>
      <c r="S3" s="61" t="s">
        <v>63</v>
      </c>
      <c r="T3" s="61" t="s">
        <v>64</v>
      </c>
      <c r="U3" s="63" t="s">
        <v>65</v>
      </c>
      <c r="V3" s="1720"/>
      <c r="W3" s="1720"/>
      <c r="X3" s="1720"/>
    </row>
    <row r="4" spans="1:24" ht="15.75" thickBot="1" x14ac:dyDescent="0.3">
      <c r="A4" s="44"/>
      <c r="B4" s="41"/>
      <c r="C4" s="41"/>
      <c r="D4" s="41"/>
      <c r="E4" s="41"/>
      <c r="F4" s="41"/>
      <c r="G4" s="36"/>
      <c r="H4" s="41"/>
      <c r="I4" s="41"/>
      <c r="J4" s="41"/>
      <c r="K4" s="41"/>
      <c r="L4" s="41"/>
      <c r="M4" s="41"/>
      <c r="N4" s="41"/>
      <c r="O4" s="41"/>
      <c r="P4" s="41"/>
      <c r="Q4" s="41"/>
      <c r="R4" s="41"/>
      <c r="S4" s="41"/>
      <c r="T4" s="41"/>
      <c r="U4" s="86"/>
      <c r="V4" s="67"/>
      <c r="W4" s="67"/>
      <c r="X4" s="67"/>
    </row>
    <row r="5" spans="1:24" ht="60.75" customHeight="1" thickBot="1" x14ac:dyDescent="0.3">
      <c r="A5" s="224" t="s">
        <v>11</v>
      </c>
      <c r="B5" s="1107"/>
      <c r="C5" s="1663" t="s">
        <v>1686</v>
      </c>
      <c r="D5" s="1664"/>
      <c r="E5" s="1664"/>
      <c r="F5" s="1664"/>
      <c r="G5" s="1664"/>
      <c r="H5" s="1664"/>
      <c r="I5" s="1664"/>
      <c r="J5" s="1665"/>
      <c r="K5" s="218">
        <f t="shared" ref="K5:P5" si="0">SUM(K6+K31)</f>
        <v>11366958.891764706</v>
      </c>
      <c r="L5" s="218">
        <f t="shared" si="0"/>
        <v>1608717.2417647059</v>
      </c>
      <c r="M5" s="218">
        <f t="shared" si="0"/>
        <v>191290.06</v>
      </c>
      <c r="N5" s="218">
        <f t="shared" si="0"/>
        <v>2716901</v>
      </c>
      <c r="O5" s="218">
        <f t="shared" si="0"/>
        <v>0</v>
      </c>
      <c r="P5" s="218">
        <f t="shared" si="0"/>
        <v>6850050.5899999989</v>
      </c>
      <c r="Q5" s="218"/>
      <c r="R5" s="225" t="s">
        <v>66</v>
      </c>
      <c r="S5" s="225" t="s">
        <v>66</v>
      </c>
      <c r="T5" s="225" t="s">
        <v>66</v>
      </c>
      <c r="U5" s="236"/>
      <c r="V5" s="68">
        <f>SUM(V6+V31)</f>
        <v>6509159.2167248093</v>
      </c>
      <c r="W5" s="68">
        <f>SUM(W6+W31)</f>
        <v>7810991.0600697715</v>
      </c>
      <c r="X5" s="68" t="e">
        <f>SUM(X6+X31)</f>
        <v>#REF!</v>
      </c>
    </row>
    <row r="6" spans="1:24" ht="51" customHeight="1" thickBot="1" x14ac:dyDescent="0.3">
      <c r="A6" s="216" t="s">
        <v>12</v>
      </c>
      <c r="B6" s="1106"/>
      <c r="C6" s="1653" t="s">
        <v>1687</v>
      </c>
      <c r="D6" s="1666"/>
      <c r="E6" s="1666"/>
      <c r="F6" s="1666"/>
      <c r="G6" s="1666"/>
      <c r="H6" s="1666"/>
      <c r="I6" s="1666"/>
      <c r="J6" s="1667"/>
      <c r="K6" s="196">
        <f t="shared" ref="K6:P6" si="1">SUM(K7+K12+K15+K17+K19+K21+K23+K27+K29)</f>
        <v>8344297.4117647056</v>
      </c>
      <c r="L6" s="196">
        <f t="shared" si="1"/>
        <v>590717.56176470593</v>
      </c>
      <c r="M6" s="196">
        <f t="shared" si="1"/>
        <v>191290.06</v>
      </c>
      <c r="N6" s="196">
        <f t="shared" si="1"/>
        <v>2294209</v>
      </c>
      <c r="O6" s="196">
        <f t="shared" si="1"/>
        <v>0</v>
      </c>
      <c r="P6" s="196">
        <f t="shared" si="1"/>
        <v>5268080.7899999991</v>
      </c>
      <c r="Q6" s="196"/>
      <c r="R6" s="197" t="s">
        <v>66</v>
      </c>
      <c r="S6" s="197" t="s">
        <v>66</v>
      </c>
      <c r="T6" s="197" t="s">
        <v>66</v>
      </c>
      <c r="U6" s="237"/>
      <c r="V6" s="69">
        <f>SUM(V7+V12+V15+V17+V19+V21+V23+V27+V29)</f>
        <v>5268080.8167248098</v>
      </c>
      <c r="W6" s="69">
        <f>SUM(W7+W12+W15+W17+W19+W21+W23+W27+W29)</f>
        <v>6321696.9800697714</v>
      </c>
      <c r="X6" s="69" t="e">
        <f>SUM(X7+X12+X15+X17+X19+X21+X23+X27+X29)</f>
        <v>#REF!</v>
      </c>
    </row>
    <row r="7" spans="1:24" ht="37.5" customHeight="1" thickBot="1" x14ac:dyDescent="0.3">
      <c r="A7" s="498" t="s">
        <v>67</v>
      </c>
      <c r="B7" s="1102"/>
      <c r="C7" s="1651" t="s">
        <v>635</v>
      </c>
      <c r="D7" s="1660"/>
      <c r="E7" s="1660"/>
      <c r="F7" s="1660"/>
      <c r="G7" s="1660"/>
      <c r="H7" s="1660"/>
      <c r="I7" s="1660"/>
      <c r="J7" s="1661"/>
      <c r="K7" s="500">
        <f t="shared" ref="K7:P7" si="2">SUM(K8:K11)</f>
        <v>784232</v>
      </c>
      <c r="L7" s="500">
        <f t="shared" si="2"/>
        <v>221555</v>
      </c>
      <c r="M7" s="500">
        <f t="shared" si="2"/>
        <v>84402</v>
      </c>
      <c r="N7" s="500">
        <f t="shared" si="2"/>
        <v>0</v>
      </c>
      <c r="O7" s="500">
        <f t="shared" si="2"/>
        <v>0</v>
      </c>
      <c r="P7" s="500">
        <f t="shared" si="2"/>
        <v>478275</v>
      </c>
      <c r="Q7" s="148"/>
      <c r="R7" s="500" t="s">
        <v>66</v>
      </c>
      <c r="S7" s="500" t="s">
        <v>66</v>
      </c>
      <c r="T7" s="500" t="s">
        <v>66</v>
      </c>
      <c r="U7" s="500"/>
      <c r="V7" s="70">
        <v>478275</v>
      </c>
      <c r="W7" s="70">
        <f>SUM(V7*120/100)</f>
        <v>573930</v>
      </c>
      <c r="X7" s="70" t="e">
        <f>SUM(V7-(P7+#REF!))</f>
        <v>#REF!</v>
      </c>
    </row>
    <row r="8" spans="1:24" ht="36.75" thickBot="1" x14ac:dyDescent="0.3">
      <c r="A8" s="147" t="str">
        <f>CONCATENATE('3 pr-2'!A10)</f>
        <v>1.1.1.1.1</v>
      </c>
      <c r="B8" s="147" t="str">
        <f>CONCATENATE('3 pr-2'!B10)</f>
        <v>R01-ZM72-120000-1101</v>
      </c>
      <c r="C8" s="147" t="s">
        <v>440</v>
      </c>
      <c r="D8" s="147" t="s">
        <v>182</v>
      </c>
      <c r="E8" s="147" t="s">
        <v>74</v>
      </c>
      <c r="F8" s="147" t="s">
        <v>234</v>
      </c>
      <c r="G8" s="147" t="s">
        <v>466</v>
      </c>
      <c r="H8" s="40" t="s">
        <v>119</v>
      </c>
      <c r="I8" s="40" t="s">
        <v>66</v>
      </c>
      <c r="J8" s="40" t="s">
        <v>66</v>
      </c>
      <c r="K8" s="42">
        <f>SUM(L8:P8)</f>
        <v>198893</v>
      </c>
      <c r="L8" s="42">
        <v>39779</v>
      </c>
      <c r="M8" s="42">
        <v>23867</v>
      </c>
      <c r="N8" s="42">
        <v>0</v>
      </c>
      <c r="O8" s="42">
        <v>0</v>
      </c>
      <c r="P8" s="42">
        <v>135247</v>
      </c>
      <c r="Q8" s="788">
        <v>42643</v>
      </c>
      <c r="R8" s="550">
        <v>42855</v>
      </c>
      <c r="S8" s="550">
        <v>43010</v>
      </c>
      <c r="T8" s="1120">
        <v>43102</v>
      </c>
      <c r="U8" s="550">
        <v>43465</v>
      </c>
      <c r="V8" s="67"/>
      <c r="W8" s="67"/>
      <c r="X8" s="67"/>
    </row>
    <row r="9" spans="1:24" ht="36.75" thickBot="1" x14ac:dyDescent="0.3">
      <c r="A9" s="147" t="str">
        <f>CONCATENATE('3 pr-2'!A11)</f>
        <v>1.1.1.1.2</v>
      </c>
      <c r="B9" s="147" t="str">
        <f>CONCATENATE('3 pr-2'!B11)</f>
        <v>R01-ZM72-120000-1102</v>
      </c>
      <c r="C9" s="147" t="s">
        <v>441</v>
      </c>
      <c r="D9" s="147" t="s">
        <v>182</v>
      </c>
      <c r="E9" s="147" t="s">
        <v>74</v>
      </c>
      <c r="F9" s="147" t="s">
        <v>234</v>
      </c>
      <c r="G9" s="147" t="s">
        <v>466</v>
      </c>
      <c r="H9" s="40" t="s">
        <v>119</v>
      </c>
      <c r="I9" s="40" t="s">
        <v>66</v>
      </c>
      <c r="J9" s="40" t="s">
        <v>66</v>
      </c>
      <c r="K9" s="42">
        <f>SUM(L9:P9)</f>
        <v>151340</v>
      </c>
      <c r="L9" s="42">
        <v>30268</v>
      </c>
      <c r="M9" s="42">
        <v>18161</v>
      </c>
      <c r="N9" s="42">
        <v>0</v>
      </c>
      <c r="O9" s="42">
        <v>0</v>
      </c>
      <c r="P9" s="42">
        <v>102911</v>
      </c>
      <c r="Q9" s="788">
        <v>42643</v>
      </c>
      <c r="R9" s="550">
        <v>42855</v>
      </c>
      <c r="S9" s="550">
        <v>43010</v>
      </c>
      <c r="T9" s="1120">
        <v>43102</v>
      </c>
      <c r="U9" s="550">
        <v>43465</v>
      </c>
      <c r="V9" s="67"/>
      <c r="W9" s="67"/>
      <c r="X9" s="67"/>
    </row>
    <row r="10" spans="1:24" ht="36.75" thickBot="1" x14ac:dyDescent="0.3">
      <c r="A10" s="147" t="str">
        <f>CONCATENATE('3 pr-2'!A12)</f>
        <v>1.1.1.1.3</v>
      </c>
      <c r="B10" s="147" t="str">
        <f>CONCATENATE('3 pr-2'!B12)</f>
        <v>R01-ZM72-120000-1103</v>
      </c>
      <c r="C10" s="147" t="s">
        <v>442</v>
      </c>
      <c r="D10" s="147" t="s">
        <v>182</v>
      </c>
      <c r="E10" s="147" t="s">
        <v>74</v>
      </c>
      <c r="F10" s="147" t="s">
        <v>234</v>
      </c>
      <c r="G10" s="147" t="s">
        <v>466</v>
      </c>
      <c r="H10" s="40" t="s">
        <v>119</v>
      </c>
      <c r="I10" s="40" t="s">
        <v>66</v>
      </c>
      <c r="J10" s="40" t="s">
        <v>66</v>
      </c>
      <c r="K10" s="42">
        <f>SUM(L10:P10)</f>
        <v>193059</v>
      </c>
      <c r="L10" s="42">
        <v>38612</v>
      </c>
      <c r="M10" s="42">
        <v>23167</v>
      </c>
      <c r="N10" s="42">
        <v>0</v>
      </c>
      <c r="O10" s="42">
        <v>0</v>
      </c>
      <c r="P10" s="42">
        <v>131280</v>
      </c>
      <c r="Q10" s="788">
        <v>42643</v>
      </c>
      <c r="R10" s="550">
        <v>42855</v>
      </c>
      <c r="S10" s="550">
        <v>43010</v>
      </c>
      <c r="T10" s="1120">
        <v>43102</v>
      </c>
      <c r="U10" s="550">
        <v>43465</v>
      </c>
      <c r="V10" s="67"/>
      <c r="W10" s="67"/>
      <c r="X10" s="67"/>
    </row>
    <row r="11" spans="1:24" ht="36.75" thickBot="1" x14ac:dyDescent="0.3">
      <c r="A11" s="147" t="str">
        <f>CONCATENATE('3 pr-2'!A14)</f>
        <v>1.1.1.1.5</v>
      </c>
      <c r="B11" s="147" t="str">
        <f>CONCATENATE('3 pr-2'!B14)</f>
        <v>R01-ZM72-120000-1105</v>
      </c>
      <c r="C11" s="147" t="s">
        <v>444</v>
      </c>
      <c r="D11" s="147" t="s">
        <v>182</v>
      </c>
      <c r="E11" s="147" t="s">
        <v>74</v>
      </c>
      <c r="F11" s="147" t="s">
        <v>234</v>
      </c>
      <c r="G11" s="147" t="s">
        <v>466</v>
      </c>
      <c r="H11" s="40" t="s">
        <v>119</v>
      </c>
      <c r="I11" s="40" t="s">
        <v>66</v>
      </c>
      <c r="J11" s="40" t="s">
        <v>66</v>
      </c>
      <c r="K11" s="42">
        <f>SUM(L11:P11)</f>
        <v>240940</v>
      </c>
      <c r="L11" s="42">
        <v>112896</v>
      </c>
      <c r="M11" s="42">
        <v>19207</v>
      </c>
      <c r="N11" s="42">
        <v>0</v>
      </c>
      <c r="O11" s="42">
        <v>0</v>
      </c>
      <c r="P11" s="42">
        <v>108837</v>
      </c>
      <c r="Q11" s="788">
        <v>42643</v>
      </c>
      <c r="R11" s="550">
        <v>42855</v>
      </c>
      <c r="S11" s="550">
        <v>43010</v>
      </c>
      <c r="T11" s="1120">
        <v>43102</v>
      </c>
      <c r="U11" s="550">
        <v>43465</v>
      </c>
      <c r="V11" s="72"/>
      <c r="W11" s="72"/>
      <c r="X11" s="73"/>
    </row>
    <row r="12" spans="1:24" ht="39.75" customHeight="1" thickBot="1" x14ac:dyDescent="0.3">
      <c r="A12" s="498" t="s">
        <v>14</v>
      </c>
      <c r="B12" s="1102"/>
      <c r="C12" s="1651" t="s">
        <v>636</v>
      </c>
      <c r="D12" s="1660"/>
      <c r="E12" s="1660"/>
      <c r="F12" s="1660"/>
      <c r="G12" s="1660"/>
      <c r="H12" s="1660"/>
      <c r="I12" s="1660"/>
      <c r="J12" s="1661"/>
      <c r="K12" s="500">
        <f>SUM(K13:K14)</f>
        <v>1091640</v>
      </c>
      <c r="L12" s="500">
        <f t="shared" ref="L12:P12" si="3">SUM(L13:L14)</f>
        <v>81873</v>
      </c>
      <c r="M12" s="500">
        <f t="shared" si="3"/>
        <v>81873</v>
      </c>
      <c r="N12" s="500">
        <f t="shared" si="3"/>
        <v>0</v>
      </c>
      <c r="O12" s="500">
        <f t="shared" si="3"/>
        <v>0</v>
      </c>
      <c r="P12" s="500">
        <f t="shared" si="3"/>
        <v>927894</v>
      </c>
      <c r="Q12" s="148"/>
      <c r="R12" s="500"/>
      <c r="S12" s="500"/>
      <c r="T12" s="500"/>
      <c r="U12" s="500"/>
      <c r="V12" s="70">
        <v>927893.52922480984</v>
      </c>
      <c r="W12" s="70">
        <f>SUM(V12*120/100)</f>
        <v>1113472.2350697718</v>
      </c>
      <c r="X12" s="70">
        <f>SUM(V12-P12)</f>
        <v>-0.47077519015874714</v>
      </c>
    </row>
    <row r="13" spans="1:24" s="89" customFormat="1" ht="48.75" customHeight="1" thickBot="1" x14ac:dyDescent="0.3">
      <c r="A13" s="189" t="str">
        <f>CONCATENATE('3 pr-2'!A37)</f>
        <v>1.1.1.2.4</v>
      </c>
      <c r="B13" s="189" t="str">
        <f>CONCATENATE('3 pr-2'!B37)</f>
        <v>R01-9908-290000-1124</v>
      </c>
      <c r="C13" s="189" t="s">
        <v>412</v>
      </c>
      <c r="D13" s="189" t="s">
        <v>182</v>
      </c>
      <c r="E13" s="189" t="s">
        <v>75</v>
      </c>
      <c r="F13" s="189" t="s">
        <v>284</v>
      </c>
      <c r="G13" s="189" t="s">
        <v>146</v>
      </c>
      <c r="H13" s="590" t="s">
        <v>119</v>
      </c>
      <c r="I13" s="590" t="s">
        <v>66</v>
      </c>
      <c r="J13" s="590" t="s">
        <v>66</v>
      </c>
      <c r="K13" s="468">
        <f>SUM(L13:P13)</f>
        <v>417761</v>
      </c>
      <c r="L13" s="468">
        <v>31332</v>
      </c>
      <c r="M13" s="468">
        <v>31332</v>
      </c>
      <c r="N13" s="468">
        <v>0</v>
      </c>
      <c r="O13" s="468">
        <v>0</v>
      </c>
      <c r="P13" s="468">
        <v>355097</v>
      </c>
      <c r="Q13" s="479">
        <v>43038</v>
      </c>
      <c r="R13" s="479">
        <v>43124</v>
      </c>
      <c r="S13" s="479">
        <v>43251</v>
      </c>
      <c r="T13" s="479">
        <v>43343</v>
      </c>
      <c r="U13" s="1113">
        <v>43830</v>
      </c>
      <c r="V13" s="88"/>
      <c r="W13" s="88"/>
      <c r="X13" s="88"/>
    </row>
    <row r="14" spans="1:24" s="89" customFormat="1" ht="48.75" thickBot="1" x14ac:dyDescent="0.3">
      <c r="A14" s="189" t="str">
        <f>CONCATENATE('3 pr-2'!A38)</f>
        <v>1.1.1.2.5</v>
      </c>
      <c r="B14" s="189" t="str">
        <f>CONCATENATE('3 pr-2'!B38)</f>
        <v>R01-9908-290000-1125</v>
      </c>
      <c r="C14" s="189" t="s">
        <v>413</v>
      </c>
      <c r="D14" s="189" t="s">
        <v>182</v>
      </c>
      <c r="E14" s="189" t="s">
        <v>75</v>
      </c>
      <c r="F14" s="189" t="s">
        <v>230</v>
      </c>
      <c r="G14" s="189" t="s">
        <v>146</v>
      </c>
      <c r="H14" s="590" t="s">
        <v>119</v>
      </c>
      <c r="I14" s="590" t="s">
        <v>66</v>
      </c>
      <c r="J14" s="590" t="s">
        <v>66</v>
      </c>
      <c r="K14" s="468">
        <f>SUM(L14:P14)</f>
        <v>673879</v>
      </c>
      <c r="L14" s="468">
        <v>50541</v>
      </c>
      <c r="M14" s="468">
        <v>50541</v>
      </c>
      <c r="N14" s="468">
        <v>0</v>
      </c>
      <c r="O14" s="468">
        <v>0</v>
      </c>
      <c r="P14" s="468">
        <v>572797</v>
      </c>
      <c r="Q14" s="479">
        <v>43038</v>
      </c>
      <c r="R14" s="479">
        <v>43100</v>
      </c>
      <c r="S14" s="479">
        <v>43251</v>
      </c>
      <c r="T14" s="479">
        <v>43312</v>
      </c>
      <c r="U14" s="1113">
        <v>44044</v>
      </c>
      <c r="V14" s="88"/>
      <c r="W14" s="88"/>
      <c r="X14" s="88"/>
    </row>
    <row r="15" spans="1:24" ht="30.75" customHeight="1" thickBot="1" x14ac:dyDescent="0.3">
      <c r="A15" s="498" t="s">
        <v>70</v>
      </c>
      <c r="B15" s="1102"/>
      <c r="C15" s="1651" t="s">
        <v>645</v>
      </c>
      <c r="D15" s="1660"/>
      <c r="E15" s="1660"/>
      <c r="F15" s="1660"/>
      <c r="G15" s="1660"/>
      <c r="H15" s="1660"/>
      <c r="I15" s="1660"/>
      <c r="J15" s="1661"/>
      <c r="K15" s="500">
        <f>SUM(K16:K16)</f>
        <v>0</v>
      </c>
      <c r="L15" s="500">
        <f>SUM(L16:L16)</f>
        <v>0</v>
      </c>
      <c r="M15" s="500">
        <f>SUM(M16:M16)</f>
        <v>0</v>
      </c>
      <c r="N15" s="500"/>
      <c r="O15" s="500"/>
      <c r="P15" s="500">
        <f>SUM(P16:P16)</f>
        <v>0</v>
      </c>
      <c r="Q15" s="148"/>
      <c r="R15" s="500"/>
      <c r="S15" s="500"/>
      <c r="T15" s="500"/>
      <c r="U15" s="500"/>
      <c r="V15" s="70">
        <v>0</v>
      </c>
      <c r="W15" s="70">
        <f>SUM(V15*120/100)</f>
        <v>0</v>
      </c>
      <c r="X15" s="70">
        <f>SUM(V15-P15)</f>
        <v>0</v>
      </c>
    </row>
    <row r="16" spans="1:24" ht="15.75" thickBot="1" x14ac:dyDescent="0.3">
      <c r="A16" s="34"/>
      <c r="B16" s="34"/>
      <c r="C16" s="34"/>
      <c r="D16" s="33"/>
      <c r="E16" s="33"/>
      <c r="F16" s="33"/>
      <c r="G16" s="17"/>
      <c r="H16" s="38" t="s">
        <v>66</v>
      </c>
      <c r="I16" s="38"/>
      <c r="J16" s="38" t="s">
        <v>66</v>
      </c>
      <c r="K16" s="38"/>
      <c r="L16" s="38"/>
      <c r="M16" s="38"/>
      <c r="N16" s="38"/>
      <c r="O16" s="38"/>
      <c r="P16" s="38"/>
      <c r="Q16" s="38"/>
      <c r="R16" s="99"/>
      <c r="S16" s="99"/>
      <c r="T16" s="99"/>
      <c r="U16" s="33"/>
      <c r="V16" s="67"/>
      <c r="W16" s="67"/>
      <c r="X16" s="67"/>
    </row>
    <row r="17" spans="1:24" ht="33" customHeight="1" thickBot="1" x14ac:dyDescent="0.3">
      <c r="A17" s="498" t="s">
        <v>16</v>
      </c>
      <c r="B17" s="1102"/>
      <c r="C17" s="1651" t="s">
        <v>646</v>
      </c>
      <c r="D17" s="1660"/>
      <c r="E17" s="1660"/>
      <c r="F17" s="1660"/>
      <c r="G17" s="1660"/>
      <c r="H17" s="1660"/>
      <c r="I17" s="1660"/>
      <c r="J17" s="1661"/>
      <c r="K17" s="500">
        <f t="shared" ref="K17:P17" si="4">SUM(K18:K18)</f>
        <v>474784</v>
      </c>
      <c r="L17" s="500">
        <f t="shared" si="4"/>
        <v>166265</v>
      </c>
      <c r="M17" s="500">
        <f t="shared" si="4"/>
        <v>25015.06</v>
      </c>
      <c r="N17" s="500">
        <f t="shared" si="4"/>
        <v>0</v>
      </c>
      <c r="O17" s="500">
        <f t="shared" si="4"/>
        <v>0</v>
      </c>
      <c r="P17" s="500">
        <f t="shared" si="4"/>
        <v>283503.94</v>
      </c>
      <c r="Q17" s="148"/>
      <c r="R17" s="500"/>
      <c r="S17" s="500"/>
      <c r="T17" s="500"/>
      <c r="U17" s="500"/>
      <c r="V17" s="70">
        <v>283503.59999999998</v>
      </c>
      <c r="W17" s="70">
        <f>SUM(V17*120/100)</f>
        <v>340204.32</v>
      </c>
      <c r="X17" s="70">
        <f>SUM(V17-P17)</f>
        <v>-0.34000000002561137</v>
      </c>
    </row>
    <row r="18" spans="1:24" s="89" customFormat="1" ht="48.75" thickBot="1" x14ac:dyDescent="0.3">
      <c r="A18" s="189" t="str">
        <f>CONCATENATE('3 pr-2'!A48)</f>
        <v>1.1.1.4.2</v>
      </c>
      <c r="B18" s="189" t="str">
        <f>CONCATENATE('3 pr-2'!B48)</f>
        <v>R01-9903-290000-1142</v>
      </c>
      <c r="C18" s="189" t="s">
        <v>160</v>
      </c>
      <c r="D18" s="189" t="s">
        <v>182</v>
      </c>
      <c r="E18" s="189" t="s">
        <v>75</v>
      </c>
      <c r="F18" s="189" t="s">
        <v>310</v>
      </c>
      <c r="G18" s="189" t="s">
        <v>274</v>
      </c>
      <c r="H18" s="590" t="s">
        <v>119</v>
      </c>
      <c r="I18" s="590" t="s">
        <v>168</v>
      </c>
      <c r="J18" s="590" t="s">
        <v>66</v>
      </c>
      <c r="K18" s="468">
        <f>SUM(L18:P18)</f>
        <v>474784</v>
      </c>
      <c r="L18" s="468">
        <v>166265</v>
      </c>
      <c r="M18" s="468">
        <v>25015.06</v>
      </c>
      <c r="N18" s="468">
        <v>0</v>
      </c>
      <c r="O18" s="468">
        <v>0</v>
      </c>
      <c r="P18" s="468">
        <v>283503.94</v>
      </c>
      <c r="Q18" s="1111">
        <v>42419</v>
      </c>
      <c r="R18" s="1111">
        <v>42494</v>
      </c>
      <c r="S18" s="1111">
        <v>42583</v>
      </c>
      <c r="T18" s="1111">
        <v>42675</v>
      </c>
      <c r="U18" s="1113">
        <v>43465</v>
      </c>
      <c r="V18" s="88"/>
      <c r="W18" s="88"/>
      <c r="X18" s="88"/>
    </row>
    <row r="19" spans="1:24" ht="32.25" customHeight="1" thickBot="1" x14ac:dyDescent="0.3">
      <c r="A19" s="498" t="s">
        <v>76</v>
      </c>
      <c r="B19" s="1102"/>
      <c r="C19" s="1651" t="s">
        <v>647</v>
      </c>
      <c r="D19" s="1660"/>
      <c r="E19" s="1660"/>
      <c r="F19" s="1660"/>
      <c r="G19" s="1660"/>
      <c r="H19" s="1660"/>
      <c r="I19" s="1660"/>
      <c r="J19" s="1661"/>
      <c r="K19" s="500">
        <f>SUM(K20:K20)</f>
        <v>5186812</v>
      </c>
      <c r="L19" s="500">
        <f>SUM(L20:L20)</f>
        <v>0</v>
      </c>
      <c r="M19" s="500"/>
      <c r="N19" s="500">
        <f>SUM(N20:N20)</f>
        <v>2294209</v>
      </c>
      <c r="O19" s="500">
        <f>SUM(O20:O20)</f>
        <v>0</v>
      </c>
      <c r="P19" s="500">
        <f>SUM(P20:P20)</f>
        <v>2892603</v>
      </c>
      <c r="Q19" s="148"/>
      <c r="R19" s="500"/>
      <c r="S19" s="500"/>
      <c r="T19" s="500"/>
      <c r="U19" s="500"/>
      <c r="V19" s="70">
        <v>2892603</v>
      </c>
      <c r="W19" s="70">
        <f>SUM(V19*120/100)</f>
        <v>3471123.6</v>
      </c>
      <c r="X19" s="70">
        <f>SUM(V19-P19)</f>
        <v>0</v>
      </c>
    </row>
    <row r="20" spans="1:24" s="89" customFormat="1" ht="48.75" thickBot="1" x14ac:dyDescent="0.3">
      <c r="A20" s="189" t="str">
        <f>CONCATENATE('3 pr-2'!A54)</f>
        <v>1.1.1.5.4.</v>
      </c>
      <c r="B20" s="189" t="str">
        <f>CONCATENATE('3 pr-2'!B54)</f>
        <v>R01-0014-060700-1154</v>
      </c>
      <c r="C20" s="189" t="s">
        <v>309</v>
      </c>
      <c r="D20" s="189" t="s">
        <v>233</v>
      </c>
      <c r="E20" s="189" t="s">
        <v>77</v>
      </c>
      <c r="F20" s="189" t="s">
        <v>310</v>
      </c>
      <c r="G20" s="189" t="s">
        <v>144</v>
      </c>
      <c r="H20" s="590" t="s">
        <v>119</v>
      </c>
      <c r="I20" s="590" t="s">
        <v>66</v>
      </c>
      <c r="J20" s="590" t="s">
        <v>66</v>
      </c>
      <c r="K20" s="1429">
        <f>SUM(L20:P20)</f>
        <v>5186812</v>
      </c>
      <c r="L20" s="468">
        <v>0</v>
      </c>
      <c r="M20" s="468">
        <v>0</v>
      </c>
      <c r="N20" s="1429">
        <v>2294209</v>
      </c>
      <c r="O20" s="468">
        <v>0</v>
      </c>
      <c r="P20" s="1429">
        <v>2892603</v>
      </c>
      <c r="Q20" s="1111">
        <v>42451</v>
      </c>
      <c r="R20" s="1111">
        <v>42551</v>
      </c>
      <c r="S20" s="1492">
        <v>42705</v>
      </c>
      <c r="T20" s="1492">
        <v>42795</v>
      </c>
      <c r="U20" s="1492">
        <v>44440</v>
      </c>
      <c r="V20" s="88"/>
      <c r="W20" s="88"/>
      <c r="X20" s="88"/>
    </row>
    <row r="21" spans="1:24" ht="30" customHeight="1" thickBot="1" x14ac:dyDescent="0.3">
      <c r="A21" s="498" t="s">
        <v>79</v>
      </c>
      <c r="B21" s="1102"/>
      <c r="C21" s="1651" t="s">
        <v>648</v>
      </c>
      <c r="D21" s="1660"/>
      <c r="E21" s="1660"/>
      <c r="F21" s="1660"/>
      <c r="G21" s="1660"/>
      <c r="H21" s="1660"/>
      <c r="I21" s="1660"/>
      <c r="J21" s="1661"/>
      <c r="K21" s="500">
        <f t="shared" ref="K21:P21" si="5">SUM(K22)</f>
        <v>0</v>
      </c>
      <c r="L21" s="500">
        <f t="shared" si="5"/>
        <v>0</v>
      </c>
      <c r="M21" s="500">
        <f t="shared" si="5"/>
        <v>0</v>
      </c>
      <c r="N21" s="500">
        <f t="shared" si="5"/>
        <v>0</v>
      </c>
      <c r="O21" s="500">
        <f t="shared" si="5"/>
        <v>0</v>
      </c>
      <c r="P21" s="500">
        <f t="shared" si="5"/>
        <v>0</v>
      </c>
      <c r="Q21" s="148"/>
      <c r="R21" s="500"/>
      <c r="S21" s="500"/>
      <c r="T21" s="500"/>
      <c r="U21" s="500"/>
      <c r="V21" s="70">
        <v>0</v>
      </c>
      <c r="W21" s="70">
        <f>SUM(V21*120/100)</f>
        <v>0</v>
      </c>
      <c r="X21" s="70">
        <f>SUM(V21-P21)</f>
        <v>0</v>
      </c>
    </row>
    <row r="22" spans="1:24" ht="15.75" thickBot="1" x14ac:dyDescent="0.3">
      <c r="A22" s="32"/>
      <c r="B22" s="39"/>
      <c r="C22" s="33"/>
      <c r="D22" s="34"/>
      <c r="E22" s="35"/>
      <c r="F22" s="33"/>
      <c r="G22" s="17"/>
      <c r="H22" s="18"/>
      <c r="I22" s="18"/>
      <c r="J22" s="18"/>
      <c r="K22" s="38">
        <v>0</v>
      </c>
      <c r="L22" s="38">
        <v>0</v>
      </c>
      <c r="M22" s="38">
        <v>0</v>
      </c>
      <c r="N22" s="38">
        <v>0</v>
      </c>
      <c r="O22" s="38">
        <v>0</v>
      </c>
      <c r="P22" s="38">
        <v>0</v>
      </c>
      <c r="Q22" s="42"/>
      <c r="R22" s="41"/>
      <c r="S22" s="41"/>
      <c r="T22" s="41"/>
      <c r="U22" s="90"/>
      <c r="V22" s="67"/>
      <c r="W22" s="67"/>
      <c r="X22" s="67"/>
    </row>
    <row r="23" spans="1:24" ht="30" customHeight="1" thickBot="1" x14ac:dyDescent="0.3">
      <c r="A23" s="498" t="s">
        <v>81</v>
      </c>
      <c r="B23" s="1102"/>
      <c r="C23" s="1651" t="s">
        <v>649</v>
      </c>
      <c r="D23" s="1660"/>
      <c r="E23" s="1660"/>
      <c r="F23" s="1660"/>
      <c r="G23" s="1660"/>
      <c r="H23" s="1660"/>
      <c r="I23" s="1660"/>
      <c r="J23" s="1661"/>
      <c r="K23" s="500">
        <f t="shared" ref="K23:O23" si="6">SUM(K24:K26)</f>
        <v>212009.4117647059</v>
      </c>
      <c r="L23" s="500">
        <f t="shared" si="6"/>
        <v>31801.411764705881</v>
      </c>
      <c r="M23" s="500">
        <f t="shared" si="6"/>
        <v>0</v>
      </c>
      <c r="N23" s="500">
        <f t="shared" si="6"/>
        <v>0</v>
      </c>
      <c r="O23" s="500">
        <f t="shared" si="6"/>
        <v>0</v>
      </c>
      <c r="P23" s="500">
        <f>SUM(P24:P26)</f>
        <v>180208</v>
      </c>
      <c r="Q23" s="148"/>
      <c r="R23" s="500"/>
      <c r="S23" s="500"/>
      <c r="T23" s="500"/>
      <c r="U23" s="500"/>
      <c r="V23" s="70">
        <v>180208</v>
      </c>
      <c r="W23" s="70">
        <f>SUM(V23*120/100)</f>
        <v>216249.60000000001</v>
      </c>
      <c r="X23" s="70">
        <f>SUM(V23-P23)</f>
        <v>0</v>
      </c>
    </row>
    <row r="24" spans="1:24" ht="36.75" thickBot="1" x14ac:dyDescent="0.3">
      <c r="A24" s="147" t="str">
        <f>CONCATENATE('3 pr-2'!A59)</f>
        <v>1.1.1.7.1</v>
      </c>
      <c r="B24" s="147" t="str">
        <f>CONCATENATE('3 pr-2'!B59)</f>
        <v>R01-8821-420000-1171</v>
      </c>
      <c r="C24" s="147" t="s">
        <v>278</v>
      </c>
      <c r="D24" s="147" t="s">
        <v>368</v>
      </c>
      <c r="E24" s="147" t="s">
        <v>82</v>
      </c>
      <c r="F24" s="147" t="s">
        <v>187</v>
      </c>
      <c r="G24" s="324" t="s">
        <v>142</v>
      </c>
      <c r="H24" s="40" t="s">
        <v>119</v>
      </c>
      <c r="I24" s="40" t="s">
        <v>66</v>
      </c>
      <c r="J24" s="42" t="s">
        <v>66</v>
      </c>
      <c r="K24" s="42">
        <f>SUM(L24:P24)</f>
        <v>41644.705882352944</v>
      </c>
      <c r="L24" s="42">
        <v>6246.7058823529414</v>
      </c>
      <c r="M24" s="42">
        <v>0</v>
      </c>
      <c r="N24" s="42">
        <v>0</v>
      </c>
      <c r="O24" s="42">
        <v>0</v>
      </c>
      <c r="P24" s="42">
        <v>35398</v>
      </c>
      <c r="Q24" s="42"/>
      <c r="R24" s="550">
        <v>42643</v>
      </c>
      <c r="S24" s="550">
        <v>42766</v>
      </c>
      <c r="T24" s="550">
        <v>42855</v>
      </c>
      <c r="U24" s="550">
        <v>43830</v>
      </c>
      <c r="V24" s="67"/>
      <c r="W24" s="67"/>
      <c r="X24" s="67"/>
    </row>
    <row r="25" spans="1:24" ht="48.75" thickBot="1" x14ac:dyDescent="0.3">
      <c r="A25" s="147" t="str">
        <f>CONCATENATE('3 pr-2'!A60)</f>
        <v>1.1.1.7.2</v>
      </c>
      <c r="B25" s="147" t="str">
        <f>CONCATENATE('3 pr-2'!B60)</f>
        <v>R01-8821-420000-1172</v>
      </c>
      <c r="C25" s="147" t="s">
        <v>678</v>
      </c>
      <c r="D25" s="147" t="s">
        <v>161</v>
      </c>
      <c r="E25" s="147" t="s">
        <v>82</v>
      </c>
      <c r="F25" s="147" t="s">
        <v>679</v>
      </c>
      <c r="G25" s="324" t="s">
        <v>142</v>
      </c>
      <c r="H25" s="40" t="s">
        <v>119</v>
      </c>
      <c r="I25" s="40" t="s">
        <v>66</v>
      </c>
      <c r="J25" s="42" t="s">
        <v>66</v>
      </c>
      <c r="K25" s="42">
        <f>SUM(L25:P25)</f>
        <v>96035.294117647063</v>
      </c>
      <c r="L25" s="42">
        <f>SUM(P25*15/85)</f>
        <v>14405.294117647059</v>
      </c>
      <c r="M25" s="42">
        <v>0</v>
      </c>
      <c r="N25" s="42">
        <v>0</v>
      </c>
      <c r="O25" s="42">
        <v>0</v>
      </c>
      <c r="P25" s="42">
        <v>81630</v>
      </c>
      <c r="Q25" s="42"/>
      <c r="R25" s="550">
        <v>42643</v>
      </c>
      <c r="S25" s="550">
        <v>42735</v>
      </c>
      <c r="T25" s="550">
        <v>42825</v>
      </c>
      <c r="U25" s="550">
        <v>43465</v>
      </c>
      <c r="V25" s="67"/>
      <c r="W25" s="67"/>
      <c r="X25" s="67"/>
    </row>
    <row r="26" spans="1:24" ht="48.75" thickBot="1" x14ac:dyDescent="0.3">
      <c r="A26" s="147" t="str">
        <f>CONCATENATE('3 pr-2'!A61)</f>
        <v>1.1.1.7.3</v>
      </c>
      <c r="B26" s="147" t="str">
        <f>CONCATENATE('3 pr-2'!B61)</f>
        <v>R01-8821-420000-1173</v>
      </c>
      <c r="C26" s="147" t="s">
        <v>680</v>
      </c>
      <c r="D26" s="147" t="s">
        <v>161</v>
      </c>
      <c r="E26" s="147" t="s">
        <v>82</v>
      </c>
      <c r="F26" s="147" t="s">
        <v>679</v>
      </c>
      <c r="G26" s="324" t="s">
        <v>142</v>
      </c>
      <c r="H26" s="40" t="s">
        <v>119</v>
      </c>
      <c r="I26" s="40" t="s">
        <v>66</v>
      </c>
      <c r="J26" s="42" t="s">
        <v>66</v>
      </c>
      <c r="K26" s="42">
        <f>SUM(L26:P26)</f>
        <v>74329.411764705888</v>
      </c>
      <c r="L26" s="42">
        <f>SUM(P26*15/85)</f>
        <v>11149.411764705883</v>
      </c>
      <c r="M26" s="42">
        <v>0</v>
      </c>
      <c r="N26" s="42">
        <v>0</v>
      </c>
      <c r="O26" s="42">
        <v>0</v>
      </c>
      <c r="P26" s="42">
        <v>63180</v>
      </c>
      <c r="Q26" s="42"/>
      <c r="R26" s="550">
        <v>43008</v>
      </c>
      <c r="S26" s="550"/>
      <c r="T26" s="550"/>
      <c r="U26" s="1137"/>
      <c r="V26" s="67"/>
      <c r="W26" s="67"/>
      <c r="X26" s="67"/>
    </row>
    <row r="27" spans="1:24" ht="30" customHeight="1" thickBot="1" x14ac:dyDescent="0.3">
      <c r="A27" s="498" t="s">
        <v>84</v>
      </c>
      <c r="B27" s="1102"/>
      <c r="C27" s="1651" t="s">
        <v>650</v>
      </c>
      <c r="D27" s="1660"/>
      <c r="E27" s="1660"/>
      <c r="F27" s="1660"/>
      <c r="G27" s="1660"/>
      <c r="H27" s="1660"/>
      <c r="I27" s="1660"/>
      <c r="J27" s="1661"/>
      <c r="K27" s="500">
        <f>SUM(K28)</f>
        <v>352401</v>
      </c>
      <c r="L27" s="500">
        <f>SUM(L28)</f>
        <v>52860.15</v>
      </c>
      <c r="M27" s="500">
        <f t="shared" ref="M27:O27" si="7">SUM(M28)</f>
        <v>0</v>
      </c>
      <c r="N27" s="500">
        <f t="shared" si="7"/>
        <v>0</v>
      </c>
      <c r="O27" s="500">
        <f t="shared" si="7"/>
        <v>0</v>
      </c>
      <c r="P27" s="500">
        <f>SUM(P28)</f>
        <v>299540.84999999998</v>
      </c>
      <c r="Q27" s="148"/>
      <c r="R27" s="500"/>
      <c r="S27" s="500"/>
      <c r="T27" s="500"/>
      <c r="U27" s="500"/>
      <c r="V27" s="70">
        <v>299541.3775</v>
      </c>
      <c r="W27" s="70">
        <f>SUM(V27*120/100)</f>
        <v>359449.65299999999</v>
      </c>
      <c r="X27" s="70">
        <f>SUM(V27-P27)</f>
        <v>0.52750000002561137</v>
      </c>
    </row>
    <row r="28" spans="1:24" ht="36.75" thickBot="1" x14ac:dyDescent="0.3">
      <c r="A28" s="147" t="str">
        <f>CONCATENATE('3 pr-2'!A65)</f>
        <v>1.1.1.8.3</v>
      </c>
      <c r="B28" s="147" t="str">
        <f>CONCATENATE('3 pr-2'!B65)</f>
        <v>R01-3305-330000-1183</v>
      </c>
      <c r="C28" s="147" t="s">
        <v>681</v>
      </c>
      <c r="D28" s="147" t="s">
        <v>182</v>
      </c>
      <c r="E28" s="147" t="s">
        <v>116</v>
      </c>
      <c r="F28" s="147" t="s">
        <v>369</v>
      </c>
      <c r="G28" s="324" t="s">
        <v>143</v>
      </c>
      <c r="H28" s="40" t="s">
        <v>119</v>
      </c>
      <c r="I28" s="40" t="s">
        <v>168</v>
      </c>
      <c r="J28" s="42" t="s">
        <v>66</v>
      </c>
      <c r="K28" s="42">
        <f>SUM(L28:P28)</f>
        <v>352401</v>
      </c>
      <c r="L28" s="42">
        <v>52860.15</v>
      </c>
      <c r="M28" s="42">
        <v>0</v>
      </c>
      <c r="N28" s="42">
        <v>0</v>
      </c>
      <c r="O28" s="42">
        <v>0</v>
      </c>
      <c r="P28" s="42">
        <v>299540.84999999998</v>
      </c>
      <c r="Q28" s="788">
        <v>42614</v>
      </c>
      <c r="R28" s="550">
        <v>42703</v>
      </c>
      <c r="S28" s="550">
        <v>42767</v>
      </c>
      <c r="T28" s="550">
        <v>42886</v>
      </c>
      <c r="U28" s="550">
        <v>43465</v>
      </c>
      <c r="V28" s="67"/>
      <c r="W28" s="67"/>
      <c r="X28" s="67"/>
    </row>
    <row r="29" spans="1:24" ht="31.5" customHeight="1" thickBot="1" x14ac:dyDescent="0.3">
      <c r="A29" s="498" t="s">
        <v>86</v>
      </c>
      <c r="B29" s="1102"/>
      <c r="C29" s="1651" t="s">
        <v>651</v>
      </c>
      <c r="D29" s="1660"/>
      <c r="E29" s="1660"/>
      <c r="F29" s="1660"/>
      <c r="G29" s="1660"/>
      <c r="H29" s="1660"/>
      <c r="I29" s="1660"/>
      <c r="J29" s="1661"/>
      <c r="K29" s="500">
        <f>SUM(K30)</f>
        <v>242419</v>
      </c>
      <c r="L29" s="500">
        <f>SUM(L30)</f>
        <v>36363</v>
      </c>
      <c r="M29" s="500">
        <f t="shared" ref="M29:O29" si="8">SUM(M30)</f>
        <v>0</v>
      </c>
      <c r="N29" s="500">
        <f t="shared" si="8"/>
        <v>0</v>
      </c>
      <c r="O29" s="500">
        <f t="shared" si="8"/>
        <v>0</v>
      </c>
      <c r="P29" s="500">
        <f>SUM(P30)</f>
        <v>206056</v>
      </c>
      <c r="Q29" s="148"/>
      <c r="R29" s="500"/>
      <c r="S29" s="500"/>
      <c r="T29" s="500"/>
      <c r="U29" s="500"/>
      <c r="V29" s="70">
        <v>206056.31</v>
      </c>
      <c r="W29" s="70">
        <f>SUM(V29*120/100)</f>
        <v>247267.57199999999</v>
      </c>
      <c r="X29" s="70">
        <f>SUM(V29-P29)</f>
        <v>0.30999999999767169</v>
      </c>
    </row>
    <row r="30" spans="1:24" ht="36.75" thickBot="1" x14ac:dyDescent="0.3">
      <c r="A30" s="147" t="str">
        <f>CONCATENATE('3 pr-2'!A69)</f>
        <v>1.1.1.9.2</v>
      </c>
      <c r="B30" s="147" t="str">
        <f>CONCATENATE('3 pr-2'!B69)</f>
        <v>R01-3302-440000-1192</v>
      </c>
      <c r="C30" s="147" t="s">
        <v>417</v>
      </c>
      <c r="D30" s="147" t="s">
        <v>182</v>
      </c>
      <c r="E30" s="147" t="s">
        <v>116</v>
      </c>
      <c r="F30" s="147" t="s">
        <v>369</v>
      </c>
      <c r="G30" s="324" t="s">
        <v>183</v>
      </c>
      <c r="H30" s="40" t="s">
        <v>119</v>
      </c>
      <c r="I30" s="40" t="s">
        <v>168</v>
      </c>
      <c r="J30" s="42"/>
      <c r="K30" s="42">
        <f>SUM(L30:P30)</f>
        <v>242419</v>
      </c>
      <c r="L30" s="42">
        <v>36363</v>
      </c>
      <c r="M30" s="42">
        <v>0</v>
      </c>
      <c r="N30" s="42">
        <v>0</v>
      </c>
      <c r="O30" s="42">
        <v>0</v>
      </c>
      <c r="P30" s="42">
        <v>206056</v>
      </c>
      <c r="Q30" s="788">
        <v>42667</v>
      </c>
      <c r="R30" s="550">
        <v>42779</v>
      </c>
      <c r="S30" s="550">
        <v>43190</v>
      </c>
      <c r="T30" s="550">
        <v>43281</v>
      </c>
      <c r="U30" s="550">
        <v>43739</v>
      </c>
      <c r="V30" s="88"/>
      <c r="W30" s="88"/>
      <c r="X30" s="88"/>
    </row>
    <row r="31" spans="1:24" ht="33.75" customHeight="1" thickBot="1" x14ac:dyDescent="0.3">
      <c r="A31" s="216" t="s">
        <v>22</v>
      </c>
      <c r="B31" s="1106"/>
      <c r="C31" s="1643" t="s">
        <v>652</v>
      </c>
      <c r="D31" s="1713"/>
      <c r="E31" s="1713"/>
      <c r="F31" s="1713"/>
      <c r="G31" s="1713"/>
      <c r="H31" s="1713"/>
      <c r="I31" s="1713"/>
      <c r="J31" s="1714"/>
      <c r="K31" s="219">
        <f t="shared" ref="K31:P31" si="9">SUM(K32+K34+K39+K41)</f>
        <v>3022661.48</v>
      </c>
      <c r="L31" s="219">
        <f t="shared" si="9"/>
        <v>1017999.6799999999</v>
      </c>
      <c r="M31" s="219">
        <f t="shared" si="9"/>
        <v>0</v>
      </c>
      <c r="N31" s="219">
        <f t="shared" si="9"/>
        <v>422692</v>
      </c>
      <c r="O31" s="219">
        <f t="shared" si="9"/>
        <v>0</v>
      </c>
      <c r="P31" s="219">
        <f t="shared" si="9"/>
        <v>1581969.8</v>
      </c>
      <c r="Q31" s="219"/>
      <c r="R31" s="584"/>
      <c r="S31" s="585"/>
      <c r="T31" s="585"/>
      <c r="U31" s="586"/>
      <c r="V31" s="69">
        <f>SUM(V32+V34+V39+V41)</f>
        <v>1241078.3999999999</v>
      </c>
      <c r="W31" s="69">
        <f>SUM(W32+W34+W39+W41)</f>
        <v>1489294.08</v>
      </c>
      <c r="X31" s="69">
        <f>SUM(X32+X34+X39+X41)</f>
        <v>-326441.40000000002</v>
      </c>
    </row>
    <row r="32" spans="1:24" ht="30.75" customHeight="1" thickBot="1" x14ac:dyDescent="0.3">
      <c r="A32" s="498" t="s">
        <v>88</v>
      </c>
      <c r="B32" s="1102"/>
      <c r="C32" s="1651" t="s">
        <v>653</v>
      </c>
      <c r="D32" s="1660"/>
      <c r="E32" s="1660"/>
      <c r="F32" s="1660"/>
      <c r="G32" s="1660"/>
      <c r="H32" s="1660"/>
      <c r="I32" s="1660"/>
      <c r="J32" s="1661"/>
      <c r="K32" s="500">
        <f t="shared" ref="K32:O32" si="10">SUM(K33)</f>
        <v>840240</v>
      </c>
      <c r="L32" s="500">
        <f t="shared" si="10"/>
        <v>0</v>
      </c>
      <c r="M32" s="500">
        <f t="shared" si="10"/>
        <v>0</v>
      </c>
      <c r="N32" s="500">
        <f t="shared" si="10"/>
        <v>422692</v>
      </c>
      <c r="O32" s="500">
        <f t="shared" si="10"/>
        <v>0</v>
      </c>
      <c r="P32" s="500">
        <f>SUM(P33)</f>
        <v>417548</v>
      </c>
      <c r="Q32" s="148"/>
      <c r="R32" s="500"/>
      <c r="S32" s="500"/>
      <c r="T32" s="500"/>
      <c r="U32" s="500"/>
      <c r="V32" s="70">
        <v>172021</v>
      </c>
      <c r="W32" s="70">
        <f>SUM(V32*120/100)</f>
        <v>206425.2</v>
      </c>
      <c r="X32" s="70">
        <f>SUM(V32-P32)</f>
        <v>-245527</v>
      </c>
    </row>
    <row r="33" spans="1:26" ht="48.75" thickBot="1" x14ac:dyDescent="0.3">
      <c r="A33" s="147" t="str">
        <f>CONCATENATE('3 pr-2'!A77)</f>
        <v>1.1.2.1.3</v>
      </c>
      <c r="B33" s="147" t="str">
        <f>CONCATENATE('3 pr-2'!B77)</f>
        <v>R01-5518-100000-1213</v>
      </c>
      <c r="C33" s="147" t="s">
        <v>669</v>
      </c>
      <c r="D33" s="147" t="s">
        <v>182</v>
      </c>
      <c r="E33" s="147" t="s">
        <v>115</v>
      </c>
      <c r="F33" s="147" t="s">
        <v>369</v>
      </c>
      <c r="G33" s="324" t="s">
        <v>135</v>
      </c>
      <c r="H33" s="40" t="s">
        <v>119</v>
      </c>
      <c r="I33" s="40" t="s">
        <v>66</v>
      </c>
      <c r="J33" s="42" t="s">
        <v>66</v>
      </c>
      <c r="K33" s="468">
        <f>SUM(L33:P33)</f>
        <v>840240</v>
      </c>
      <c r="L33" s="468">
        <v>0</v>
      </c>
      <c r="M33" s="468">
        <v>0</v>
      </c>
      <c r="N33" s="468">
        <v>422692</v>
      </c>
      <c r="O33" s="468">
        <v>0</v>
      </c>
      <c r="P33" s="468">
        <v>417548</v>
      </c>
      <c r="Q33" s="788">
        <v>42877</v>
      </c>
      <c r="R33" s="1111">
        <v>42978</v>
      </c>
      <c r="S33" s="1492">
        <v>43343</v>
      </c>
      <c r="T33" s="1492">
        <v>43434</v>
      </c>
      <c r="U33" s="1111">
        <v>43830</v>
      </c>
      <c r="V33" s="67"/>
      <c r="W33" s="67"/>
      <c r="X33" s="67"/>
      <c r="Y33" s="85">
        <f>SUM(365/12)</f>
        <v>30.416666666666668</v>
      </c>
      <c r="Z33" s="85">
        <f>SUM(U33-T33)/Y33</f>
        <v>13.019178082191781</v>
      </c>
    </row>
    <row r="34" spans="1:26" ht="34.5" customHeight="1" thickBot="1" x14ac:dyDescent="0.3">
      <c r="A34" s="498" t="s">
        <v>90</v>
      </c>
      <c r="B34" s="1102"/>
      <c r="C34" s="1651" t="s">
        <v>654</v>
      </c>
      <c r="D34" s="1660"/>
      <c r="E34" s="1660"/>
      <c r="F34" s="1660"/>
      <c r="G34" s="1660"/>
      <c r="H34" s="1660"/>
      <c r="I34" s="1660"/>
      <c r="J34" s="1661"/>
      <c r="K34" s="500">
        <f t="shared" ref="K34:O34" si="11">SUM(K35:K38)</f>
        <v>717836.24</v>
      </c>
      <c r="L34" s="500">
        <f t="shared" si="11"/>
        <v>107675.44</v>
      </c>
      <c r="M34" s="500">
        <f t="shared" si="11"/>
        <v>0</v>
      </c>
      <c r="N34" s="500">
        <f t="shared" si="11"/>
        <v>0</v>
      </c>
      <c r="O34" s="500">
        <f t="shared" si="11"/>
        <v>0</v>
      </c>
      <c r="P34" s="500">
        <f>SUM(P35:P38)</f>
        <v>610160.80000000005</v>
      </c>
      <c r="Q34" s="148"/>
      <c r="R34" s="500"/>
      <c r="S34" s="500"/>
      <c r="T34" s="500"/>
      <c r="U34" s="500"/>
      <c r="V34" s="70">
        <v>513943</v>
      </c>
      <c r="W34" s="70">
        <f>SUM(V34*120/100)</f>
        <v>616731.6</v>
      </c>
      <c r="X34" s="70">
        <f>SUM(V34-(P34-P36))</f>
        <v>-81767.800000000047</v>
      </c>
    </row>
    <row r="35" spans="1:26" ht="48.75" thickBot="1" x14ac:dyDescent="0.3">
      <c r="A35" s="147" t="str">
        <f>CONCATENATE('3 pr-2'!A82)</f>
        <v>1.1.2.2.3</v>
      </c>
      <c r="B35" s="147" t="str">
        <f>CONCATENATE('3 pr-2'!B82)</f>
        <v>R01-5514-191800-1223</v>
      </c>
      <c r="C35" s="848" t="s">
        <v>1706</v>
      </c>
      <c r="D35" s="147" t="s">
        <v>242</v>
      </c>
      <c r="E35" s="147" t="s">
        <v>115</v>
      </c>
      <c r="F35" s="147" t="s">
        <v>369</v>
      </c>
      <c r="G35" s="324" t="s">
        <v>147</v>
      </c>
      <c r="H35" s="40" t="s">
        <v>119</v>
      </c>
      <c r="I35" s="42" t="s">
        <v>66</v>
      </c>
      <c r="J35" s="42" t="s">
        <v>66</v>
      </c>
      <c r="K35" s="849">
        <f>SUM(L35:P35)</f>
        <v>160836.24</v>
      </c>
      <c r="L35" s="849">
        <v>24125.439999999999</v>
      </c>
      <c r="M35" s="42">
        <v>0</v>
      </c>
      <c r="N35" s="42">
        <v>0</v>
      </c>
      <c r="O35" s="42">
        <v>0</v>
      </c>
      <c r="P35" s="849">
        <v>136710.79999999999</v>
      </c>
      <c r="Q35" s="788">
        <v>43130</v>
      </c>
      <c r="R35" s="886">
        <v>43343</v>
      </c>
      <c r="S35" s="886">
        <v>43524</v>
      </c>
      <c r="T35" s="886">
        <v>43611</v>
      </c>
      <c r="U35" s="886">
        <v>44136</v>
      </c>
      <c r="V35" s="67"/>
      <c r="W35" s="67"/>
      <c r="X35" s="67"/>
    </row>
    <row r="36" spans="1:26" ht="48.75" thickBot="1" x14ac:dyDescent="0.3">
      <c r="A36" s="147" t="str">
        <f>CONCATENATE('3 pr-2'!A83)</f>
        <v>1.1.2.2.4</v>
      </c>
      <c r="B36" s="147" t="str">
        <f>CONCATENATE('3 pr-2'!B83)</f>
        <v>R01-5514-190000-1224</v>
      </c>
      <c r="C36" s="147" t="s">
        <v>275</v>
      </c>
      <c r="D36" s="147" t="s">
        <v>242</v>
      </c>
      <c r="E36" s="147" t="s">
        <v>115</v>
      </c>
      <c r="F36" s="147" t="s">
        <v>369</v>
      </c>
      <c r="G36" s="324" t="s">
        <v>276</v>
      </c>
      <c r="H36" s="40" t="s">
        <v>162</v>
      </c>
      <c r="I36" s="40" t="s">
        <v>168</v>
      </c>
      <c r="J36" s="42" t="s">
        <v>66</v>
      </c>
      <c r="K36" s="42">
        <f>SUM(L36:P36)</f>
        <v>17000</v>
      </c>
      <c r="L36" s="42">
        <v>2550</v>
      </c>
      <c r="M36" s="42">
        <v>0</v>
      </c>
      <c r="N36" s="42">
        <v>0</v>
      </c>
      <c r="O36" s="42">
        <v>0</v>
      </c>
      <c r="P36" s="42">
        <v>14450</v>
      </c>
      <c r="Q36" s="788">
        <v>42643</v>
      </c>
      <c r="R36" s="550">
        <v>42674</v>
      </c>
      <c r="S36" s="550">
        <v>42735</v>
      </c>
      <c r="T36" s="550">
        <v>42825</v>
      </c>
      <c r="U36" s="799">
        <v>43100</v>
      </c>
      <c r="V36" s="67"/>
      <c r="W36" s="67"/>
      <c r="X36" s="67"/>
    </row>
    <row r="37" spans="1:26" ht="48.75" thickBot="1" x14ac:dyDescent="0.3">
      <c r="A37" s="848" t="str">
        <f>CONCATENATE('3 pr-2'!A84)</f>
        <v>1.1.2.2.5</v>
      </c>
      <c r="B37" s="848" t="str">
        <f>CONCATENATE('3 pr-2'!B84)</f>
        <v>R01-5514-190000-1225</v>
      </c>
      <c r="C37" s="848" t="s">
        <v>1715</v>
      </c>
      <c r="D37" s="848" t="s">
        <v>242</v>
      </c>
      <c r="E37" s="848" t="s">
        <v>115</v>
      </c>
      <c r="F37" s="848" t="s">
        <v>369</v>
      </c>
      <c r="G37" s="851" t="s">
        <v>147</v>
      </c>
      <c r="H37" s="850" t="s">
        <v>119</v>
      </c>
      <c r="I37" s="849" t="s">
        <v>66</v>
      </c>
      <c r="J37" s="849" t="s">
        <v>66</v>
      </c>
      <c r="K37" s="849">
        <f>SUM(L37:P37)</f>
        <v>290000</v>
      </c>
      <c r="L37" s="849">
        <v>43500</v>
      </c>
      <c r="M37" s="849">
        <v>0</v>
      </c>
      <c r="N37" s="849">
        <v>0</v>
      </c>
      <c r="O37" s="849">
        <v>0</v>
      </c>
      <c r="P37" s="849">
        <v>246500</v>
      </c>
      <c r="Q37" s="788"/>
      <c r="R37" s="886">
        <v>43343</v>
      </c>
      <c r="S37" s="886">
        <v>43449</v>
      </c>
      <c r="T37" s="886">
        <v>43524</v>
      </c>
      <c r="U37" s="1438">
        <v>43800</v>
      </c>
      <c r="V37" s="67"/>
      <c r="W37" s="67"/>
      <c r="X37" s="67"/>
    </row>
    <row r="38" spans="1:26" ht="48.75" thickBot="1" x14ac:dyDescent="0.3">
      <c r="A38" s="848" t="str">
        <f>CONCATENATE('3 pr-2'!A85)</f>
        <v>1.1.2.2.6</v>
      </c>
      <c r="B38" s="848" t="str">
        <f>CONCATENATE('3 pr-2'!B85)</f>
        <v>R01-5514-190000-1226</v>
      </c>
      <c r="C38" s="848" t="s">
        <v>1716</v>
      </c>
      <c r="D38" s="848" t="s">
        <v>242</v>
      </c>
      <c r="E38" s="848" t="s">
        <v>115</v>
      </c>
      <c r="F38" s="848" t="s">
        <v>369</v>
      </c>
      <c r="G38" s="851" t="s">
        <v>147</v>
      </c>
      <c r="H38" s="850" t="s">
        <v>119</v>
      </c>
      <c r="I38" s="849" t="s">
        <v>66</v>
      </c>
      <c r="J38" s="849" t="s">
        <v>66</v>
      </c>
      <c r="K38" s="849">
        <f>SUM(L38:P38)</f>
        <v>250000</v>
      </c>
      <c r="L38" s="849">
        <v>37500</v>
      </c>
      <c r="M38" s="849">
        <v>0</v>
      </c>
      <c r="N38" s="849">
        <v>0</v>
      </c>
      <c r="O38" s="849">
        <v>0</v>
      </c>
      <c r="P38" s="849">
        <v>212500</v>
      </c>
      <c r="Q38" s="788"/>
      <c r="R38" s="886">
        <v>43343</v>
      </c>
      <c r="S38" s="886">
        <v>43736</v>
      </c>
      <c r="T38" s="886">
        <v>43797</v>
      </c>
      <c r="U38" s="1438">
        <v>44501</v>
      </c>
      <c r="V38" s="67"/>
      <c r="W38" s="67"/>
      <c r="X38" s="67"/>
    </row>
    <row r="39" spans="1:26" ht="31.5" customHeight="1" thickBot="1" x14ac:dyDescent="0.3">
      <c r="A39" s="498" t="s">
        <v>92</v>
      </c>
      <c r="B39" s="1102"/>
      <c r="C39" s="1651" t="s">
        <v>655</v>
      </c>
      <c r="D39" s="1660"/>
      <c r="E39" s="1660"/>
      <c r="F39" s="1660"/>
      <c r="G39" s="1660"/>
      <c r="H39" s="1660"/>
      <c r="I39" s="1660"/>
      <c r="J39" s="1661"/>
      <c r="K39" s="500">
        <f t="shared" ref="K39:O39" si="12">SUM(K40)</f>
        <v>71089</v>
      </c>
      <c r="L39" s="500">
        <f t="shared" si="12"/>
        <v>14466</v>
      </c>
      <c r="M39" s="500">
        <f t="shared" si="12"/>
        <v>0</v>
      </c>
      <c r="N39" s="500">
        <f t="shared" si="12"/>
        <v>0</v>
      </c>
      <c r="O39" s="500">
        <f t="shared" si="12"/>
        <v>0</v>
      </c>
      <c r="P39" s="500">
        <f t="shared" ref="P39" si="13">SUM(P40)</f>
        <v>56623</v>
      </c>
      <c r="Q39" s="148"/>
      <c r="R39" s="500"/>
      <c r="S39" s="500"/>
      <c r="T39" s="500"/>
      <c r="U39" s="500"/>
      <c r="V39" s="70">
        <v>57476.4</v>
      </c>
      <c r="W39" s="70">
        <f>SUM(V39*120/100)</f>
        <v>68971.679999999993</v>
      </c>
      <c r="X39" s="70">
        <f>SUM(V39-P39)</f>
        <v>853.40000000000146</v>
      </c>
    </row>
    <row r="40" spans="1:26" ht="48.75" thickBot="1" x14ac:dyDescent="0.3">
      <c r="A40" s="147" t="str">
        <f>CONCATENATE('3 pr-2'!A91)</f>
        <v>1.1.2.3.5</v>
      </c>
      <c r="B40" s="147" t="str">
        <f>CONCATENATE('3 pr-2'!B91)</f>
        <v>R01-5516-190000-1235</v>
      </c>
      <c r="C40" s="147" t="s">
        <v>407</v>
      </c>
      <c r="D40" s="147" t="s">
        <v>182</v>
      </c>
      <c r="E40" s="147" t="s">
        <v>115</v>
      </c>
      <c r="F40" s="147" t="s">
        <v>310</v>
      </c>
      <c r="G40" s="324" t="s">
        <v>148</v>
      </c>
      <c r="H40" s="40" t="s">
        <v>119</v>
      </c>
      <c r="I40" s="42" t="s">
        <v>66</v>
      </c>
      <c r="J40" s="42" t="s">
        <v>66</v>
      </c>
      <c r="K40" s="42">
        <f>SUM(L40:P40)</f>
        <v>71089</v>
      </c>
      <c r="L40" s="42">
        <v>14466</v>
      </c>
      <c r="M40" s="42">
        <v>0</v>
      </c>
      <c r="N40" s="42">
        <v>0</v>
      </c>
      <c r="O40" s="42">
        <v>0</v>
      </c>
      <c r="P40" s="42">
        <v>56623</v>
      </c>
      <c r="Q40" s="788">
        <v>42660</v>
      </c>
      <c r="R40" s="550">
        <v>42735</v>
      </c>
      <c r="S40" s="1111">
        <v>43357</v>
      </c>
      <c r="T40" s="550">
        <v>43418</v>
      </c>
      <c r="U40" s="550">
        <v>43830</v>
      </c>
      <c r="V40" s="67"/>
      <c r="W40" s="67"/>
      <c r="X40" s="67"/>
    </row>
    <row r="41" spans="1:26" ht="27.75" customHeight="1" thickBot="1" x14ac:dyDescent="0.3">
      <c r="A41" s="498" t="s">
        <v>94</v>
      </c>
      <c r="B41" s="1102"/>
      <c r="C41" s="1651" t="s">
        <v>656</v>
      </c>
      <c r="D41" s="1660"/>
      <c r="E41" s="1660"/>
      <c r="F41" s="1660"/>
      <c r="G41" s="1660"/>
      <c r="H41" s="1660"/>
      <c r="I41" s="1660"/>
      <c r="J41" s="1661"/>
      <c r="K41" s="500">
        <f t="shared" ref="K41:O41" si="14">SUM(K42:K43)</f>
        <v>1393496.24</v>
      </c>
      <c r="L41" s="500">
        <f t="shared" si="14"/>
        <v>895858.24</v>
      </c>
      <c r="M41" s="500">
        <f t="shared" si="14"/>
        <v>0</v>
      </c>
      <c r="N41" s="500">
        <f t="shared" si="14"/>
        <v>0</v>
      </c>
      <c r="O41" s="500">
        <f t="shared" si="14"/>
        <v>0</v>
      </c>
      <c r="P41" s="500">
        <f>SUM(P42:P43)</f>
        <v>497638</v>
      </c>
      <c r="Q41" s="148"/>
      <c r="R41" s="500"/>
      <c r="S41" s="500"/>
      <c r="T41" s="500"/>
      <c r="U41" s="500"/>
      <c r="V41" s="70">
        <v>497638</v>
      </c>
      <c r="W41" s="70">
        <f>SUM(V41*120/100)</f>
        <v>597165.6</v>
      </c>
      <c r="X41" s="70">
        <f>SUM(V41-P41)</f>
        <v>0</v>
      </c>
    </row>
    <row r="42" spans="1:26" s="89" customFormat="1" ht="48.75" thickBot="1" x14ac:dyDescent="0.3">
      <c r="A42" s="189" t="str">
        <f>CONCATENATE('3 pr-2'!A97)</f>
        <v>1.1.2.4.5</v>
      </c>
      <c r="B42" s="189" t="str">
        <f>CONCATENATE('3 pr-2'!B97)</f>
        <v>R01-5511-120900-1245</v>
      </c>
      <c r="C42" s="189" t="s">
        <v>237</v>
      </c>
      <c r="D42" s="189" t="s">
        <v>182</v>
      </c>
      <c r="E42" s="189" t="s">
        <v>115</v>
      </c>
      <c r="F42" s="189" t="s">
        <v>310</v>
      </c>
      <c r="G42" s="525" t="s">
        <v>141</v>
      </c>
      <c r="H42" s="590" t="s">
        <v>119</v>
      </c>
      <c r="I42" s="468" t="s">
        <v>66</v>
      </c>
      <c r="J42" s="468" t="s">
        <v>66</v>
      </c>
      <c r="K42" s="468">
        <f>SUM(L42:P42)</f>
        <v>1258144.24</v>
      </c>
      <c r="L42" s="468">
        <v>873495.24</v>
      </c>
      <c r="M42" s="468">
        <v>0</v>
      </c>
      <c r="N42" s="468">
        <v>0</v>
      </c>
      <c r="O42" s="468">
        <v>0</v>
      </c>
      <c r="P42" s="468">
        <v>384649</v>
      </c>
      <c r="Q42" s="479">
        <v>42639</v>
      </c>
      <c r="R42" s="479">
        <v>42732</v>
      </c>
      <c r="S42" s="1493">
        <v>43326</v>
      </c>
      <c r="T42" s="1493">
        <v>43419</v>
      </c>
      <c r="U42" s="479">
        <v>43830</v>
      </c>
      <c r="V42" s="88"/>
      <c r="W42" s="88"/>
      <c r="X42" s="88"/>
    </row>
    <row r="43" spans="1:26" ht="51.75" thickBot="1" x14ac:dyDescent="0.3">
      <c r="A43" s="147" t="str">
        <f>CONCATENATE('3 pr-2'!A99)</f>
        <v>1.1.2.4.7</v>
      </c>
      <c r="B43" s="147" t="str">
        <f>CONCATENATE('3 pr-2'!B99)</f>
        <v>R01-5511-120000-1247</v>
      </c>
      <c r="C43" s="1217" t="s">
        <v>1692</v>
      </c>
      <c r="D43" s="1115" t="s">
        <v>182</v>
      </c>
      <c r="E43" s="1115" t="s">
        <v>115</v>
      </c>
      <c r="F43" s="1115" t="s">
        <v>310</v>
      </c>
      <c r="G43" s="1116" t="s">
        <v>141</v>
      </c>
      <c r="H43" s="1116" t="s">
        <v>119</v>
      </c>
      <c r="I43" s="1116" t="s">
        <v>66</v>
      </c>
      <c r="J43" s="1116" t="s">
        <v>66</v>
      </c>
      <c r="K43" s="42">
        <f>SUM(L43:P43)</f>
        <v>135352</v>
      </c>
      <c r="L43" s="42">
        <v>22363</v>
      </c>
      <c r="M43" s="42">
        <v>0</v>
      </c>
      <c r="N43" s="42">
        <v>0</v>
      </c>
      <c r="O43" s="42">
        <v>0</v>
      </c>
      <c r="P43" s="42">
        <v>112989</v>
      </c>
      <c r="Q43" s="1218">
        <v>43404</v>
      </c>
      <c r="R43" s="1219">
        <v>43404</v>
      </c>
      <c r="S43" s="1219">
        <v>43496</v>
      </c>
      <c r="T43" s="1219">
        <v>43585</v>
      </c>
      <c r="U43" s="1219">
        <v>43830</v>
      </c>
      <c r="V43" s="67"/>
      <c r="W43" s="67"/>
      <c r="X43" s="67"/>
    </row>
    <row r="44" spans="1:26" ht="47.25" customHeight="1" thickBot="1" x14ac:dyDescent="0.3">
      <c r="A44" s="224" t="s">
        <v>27</v>
      </c>
      <c r="B44" s="1107"/>
      <c r="C44" s="1663" t="s">
        <v>657</v>
      </c>
      <c r="D44" s="1664"/>
      <c r="E44" s="1664"/>
      <c r="F44" s="1664"/>
      <c r="G44" s="1664"/>
      <c r="H44" s="1664"/>
      <c r="I44" s="1664"/>
      <c r="J44" s="1665"/>
      <c r="K44" s="218">
        <f t="shared" ref="K44:P44" si="15">SUM(K45+K52+K62+K67)</f>
        <v>1890926.48</v>
      </c>
      <c r="L44" s="218">
        <f t="shared" si="15"/>
        <v>214097.29</v>
      </c>
      <c r="M44" s="218">
        <f t="shared" si="15"/>
        <v>52779.990000000005</v>
      </c>
      <c r="N44" s="218">
        <f t="shared" si="15"/>
        <v>17194</v>
      </c>
      <c r="O44" s="218">
        <f t="shared" si="15"/>
        <v>0</v>
      </c>
      <c r="P44" s="218">
        <f t="shared" si="15"/>
        <v>1606855.2</v>
      </c>
      <c r="Q44" s="218"/>
      <c r="R44" s="225"/>
      <c r="S44" s="225"/>
      <c r="T44" s="225"/>
      <c r="U44" s="236"/>
      <c r="V44" s="68">
        <f>SUM(V45+V52+V62+V67)</f>
        <v>1575937.0531617508</v>
      </c>
      <c r="W44" s="68">
        <f>SUM(W45+W52+W62+W67)</f>
        <v>1891124.463794101</v>
      </c>
      <c r="X44" s="68">
        <f>SUM(X45+X52+X62+X67)</f>
        <v>-25124.546838249167</v>
      </c>
    </row>
    <row r="45" spans="1:26" ht="57" customHeight="1" thickBot="1" x14ac:dyDescent="0.3">
      <c r="A45" s="216" t="s">
        <v>28</v>
      </c>
      <c r="B45" s="1106"/>
      <c r="C45" s="1653" t="s">
        <v>658</v>
      </c>
      <c r="D45" s="1666"/>
      <c r="E45" s="1666"/>
      <c r="F45" s="1666"/>
      <c r="G45" s="1666"/>
      <c r="H45" s="1666"/>
      <c r="I45" s="1666"/>
      <c r="J45" s="1667"/>
      <c r="K45" s="196">
        <f t="shared" ref="K45:P45" si="16">SUM(K46+K48+K50)</f>
        <v>415371.3</v>
      </c>
      <c r="L45" s="196">
        <f t="shared" si="16"/>
        <v>42586.3</v>
      </c>
      <c r="M45" s="196">
        <f t="shared" si="16"/>
        <v>20150</v>
      </c>
      <c r="N45" s="196">
        <f t="shared" si="16"/>
        <v>0</v>
      </c>
      <c r="O45" s="196">
        <f t="shared" si="16"/>
        <v>0</v>
      </c>
      <c r="P45" s="196">
        <f t="shared" si="16"/>
        <v>352635</v>
      </c>
      <c r="Q45" s="196"/>
      <c r="R45" s="197"/>
      <c r="S45" s="197"/>
      <c r="T45" s="197"/>
      <c r="U45" s="237"/>
      <c r="V45" s="69">
        <f>SUM(V46+V48+V50)</f>
        <v>367514.20086240256</v>
      </c>
      <c r="W45" s="69">
        <f>SUM(W46+W48+W50)</f>
        <v>441017.04103488312</v>
      </c>
      <c r="X45" s="69">
        <f>SUM(X46+X48+X50)</f>
        <v>14879.200862402562</v>
      </c>
    </row>
    <row r="46" spans="1:26" ht="39" customHeight="1" thickBot="1" x14ac:dyDescent="0.3">
      <c r="A46" s="498" t="s">
        <v>96</v>
      </c>
      <c r="B46" s="1102"/>
      <c r="C46" s="1651" t="s">
        <v>659</v>
      </c>
      <c r="D46" s="1660"/>
      <c r="E46" s="1660"/>
      <c r="F46" s="1660"/>
      <c r="G46" s="1660"/>
      <c r="H46" s="1660"/>
      <c r="I46" s="1660"/>
      <c r="J46" s="1661"/>
      <c r="K46" s="500">
        <f>SUM(K47)</f>
        <v>163877</v>
      </c>
      <c r="L46" s="500">
        <f>SUM(L47)</f>
        <v>12291</v>
      </c>
      <c r="M46" s="500">
        <f t="shared" ref="M46:O46" si="17">SUM(M47)</f>
        <v>12291</v>
      </c>
      <c r="N46" s="500">
        <f t="shared" si="17"/>
        <v>0</v>
      </c>
      <c r="O46" s="500">
        <f t="shared" si="17"/>
        <v>0</v>
      </c>
      <c r="P46" s="500">
        <f>SUM(P47)</f>
        <v>139295</v>
      </c>
      <c r="Q46" s="148"/>
      <c r="R46" s="500"/>
      <c r="S46" s="500"/>
      <c r="T46" s="500"/>
      <c r="U46" s="500"/>
      <c r="V46" s="70">
        <v>139295</v>
      </c>
      <c r="W46" s="70">
        <f>SUM(V46*120/100)</f>
        <v>167154</v>
      </c>
      <c r="X46" s="70">
        <f>SUM(V46-P46)</f>
        <v>0</v>
      </c>
    </row>
    <row r="47" spans="1:26" ht="48.75" thickBot="1" x14ac:dyDescent="0.3">
      <c r="A47" s="147" t="str">
        <f>CONCATENATE('3 pr-2'!A106)</f>
        <v>2.1.1.1.4</v>
      </c>
      <c r="B47" s="147" t="str">
        <f>CONCATENATE('3 pr-2'!B106)</f>
        <v>R01-7724-220000-2114</v>
      </c>
      <c r="C47" s="147" t="s">
        <v>238</v>
      </c>
      <c r="D47" s="147" t="s">
        <v>242</v>
      </c>
      <c r="E47" s="147" t="s">
        <v>97</v>
      </c>
      <c r="F47" s="147" t="s">
        <v>234</v>
      </c>
      <c r="G47" s="324" t="s">
        <v>136</v>
      </c>
      <c r="H47" s="40" t="s">
        <v>119</v>
      </c>
      <c r="I47" s="40" t="s">
        <v>66</v>
      </c>
      <c r="J47" s="42" t="s">
        <v>66</v>
      </c>
      <c r="K47" s="42">
        <f>SUM(L47:P47)</f>
        <v>163877</v>
      </c>
      <c r="L47" s="42">
        <v>12291</v>
      </c>
      <c r="M47" s="42">
        <v>12291</v>
      </c>
      <c r="N47" s="42">
        <v>0</v>
      </c>
      <c r="O47" s="42">
        <v>0</v>
      </c>
      <c r="P47" s="42">
        <v>139295</v>
      </c>
      <c r="Q47" s="788">
        <v>42863</v>
      </c>
      <c r="R47" s="550">
        <v>42916</v>
      </c>
      <c r="S47" s="550">
        <v>42993</v>
      </c>
      <c r="T47" s="550">
        <v>43100</v>
      </c>
      <c r="U47" s="799">
        <f>SUM('IV-1 su proj'!CH105)</f>
        <v>43692.333333333336</v>
      </c>
      <c r="V47" s="67"/>
      <c r="W47" s="67"/>
      <c r="X47" s="67"/>
    </row>
    <row r="48" spans="1:26" ht="27.75" customHeight="1" thickBot="1" x14ac:dyDescent="0.3">
      <c r="A48" s="498" t="s">
        <v>99</v>
      </c>
      <c r="B48" s="1102"/>
      <c r="C48" s="1651" t="s">
        <v>660</v>
      </c>
      <c r="D48" s="1660"/>
      <c r="E48" s="1660"/>
      <c r="F48" s="1660"/>
      <c r="G48" s="1660"/>
      <c r="H48" s="1660"/>
      <c r="I48" s="1660"/>
      <c r="J48" s="1661"/>
      <c r="K48" s="500">
        <f t="shared" ref="K48:P48" si="18">SUM(K49:K49)</f>
        <v>146702.29999999999</v>
      </c>
      <c r="L48" s="500">
        <f t="shared" si="18"/>
        <v>22436.3</v>
      </c>
      <c r="M48" s="500">
        <f t="shared" si="18"/>
        <v>0</v>
      </c>
      <c r="N48" s="500">
        <f t="shared" si="18"/>
        <v>0</v>
      </c>
      <c r="O48" s="500">
        <f t="shared" si="18"/>
        <v>0</v>
      </c>
      <c r="P48" s="500">
        <f t="shared" si="18"/>
        <v>124266</v>
      </c>
      <c r="Q48" s="148"/>
      <c r="R48" s="500"/>
      <c r="S48" s="500"/>
      <c r="T48" s="500"/>
      <c r="U48" s="500"/>
      <c r="V48" s="70">
        <v>124266</v>
      </c>
      <c r="W48" s="70">
        <f>SUM(V48*120/100)</f>
        <v>149119.20000000001</v>
      </c>
      <c r="X48" s="70">
        <f>SUM(V48-P48)</f>
        <v>0</v>
      </c>
    </row>
    <row r="49" spans="1:24" ht="48.75" customHeight="1" thickBot="1" x14ac:dyDescent="0.3">
      <c r="A49" s="147" t="str">
        <f>CONCATENATE('3 pr-2'!A112)</f>
        <v>2.1.1.2.4</v>
      </c>
      <c r="B49" s="147" t="str">
        <f>CONCATENATE('3 pr-2'!B112)</f>
        <v>R01-7725-240000-2124</v>
      </c>
      <c r="C49" s="147" t="s">
        <v>240</v>
      </c>
      <c r="D49" s="147" t="s">
        <v>182</v>
      </c>
      <c r="E49" s="147" t="s">
        <v>97</v>
      </c>
      <c r="F49" s="147" t="s">
        <v>310</v>
      </c>
      <c r="G49" s="324" t="s">
        <v>139</v>
      </c>
      <c r="H49" s="40" t="s">
        <v>119</v>
      </c>
      <c r="I49" s="40" t="s">
        <v>66</v>
      </c>
      <c r="J49" s="42" t="s">
        <v>66</v>
      </c>
      <c r="K49" s="42">
        <f>SUM(L49:P49)</f>
        <v>146702.29999999999</v>
      </c>
      <c r="L49" s="42">
        <v>22436.3</v>
      </c>
      <c r="M49" s="42">
        <v>0</v>
      </c>
      <c r="N49" s="42">
        <v>0</v>
      </c>
      <c r="O49" s="42">
        <v>0</v>
      </c>
      <c r="P49" s="42">
        <v>124266</v>
      </c>
      <c r="Q49" s="788">
        <v>42828</v>
      </c>
      <c r="R49" s="550">
        <v>42916</v>
      </c>
      <c r="S49" s="550">
        <v>42993</v>
      </c>
      <c r="T49" s="550">
        <v>43100</v>
      </c>
      <c r="U49" s="799">
        <f>SUM('IV-1 su proj'!CH111)</f>
        <v>43449</v>
      </c>
      <c r="V49" s="67"/>
      <c r="W49" s="67"/>
      <c r="X49" s="67"/>
    </row>
    <row r="50" spans="1:24" ht="35.25" customHeight="1" thickBot="1" x14ac:dyDescent="0.3">
      <c r="A50" s="498" t="s">
        <v>101</v>
      </c>
      <c r="B50" s="1102"/>
      <c r="C50" s="1651" t="s">
        <v>1685</v>
      </c>
      <c r="D50" s="1660"/>
      <c r="E50" s="1660"/>
      <c r="F50" s="1660"/>
      <c r="G50" s="1660"/>
      <c r="H50" s="1660"/>
      <c r="I50" s="1660"/>
      <c r="J50" s="1661"/>
      <c r="K50" s="500">
        <f t="shared" ref="K50:O50" si="19">SUM(K51)</f>
        <v>104792</v>
      </c>
      <c r="L50" s="500">
        <f t="shared" si="19"/>
        <v>7859</v>
      </c>
      <c r="M50" s="500">
        <f t="shared" si="19"/>
        <v>7859</v>
      </c>
      <c r="N50" s="500">
        <f t="shared" si="19"/>
        <v>0</v>
      </c>
      <c r="O50" s="500">
        <f t="shared" si="19"/>
        <v>0</v>
      </c>
      <c r="P50" s="500">
        <f t="shared" ref="P50" si="20">SUM(P51)</f>
        <v>89074</v>
      </c>
      <c r="Q50" s="148"/>
      <c r="R50" s="500"/>
      <c r="S50" s="500"/>
      <c r="T50" s="500"/>
      <c r="U50" s="500"/>
      <c r="V50" s="70">
        <v>103953.20086240256</v>
      </c>
      <c r="W50" s="70">
        <f>SUM(V50*120/100)</f>
        <v>124743.84103488308</v>
      </c>
      <c r="X50" s="70">
        <f>SUM(V50-P50)</f>
        <v>14879.200862402562</v>
      </c>
    </row>
    <row r="51" spans="1:24" s="89" customFormat="1" ht="48.75" thickBot="1" x14ac:dyDescent="0.3">
      <c r="A51" s="189" t="str">
        <f>CONCATENATE('3 pr-2'!A118)</f>
        <v>2.1.1.3.4</v>
      </c>
      <c r="B51" s="189" t="str">
        <f>CONCATENATE('3 pr-2'!B118)</f>
        <v>R01-7705-230000-2134</v>
      </c>
      <c r="C51" s="189" t="s">
        <v>854</v>
      </c>
      <c r="D51" s="189" t="s">
        <v>182</v>
      </c>
      <c r="E51" s="189" t="s">
        <v>97</v>
      </c>
      <c r="F51" s="189" t="s">
        <v>234</v>
      </c>
      <c r="G51" s="525" t="s">
        <v>140</v>
      </c>
      <c r="H51" s="590" t="s">
        <v>119</v>
      </c>
      <c r="I51" s="590" t="s">
        <v>66</v>
      </c>
      <c r="J51" s="468" t="s">
        <v>66</v>
      </c>
      <c r="K51" s="468">
        <f>SUM(L51:P51)</f>
        <v>104792</v>
      </c>
      <c r="L51" s="468">
        <v>7859</v>
      </c>
      <c r="M51" s="468">
        <v>7859</v>
      </c>
      <c r="N51" s="468">
        <v>0</v>
      </c>
      <c r="O51" s="468">
        <v>0</v>
      </c>
      <c r="P51" s="468">
        <v>89074</v>
      </c>
      <c r="Q51" s="1111">
        <v>42966</v>
      </c>
      <c r="R51" s="1111">
        <v>43008</v>
      </c>
      <c r="S51" s="1111">
        <v>43160</v>
      </c>
      <c r="T51" s="1111">
        <v>43252</v>
      </c>
      <c r="U51" s="1113">
        <v>43707</v>
      </c>
      <c r="V51" s="88"/>
      <c r="W51" s="88"/>
      <c r="X51" s="88"/>
    </row>
    <row r="52" spans="1:24" ht="60" customHeight="1" thickBot="1" x14ac:dyDescent="0.3">
      <c r="A52" s="216" t="s">
        <v>32</v>
      </c>
      <c r="B52" s="1106"/>
      <c r="C52" s="1653" t="s">
        <v>661</v>
      </c>
      <c r="D52" s="1666"/>
      <c r="E52" s="1666"/>
      <c r="F52" s="1666"/>
      <c r="G52" s="1666"/>
      <c r="H52" s="1666"/>
      <c r="I52" s="1666"/>
      <c r="J52" s="1667"/>
      <c r="K52" s="196">
        <f>SUM(K53+K58+K60)</f>
        <v>435057.18</v>
      </c>
      <c r="L52" s="196">
        <f t="shared" ref="L52:P52" si="21">SUM(L53+L58+L60)</f>
        <v>15435.990000000002</v>
      </c>
      <c r="M52" s="196">
        <f t="shared" si="21"/>
        <v>32629.99</v>
      </c>
      <c r="N52" s="196">
        <f t="shared" si="21"/>
        <v>17194</v>
      </c>
      <c r="O52" s="196">
        <f t="shared" si="21"/>
        <v>0</v>
      </c>
      <c r="P52" s="196">
        <f t="shared" si="21"/>
        <v>369797.19999999995</v>
      </c>
      <c r="Q52" s="196"/>
      <c r="R52" s="197"/>
      <c r="S52" s="197"/>
      <c r="T52" s="197"/>
      <c r="U52" s="237"/>
      <c r="V52" s="69">
        <f>SUM(V53+V58)</f>
        <v>324000</v>
      </c>
      <c r="W52" s="69">
        <f>SUM(W53+W58)</f>
        <v>388800</v>
      </c>
      <c r="X52" s="69">
        <f>SUM(X53+X58)</f>
        <v>-40003.600000000006</v>
      </c>
    </row>
    <row r="53" spans="1:24" ht="34.5" customHeight="1" thickBot="1" x14ac:dyDescent="0.3">
      <c r="A53" s="498" t="s">
        <v>33</v>
      </c>
      <c r="B53" s="1102"/>
      <c r="C53" s="1651" t="s">
        <v>662</v>
      </c>
      <c r="D53" s="1660"/>
      <c r="E53" s="1660"/>
      <c r="F53" s="1660"/>
      <c r="G53" s="1660"/>
      <c r="H53" s="1660"/>
      <c r="I53" s="1660"/>
      <c r="J53" s="1661"/>
      <c r="K53" s="500">
        <f t="shared" ref="K53:O53" si="22">SUM(K54:K57)</f>
        <v>229244</v>
      </c>
      <c r="L53" s="500">
        <f t="shared" si="22"/>
        <v>0</v>
      </c>
      <c r="M53" s="500">
        <f t="shared" si="22"/>
        <v>17194</v>
      </c>
      <c r="N53" s="500">
        <f t="shared" si="22"/>
        <v>17194</v>
      </c>
      <c r="O53" s="500">
        <f t="shared" si="22"/>
        <v>0</v>
      </c>
      <c r="P53" s="500">
        <f>SUM(P54:P57)</f>
        <v>194856</v>
      </c>
      <c r="Q53" s="148"/>
      <c r="R53" s="500"/>
      <c r="S53" s="500"/>
      <c r="T53" s="500"/>
      <c r="U53" s="500"/>
      <c r="V53" s="70">
        <v>247000</v>
      </c>
      <c r="W53" s="70">
        <f>SUM(V53*120/100)</f>
        <v>296400</v>
      </c>
      <c r="X53" s="70">
        <f>SUM(V53-P53)</f>
        <v>52144</v>
      </c>
    </row>
    <row r="54" spans="1:24" ht="60.75" thickBot="1" x14ac:dyDescent="0.3">
      <c r="A54" s="848" t="str">
        <f>CONCATENATE('3 pr-2'!A128)</f>
        <v>2.1.2.1.7</v>
      </c>
      <c r="B54" s="848" t="str">
        <f>CONCATENATE('3 pr-2'!B128)</f>
        <v>R01-6609-274710-2217</v>
      </c>
      <c r="C54" s="848" t="s">
        <v>241</v>
      </c>
      <c r="D54" s="848" t="s">
        <v>1732</v>
      </c>
      <c r="E54" s="848" t="s">
        <v>103</v>
      </c>
      <c r="F54" s="848" t="s">
        <v>1754</v>
      </c>
      <c r="G54" s="851" t="s">
        <v>153</v>
      </c>
      <c r="H54" s="850" t="s">
        <v>119</v>
      </c>
      <c r="I54" s="850" t="s">
        <v>66</v>
      </c>
      <c r="J54" s="849" t="s">
        <v>66</v>
      </c>
      <c r="K54" s="849">
        <f>SUM(L54:P54)</f>
        <v>163532</v>
      </c>
      <c r="L54" s="849">
        <v>0</v>
      </c>
      <c r="M54" s="849">
        <v>12265</v>
      </c>
      <c r="N54" s="849">
        <v>12265</v>
      </c>
      <c r="O54" s="849">
        <v>0</v>
      </c>
      <c r="P54" s="849">
        <v>139002</v>
      </c>
      <c r="Q54" s="788">
        <v>43250</v>
      </c>
      <c r="R54" s="886">
        <v>43312</v>
      </c>
      <c r="S54" s="886">
        <v>43403</v>
      </c>
      <c r="T54" s="886">
        <v>43465</v>
      </c>
      <c r="U54" s="886">
        <v>44196</v>
      </c>
      <c r="V54" s="67"/>
      <c r="W54" s="67"/>
      <c r="X54" s="67"/>
    </row>
    <row r="55" spans="1:24" ht="48.75" thickBot="1" x14ac:dyDescent="0.3">
      <c r="A55" s="848" t="str">
        <f>CONCATENATE('3 pr-2'!A129)</f>
        <v>2.1.2.1.8</v>
      </c>
      <c r="B55" s="848" t="str">
        <f>CONCATENATE('3 pr-2'!B129)</f>
        <v>R01-6609-104700-2218</v>
      </c>
      <c r="C55" s="848" t="s">
        <v>1757</v>
      </c>
      <c r="D55" s="848" t="s">
        <v>1733</v>
      </c>
      <c r="E55" s="848" t="s">
        <v>103</v>
      </c>
      <c r="F55" s="848" t="s">
        <v>1754</v>
      </c>
      <c r="G55" s="851" t="s">
        <v>153</v>
      </c>
      <c r="H55" s="850" t="s">
        <v>119</v>
      </c>
      <c r="I55" s="850" t="s">
        <v>66</v>
      </c>
      <c r="J55" s="849" t="s">
        <v>66</v>
      </c>
      <c r="K55" s="849">
        <f>SUM(L55:P55)</f>
        <v>12289</v>
      </c>
      <c r="L55" s="849">
        <v>0</v>
      </c>
      <c r="M55" s="849">
        <v>922</v>
      </c>
      <c r="N55" s="849">
        <v>922</v>
      </c>
      <c r="O55" s="849">
        <v>0</v>
      </c>
      <c r="P55" s="849">
        <v>10445</v>
      </c>
      <c r="Q55" s="788"/>
      <c r="R55" s="886">
        <v>43312</v>
      </c>
      <c r="S55" s="886">
        <v>43403</v>
      </c>
      <c r="T55" s="886">
        <v>43495</v>
      </c>
      <c r="U55" s="886">
        <v>43922</v>
      </c>
      <c r="V55" s="67"/>
      <c r="W55" s="67"/>
      <c r="X55" s="67"/>
    </row>
    <row r="56" spans="1:24" ht="48.75" thickBot="1" x14ac:dyDescent="0.3">
      <c r="A56" s="848" t="str">
        <f>CONCATENATE('3 pr-2'!A130)</f>
        <v>2.1.2.1.9</v>
      </c>
      <c r="B56" s="848" t="str">
        <f>CONCATENATE('3 pr-2'!B130)</f>
        <v>R01-6609-274710-2219</v>
      </c>
      <c r="C56" s="848" t="s">
        <v>1734</v>
      </c>
      <c r="D56" s="848" t="s">
        <v>1735</v>
      </c>
      <c r="E56" s="848" t="s">
        <v>103</v>
      </c>
      <c r="F56" s="848" t="s">
        <v>1754</v>
      </c>
      <c r="G56" s="851" t="s">
        <v>153</v>
      </c>
      <c r="H56" s="850" t="s">
        <v>119</v>
      </c>
      <c r="I56" s="850" t="s">
        <v>66</v>
      </c>
      <c r="J56" s="849" t="s">
        <v>66</v>
      </c>
      <c r="K56" s="849">
        <f>SUM(L56:P56)</f>
        <v>25517</v>
      </c>
      <c r="L56" s="849">
        <v>0</v>
      </c>
      <c r="M56" s="849">
        <v>1914</v>
      </c>
      <c r="N56" s="849">
        <v>1914</v>
      </c>
      <c r="O56" s="849">
        <v>0</v>
      </c>
      <c r="P56" s="849">
        <v>21689</v>
      </c>
      <c r="Q56" s="788"/>
      <c r="R56" s="886">
        <v>43312</v>
      </c>
      <c r="S56" s="886">
        <v>43373</v>
      </c>
      <c r="T56" s="886">
        <v>43464</v>
      </c>
      <c r="U56" s="886">
        <v>43830</v>
      </c>
      <c r="V56" s="67"/>
      <c r="W56" s="67"/>
      <c r="X56" s="67"/>
    </row>
    <row r="57" spans="1:24" ht="48.75" thickBot="1" x14ac:dyDescent="0.3">
      <c r="A57" s="848" t="str">
        <f>CONCATENATE('3 pr-2'!A131)</f>
        <v>2.1.2.1.10</v>
      </c>
      <c r="B57" s="848" t="str">
        <f>CONCATENATE('3 pr-2'!B131)</f>
        <v>R01-6609-274710-2220</v>
      </c>
      <c r="C57" s="848" t="s">
        <v>1753</v>
      </c>
      <c r="D57" s="848" t="s">
        <v>1736</v>
      </c>
      <c r="E57" s="848" t="s">
        <v>103</v>
      </c>
      <c r="F57" s="848" t="s">
        <v>1754</v>
      </c>
      <c r="G57" s="851" t="s">
        <v>153</v>
      </c>
      <c r="H57" s="850" t="s">
        <v>119</v>
      </c>
      <c r="I57" s="850" t="s">
        <v>66</v>
      </c>
      <c r="J57" s="849" t="s">
        <v>66</v>
      </c>
      <c r="K57" s="849">
        <f>SUM(L57:P57)</f>
        <v>27906</v>
      </c>
      <c r="L57" s="849">
        <v>0</v>
      </c>
      <c r="M57" s="849">
        <v>2093</v>
      </c>
      <c r="N57" s="849">
        <v>2093</v>
      </c>
      <c r="O57" s="849">
        <v>0</v>
      </c>
      <c r="P57" s="849">
        <v>23720</v>
      </c>
      <c r="Q57" s="788"/>
      <c r="R57" s="886">
        <v>43312</v>
      </c>
      <c r="S57" s="886">
        <v>43403</v>
      </c>
      <c r="T57" s="886">
        <v>43495</v>
      </c>
      <c r="U57" s="886">
        <v>44196</v>
      </c>
      <c r="V57" s="67"/>
      <c r="W57" s="67"/>
      <c r="X57" s="67"/>
    </row>
    <row r="58" spans="1:24" ht="29.25" customHeight="1" thickBot="1" x14ac:dyDescent="0.3">
      <c r="A58" s="498" t="s">
        <v>34</v>
      </c>
      <c r="B58" s="1102"/>
      <c r="C58" s="1651" t="s">
        <v>1682</v>
      </c>
      <c r="D58" s="1660"/>
      <c r="E58" s="1660"/>
      <c r="F58" s="1660"/>
      <c r="G58" s="1660"/>
      <c r="H58" s="1660"/>
      <c r="I58" s="1660"/>
      <c r="J58" s="1661"/>
      <c r="K58" s="500">
        <f t="shared" ref="K58:P60" si="23">SUM(K59:K59)</f>
        <v>198997.18</v>
      </c>
      <c r="L58" s="500">
        <f t="shared" si="23"/>
        <v>14924.79</v>
      </c>
      <c r="M58" s="500">
        <f t="shared" si="23"/>
        <v>14924.79</v>
      </c>
      <c r="N58" s="500">
        <f t="shared" si="23"/>
        <v>0</v>
      </c>
      <c r="O58" s="500">
        <f t="shared" si="23"/>
        <v>0</v>
      </c>
      <c r="P58" s="500">
        <f t="shared" si="23"/>
        <v>169147.6</v>
      </c>
      <c r="Q58" s="148"/>
      <c r="R58" s="500"/>
      <c r="S58" s="500"/>
      <c r="T58" s="500"/>
      <c r="U58" s="500"/>
      <c r="V58" s="70">
        <v>77000</v>
      </c>
      <c r="W58" s="70">
        <f>SUM(V58*120/100)</f>
        <v>92400</v>
      </c>
      <c r="X58" s="70">
        <f>SUM(V58-P58)</f>
        <v>-92147.6</v>
      </c>
    </row>
    <row r="59" spans="1:24" ht="48.75" customHeight="1" thickBot="1" x14ac:dyDescent="0.3">
      <c r="A59" s="147" t="str">
        <f>CONCATENATE('3 pr-2'!A139)</f>
        <v>2.1.2.2.4.</v>
      </c>
      <c r="B59" s="147" t="str">
        <f>CONCATENATE('3 pr-2'!B139)</f>
        <v>R01-6630-470000-2224</v>
      </c>
      <c r="C59" s="147" t="s">
        <v>1489</v>
      </c>
      <c r="D59" s="147" t="s">
        <v>1490</v>
      </c>
      <c r="E59" s="147" t="s">
        <v>103</v>
      </c>
      <c r="F59" s="147" t="s">
        <v>234</v>
      </c>
      <c r="G59" s="324" t="s">
        <v>1467</v>
      </c>
      <c r="H59" s="40" t="s">
        <v>119</v>
      </c>
      <c r="I59" s="40" t="s">
        <v>66</v>
      </c>
      <c r="J59" s="42" t="s">
        <v>66</v>
      </c>
      <c r="K59" s="1110">
        <v>198997.18</v>
      </c>
      <c r="L59" s="1110">
        <v>14924.79</v>
      </c>
      <c r="M59" s="1110">
        <v>14924.79</v>
      </c>
      <c r="N59" s="1110">
        <v>0</v>
      </c>
      <c r="O59" s="1110">
        <v>0</v>
      </c>
      <c r="P59" s="1110">
        <v>169147.6</v>
      </c>
      <c r="Q59" s="42"/>
      <c r="R59" s="246">
        <v>43189</v>
      </c>
      <c r="S59" s="246">
        <v>43220</v>
      </c>
      <c r="T59" s="246">
        <v>43311</v>
      </c>
      <c r="U59" s="246">
        <v>44561</v>
      </c>
      <c r="V59" s="67"/>
      <c r="W59" s="67"/>
      <c r="X59" s="67"/>
    </row>
    <row r="60" spans="1:24" ht="29.25" customHeight="1" thickBot="1" x14ac:dyDescent="0.3">
      <c r="A60" s="498" t="str">
        <f>CONCATENATE('3 pr-2'!A141)</f>
        <v>2.1.2.3</v>
      </c>
      <c r="B60" s="1102"/>
      <c r="C60" s="1651" t="str">
        <f>CONCATENATE('3 pr-2'!D141)</f>
        <v/>
      </c>
      <c r="D60" s="1660"/>
      <c r="E60" s="1660"/>
      <c r="F60" s="1660"/>
      <c r="G60" s="1660"/>
      <c r="H60" s="1660"/>
      <c r="I60" s="1660"/>
      <c r="J60" s="1661"/>
      <c r="K60" s="500">
        <f t="shared" si="23"/>
        <v>6816</v>
      </c>
      <c r="L60" s="500">
        <f t="shared" si="23"/>
        <v>511.2</v>
      </c>
      <c r="M60" s="500">
        <f t="shared" si="23"/>
        <v>511.2</v>
      </c>
      <c r="N60" s="500">
        <f t="shared" si="23"/>
        <v>0</v>
      </c>
      <c r="O60" s="500">
        <f t="shared" si="23"/>
        <v>0</v>
      </c>
      <c r="P60" s="500">
        <f t="shared" si="23"/>
        <v>5793.6</v>
      </c>
      <c r="Q60" s="148"/>
      <c r="R60" s="500"/>
      <c r="S60" s="500"/>
      <c r="T60" s="500"/>
      <c r="U60" s="500"/>
      <c r="V60" s="70">
        <v>77000</v>
      </c>
      <c r="W60" s="70">
        <f>SUM(V60*120/100)</f>
        <v>92400</v>
      </c>
      <c r="X60" s="70">
        <f>SUM(V60-P60)</f>
        <v>71206.399999999994</v>
      </c>
    </row>
    <row r="61" spans="1:24" ht="69.75" customHeight="1" thickBot="1" x14ac:dyDescent="0.3">
      <c r="A61" s="147" t="str">
        <f>CONCATENATE('3 pr-2'!A145)</f>
        <v>2.1.2.3.4</v>
      </c>
      <c r="B61" s="147" t="str">
        <f>CONCATENATE('3 pr-2'!B145)</f>
        <v>R01-6615-470000-2234</v>
      </c>
      <c r="C61" s="147" t="s">
        <v>1491</v>
      </c>
      <c r="D61" s="147" t="s">
        <v>1492</v>
      </c>
      <c r="E61" s="147" t="s">
        <v>103</v>
      </c>
      <c r="F61" s="147" t="s">
        <v>234</v>
      </c>
      <c r="G61" s="324" t="s">
        <v>1482</v>
      </c>
      <c r="H61" s="40" t="s">
        <v>119</v>
      </c>
      <c r="I61" s="40" t="s">
        <v>66</v>
      </c>
      <c r="J61" s="42" t="s">
        <v>66</v>
      </c>
      <c r="K61" s="42">
        <f>SUM(L61:P61)</f>
        <v>6816</v>
      </c>
      <c r="L61" s="42">
        <v>511.2</v>
      </c>
      <c r="M61" s="42">
        <v>511.2</v>
      </c>
      <c r="N61" s="42">
        <v>0</v>
      </c>
      <c r="O61" s="42">
        <v>0</v>
      </c>
      <c r="P61" s="42">
        <v>5793.6</v>
      </c>
      <c r="Q61" s="42"/>
      <c r="R61" s="246">
        <v>43159</v>
      </c>
      <c r="S61" s="246">
        <v>43253</v>
      </c>
      <c r="T61" s="246">
        <v>43344</v>
      </c>
      <c r="U61" s="246">
        <v>44440</v>
      </c>
      <c r="V61" s="67"/>
      <c r="W61" s="67"/>
      <c r="X61" s="67"/>
    </row>
    <row r="62" spans="1:24" ht="41.25" customHeight="1" thickBot="1" x14ac:dyDescent="0.3">
      <c r="A62" s="216" t="s">
        <v>35</v>
      </c>
      <c r="B62" s="1106"/>
      <c r="C62" s="1653" t="s">
        <v>667</v>
      </c>
      <c r="D62" s="1666"/>
      <c r="E62" s="1666"/>
      <c r="F62" s="1666"/>
      <c r="G62" s="1666"/>
      <c r="H62" s="1666"/>
      <c r="I62" s="1666"/>
      <c r="J62" s="1667"/>
      <c r="K62" s="196">
        <f t="shared" ref="K62:P62" si="24">SUM(K63+K65)</f>
        <v>878910</v>
      </c>
      <c r="L62" s="196">
        <f t="shared" si="24"/>
        <v>131837</v>
      </c>
      <c r="M62" s="196">
        <f t="shared" si="24"/>
        <v>0</v>
      </c>
      <c r="N62" s="196">
        <f t="shared" si="24"/>
        <v>0</v>
      </c>
      <c r="O62" s="196">
        <f t="shared" si="24"/>
        <v>0</v>
      </c>
      <c r="P62" s="196">
        <f t="shared" si="24"/>
        <v>747073</v>
      </c>
      <c r="Q62" s="196"/>
      <c r="R62" s="197"/>
      <c r="S62" s="197"/>
      <c r="T62" s="197"/>
      <c r="U62" s="237"/>
      <c r="V62" s="69">
        <f>SUM(V63+V65)</f>
        <v>747073.32761816494</v>
      </c>
      <c r="W62" s="69">
        <f>SUM(W63+W65)</f>
        <v>896487.99314179795</v>
      </c>
      <c r="X62" s="69">
        <f>SUM(X63+X65)</f>
        <v>0.32761816497077234</v>
      </c>
    </row>
    <row r="63" spans="1:24" ht="38.25" customHeight="1" thickBot="1" x14ac:dyDescent="0.3">
      <c r="A63" s="498" t="s">
        <v>36</v>
      </c>
      <c r="B63" s="1102"/>
      <c r="C63" s="1651" t="s">
        <v>663</v>
      </c>
      <c r="D63" s="1660"/>
      <c r="E63" s="1660"/>
      <c r="F63" s="1660"/>
      <c r="G63" s="1660"/>
      <c r="H63" s="1660"/>
      <c r="I63" s="1660"/>
      <c r="J63" s="1661"/>
      <c r="K63" s="500">
        <f>SUM(K64)</f>
        <v>151437</v>
      </c>
      <c r="L63" s="500">
        <f>SUM(L64)</f>
        <v>22716</v>
      </c>
      <c r="M63" s="500">
        <f t="shared" ref="M63:O63" si="25">SUM(M64)</f>
        <v>0</v>
      </c>
      <c r="N63" s="500">
        <f t="shared" si="25"/>
        <v>0</v>
      </c>
      <c r="O63" s="500">
        <f t="shared" si="25"/>
        <v>0</v>
      </c>
      <c r="P63" s="500">
        <f>SUM(P64)</f>
        <v>128721</v>
      </c>
      <c r="Q63" s="148"/>
      <c r="R63" s="500"/>
      <c r="S63" s="500"/>
      <c r="T63" s="500"/>
      <c r="U63" s="500"/>
      <c r="V63" s="70">
        <v>128721.32761816497</v>
      </c>
      <c r="W63" s="70">
        <f>SUM(V63*120/100)</f>
        <v>154465.59314179796</v>
      </c>
      <c r="X63" s="70">
        <f>SUM(V63-P63)</f>
        <v>0.32761816497077234</v>
      </c>
    </row>
    <row r="64" spans="1:24" ht="48.75" thickBot="1" x14ac:dyDescent="0.3">
      <c r="A64" s="147" t="str">
        <f>CONCATENATE('3 pr-2'!A152)</f>
        <v>2.1.3.1.4</v>
      </c>
      <c r="B64" s="147" t="str">
        <f>CONCATENATE('3 pr-2'!B152)</f>
        <v>R01-4407-270000-2314</v>
      </c>
      <c r="C64" s="147" t="s">
        <v>330</v>
      </c>
      <c r="D64" s="147" t="s">
        <v>242</v>
      </c>
      <c r="E64" s="147" t="s">
        <v>106</v>
      </c>
      <c r="F64" s="147" t="s">
        <v>234</v>
      </c>
      <c r="G64" s="324" t="s">
        <v>154</v>
      </c>
      <c r="H64" s="40" t="s">
        <v>119</v>
      </c>
      <c r="I64" s="40" t="s">
        <v>66</v>
      </c>
      <c r="J64" s="42" t="s">
        <v>66</v>
      </c>
      <c r="K64" s="42">
        <f t="shared" ref="K64" si="26">SUM(L64:P64)</f>
        <v>151437</v>
      </c>
      <c r="L64" s="42">
        <v>22716</v>
      </c>
      <c r="M64" s="42">
        <v>0</v>
      </c>
      <c r="N64" s="42">
        <v>0</v>
      </c>
      <c r="O64" s="42">
        <v>0</v>
      </c>
      <c r="P64" s="42">
        <v>128721</v>
      </c>
      <c r="Q64" s="788">
        <v>42618</v>
      </c>
      <c r="R64" s="550">
        <v>42669</v>
      </c>
      <c r="S64" s="550">
        <v>42735</v>
      </c>
      <c r="T64" s="550">
        <v>42855</v>
      </c>
      <c r="U64" s="799">
        <f>SUM('IV-1 su proj'!CH151)</f>
        <v>43738</v>
      </c>
      <c r="V64" s="67"/>
      <c r="W64" s="67"/>
      <c r="X64" s="67"/>
    </row>
    <row r="65" spans="1:24" ht="32.25" customHeight="1" thickBot="1" x14ac:dyDescent="0.3">
      <c r="A65" s="498" t="s">
        <v>37</v>
      </c>
      <c r="B65" s="1102"/>
      <c r="C65" s="1651" t="s">
        <v>664</v>
      </c>
      <c r="D65" s="1660"/>
      <c r="E65" s="1660"/>
      <c r="F65" s="1660"/>
      <c r="G65" s="1660"/>
      <c r="H65" s="1660"/>
      <c r="I65" s="1660"/>
      <c r="J65" s="1661"/>
      <c r="K65" s="500">
        <f>SUM(K66)</f>
        <v>727473</v>
      </c>
      <c r="L65" s="500">
        <f>SUM(L66)</f>
        <v>109121</v>
      </c>
      <c r="M65" s="500">
        <f t="shared" ref="M65:O65" si="27">SUM(M66)</f>
        <v>0</v>
      </c>
      <c r="N65" s="500">
        <f t="shared" si="27"/>
        <v>0</v>
      </c>
      <c r="O65" s="500">
        <f t="shared" si="27"/>
        <v>0</v>
      </c>
      <c r="P65" s="500">
        <f>SUM(P66)</f>
        <v>618352</v>
      </c>
      <c r="Q65" s="148"/>
      <c r="R65" s="500"/>
      <c r="S65" s="500"/>
      <c r="T65" s="500"/>
      <c r="U65" s="500"/>
      <c r="V65" s="70">
        <v>618352</v>
      </c>
      <c r="W65" s="70">
        <f>SUM(V65*120/100)</f>
        <v>742022.4</v>
      </c>
      <c r="X65" s="70">
        <f>SUM(V65-P65)</f>
        <v>0</v>
      </c>
    </row>
    <row r="66" spans="1:24" ht="48.75" customHeight="1" thickBot="1" x14ac:dyDescent="0.3">
      <c r="A66" s="147" t="str">
        <f>CONCATENATE('3 pr-2'!A158)</f>
        <v>2.1.3.2.4</v>
      </c>
      <c r="B66" s="147" t="str">
        <f>CONCATENATE('3 pr-2'!B158)</f>
        <v>R01-4408-260000-2324</v>
      </c>
      <c r="C66" s="147" t="s">
        <v>244</v>
      </c>
      <c r="D66" s="147" t="s">
        <v>242</v>
      </c>
      <c r="E66" s="147" t="s">
        <v>106</v>
      </c>
      <c r="F66" s="147" t="s">
        <v>234</v>
      </c>
      <c r="G66" s="324" t="s">
        <v>155</v>
      </c>
      <c r="H66" s="40" t="s">
        <v>119</v>
      </c>
      <c r="I66" s="40" t="s">
        <v>66</v>
      </c>
      <c r="J66" s="42" t="s">
        <v>66</v>
      </c>
      <c r="K66" s="42">
        <f t="shared" ref="K66" si="28">SUM(L66:P66)</f>
        <v>727473</v>
      </c>
      <c r="L66" s="42">
        <v>109121</v>
      </c>
      <c r="M66" s="42">
        <v>0</v>
      </c>
      <c r="N66" s="42">
        <v>0</v>
      </c>
      <c r="O66" s="42">
        <v>0</v>
      </c>
      <c r="P66" s="42">
        <v>618352</v>
      </c>
      <c r="Q66" s="788">
        <v>42401</v>
      </c>
      <c r="R66" s="550">
        <v>42490</v>
      </c>
      <c r="S66" s="550">
        <v>42674</v>
      </c>
      <c r="T66" s="550">
        <v>42735</v>
      </c>
      <c r="U66" s="799">
        <v>43250</v>
      </c>
      <c r="V66" s="67"/>
      <c r="W66" s="67"/>
      <c r="X66" s="67"/>
    </row>
    <row r="67" spans="1:24" ht="53.25" customHeight="1" thickBot="1" x14ac:dyDescent="0.3">
      <c r="A67" s="216" t="s">
        <v>38</v>
      </c>
      <c r="B67" s="1106"/>
      <c r="C67" s="1653" t="s">
        <v>665</v>
      </c>
      <c r="D67" s="1666"/>
      <c r="E67" s="1666"/>
      <c r="F67" s="1666"/>
      <c r="G67" s="1666"/>
      <c r="H67" s="1666"/>
      <c r="I67" s="1666"/>
      <c r="J67" s="1667"/>
      <c r="K67" s="196">
        <f t="shared" ref="K67:P68" si="29">SUM(K68)</f>
        <v>161588</v>
      </c>
      <c r="L67" s="196">
        <f t="shared" si="29"/>
        <v>24238</v>
      </c>
      <c r="M67" s="196">
        <f t="shared" si="29"/>
        <v>0</v>
      </c>
      <c r="N67" s="196">
        <f t="shared" si="29"/>
        <v>0</v>
      </c>
      <c r="O67" s="196">
        <f t="shared" si="29"/>
        <v>0</v>
      </c>
      <c r="P67" s="196">
        <f t="shared" si="29"/>
        <v>137350</v>
      </c>
      <c r="Q67" s="196"/>
      <c r="R67" s="197"/>
      <c r="S67" s="197"/>
      <c r="T67" s="197"/>
      <c r="U67" s="237"/>
      <c r="V67" s="69">
        <f>SUM(V68)</f>
        <v>137349.52468118331</v>
      </c>
      <c r="W67" s="69">
        <f>SUM(W68)</f>
        <v>164819.42961741996</v>
      </c>
      <c r="X67" s="69">
        <f>SUM(X68)</f>
        <v>-0.47531881669419818</v>
      </c>
    </row>
    <row r="68" spans="1:24" ht="39" customHeight="1" thickBot="1" x14ac:dyDescent="0.3">
      <c r="A68" s="498" t="s">
        <v>109</v>
      </c>
      <c r="B68" s="1102"/>
      <c r="C68" s="1651" t="s">
        <v>666</v>
      </c>
      <c r="D68" s="1660"/>
      <c r="E68" s="1660"/>
      <c r="F68" s="1660"/>
      <c r="G68" s="1660"/>
      <c r="H68" s="1660"/>
      <c r="I68" s="1660"/>
      <c r="J68" s="1661"/>
      <c r="K68" s="500">
        <f>SUM(K69)</f>
        <v>161588</v>
      </c>
      <c r="L68" s="500">
        <f>SUM(L69)</f>
        <v>24238</v>
      </c>
      <c r="M68" s="500">
        <f t="shared" si="29"/>
        <v>0</v>
      </c>
      <c r="N68" s="500">
        <f t="shared" si="29"/>
        <v>0</v>
      </c>
      <c r="O68" s="500">
        <f t="shared" si="29"/>
        <v>0</v>
      </c>
      <c r="P68" s="500">
        <f>SUM(P69)</f>
        <v>137350</v>
      </c>
      <c r="Q68" s="148"/>
      <c r="R68" s="500"/>
      <c r="S68" s="500"/>
      <c r="T68" s="500"/>
      <c r="U68" s="500"/>
      <c r="V68" s="70">
        <v>137349.52468118331</v>
      </c>
      <c r="W68" s="70">
        <f>SUM(V68*120/100)</f>
        <v>164819.42961741996</v>
      </c>
      <c r="X68" s="70">
        <f>SUM(V68-P68)</f>
        <v>-0.47531881669419818</v>
      </c>
    </row>
    <row r="69" spans="1:24" ht="48.75" thickBot="1" x14ac:dyDescent="0.3">
      <c r="A69" s="147" t="str">
        <f>CONCATENATE('3 pr-2'!A166)</f>
        <v>2.1.4.1.5</v>
      </c>
      <c r="B69" s="147" t="str">
        <f>CONCATENATE('3 pr-2'!B166)</f>
        <v>R01-9920-490000-2415</v>
      </c>
      <c r="C69" s="147" t="s">
        <v>246</v>
      </c>
      <c r="D69" s="147" t="s">
        <v>242</v>
      </c>
      <c r="E69" s="147" t="s">
        <v>75</v>
      </c>
      <c r="F69" s="147" t="s">
        <v>234</v>
      </c>
      <c r="G69" s="324" t="s">
        <v>1375</v>
      </c>
      <c r="H69" s="40" t="s">
        <v>119</v>
      </c>
      <c r="I69" s="40" t="s">
        <v>66</v>
      </c>
      <c r="J69" s="42" t="s">
        <v>66</v>
      </c>
      <c r="K69" s="42">
        <f t="shared" ref="K69" si="30">SUM(L69:P69)</f>
        <v>161588</v>
      </c>
      <c r="L69" s="42">
        <v>24238</v>
      </c>
      <c r="M69" s="42">
        <v>0</v>
      </c>
      <c r="N69" s="42">
        <v>0</v>
      </c>
      <c r="O69" s="42">
        <v>0</v>
      </c>
      <c r="P69" s="42">
        <v>137350</v>
      </c>
      <c r="Q69" s="788">
        <v>43017</v>
      </c>
      <c r="R69" s="550">
        <v>42992</v>
      </c>
      <c r="S69" s="550">
        <v>43146</v>
      </c>
      <c r="T69" s="550">
        <v>43235</v>
      </c>
      <c r="U69" s="550">
        <v>44103.5</v>
      </c>
      <c r="V69" s="67"/>
      <c r="W69" s="67"/>
      <c r="X69" s="67"/>
    </row>
    <row r="70" spans="1:24" ht="43.5" customHeight="1" thickBot="1" x14ac:dyDescent="0.3">
      <c r="A70" s="224" t="s">
        <v>40</v>
      </c>
      <c r="B70" s="1107"/>
      <c r="C70" s="1663" t="s">
        <v>1689</v>
      </c>
      <c r="D70" s="1664"/>
      <c r="E70" s="1664"/>
      <c r="F70" s="1664"/>
      <c r="G70" s="1664"/>
      <c r="H70" s="1664"/>
      <c r="I70" s="1664"/>
      <c r="J70" s="1665"/>
      <c r="K70" s="218">
        <f t="shared" ref="K70:P70" si="31">SUM(K71+K74)</f>
        <v>760953.50294117653</v>
      </c>
      <c r="L70" s="218">
        <f t="shared" si="31"/>
        <v>140167.13958477142</v>
      </c>
      <c r="M70" s="218">
        <f t="shared" si="31"/>
        <v>0</v>
      </c>
      <c r="N70" s="218">
        <f t="shared" si="31"/>
        <v>0</v>
      </c>
      <c r="O70" s="218">
        <f t="shared" si="31"/>
        <v>0</v>
      </c>
      <c r="P70" s="218">
        <f t="shared" si="31"/>
        <v>646810.48</v>
      </c>
      <c r="Q70" s="218"/>
      <c r="R70" s="225"/>
      <c r="S70" s="225"/>
      <c r="T70" s="225"/>
      <c r="U70" s="236"/>
      <c r="V70" s="68">
        <f>SUM(V71+V74)</f>
        <v>646810.48</v>
      </c>
      <c r="W70" s="68">
        <f>SUM(W71+W74)</f>
        <v>776172.57599999988</v>
      </c>
      <c r="X70" s="68">
        <f>SUM(X71+X74)</f>
        <v>0</v>
      </c>
    </row>
    <row r="71" spans="1:24" ht="35.25" customHeight="1" thickBot="1" x14ac:dyDescent="0.3">
      <c r="A71" s="216" t="s">
        <v>41</v>
      </c>
      <c r="B71" s="1106"/>
      <c r="C71" s="1653" t="s">
        <v>1690</v>
      </c>
      <c r="D71" s="1666"/>
      <c r="E71" s="1666"/>
      <c r="F71" s="1666"/>
      <c r="G71" s="1666"/>
      <c r="H71" s="1666"/>
      <c r="I71" s="1666"/>
      <c r="J71" s="1667"/>
      <c r="K71" s="196">
        <f t="shared" ref="K71:P71" si="32">SUM(K72)</f>
        <v>551275.85882352944</v>
      </c>
      <c r="L71" s="196">
        <f t="shared" si="32"/>
        <v>108715.49546712435</v>
      </c>
      <c r="M71" s="196">
        <f t="shared" si="32"/>
        <v>0</v>
      </c>
      <c r="N71" s="196">
        <f t="shared" si="32"/>
        <v>0</v>
      </c>
      <c r="O71" s="196">
        <f t="shared" si="32"/>
        <v>0</v>
      </c>
      <c r="P71" s="196">
        <f t="shared" si="32"/>
        <v>468584.48</v>
      </c>
      <c r="Q71" s="196"/>
      <c r="R71" s="197"/>
      <c r="S71" s="197"/>
      <c r="T71" s="197"/>
      <c r="U71" s="237"/>
      <c r="V71" s="69">
        <f>SUM(V72)</f>
        <v>468584.48</v>
      </c>
      <c r="W71" s="69">
        <f>SUM(W72)</f>
        <v>562301.37599999993</v>
      </c>
      <c r="X71" s="69">
        <f>SUM(X72)</f>
        <v>0</v>
      </c>
    </row>
    <row r="72" spans="1:24" ht="34.5" customHeight="1" thickBot="1" x14ac:dyDescent="0.3">
      <c r="A72" s="498" t="s">
        <v>42</v>
      </c>
      <c r="B72" s="1102"/>
      <c r="C72" s="1651" t="s">
        <v>637</v>
      </c>
      <c r="D72" s="1660"/>
      <c r="E72" s="1660"/>
      <c r="F72" s="1660"/>
      <c r="G72" s="1660"/>
      <c r="H72" s="1660"/>
      <c r="I72" s="1660"/>
      <c r="J72" s="1661"/>
      <c r="K72" s="500">
        <f t="shared" ref="K72:P72" si="33">SUM(K73:K73)</f>
        <v>551275.85882352944</v>
      </c>
      <c r="L72" s="500">
        <f t="shared" si="33"/>
        <v>108715.49546712435</v>
      </c>
      <c r="M72" s="500">
        <f t="shared" si="33"/>
        <v>0</v>
      </c>
      <c r="N72" s="500">
        <f t="shared" si="33"/>
        <v>0</v>
      </c>
      <c r="O72" s="500">
        <f t="shared" si="33"/>
        <v>0</v>
      </c>
      <c r="P72" s="500">
        <f t="shared" si="33"/>
        <v>468584.48</v>
      </c>
      <c r="Q72" s="148"/>
      <c r="R72" s="500"/>
      <c r="S72" s="500"/>
      <c r="T72" s="500"/>
      <c r="U72" s="500"/>
      <c r="V72" s="70">
        <v>468584.48</v>
      </c>
      <c r="W72" s="70">
        <f>SUM(V72*120/100)</f>
        <v>562301.37599999993</v>
      </c>
      <c r="X72" s="70">
        <f>SUM(V72-P72)</f>
        <v>0</v>
      </c>
    </row>
    <row r="73" spans="1:24" s="89" customFormat="1" ht="48.75" thickBot="1" x14ac:dyDescent="0.3">
      <c r="A73" s="189" t="s">
        <v>112</v>
      </c>
      <c r="B73" s="147" t="str">
        <f>CONCATENATE('3 pr-2'!B171)</f>
        <v>R01-0008-050000-3111</v>
      </c>
      <c r="C73" s="189" t="s">
        <v>323</v>
      </c>
      <c r="D73" s="189" t="s">
        <v>193</v>
      </c>
      <c r="E73" s="189" t="s">
        <v>77</v>
      </c>
      <c r="F73" s="189" t="s">
        <v>324</v>
      </c>
      <c r="G73" s="525" t="s">
        <v>194</v>
      </c>
      <c r="H73" s="590" t="s">
        <v>119</v>
      </c>
      <c r="I73" s="590" t="s">
        <v>66</v>
      </c>
      <c r="J73" s="468" t="s">
        <v>66</v>
      </c>
      <c r="K73" s="468">
        <v>551275.85882352944</v>
      </c>
      <c r="L73" s="468">
        <v>108715.49546712435</v>
      </c>
      <c r="M73" s="468">
        <v>0</v>
      </c>
      <c r="N73" s="468">
        <v>0</v>
      </c>
      <c r="O73" s="468">
        <v>0</v>
      </c>
      <c r="P73" s="468">
        <v>468584.48</v>
      </c>
      <c r="Q73" s="468"/>
      <c r="R73" s="1111">
        <v>42766</v>
      </c>
      <c r="S73" s="1111">
        <v>42916</v>
      </c>
      <c r="T73" s="1111">
        <v>43008</v>
      </c>
      <c r="U73" s="550">
        <v>43830</v>
      </c>
      <c r="V73" s="88"/>
      <c r="W73" s="88"/>
      <c r="X73" s="88"/>
    </row>
    <row r="74" spans="1:24" ht="37.5" customHeight="1" thickBot="1" x14ac:dyDescent="0.3">
      <c r="A74" s="216" t="s">
        <v>43</v>
      </c>
      <c r="B74" s="1106"/>
      <c r="C74" s="1643" t="s">
        <v>640</v>
      </c>
      <c r="D74" s="1644"/>
      <c r="E74" s="1644"/>
      <c r="F74" s="1644"/>
      <c r="G74" s="1644"/>
      <c r="H74" s="1644"/>
      <c r="I74" s="1644"/>
      <c r="J74" s="1645"/>
      <c r="K74" s="219">
        <f>SUM(K75)</f>
        <v>209677.64411764705</v>
      </c>
      <c r="L74" s="219">
        <f t="shared" ref="L74:P74" si="34">SUM(L75)</f>
        <v>31451.644117647058</v>
      </c>
      <c r="M74" s="219">
        <f t="shared" si="34"/>
        <v>0</v>
      </c>
      <c r="N74" s="219">
        <f t="shared" si="34"/>
        <v>0</v>
      </c>
      <c r="O74" s="219">
        <f t="shared" si="34"/>
        <v>0</v>
      </c>
      <c r="P74" s="219">
        <f t="shared" si="34"/>
        <v>178226</v>
      </c>
      <c r="Q74" s="219"/>
      <c r="R74" s="584"/>
      <c r="S74" s="585"/>
      <c r="T74" s="585"/>
      <c r="U74" s="586"/>
      <c r="V74" s="69">
        <f>SUM(V75)</f>
        <v>178226</v>
      </c>
      <c r="W74" s="69">
        <f>SUM(W75)</f>
        <v>213871.2</v>
      </c>
      <c r="X74" s="69">
        <f>SUM(X75)</f>
        <v>0</v>
      </c>
    </row>
    <row r="75" spans="1:24" ht="32.25" customHeight="1" thickBot="1" x14ac:dyDescent="0.3">
      <c r="A75" s="498" t="s">
        <v>113</v>
      </c>
      <c r="B75" s="1102"/>
      <c r="C75" s="1656" t="s">
        <v>1465</v>
      </c>
      <c r="D75" s="1660"/>
      <c r="E75" s="1660"/>
      <c r="F75" s="1660"/>
      <c r="G75" s="1660"/>
      <c r="H75" s="1660"/>
      <c r="I75" s="1660"/>
      <c r="J75" s="1661"/>
      <c r="K75" s="500">
        <f t="shared" ref="K75:O75" si="35">SUM(K76:K77)</f>
        <v>209677.64411764705</v>
      </c>
      <c r="L75" s="500">
        <f t="shared" si="35"/>
        <v>31451.644117647058</v>
      </c>
      <c r="M75" s="500">
        <f t="shared" si="35"/>
        <v>0</v>
      </c>
      <c r="N75" s="500">
        <f t="shared" si="35"/>
        <v>0</v>
      </c>
      <c r="O75" s="500">
        <f t="shared" si="35"/>
        <v>0</v>
      </c>
      <c r="P75" s="500">
        <f>SUM(P76:P77)</f>
        <v>178226</v>
      </c>
      <c r="Q75" s="148"/>
      <c r="R75" s="500"/>
      <c r="S75" s="500"/>
      <c r="T75" s="500"/>
      <c r="U75" s="500"/>
      <c r="V75" s="70">
        <v>178226</v>
      </c>
      <c r="W75" s="70">
        <f>SUM(V75*120/100)</f>
        <v>213871.2</v>
      </c>
      <c r="X75" s="70">
        <f>SUM(V75-P75)</f>
        <v>0</v>
      </c>
    </row>
    <row r="76" spans="1:24" ht="48.75" thickBot="1" x14ac:dyDescent="0.3">
      <c r="A76" s="147" t="str">
        <f>CONCATENATE('3 pr-2'!A178)</f>
        <v>3.1.2.1.5</v>
      </c>
      <c r="B76" s="147" t="str">
        <f>CONCATENATE('3 pr-2'!B178)</f>
        <v>R01-0019-380000-3215</v>
      </c>
      <c r="C76" s="147" t="s">
        <v>405</v>
      </c>
      <c r="D76" s="147" t="s">
        <v>242</v>
      </c>
      <c r="E76" s="147" t="s">
        <v>77</v>
      </c>
      <c r="F76" s="147" t="s">
        <v>234</v>
      </c>
      <c r="G76" s="324" t="s">
        <v>196</v>
      </c>
      <c r="H76" s="40" t="s">
        <v>119</v>
      </c>
      <c r="I76" s="40" t="s">
        <v>66</v>
      </c>
      <c r="J76" s="42" t="s">
        <v>66</v>
      </c>
      <c r="K76" s="1110">
        <f t="shared" ref="K76" si="36">SUM(L76:P76)</f>
        <v>121153.55</v>
      </c>
      <c r="L76" s="1110">
        <v>18173.03</v>
      </c>
      <c r="M76" s="1110">
        <v>0</v>
      </c>
      <c r="N76" s="1110">
        <v>0</v>
      </c>
      <c r="O76" s="1110">
        <v>0</v>
      </c>
      <c r="P76" s="1110">
        <v>102980.52</v>
      </c>
      <c r="Q76" s="788">
        <v>42598</v>
      </c>
      <c r="R76" s="550">
        <v>42704</v>
      </c>
      <c r="S76" s="550">
        <v>42884</v>
      </c>
      <c r="T76" s="550">
        <v>42978</v>
      </c>
      <c r="U76" s="550">
        <v>43465</v>
      </c>
      <c r="V76" s="67"/>
      <c r="W76" s="67"/>
      <c r="X76" s="67"/>
    </row>
    <row r="77" spans="1:24" ht="48.75" thickBot="1" x14ac:dyDescent="0.3">
      <c r="A77" s="848" t="str">
        <f>CONCATENATE('3 pr-2'!A182)</f>
        <v>3.1.2.1.9</v>
      </c>
      <c r="B77" s="848" t="str">
        <f>CONCATENATE('3 pr-2'!B182)</f>
        <v>R01-0019-380000-3219</v>
      </c>
      <c r="C77" s="848" t="s">
        <v>1749</v>
      </c>
      <c r="D77" s="848" t="s">
        <v>242</v>
      </c>
      <c r="E77" s="848" t="s">
        <v>77</v>
      </c>
      <c r="F77" s="848" t="s">
        <v>234</v>
      </c>
      <c r="G77" s="851" t="s">
        <v>196</v>
      </c>
      <c r="H77" s="850" t="s">
        <v>119</v>
      </c>
      <c r="I77" s="850" t="s">
        <v>66</v>
      </c>
      <c r="J77" s="849" t="s">
        <v>66</v>
      </c>
      <c r="K77" s="1200">
        <f t="shared" ref="K77" si="37">SUM(L77:P77)</f>
        <v>88524.094117647051</v>
      </c>
      <c r="L77" s="1200">
        <v>13278.614117647059</v>
      </c>
      <c r="M77" s="1200">
        <v>0</v>
      </c>
      <c r="N77" s="1200">
        <v>0</v>
      </c>
      <c r="O77" s="1200">
        <v>0</v>
      </c>
      <c r="P77" s="1200">
        <v>75245.48</v>
      </c>
      <c r="Q77" s="788">
        <v>42598</v>
      </c>
      <c r="R77" s="886">
        <v>43373</v>
      </c>
      <c r="S77" s="886">
        <v>43554</v>
      </c>
      <c r="T77" s="886">
        <v>43647</v>
      </c>
      <c r="U77" s="886">
        <v>44196</v>
      </c>
      <c r="V77" s="67"/>
      <c r="W77" s="67"/>
      <c r="X77" s="67"/>
    </row>
    <row r="78" spans="1:24" ht="15.75" thickBot="1" x14ac:dyDescent="0.3">
      <c r="A78" s="92"/>
      <c r="B78" s="93"/>
      <c r="C78" s="93"/>
      <c r="D78" s="93"/>
      <c r="E78" s="93"/>
      <c r="F78" s="93"/>
      <c r="G78" s="94"/>
      <c r="H78" s="100"/>
      <c r="I78" s="100"/>
      <c r="J78" s="100"/>
      <c r="K78" s="83">
        <f t="shared" ref="K78:P78" si="38">SUM(K5+K44+K70)</f>
        <v>14018838.874705883</v>
      </c>
      <c r="L78" s="83">
        <f t="shared" si="38"/>
        <v>1962981.6713494773</v>
      </c>
      <c r="M78" s="83">
        <f t="shared" si="38"/>
        <v>244070.05</v>
      </c>
      <c r="N78" s="83">
        <f t="shared" si="38"/>
        <v>2734095</v>
      </c>
      <c r="O78" s="83">
        <f t="shared" si="38"/>
        <v>0</v>
      </c>
      <c r="P78" s="83">
        <f t="shared" si="38"/>
        <v>9103716.2699999996</v>
      </c>
      <c r="Q78" s="578"/>
      <c r="R78" s="93"/>
      <c r="S78" s="93"/>
      <c r="T78" s="93"/>
      <c r="U78" s="95"/>
      <c r="V78" s="84">
        <f>SUM(V5+V44+V70)</f>
        <v>8731906.7498865593</v>
      </c>
      <c r="W78" s="84">
        <f>SUM(W5+W44+W70)</f>
        <v>10478288.099863872</v>
      </c>
      <c r="X78" s="84" t="e">
        <f>SUM(X5+X44+X70)</f>
        <v>#REF!</v>
      </c>
    </row>
    <row r="79" spans="1:24" ht="15.75" thickTop="1" x14ac:dyDescent="0.25"/>
    <row r="82" spans="13:22" x14ac:dyDescent="0.25">
      <c r="M82" s="103"/>
      <c r="U82" s="96"/>
      <c r="V82" s="96">
        <f>SUM(V75-P75)</f>
        <v>0</v>
      </c>
    </row>
  </sheetData>
  <mergeCells count="41">
    <mergeCell ref="X2:X3"/>
    <mergeCell ref="A2:J2"/>
    <mergeCell ref="K2:P2"/>
    <mergeCell ref="V2:V3"/>
    <mergeCell ref="W2:W3"/>
    <mergeCell ref="Q2:U2"/>
    <mergeCell ref="C5:J5"/>
    <mergeCell ref="C6:J6"/>
    <mergeCell ref="C7:J7"/>
    <mergeCell ref="C12:J12"/>
    <mergeCell ref="C15:J15"/>
    <mergeCell ref="C17:J17"/>
    <mergeCell ref="C19:J19"/>
    <mergeCell ref="C21:J21"/>
    <mergeCell ref="C23:J23"/>
    <mergeCell ref="C27:J27"/>
    <mergeCell ref="C29:J29"/>
    <mergeCell ref="C32:J32"/>
    <mergeCell ref="C34:J34"/>
    <mergeCell ref="C39:J39"/>
    <mergeCell ref="C41:J41"/>
    <mergeCell ref="C72:J72"/>
    <mergeCell ref="C75:J75"/>
    <mergeCell ref="C71:J71"/>
    <mergeCell ref="C74:J74"/>
    <mergeCell ref="C46:J46"/>
    <mergeCell ref="C48:J48"/>
    <mergeCell ref="C50:J50"/>
    <mergeCell ref="C53:J53"/>
    <mergeCell ref="C58:J58"/>
    <mergeCell ref="C44:J44"/>
    <mergeCell ref="C70:J70"/>
    <mergeCell ref="C31:J31"/>
    <mergeCell ref="C45:J45"/>
    <mergeCell ref="C52:J52"/>
    <mergeCell ref="C62:J62"/>
    <mergeCell ref="C67:J67"/>
    <mergeCell ref="C63:J63"/>
    <mergeCell ref="C65:J65"/>
    <mergeCell ref="C68:J68"/>
    <mergeCell ref="C60:J60"/>
  </mergeCells>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77"/>
  <sheetViews>
    <sheetView workbookViewId="0">
      <pane ySplit="2955" topLeftCell="A37" activePane="bottomLeft"/>
      <selection activeCell="Y1" sqref="Y1:Z1048576"/>
      <selection pane="bottomLeft" activeCell="U40" sqref="U40"/>
    </sheetView>
  </sheetViews>
  <sheetFormatPr defaultColWidth="9.140625" defaultRowHeight="15" x14ac:dyDescent="0.25"/>
  <cols>
    <col min="1" max="1" width="9.140625" style="85"/>
    <col min="2" max="2" width="11.5703125" style="85" customWidth="1"/>
    <col min="3" max="3" width="14.5703125" style="85" customWidth="1"/>
    <col min="4" max="4" width="27.5703125" style="85" customWidth="1"/>
    <col min="5" max="5" width="13.28515625" style="85" customWidth="1"/>
    <col min="6" max="6" width="14.42578125" style="85" bestFit="1" customWidth="1"/>
    <col min="7" max="7" width="11.42578125" style="85" customWidth="1"/>
    <col min="8" max="8" width="18" style="85" customWidth="1"/>
    <col min="9" max="11" width="9.140625" style="85"/>
    <col min="12" max="12" width="12.7109375" style="85" bestFit="1" customWidth="1"/>
    <col min="13" max="15" width="10.5703125" style="85" bestFit="1" customWidth="1"/>
    <col min="16" max="16" width="9.140625" style="85"/>
    <col min="17" max="17" width="12.7109375" style="85" bestFit="1" customWidth="1"/>
    <col min="18" max="18" width="12.7109375" style="85" hidden="1" customWidth="1"/>
    <col min="19" max="20" width="11.85546875" style="85" customWidth="1"/>
    <col min="21" max="21" width="10.42578125" style="85" customWidth="1"/>
    <col min="22" max="22" width="10.85546875" style="85" customWidth="1"/>
    <col min="23" max="23" width="18" style="85" customWidth="1"/>
    <col min="24" max="24" width="30.28515625" style="85" bestFit="1" customWidth="1"/>
    <col min="25" max="25" width="16.7109375" style="85" customWidth="1"/>
    <col min="26" max="26" width="10" style="85" bestFit="1" customWidth="1"/>
    <col min="27" max="16384" width="9.140625" style="85"/>
  </cols>
  <sheetData>
    <row r="1" spans="1:25" ht="15.75" thickBot="1" x14ac:dyDescent="0.3">
      <c r="A1" s="59" t="s">
        <v>73</v>
      </c>
      <c r="B1" s="59"/>
      <c r="C1" s="59"/>
    </row>
    <row r="2" spans="1:25" ht="16.5" customHeight="1" thickTop="1" thickBot="1" x14ac:dyDescent="0.3">
      <c r="A2" s="1721" t="s">
        <v>46</v>
      </c>
      <c r="B2" s="1722"/>
      <c r="C2" s="1722"/>
      <c r="D2" s="1722"/>
      <c r="E2" s="1722"/>
      <c r="F2" s="1722"/>
      <c r="G2" s="1722"/>
      <c r="H2" s="1722"/>
      <c r="I2" s="1722"/>
      <c r="J2" s="1722"/>
      <c r="K2" s="1723"/>
      <c r="L2" s="1724" t="s">
        <v>282</v>
      </c>
      <c r="M2" s="1722"/>
      <c r="N2" s="1722"/>
      <c r="O2" s="1722"/>
      <c r="P2" s="1722"/>
      <c r="Q2" s="1723"/>
      <c r="R2" s="1724" t="s">
        <v>48</v>
      </c>
      <c r="S2" s="1726"/>
      <c r="T2" s="1726"/>
      <c r="U2" s="1726"/>
      <c r="V2" s="1727"/>
      <c r="W2" s="1719" t="s">
        <v>117</v>
      </c>
      <c r="X2" s="1719" t="s">
        <v>118</v>
      </c>
      <c r="Y2" s="1719" t="s">
        <v>122</v>
      </c>
    </row>
    <row r="3" spans="1:25" ht="84.75" thickBot="1" x14ac:dyDescent="0.3">
      <c r="A3" s="60" t="s">
        <v>7</v>
      </c>
      <c r="B3" s="147" t="str">
        <f>CONCATENATE('3 pr-2'!B4)</f>
        <v xml:space="preserve">Unikalus numeris**** </v>
      </c>
      <c r="C3" s="147" t="str">
        <f>CONCATENATE('3 pr-2'!C4)</f>
        <v>Projekto kodas</v>
      </c>
      <c r="D3" s="61" t="s">
        <v>49</v>
      </c>
      <c r="E3" s="61" t="s">
        <v>50</v>
      </c>
      <c r="F3" s="61" t="s">
        <v>51</v>
      </c>
      <c r="G3" s="61" t="s">
        <v>52</v>
      </c>
      <c r="H3" s="62" t="s">
        <v>53</v>
      </c>
      <c r="I3" s="61" t="s">
        <v>54</v>
      </c>
      <c r="J3" s="61" t="s">
        <v>55</v>
      </c>
      <c r="K3" s="61" t="s">
        <v>56</v>
      </c>
      <c r="L3" s="61" t="s">
        <v>57</v>
      </c>
      <c r="M3" s="61" t="s">
        <v>58</v>
      </c>
      <c r="N3" s="61" t="s">
        <v>59</v>
      </c>
      <c r="O3" s="61" t="s">
        <v>60</v>
      </c>
      <c r="P3" s="61" t="s">
        <v>61</v>
      </c>
      <c r="Q3" s="61" t="s">
        <v>10</v>
      </c>
      <c r="R3" s="1112" t="s">
        <v>1379</v>
      </c>
      <c r="S3" s="61" t="s">
        <v>62</v>
      </c>
      <c r="T3" s="61" t="s">
        <v>63</v>
      </c>
      <c r="U3" s="61" t="s">
        <v>64</v>
      </c>
      <c r="V3" s="63" t="s">
        <v>65</v>
      </c>
      <c r="W3" s="1720"/>
      <c r="X3" s="1720"/>
      <c r="Y3" s="1720"/>
    </row>
    <row r="4" spans="1:25" ht="15.75" thickBot="1" x14ac:dyDescent="0.3">
      <c r="A4" s="44"/>
      <c r="B4" s="41"/>
      <c r="C4" s="41"/>
      <c r="D4" s="41"/>
      <c r="E4" s="41"/>
      <c r="F4" s="41"/>
      <c r="G4" s="41"/>
      <c r="H4" s="36"/>
      <c r="I4" s="18"/>
      <c r="J4" s="18"/>
      <c r="K4" s="18"/>
      <c r="L4" s="18"/>
      <c r="M4" s="18"/>
      <c r="N4" s="18"/>
      <c r="O4" s="18"/>
      <c r="P4" s="18"/>
      <c r="Q4" s="18"/>
      <c r="R4" s="18"/>
      <c r="S4" s="18"/>
      <c r="T4" s="18"/>
      <c r="U4" s="18"/>
      <c r="V4" s="1119"/>
      <c r="W4" s="67"/>
      <c r="X4" s="67"/>
      <c r="Y4" s="67"/>
    </row>
    <row r="5" spans="1:25" ht="59.25" customHeight="1" thickBot="1" x14ac:dyDescent="0.3">
      <c r="A5" s="224" t="s">
        <v>11</v>
      </c>
      <c r="B5" s="1107"/>
      <c r="C5" s="1107"/>
      <c r="D5" s="1663" t="s">
        <v>1686</v>
      </c>
      <c r="E5" s="1664"/>
      <c r="F5" s="1664"/>
      <c r="G5" s="1664"/>
      <c r="H5" s="1664"/>
      <c r="I5" s="1664"/>
      <c r="J5" s="1664"/>
      <c r="K5" s="1665"/>
      <c r="L5" s="218">
        <f t="shared" ref="L5:Q5" si="0">SUM(L6+L32)</f>
        <v>4815228.7617647061</v>
      </c>
      <c r="M5" s="218">
        <f t="shared" si="0"/>
        <v>683908.7817647059</v>
      </c>
      <c r="N5" s="218">
        <f t="shared" si="0"/>
        <v>160283.01999999999</v>
      </c>
      <c r="O5" s="218">
        <f t="shared" si="0"/>
        <v>498126.01</v>
      </c>
      <c r="P5" s="218">
        <f t="shared" si="0"/>
        <v>0</v>
      </c>
      <c r="Q5" s="218">
        <f t="shared" si="0"/>
        <v>3472910.95</v>
      </c>
      <c r="R5" s="218"/>
      <c r="S5" s="225" t="s">
        <v>66</v>
      </c>
      <c r="T5" s="225" t="s">
        <v>66</v>
      </c>
      <c r="U5" s="225" t="s">
        <v>66</v>
      </c>
      <c r="V5" s="236"/>
      <c r="W5" s="68">
        <f>SUM(W6+W32)</f>
        <v>3442315.0874999999</v>
      </c>
      <c r="X5" s="68">
        <f>SUM(X6+X32)</f>
        <v>4130778.1050000004</v>
      </c>
      <c r="Y5" s="68">
        <f>SUM(Y6+Y32)</f>
        <v>-30595.862499999988</v>
      </c>
    </row>
    <row r="6" spans="1:25" ht="55.5" customHeight="1" thickBot="1" x14ac:dyDescent="0.3">
      <c r="A6" s="216" t="s">
        <v>12</v>
      </c>
      <c r="B6" s="1106"/>
      <c r="C6" s="1106"/>
      <c r="D6" s="1653" t="s">
        <v>1687</v>
      </c>
      <c r="E6" s="1666"/>
      <c r="F6" s="1666"/>
      <c r="G6" s="1666"/>
      <c r="H6" s="1666"/>
      <c r="I6" s="1666"/>
      <c r="J6" s="1666"/>
      <c r="K6" s="1667"/>
      <c r="L6" s="196">
        <f t="shared" ref="L6:Q6" si="1">SUM(L7+L14+L16+L18+L20+L22+L24+L28+L30)</f>
        <v>3691932.7617647061</v>
      </c>
      <c r="M6" s="196">
        <f t="shared" si="1"/>
        <v>503355.7817647059</v>
      </c>
      <c r="N6" s="196">
        <f t="shared" si="1"/>
        <v>160283.01999999999</v>
      </c>
      <c r="O6" s="196">
        <f t="shared" si="1"/>
        <v>498126.01</v>
      </c>
      <c r="P6" s="196">
        <f t="shared" si="1"/>
        <v>0</v>
      </c>
      <c r="Q6" s="196">
        <f t="shared" si="1"/>
        <v>2530167.9500000002</v>
      </c>
      <c r="R6" s="196"/>
      <c r="S6" s="197" t="s">
        <v>66</v>
      </c>
      <c r="T6" s="197" t="s">
        <v>66</v>
      </c>
      <c r="U6" s="197" t="s">
        <v>66</v>
      </c>
      <c r="V6" s="237"/>
      <c r="W6" s="69">
        <f>SUM(W7+W14+W16+W18+W20+W22+W24+W28+W30)</f>
        <v>2499572.0874999999</v>
      </c>
      <c r="X6" s="69">
        <f>SUM(X7+X14+X16+X18+X20+X22+X24+X28+X30)</f>
        <v>2999486.5050000004</v>
      </c>
      <c r="Y6" s="69">
        <f>SUM(Y7+Y14+Y16+Y18+Y20+Y22+Y24+Y28+Y30)</f>
        <v>-30595.862499999988</v>
      </c>
    </row>
    <row r="7" spans="1:25" ht="35.25" customHeight="1" thickBot="1" x14ac:dyDescent="0.3">
      <c r="A7" s="498" t="s">
        <v>67</v>
      </c>
      <c r="B7" s="1102"/>
      <c r="C7" s="1102"/>
      <c r="D7" s="1651" t="s">
        <v>635</v>
      </c>
      <c r="E7" s="1660"/>
      <c r="F7" s="1660"/>
      <c r="G7" s="1660"/>
      <c r="H7" s="1660"/>
      <c r="I7" s="1660"/>
      <c r="J7" s="1660"/>
      <c r="K7" s="1661"/>
      <c r="L7" s="500">
        <f t="shared" ref="L7:Q7" si="2">SUM(L8:L13)</f>
        <v>1121000</v>
      </c>
      <c r="M7" s="500">
        <f t="shared" si="2"/>
        <v>224200</v>
      </c>
      <c r="N7" s="500">
        <f t="shared" si="2"/>
        <v>134520</v>
      </c>
      <c r="O7" s="500">
        <f t="shared" si="2"/>
        <v>0</v>
      </c>
      <c r="P7" s="500">
        <f t="shared" si="2"/>
        <v>0</v>
      </c>
      <c r="Q7" s="500">
        <f t="shared" si="2"/>
        <v>762280</v>
      </c>
      <c r="R7" s="148"/>
      <c r="S7" s="500" t="s">
        <v>66</v>
      </c>
      <c r="T7" s="500" t="s">
        <v>66</v>
      </c>
      <c r="U7" s="500" t="s">
        <v>66</v>
      </c>
      <c r="V7" s="500"/>
      <c r="W7" s="70">
        <v>731683</v>
      </c>
      <c r="X7" s="70">
        <f>SUM(W7*120/100)</f>
        <v>878019.6</v>
      </c>
      <c r="Y7" s="70">
        <f>SUM(W7-Q7)</f>
        <v>-30597</v>
      </c>
    </row>
    <row r="8" spans="1:25" ht="36.75" thickBot="1" x14ac:dyDescent="0.3">
      <c r="A8" s="147" t="str">
        <f>CONCATENATE('3 pr-2'!A13)</f>
        <v>1.1.1.1.4</v>
      </c>
      <c r="B8" s="147" t="str">
        <f>CONCATENATE('3 pr-2'!B13)</f>
        <v>R01-ZM72-330200-1104</v>
      </c>
      <c r="C8" s="1133" t="str">
        <f>CONCATENATE('3 pr-2'!C13)</f>
        <v>20KI-KA-17-1-02368-PR001</v>
      </c>
      <c r="D8" s="147" t="s">
        <v>443</v>
      </c>
      <c r="E8" s="147" t="s">
        <v>463</v>
      </c>
      <c r="F8" s="147" t="s">
        <v>74</v>
      </c>
      <c r="G8" s="147" t="s">
        <v>248</v>
      </c>
      <c r="H8" s="147" t="s">
        <v>466</v>
      </c>
      <c r="I8" s="40" t="s">
        <v>119</v>
      </c>
      <c r="J8" s="40" t="s">
        <v>66</v>
      </c>
      <c r="K8" s="40" t="s">
        <v>66</v>
      </c>
      <c r="L8" s="42">
        <f t="shared" ref="L8:L13" si="3">SUM(M8:Q8)</f>
        <v>125000</v>
      </c>
      <c r="M8" s="42">
        <v>25000</v>
      </c>
      <c r="N8" s="42">
        <v>15000</v>
      </c>
      <c r="O8" s="42">
        <v>0</v>
      </c>
      <c r="P8" s="42">
        <v>0</v>
      </c>
      <c r="Q8" s="42">
        <v>85000</v>
      </c>
      <c r="R8" s="788">
        <v>42643</v>
      </c>
      <c r="S8" s="550">
        <v>42855</v>
      </c>
      <c r="T8" s="550">
        <v>43010</v>
      </c>
      <c r="U8" s="1120">
        <v>43102</v>
      </c>
      <c r="V8" s="550">
        <v>43373</v>
      </c>
      <c r="W8" s="67"/>
      <c r="X8" s="67"/>
      <c r="Y8" s="67"/>
    </row>
    <row r="9" spans="1:25" ht="48.75" thickBot="1" x14ac:dyDescent="0.3">
      <c r="A9" s="147" t="str">
        <f>CONCATENATE('3 pr-2'!A15)</f>
        <v>1.1.1.1.6</v>
      </c>
      <c r="B9" s="147" t="str">
        <f>CONCATENATE('3 pr-2'!B15)</f>
        <v>R01-ZM72-330200-1106</v>
      </c>
      <c r="C9" s="1133" t="str">
        <f>CONCATENATE('3 pr-2'!C15)</f>
        <v>20KI-KA-17-1-02374-PR001</v>
      </c>
      <c r="D9" s="147" t="s">
        <v>445</v>
      </c>
      <c r="E9" s="147" t="s">
        <v>464</v>
      </c>
      <c r="F9" s="147" t="s">
        <v>74</v>
      </c>
      <c r="G9" s="147" t="s">
        <v>248</v>
      </c>
      <c r="H9" s="147" t="s">
        <v>466</v>
      </c>
      <c r="I9" s="40" t="s">
        <v>119</v>
      </c>
      <c r="J9" s="40" t="s">
        <v>66</v>
      </c>
      <c r="K9" s="40" t="s">
        <v>66</v>
      </c>
      <c r="L9" s="42">
        <f t="shared" si="3"/>
        <v>201000</v>
      </c>
      <c r="M9" s="42">
        <v>40200</v>
      </c>
      <c r="N9" s="42">
        <v>24120</v>
      </c>
      <c r="O9" s="42">
        <v>0</v>
      </c>
      <c r="P9" s="42">
        <v>0</v>
      </c>
      <c r="Q9" s="42">
        <v>136680</v>
      </c>
      <c r="R9" s="788">
        <v>42643</v>
      </c>
      <c r="S9" s="550">
        <v>42855</v>
      </c>
      <c r="T9" s="550">
        <v>43010</v>
      </c>
      <c r="U9" s="1120">
        <v>43102</v>
      </c>
      <c r="V9" s="550">
        <v>43373</v>
      </c>
      <c r="W9" s="67"/>
      <c r="X9" s="67"/>
      <c r="Y9" s="67"/>
    </row>
    <row r="10" spans="1:25" ht="36.75" thickBot="1" x14ac:dyDescent="0.3">
      <c r="A10" s="147" t="str">
        <f>CONCATENATE('3 pr-2'!A18)</f>
        <v>1.1.1.1.9</v>
      </c>
      <c r="B10" s="147" t="str">
        <f>CONCATENATE('3 pr-2'!B18)</f>
        <v>R01-ZM72-340000-1109</v>
      </c>
      <c r="C10" s="1133" t="str">
        <f>CONCATENATE('3 pr-2'!C18)</f>
        <v>20KI-KA-17-1-02372-PR001</v>
      </c>
      <c r="D10" s="147" t="s">
        <v>448</v>
      </c>
      <c r="E10" s="147" t="s">
        <v>465</v>
      </c>
      <c r="F10" s="147" t="s">
        <v>74</v>
      </c>
      <c r="G10" s="147" t="s">
        <v>248</v>
      </c>
      <c r="H10" s="147" t="s">
        <v>466</v>
      </c>
      <c r="I10" s="40" t="s">
        <v>119</v>
      </c>
      <c r="J10" s="40" t="s">
        <v>66</v>
      </c>
      <c r="K10" s="40" t="s">
        <v>66</v>
      </c>
      <c r="L10" s="42">
        <f t="shared" si="3"/>
        <v>250000</v>
      </c>
      <c r="M10" s="42">
        <v>50000</v>
      </c>
      <c r="N10" s="42">
        <v>30000</v>
      </c>
      <c r="O10" s="42">
        <v>0</v>
      </c>
      <c r="P10" s="42">
        <v>0</v>
      </c>
      <c r="Q10" s="42">
        <v>170000</v>
      </c>
      <c r="R10" s="788">
        <v>42643</v>
      </c>
      <c r="S10" s="550">
        <v>42855</v>
      </c>
      <c r="T10" s="550">
        <v>43010</v>
      </c>
      <c r="U10" s="1120">
        <v>43102</v>
      </c>
      <c r="V10" s="550">
        <v>43373</v>
      </c>
      <c r="W10" s="67"/>
      <c r="X10" s="67"/>
      <c r="Y10" s="74"/>
    </row>
    <row r="11" spans="1:25" ht="36.75" thickBot="1" x14ac:dyDescent="0.3">
      <c r="A11" s="147" t="str">
        <f>CONCATENATE('3 pr-2'!A19)</f>
        <v>1.1.1.1.10</v>
      </c>
      <c r="B11" s="147" t="str">
        <f>CONCATENATE('3 pr-2'!B19)</f>
        <v>R01-ZM72-340200-1110</v>
      </c>
      <c r="C11" s="1133" t="str">
        <f>CONCATENATE('3 pr-2'!C19)</f>
        <v>20KI-KA-17-1-02370-PR001</v>
      </c>
      <c r="D11" s="147" t="s">
        <v>449</v>
      </c>
      <c r="E11" s="147" t="s">
        <v>465</v>
      </c>
      <c r="F11" s="147" t="s">
        <v>74</v>
      </c>
      <c r="G11" s="147" t="s">
        <v>248</v>
      </c>
      <c r="H11" s="147" t="s">
        <v>466</v>
      </c>
      <c r="I11" s="40" t="s">
        <v>119</v>
      </c>
      <c r="J11" s="40" t="s">
        <v>66</v>
      </c>
      <c r="K11" s="40" t="s">
        <v>66</v>
      </c>
      <c r="L11" s="42">
        <f t="shared" si="3"/>
        <v>250000</v>
      </c>
      <c r="M11" s="42">
        <v>50000</v>
      </c>
      <c r="N11" s="42">
        <v>30000</v>
      </c>
      <c r="O11" s="42">
        <v>0</v>
      </c>
      <c r="P11" s="42">
        <v>0</v>
      </c>
      <c r="Q11" s="42">
        <v>170000</v>
      </c>
      <c r="R11" s="788">
        <v>42643</v>
      </c>
      <c r="S11" s="550">
        <v>42855</v>
      </c>
      <c r="T11" s="550">
        <v>43010</v>
      </c>
      <c r="U11" s="1120">
        <v>43102</v>
      </c>
      <c r="V11" s="550">
        <v>43291</v>
      </c>
      <c r="W11" s="67"/>
      <c r="X11" s="67"/>
      <c r="Y11" s="74"/>
    </row>
    <row r="12" spans="1:25" ht="36.75" thickBot="1" x14ac:dyDescent="0.3">
      <c r="A12" s="147" t="str">
        <f>CONCATENATE('3 pr-2'!A20)</f>
        <v>1.1.1.1.11</v>
      </c>
      <c r="B12" s="147" t="str">
        <f>CONCATENATE('3 pr-2'!B20)</f>
        <v>R01-ZM72-320000-1111</v>
      </c>
      <c r="C12" s="1133" t="str">
        <f>CONCATENATE('3 pr-2'!C20)</f>
        <v>20KI-KA-17-1-02354-PR001</v>
      </c>
      <c r="D12" s="147" t="s">
        <v>450</v>
      </c>
      <c r="E12" s="147" t="s">
        <v>161</v>
      </c>
      <c r="F12" s="147" t="s">
        <v>74</v>
      </c>
      <c r="G12" s="147" t="s">
        <v>248</v>
      </c>
      <c r="H12" s="147" t="s">
        <v>466</v>
      </c>
      <c r="I12" s="40" t="s">
        <v>119</v>
      </c>
      <c r="J12" s="40" t="s">
        <v>66</v>
      </c>
      <c r="K12" s="40" t="s">
        <v>66</v>
      </c>
      <c r="L12" s="42">
        <f t="shared" si="3"/>
        <v>125000</v>
      </c>
      <c r="M12" s="42">
        <v>25000</v>
      </c>
      <c r="N12" s="42">
        <v>15000</v>
      </c>
      <c r="O12" s="42">
        <v>0</v>
      </c>
      <c r="P12" s="42">
        <v>0</v>
      </c>
      <c r="Q12" s="42">
        <v>85000</v>
      </c>
      <c r="R12" s="788">
        <v>42643</v>
      </c>
      <c r="S12" s="550">
        <v>42855</v>
      </c>
      <c r="T12" s="550">
        <v>43010</v>
      </c>
      <c r="U12" s="1120">
        <v>43102</v>
      </c>
      <c r="V12" s="550">
        <v>43292</v>
      </c>
      <c r="W12" s="67"/>
      <c r="X12" s="67"/>
      <c r="Y12" s="74"/>
    </row>
    <row r="13" spans="1:25" ht="36.75" thickBot="1" x14ac:dyDescent="0.3">
      <c r="A13" s="147" t="str">
        <f>CONCATENATE('3 pr-2'!A30)</f>
        <v>1.1.1.1.21</v>
      </c>
      <c r="B13" s="147" t="str">
        <f>CONCATENATE('3 pr-2'!B30)</f>
        <v>R01-ZM72-120000-1121</v>
      </c>
      <c r="C13" s="1133" t="str">
        <f>CONCATENATE('3 pr-2'!C30)</f>
        <v>20KI-KA-17-1-02364-PR001</v>
      </c>
      <c r="D13" s="147" t="s">
        <v>460</v>
      </c>
      <c r="E13" s="147" t="s">
        <v>161</v>
      </c>
      <c r="F13" s="147" t="s">
        <v>74</v>
      </c>
      <c r="G13" s="147" t="s">
        <v>248</v>
      </c>
      <c r="H13" s="147" t="s">
        <v>466</v>
      </c>
      <c r="I13" s="40" t="s">
        <v>119</v>
      </c>
      <c r="J13" s="40" t="s">
        <v>66</v>
      </c>
      <c r="K13" s="40" t="s">
        <v>66</v>
      </c>
      <c r="L13" s="42">
        <f t="shared" si="3"/>
        <v>170000</v>
      </c>
      <c r="M13" s="42">
        <v>34000</v>
      </c>
      <c r="N13" s="42">
        <v>20400</v>
      </c>
      <c r="O13" s="42">
        <v>0</v>
      </c>
      <c r="P13" s="42">
        <v>0</v>
      </c>
      <c r="Q13" s="42">
        <v>115600</v>
      </c>
      <c r="R13" s="788">
        <v>42643</v>
      </c>
      <c r="S13" s="550">
        <v>42855</v>
      </c>
      <c r="T13" s="550">
        <v>43010</v>
      </c>
      <c r="U13" s="1120">
        <v>43102</v>
      </c>
      <c r="V13" s="550">
        <v>43291</v>
      </c>
      <c r="W13" s="67"/>
      <c r="X13" s="67"/>
      <c r="Y13" s="74"/>
    </row>
    <row r="14" spans="1:25" ht="33.75" customHeight="1" thickBot="1" x14ac:dyDescent="0.3">
      <c r="A14" s="498" t="s">
        <v>14</v>
      </c>
      <c r="B14" s="1102"/>
      <c r="C14" s="1102"/>
      <c r="D14" s="1651" t="s">
        <v>636</v>
      </c>
      <c r="E14" s="1660"/>
      <c r="F14" s="1660"/>
      <c r="G14" s="1660"/>
      <c r="H14" s="1660"/>
      <c r="I14" s="1660"/>
      <c r="J14" s="1660"/>
      <c r="K14" s="1661"/>
      <c r="L14" s="500">
        <v>0</v>
      </c>
      <c r="M14" s="500">
        <v>0</v>
      </c>
      <c r="N14" s="500">
        <v>0</v>
      </c>
      <c r="O14" s="500"/>
      <c r="P14" s="500"/>
      <c r="Q14" s="500">
        <f>SUM(Q15:Q15)</f>
        <v>0</v>
      </c>
      <c r="R14" s="148"/>
      <c r="S14" s="500"/>
      <c r="T14" s="500"/>
      <c r="U14" s="500"/>
      <c r="V14" s="500"/>
      <c r="W14" s="596">
        <v>0</v>
      </c>
      <c r="X14" s="596">
        <f>SUM(W14*120/100)</f>
        <v>0</v>
      </c>
      <c r="Y14" s="596">
        <f>SUM(W14-Q14)</f>
        <v>0</v>
      </c>
    </row>
    <row r="15" spans="1:25" ht="15.75" thickBot="1" x14ac:dyDescent="0.3">
      <c r="A15" s="32"/>
      <c r="B15" s="39"/>
      <c r="C15" s="39"/>
      <c r="D15" s="34"/>
      <c r="E15" s="34"/>
      <c r="F15" s="33"/>
      <c r="G15" s="34"/>
      <c r="H15" s="17"/>
      <c r="I15" s="38"/>
      <c r="J15" s="38" t="s">
        <v>66</v>
      </c>
      <c r="K15" s="38" t="s">
        <v>66</v>
      </c>
      <c r="L15" s="31"/>
      <c r="M15" s="38"/>
      <c r="N15" s="38"/>
      <c r="O15" s="38"/>
      <c r="P15" s="38"/>
      <c r="Q15" s="38"/>
      <c r="R15" s="42"/>
      <c r="S15" s="18"/>
      <c r="T15" s="18"/>
      <c r="U15" s="18"/>
      <c r="V15" s="1121"/>
      <c r="W15" s="67"/>
      <c r="X15" s="67"/>
      <c r="Y15" s="67"/>
    </row>
    <row r="16" spans="1:25" ht="33" customHeight="1" thickBot="1" x14ac:dyDescent="0.3">
      <c r="A16" s="498" t="s">
        <v>70</v>
      </c>
      <c r="B16" s="1102"/>
      <c r="C16" s="1102"/>
      <c r="D16" s="1651" t="s">
        <v>645</v>
      </c>
      <c r="E16" s="1660"/>
      <c r="F16" s="1660"/>
      <c r="G16" s="1660"/>
      <c r="H16" s="1660"/>
      <c r="I16" s="1660"/>
      <c r="J16" s="1660"/>
      <c r="K16" s="1661"/>
      <c r="L16" s="500">
        <f>SUM(L17:L17)</f>
        <v>0</v>
      </c>
      <c r="M16" s="500">
        <f>SUM(M17:M17)</f>
        <v>0</v>
      </c>
      <c r="N16" s="500">
        <f>SUM(N17:N17)</f>
        <v>0</v>
      </c>
      <c r="O16" s="500"/>
      <c r="P16" s="500"/>
      <c r="Q16" s="500">
        <f>SUM(Q17:Q17)</f>
        <v>0</v>
      </c>
      <c r="R16" s="148"/>
      <c r="S16" s="500"/>
      <c r="T16" s="500"/>
      <c r="U16" s="500"/>
      <c r="V16" s="500"/>
      <c r="W16" s="596">
        <v>0</v>
      </c>
      <c r="X16" s="596">
        <f>SUM(W16*120/100)</f>
        <v>0</v>
      </c>
      <c r="Y16" s="596">
        <f>SUM(W16-Q16)</f>
        <v>0</v>
      </c>
    </row>
    <row r="17" spans="1:25" ht="15.75" thickBot="1" x14ac:dyDescent="0.3">
      <c r="A17" s="34"/>
      <c r="B17" s="34"/>
      <c r="C17" s="34"/>
      <c r="D17" s="34"/>
      <c r="E17" s="33"/>
      <c r="F17" s="33"/>
      <c r="G17" s="33"/>
      <c r="H17" s="17"/>
      <c r="I17" s="38" t="s">
        <v>66</v>
      </c>
      <c r="J17" s="38"/>
      <c r="K17" s="38" t="s">
        <v>66</v>
      </c>
      <c r="L17" s="38"/>
      <c r="M17" s="38"/>
      <c r="N17" s="38"/>
      <c r="O17" s="38"/>
      <c r="P17" s="38"/>
      <c r="Q17" s="38"/>
      <c r="R17" s="38"/>
      <c r="S17" s="1122"/>
      <c r="T17" s="1122"/>
      <c r="U17" s="1122"/>
      <c r="V17" s="38"/>
      <c r="W17" s="67"/>
      <c r="X17" s="67"/>
      <c r="Y17" s="67"/>
    </row>
    <row r="18" spans="1:25" ht="33.75" customHeight="1" thickBot="1" x14ac:dyDescent="0.3">
      <c r="A18" s="498" t="s">
        <v>16</v>
      </c>
      <c r="B18" s="1102"/>
      <c r="C18" s="1102"/>
      <c r="D18" s="1651" t="s">
        <v>646</v>
      </c>
      <c r="E18" s="1660"/>
      <c r="F18" s="1660"/>
      <c r="G18" s="1660"/>
      <c r="H18" s="1660"/>
      <c r="I18" s="1660"/>
      <c r="J18" s="1660"/>
      <c r="K18" s="1661"/>
      <c r="L18" s="500">
        <f t="shared" ref="L18:Q18" si="4">SUM(L19:L19)</f>
        <v>343506.99</v>
      </c>
      <c r="M18" s="500">
        <f t="shared" si="4"/>
        <v>25763.02</v>
      </c>
      <c r="N18" s="500">
        <f t="shared" si="4"/>
        <v>25763.02</v>
      </c>
      <c r="O18" s="500">
        <f t="shared" si="4"/>
        <v>0</v>
      </c>
      <c r="P18" s="500">
        <f t="shared" si="4"/>
        <v>0</v>
      </c>
      <c r="Q18" s="500">
        <f t="shared" si="4"/>
        <v>291980.95</v>
      </c>
      <c r="R18" s="148"/>
      <c r="S18" s="500"/>
      <c r="T18" s="500"/>
      <c r="U18" s="500"/>
      <c r="V18" s="500"/>
      <c r="W18" s="70">
        <v>291981.40000000002</v>
      </c>
      <c r="X18" s="70">
        <f>SUM(W18*120/100)</f>
        <v>350377.68</v>
      </c>
      <c r="Y18" s="70">
        <f>SUM(W18-Q18)</f>
        <v>0.45000000001164153</v>
      </c>
    </row>
    <row r="19" spans="1:25" ht="48.75" thickBot="1" x14ac:dyDescent="0.3">
      <c r="A19" s="147" t="str">
        <f>CONCATENATE('3 pr-2'!A49)</f>
        <v>1.1.1.4.3</v>
      </c>
      <c r="B19" s="147" t="str">
        <f>CONCATENATE('3 pr-2'!B49)</f>
        <v>R01-9903-290000-1143</v>
      </c>
      <c r="C19" s="1133" t="str">
        <f>CONCATENATE('3 pr-2'!C49)</f>
        <v>07.1.1-CPVA-R-903-11-0002</v>
      </c>
      <c r="D19" s="147" t="s">
        <v>313</v>
      </c>
      <c r="E19" s="147" t="s">
        <v>161</v>
      </c>
      <c r="F19" s="147" t="s">
        <v>75</v>
      </c>
      <c r="G19" s="147" t="s">
        <v>493</v>
      </c>
      <c r="H19" s="147" t="s">
        <v>274</v>
      </c>
      <c r="I19" s="40" t="s">
        <v>119</v>
      </c>
      <c r="J19" s="40" t="s">
        <v>168</v>
      </c>
      <c r="K19" s="40" t="s">
        <v>66</v>
      </c>
      <c r="L19" s="42">
        <f>SUM(M19:Q19)</f>
        <v>343506.99</v>
      </c>
      <c r="M19" s="42">
        <v>25763.02</v>
      </c>
      <c r="N19" s="42">
        <v>25763.02</v>
      </c>
      <c r="O19" s="42">
        <v>0</v>
      </c>
      <c r="P19" s="42">
        <v>0</v>
      </c>
      <c r="Q19" s="42">
        <v>291980.95</v>
      </c>
      <c r="R19" s="788">
        <v>42419</v>
      </c>
      <c r="S19" s="550">
        <v>42494</v>
      </c>
      <c r="T19" s="550">
        <v>42552</v>
      </c>
      <c r="U19" s="550">
        <v>42674</v>
      </c>
      <c r="V19" s="799">
        <v>43465</v>
      </c>
      <c r="W19" s="67"/>
      <c r="X19" s="67"/>
      <c r="Y19" s="67"/>
    </row>
    <row r="20" spans="1:25" ht="37.5" customHeight="1" thickBot="1" x14ac:dyDescent="0.3">
      <c r="A20" s="498" t="s">
        <v>76</v>
      </c>
      <c r="B20" s="1102"/>
      <c r="C20" s="1102"/>
      <c r="D20" s="1651" t="s">
        <v>647</v>
      </c>
      <c r="E20" s="1660"/>
      <c r="F20" s="1660"/>
      <c r="G20" s="1660"/>
      <c r="H20" s="1660"/>
      <c r="I20" s="1660"/>
      <c r="J20" s="1660"/>
      <c r="K20" s="1661"/>
      <c r="L20" s="500">
        <f>SUM(L21:L21)</f>
        <v>1288228.01</v>
      </c>
      <c r="M20" s="500">
        <f>SUM(M21:M21)</f>
        <v>0</v>
      </c>
      <c r="N20" s="500"/>
      <c r="O20" s="500">
        <f>SUM(O21:O21)</f>
        <v>498126.01</v>
      </c>
      <c r="P20" s="500">
        <f>SUM(P21:P21)</f>
        <v>0</v>
      </c>
      <c r="Q20" s="500">
        <f>SUM(Q21:Q21)</f>
        <v>790102</v>
      </c>
      <c r="R20" s="148"/>
      <c r="S20" s="500"/>
      <c r="T20" s="500"/>
      <c r="U20" s="500"/>
      <c r="V20" s="500"/>
      <c r="W20" s="70">
        <v>790102</v>
      </c>
      <c r="X20" s="70">
        <f>SUM(W20*120/100)</f>
        <v>948122.4</v>
      </c>
      <c r="Y20" s="70">
        <f>SUM(W20-Q20)</f>
        <v>0</v>
      </c>
    </row>
    <row r="21" spans="1:25" s="89" customFormat="1" ht="60.75" customHeight="1" thickBot="1" x14ac:dyDescent="0.3">
      <c r="A21" s="189" t="str">
        <f>CONCATENATE('3 pr-2'!A53)</f>
        <v>1.1.1.5.3</v>
      </c>
      <c r="B21" s="189" t="str">
        <f>CONCATENATE('3 pr-2'!B53)</f>
        <v>R01-0014-060700-1153</v>
      </c>
      <c r="C21" s="1133" t="str">
        <f>CONCATENATE('3 pr-2'!C53)</f>
        <v>05.3.2-APVA-R-014-11-0004</v>
      </c>
      <c r="D21" s="189" t="s">
        <v>288</v>
      </c>
      <c r="E21" s="189" t="s">
        <v>308</v>
      </c>
      <c r="F21" s="189" t="s">
        <v>77</v>
      </c>
      <c r="G21" s="189" t="s">
        <v>248</v>
      </c>
      <c r="H21" s="189" t="s">
        <v>144</v>
      </c>
      <c r="I21" s="590" t="s">
        <v>119</v>
      </c>
      <c r="J21" s="590" t="s">
        <v>66</v>
      </c>
      <c r="K21" s="590" t="s">
        <v>66</v>
      </c>
      <c r="L21" s="468">
        <f>SUM(M21:Q21)</f>
        <v>1288228.01</v>
      </c>
      <c r="M21" s="468">
        <v>0</v>
      </c>
      <c r="N21" s="468">
        <v>0</v>
      </c>
      <c r="O21" s="468">
        <v>498126.01</v>
      </c>
      <c r="P21" s="468">
        <v>0</v>
      </c>
      <c r="Q21" s="468">
        <v>790102</v>
      </c>
      <c r="R21" s="1111">
        <v>42451</v>
      </c>
      <c r="S21" s="1111">
        <v>42551</v>
      </c>
      <c r="T21" s="1111">
        <v>42734</v>
      </c>
      <c r="U21" s="1111">
        <v>42825</v>
      </c>
      <c r="V21" s="1111">
        <v>43646</v>
      </c>
      <c r="W21" s="88"/>
      <c r="X21" s="88"/>
      <c r="Y21" s="88"/>
    </row>
    <row r="22" spans="1:25" ht="24.75" customHeight="1" thickBot="1" x14ac:dyDescent="0.3">
      <c r="A22" s="498" t="s">
        <v>79</v>
      </c>
      <c r="B22" s="1102"/>
      <c r="C22" s="1102"/>
      <c r="D22" s="1651" t="s">
        <v>648</v>
      </c>
      <c r="E22" s="1660"/>
      <c r="F22" s="1660"/>
      <c r="G22" s="1660"/>
      <c r="H22" s="1660"/>
      <c r="I22" s="1660"/>
      <c r="J22" s="1660"/>
      <c r="K22" s="1661"/>
      <c r="L22" s="500">
        <f t="shared" ref="L22:Q22" si="5">SUM(L23)</f>
        <v>0</v>
      </c>
      <c r="M22" s="500">
        <f t="shared" si="5"/>
        <v>0</v>
      </c>
      <c r="N22" s="500">
        <f t="shared" si="5"/>
        <v>0</v>
      </c>
      <c r="O22" s="500">
        <f t="shared" si="5"/>
        <v>0</v>
      </c>
      <c r="P22" s="500">
        <f t="shared" si="5"/>
        <v>0</v>
      </c>
      <c r="Q22" s="500">
        <f t="shared" si="5"/>
        <v>0</v>
      </c>
      <c r="R22" s="148"/>
      <c r="S22" s="500"/>
      <c r="T22" s="500"/>
      <c r="U22" s="500"/>
      <c r="V22" s="500"/>
      <c r="W22" s="596">
        <v>0</v>
      </c>
      <c r="X22" s="596">
        <f>SUM(W22*120/100)</f>
        <v>0</v>
      </c>
      <c r="Y22" s="596">
        <f>SUM(W22-Q22)</f>
        <v>0</v>
      </c>
    </row>
    <row r="23" spans="1:25" ht="15.75" thickBot="1" x14ac:dyDescent="0.3">
      <c r="A23" s="32"/>
      <c r="B23" s="39"/>
      <c r="C23" s="39"/>
      <c r="D23" s="33"/>
      <c r="E23" s="34"/>
      <c r="F23" s="35"/>
      <c r="G23" s="33"/>
      <c r="H23" s="17"/>
      <c r="I23" s="18"/>
      <c r="J23" s="18"/>
      <c r="K23" s="18"/>
      <c r="L23" s="38"/>
      <c r="M23" s="38"/>
      <c r="N23" s="38"/>
      <c r="O23" s="38"/>
      <c r="P23" s="38"/>
      <c r="Q23" s="38"/>
      <c r="R23" s="42"/>
      <c r="S23" s="18"/>
      <c r="T23" s="18"/>
      <c r="U23" s="18"/>
      <c r="V23" s="1121"/>
      <c r="W23" s="67"/>
      <c r="X23" s="67"/>
      <c r="Y23" s="67"/>
    </row>
    <row r="24" spans="1:25" ht="39.75" customHeight="1" thickBot="1" x14ac:dyDescent="0.3">
      <c r="A24" s="498" t="s">
        <v>81</v>
      </c>
      <c r="B24" s="1102"/>
      <c r="C24" s="1102"/>
      <c r="D24" s="1651" t="s">
        <v>649</v>
      </c>
      <c r="E24" s="1660"/>
      <c r="F24" s="1660"/>
      <c r="G24" s="1660"/>
      <c r="H24" s="1660"/>
      <c r="I24" s="1660"/>
      <c r="J24" s="1660"/>
      <c r="K24" s="1661"/>
      <c r="L24" s="500">
        <f t="shared" ref="L24:P24" si="6">SUM(L25:L27)</f>
        <v>212009.4117647059</v>
      </c>
      <c r="M24" s="500">
        <f t="shared" si="6"/>
        <v>31801.411764705881</v>
      </c>
      <c r="N24" s="500">
        <f t="shared" si="6"/>
        <v>0</v>
      </c>
      <c r="O24" s="500">
        <f t="shared" si="6"/>
        <v>0</v>
      </c>
      <c r="P24" s="500">
        <f t="shared" si="6"/>
        <v>0</v>
      </c>
      <c r="Q24" s="500">
        <f>SUM(Q25:Q27)</f>
        <v>180208</v>
      </c>
      <c r="R24" s="148"/>
      <c r="S24" s="500"/>
      <c r="T24" s="500"/>
      <c r="U24" s="500"/>
      <c r="V24" s="500"/>
      <c r="W24" s="70">
        <v>180208</v>
      </c>
      <c r="X24" s="70">
        <f>SUM(W24*120/100)</f>
        <v>216249.60000000001</v>
      </c>
      <c r="Y24" s="70">
        <f>SUM(W24-Q24)</f>
        <v>0</v>
      </c>
    </row>
    <row r="25" spans="1:25" ht="36.75" thickBot="1" x14ac:dyDescent="0.3">
      <c r="A25" s="147" t="str">
        <f>CONCATENATE('3 pr-2'!A59)</f>
        <v>1.1.1.7.1</v>
      </c>
      <c r="B25" s="147" t="str">
        <f>CONCATENATE('3 pr-2'!B59)</f>
        <v>R01-8821-420000-1171</v>
      </c>
      <c r="C25" s="1133" t="str">
        <f>CONCATENATE('3 pr-2'!C59)</f>
        <v>05.4.1-LVPA-R-821-11-0002</v>
      </c>
      <c r="D25" s="147" t="s">
        <v>278</v>
      </c>
      <c r="E25" s="147" t="s">
        <v>368</v>
      </c>
      <c r="F25" s="147" t="s">
        <v>82</v>
      </c>
      <c r="G25" s="147" t="s">
        <v>187</v>
      </c>
      <c r="H25" s="324" t="s">
        <v>814</v>
      </c>
      <c r="I25" s="40" t="s">
        <v>119</v>
      </c>
      <c r="J25" s="40" t="s">
        <v>66</v>
      </c>
      <c r="K25" s="42" t="s">
        <v>66</v>
      </c>
      <c r="L25" s="42">
        <f>SUM(M25:Q25)</f>
        <v>41644.705882352944</v>
      </c>
      <c r="M25" s="42">
        <v>6246.7058823529414</v>
      </c>
      <c r="N25" s="42">
        <v>0</v>
      </c>
      <c r="O25" s="42">
        <v>0</v>
      </c>
      <c r="P25" s="42">
        <v>0</v>
      </c>
      <c r="Q25" s="42">
        <v>35398</v>
      </c>
      <c r="R25" s="42"/>
      <c r="S25" s="550">
        <f>SUM('IV-2 amsa'!S20)</f>
        <v>42635</v>
      </c>
      <c r="T25" s="550">
        <f>SUM('IV-2 amsa'!T20)</f>
        <v>42755</v>
      </c>
      <c r="U25" s="550">
        <f>SUM('IV-2 amsa'!U20)</f>
        <v>42855</v>
      </c>
      <c r="V25" s="550">
        <f>SUM('IV-2 amsa'!V20)</f>
        <v>43830</v>
      </c>
      <c r="W25" s="67"/>
      <c r="X25" s="67"/>
      <c r="Y25" s="67"/>
    </row>
    <row r="26" spans="1:25" ht="48.75" thickBot="1" x14ac:dyDescent="0.3">
      <c r="A26" s="147" t="str">
        <f>CONCATENATE('3 pr-2'!A60)</f>
        <v>1.1.1.7.2</v>
      </c>
      <c r="B26" s="147" t="str">
        <f>CONCATENATE('3 pr-2'!B60)</f>
        <v>R01-8821-420000-1172</v>
      </c>
      <c r="C26" s="1133" t="str">
        <f>CONCATENATE('3 pr-2'!C60)</f>
        <v>05.4.1-LVPA-R-821-11-0001</v>
      </c>
      <c r="D26" s="147" t="s">
        <v>678</v>
      </c>
      <c r="E26" s="147" t="s">
        <v>161</v>
      </c>
      <c r="F26" s="147" t="s">
        <v>82</v>
      </c>
      <c r="G26" s="147" t="s">
        <v>326</v>
      </c>
      <c r="H26" s="324" t="s">
        <v>814</v>
      </c>
      <c r="I26" s="40" t="s">
        <v>119</v>
      </c>
      <c r="J26" s="40" t="s">
        <v>66</v>
      </c>
      <c r="K26" s="42" t="s">
        <v>66</v>
      </c>
      <c r="L26" s="42">
        <f>SUM(M26:Q26)</f>
        <v>96035.294117647063</v>
      </c>
      <c r="M26" s="42">
        <f>SUM(Q26*15/85)</f>
        <v>14405.294117647059</v>
      </c>
      <c r="N26" s="42">
        <v>0</v>
      </c>
      <c r="O26" s="42">
        <v>0</v>
      </c>
      <c r="P26" s="42">
        <v>0</v>
      </c>
      <c r="Q26" s="42">
        <v>81630</v>
      </c>
      <c r="R26" s="788">
        <v>42604</v>
      </c>
      <c r="S26" s="550">
        <v>42635</v>
      </c>
      <c r="T26" s="550">
        <v>42706</v>
      </c>
      <c r="U26" s="550">
        <v>42825</v>
      </c>
      <c r="V26" s="550">
        <v>43585</v>
      </c>
      <c r="W26" s="67"/>
      <c r="X26" s="67"/>
      <c r="Y26" s="67"/>
    </row>
    <row r="27" spans="1:25" ht="48.75" thickBot="1" x14ac:dyDescent="0.3">
      <c r="A27" s="147" t="str">
        <f>CONCATENATE('3 pr-2'!A61)</f>
        <v>1.1.1.7.3</v>
      </c>
      <c r="B27" s="147" t="str">
        <f>CONCATENATE('3 pr-2'!B61)</f>
        <v>R01-8821-420000-1173</v>
      </c>
      <c r="C27" s="1133" t="str">
        <f>CONCATENATE('3 pr-2'!C61)</f>
        <v/>
      </c>
      <c r="D27" s="147" t="s">
        <v>680</v>
      </c>
      <c r="E27" s="147" t="s">
        <v>161</v>
      </c>
      <c r="F27" s="147" t="s">
        <v>82</v>
      </c>
      <c r="G27" s="147" t="s">
        <v>326</v>
      </c>
      <c r="H27" s="324" t="s">
        <v>814</v>
      </c>
      <c r="I27" s="40" t="s">
        <v>119</v>
      </c>
      <c r="J27" s="40" t="s">
        <v>66</v>
      </c>
      <c r="K27" s="42" t="s">
        <v>66</v>
      </c>
      <c r="L27" s="42">
        <f>SUM(M27:Q27)</f>
        <v>74329.411764705888</v>
      </c>
      <c r="M27" s="42">
        <f>SUM(Q27*15/85)</f>
        <v>11149.411764705883</v>
      </c>
      <c r="N27" s="42">
        <v>0</v>
      </c>
      <c r="O27" s="42">
        <v>0</v>
      </c>
      <c r="P27" s="42">
        <v>0</v>
      </c>
      <c r="Q27" s="42">
        <v>63180</v>
      </c>
      <c r="R27" s="788">
        <v>43100</v>
      </c>
      <c r="S27" s="550">
        <v>43388</v>
      </c>
      <c r="T27" s="550">
        <v>43496</v>
      </c>
      <c r="U27" s="550">
        <v>43586</v>
      </c>
      <c r="V27" s="550">
        <v>44176</v>
      </c>
      <c r="W27" s="67"/>
      <c r="X27" s="67"/>
      <c r="Y27" s="67"/>
    </row>
    <row r="28" spans="1:25" ht="27" customHeight="1" thickBot="1" x14ac:dyDescent="0.3">
      <c r="A28" s="498" t="s">
        <v>84</v>
      </c>
      <c r="B28" s="1102"/>
      <c r="C28" s="1102"/>
      <c r="D28" s="1651" t="s">
        <v>650</v>
      </c>
      <c r="E28" s="1660"/>
      <c r="F28" s="1660"/>
      <c r="G28" s="1660"/>
      <c r="H28" s="1660"/>
      <c r="I28" s="1660"/>
      <c r="J28" s="1660"/>
      <c r="K28" s="1661"/>
      <c r="L28" s="500">
        <f>SUM(L29)</f>
        <v>484769.35</v>
      </c>
      <c r="M28" s="500">
        <f>SUM(M29)</f>
        <v>185228.35</v>
      </c>
      <c r="N28" s="500">
        <f t="shared" ref="N28:P28" si="7">SUM(N29)</f>
        <v>0</v>
      </c>
      <c r="O28" s="500">
        <f t="shared" si="7"/>
        <v>0</v>
      </c>
      <c r="P28" s="500">
        <f t="shared" si="7"/>
        <v>0</v>
      </c>
      <c r="Q28" s="500">
        <f>SUM(Q29)</f>
        <v>299541</v>
      </c>
      <c r="R28" s="148"/>
      <c r="S28" s="500"/>
      <c r="T28" s="500"/>
      <c r="U28" s="500"/>
      <c r="V28" s="500"/>
      <c r="W28" s="70">
        <v>299541.3775</v>
      </c>
      <c r="X28" s="70">
        <f>SUM(W28*120/100)</f>
        <v>359449.65299999999</v>
      </c>
      <c r="Y28" s="70">
        <f>SUM(W28-Q28)</f>
        <v>0.37750000000232831</v>
      </c>
    </row>
    <row r="29" spans="1:25" ht="36.75" thickBot="1" x14ac:dyDescent="0.3">
      <c r="A29" s="147" t="str">
        <f>CONCATENATE('3 pr-2'!A66)</f>
        <v>1.1.1.8.4</v>
      </c>
      <c r="B29" s="147" t="str">
        <f>CONCATENATE('3 pr-2'!B66)</f>
        <v>R01-3305-330200-1184</v>
      </c>
      <c r="C29" s="1133" t="str">
        <f>CONCATENATE('3 pr-2'!C66)</f>
        <v>07.1.1-CPVA-R-305-11-0004</v>
      </c>
      <c r="D29" s="147" t="s">
        <v>335</v>
      </c>
      <c r="E29" s="147" t="s">
        <v>161</v>
      </c>
      <c r="F29" s="147" t="s">
        <v>116</v>
      </c>
      <c r="G29" s="147" t="s">
        <v>493</v>
      </c>
      <c r="H29" s="324" t="s">
        <v>143</v>
      </c>
      <c r="I29" s="40" t="s">
        <v>119</v>
      </c>
      <c r="J29" s="40" t="s">
        <v>168</v>
      </c>
      <c r="K29" s="42" t="s">
        <v>66</v>
      </c>
      <c r="L29" s="1220">
        <f>SUM(M29:Q29)</f>
        <v>484769.35</v>
      </c>
      <c r="M29" s="1220">
        <v>185228.35</v>
      </c>
      <c r="N29" s="42">
        <v>0</v>
      </c>
      <c r="O29" s="42">
        <v>0</v>
      </c>
      <c r="P29" s="42">
        <v>0</v>
      </c>
      <c r="Q29" s="42">
        <v>299541</v>
      </c>
      <c r="R29" s="788">
        <v>42614</v>
      </c>
      <c r="S29" s="550">
        <v>42703</v>
      </c>
      <c r="T29" s="550">
        <v>43097</v>
      </c>
      <c r="U29" s="550">
        <v>43190</v>
      </c>
      <c r="V29" s="550">
        <v>44196</v>
      </c>
      <c r="W29" s="67"/>
      <c r="X29" s="67"/>
      <c r="Y29" s="67"/>
    </row>
    <row r="30" spans="1:25" ht="31.5" customHeight="1" thickBot="1" x14ac:dyDescent="0.3">
      <c r="A30" s="498" t="s">
        <v>86</v>
      </c>
      <c r="B30" s="1102"/>
      <c r="C30" s="1102"/>
      <c r="D30" s="1651" t="s">
        <v>651</v>
      </c>
      <c r="E30" s="1660"/>
      <c r="F30" s="1660"/>
      <c r="G30" s="1660"/>
      <c r="H30" s="1660"/>
      <c r="I30" s="1660"/>
      <c r="J30" s="1660"/>
      <c r="K30" s="1661"/>
      <c r="L30" s="500">
        <f>SUM(L31)</f>
        <v>242419</v>
      </c>
      <c r="M30" s="500">
        <f>SUM(M31)</f>
        <v>36363</v>
      </c>
      <c r="N30" s="500">
        <f t="shared" ref="N30:P30" si="8">SUM(N31)</f>
        <v>0</v>
      </c>
      <c r="O30" s="500">
        <f t="shared" si="8"/>
        <v>0</v>
      </c>
      <c r="P30" s="500">
        <f t="shared" si="8"/>
        <v>0</v>
      </c>
      <c r="Q30" s="500">
        <f>SUM(Q31)</f>
        <v>206056</v>
      </c>
      <c r="R30" s="148"/>
      <c r="S30" s="500"/>
      <c r="T30" s="500"/>
      <c r="U30" s="500"/>
      <c r="V30" s="500"/>
      <c r="W30" s="70">
        <v>206056.31</v>
      </c>
      <c r="X30" s="70">
        <f>SUM(W30*120/100)</f>
        <v>247267.57199999999</v>
      </c>
      <c r="Y30" s="70">
        <f>SUM(W30-Q30)</f>
        <v>0.30999999999767169</v>
      </c>
    </row>
    <row r="31" spans="1:25" ht="36.75" thickBot="1" x14ac:dyDescent="0.3">
      <c r="A31" s="147" t="str">
        <f>CONCATENATE('3 pr-2'!A70)</f>
        <v>1.1.1.9.3</v>
      </c>
      <c r="B31" s="147" t="str">
        <f>CONCATENATE('3 pr-2'!B70)</f>
        <v>R01-3302-440200-1193</v>
      </c>
      <c r="C31" s="1133" t="str">
        <f>CONCATENATE('3 pr-2'!C70)</f>
        <v/>
      </c>
      <c r="D31" s="147" t="s">
        <v>314</v>
      </c>
      <c r="E31" s="147" t="s">
        <v>161</v>
      </c>
      <c r="F31" s="147" t="s">
        <v>116</v>
      </c>
      <c r="G31" s="147" t="s">
        <v>493</v>
      </c>
      <c r="H31" s="324" t="s">
        <v>183</v>
      </c>
      <c r="I31" s="40" t="s">
        <v>119</v>
      </c>
      <c r="J31" s="40" t="s">
        <v>168</v>
      </c>
      <c r="K31" s="42" t="s">
        <v>66</v>
      </c>
      <c r="L31" s="42">
        <f>SUM(M31:Q31)</f>
        <v>242419</v>
      </c>
      <c r="M31" s="42">
        <v>36363</v>
      </c>
      <c r="N31" s="42">
        <v>0</v>
      </c>
      <c r="O31" s="42">
        <v>0</v>
      </c>
      <c r="P31" s="42">
        <v>0</v>
      </c>
      <c r="Q31" s="42">
        <v>206056</v>
      </c>
      <c r="R31" s="788">
        <v>42667</v>
      </c>
      <c r="S31" s="550">
        <v>42794</v>
      </c>
      <c r="T31" s="550">
        <v>43179</v>
      </c>
      <c r="U31" s="550">
        <v>43249</v>
      </c>
      <c r="V31" s="550">
        <v>43830</v>
      </c>
      <c r="W31" s="67"/>
      <c r="X31" s="67"/>
      <c r="Y31" s="67"/>
    </row>
    <row r="32" spans="1:25" ht="34.5" customHeight="1" thickBot="1" x14ac:dyDescent="0.3">
      <c r="A32" s="216" t="s">
        <v>22</v>
      </c>
      <c r="B32" s="1106"/>
      <c r="C32" s="1106"/>
      <c r="D32" s="1653" t="s">
        <v>1688</v>
      </c>
      <c r="E32" s="1666"/>
      <c r="F32" s="1666"/>
      <c r="G32" s="1666"/>
      <c r="H32" s="1666"/>
      <c r="I32" s="1666"/>
      <c r="J32" s="1666"/>
      <c r="K32" s="1667"/>
      <c r="L32" s="196">
        <f t="shared" ref="L32:Q32" si="9">SUM(L33+L35+L37+L39)</f>
        <v>1123296</v>
      </c>
      <c r="M32" s="196">
        <f t="shared" si="9"/>
        <v>180553</v>
      </c>
      <c r="N32" s="196">
        <f t="shared" si="9"/>
        <v>0</v>
      </c>
      <c r="O32" s="196">
        <f t="shared" si="9"/>
        <v>0</v>
      </c>
      <c r="P32" s="196">
        <f t="shared" si="9"/>
        <v>0</v>
      </c>
      <c r="Q32" s="196">
        <f t="shared" si="9"/>
        <v>942743</v>
      </c>
      <c r="R32" s="196"/>
      <c r="S32" s="197"/>
      <c r="T32" s="197"/>
      <c r="U32" s="197"/>
      <c r="V32" s="237"/>
      <c r="W32" s="69">
        <f>SUM(W33+W35+W37+W39)</f>
        <v>942743</v>
      </c>
      <c r="X32" s="69">
        <f>SUM(X33+X35+X37+X39)</f>
        <v>1131291.6000000001</v>
      </c>
      <c r="Y32" s="69">
        <f>SUM(Y33+Y35+Y37+Y39)</f>
        <v>0</v>
      </c>
    </row>
    <row r="33" spans="1:28" ht="33" customHeight="1" thickBot="1" x14ac:dyDescent="0.3">
      <c r="A33" s="498" t="s">
        <v>88</v>
      </c>
      <c r="B33" s="1102"/>
      <c r="C33" s="1102"/>
      <c r="D33" s="1651" t="s">
        <v>653</v>
      </c>
      <c r="E33" s="1660"/>
      <c r="F33" s="1660"/>
      <c r="G33" s="1660"/>
      <c r="H33" s="1660"/>
      <c r="I33" s="1660"/>
      <c r="J33" s="1660"/>
      <c r="K33" s="1661"/>
      <c r="L33" s="500">
        <f t="shared" ref="L33:P33" si="10">SUM(L34)</f>
        <v>262704</v>
      </c>
      <c r="M33" s="500">
        <f t="shared" si="10"/>
        <v>39406</v>
      </c>
      <c r="N33" s="500">
        <f t="shared" si="10"/>
        <v>0</v>
      </c>
      <c r="O33" s="500">
        <f t="shared" si="10"/>
        <v>0</v>
      </c>
      <c r="P33" s="500">
        <f t="shared" si="10"/>
        <v>0</v>
      </c>
      <c r="Q33" s="500">
        <f>SUM(Q34)</f>
        <v>223298</v>
      </c>
      <c r="R33" s="148"/>
      <c r="S33" s="500"/>
      <c r="T33" s="500"/>
      <c r="U33" s="500"/>
      <c r="V33" s="500"/>
      <c r="W33" s="70">
        <v>223298</v>
      </c>
      <c r="X33" s="70">
        <f>SUM(W33*120/100)</f>
        <v>267957.59999999998</v>
      </c>
      <c r="Y33" s="70">
        <f>SUM(W33-Q33)</f>
        <v>0</v>
      </c>
    </row>
    <row r="34" spans="1:28" ht="48.75" thickBot="1" x14ac:dyDescent="0.3">
      <c r="A34" s="147" t="str">
        <f>CONCATENATE('3 pr-2'!A78)</f>
        <v>1.1.2.1.4</v>
      </c>
      <c r="B34" s="147" t="str">
        <f>CONCATENATE('3 pr-2'!B78)</f>
        <v>R01-5518-100000-1214</v>
      </c>
      <c r="C34" s="1133" t="str">
        <f>CONCATENATE('3 pr-2'!C78)</f>
        <v/>
      </c>
      <c r="D34" s="147" t="s">
        <v>670</v>
      </c>
      <c r="E34" s="147" t="s">
        <v>161</v>
      </c>
      <c r="F34" s="147" t="s">
        <v>115</v>
      </c>
      <c r="G34" s="147" t="s">
        <v>248</v>
      </c>
      <c r="H34" s="324" t="s">
        <v>135</v>
      </c>
      <c r="I34" s="40" t="s">
        <v>119</v>
      </c>
      <c r="J34" s="40" t="s">
        <v>66</v>
      </c>
      <c r="K34" s="42" t="s">
        <v>66</v>
      </c>
      <c r="L34" s="42">
        <f>SUM(M34:Q34)</f>
        <v>262704</v>
      </c>
      <c r="M34" s="42">
        <v>39406</v>
      </c>
      <c r="N34" s="42">
        <v>0</v>
      </c>
      <c r="O34" s="42">
        <v>0</v>
      </c>
      <c r="P34" s="42">
        <v>0</v>
      </c>
      <c r="Q34" s="42">
        <v>223298</v>
      </c>
      <c r="R34" s="788">
        <v>42877</v>
      </c>
      <c r="S34" s="550">
        <v>42978</v>
      </c>
      <c r="T34" s="1492">
        <v>43343</v>
      </c>
      <c r="U34" s="1492">
        <v>43434</v>
      </c>
      <c r="V34" s="1492">
        <v>44165</v>
      </c>
      <c r="W34" s="67"/>
      <c r="X34" s="67"/>
      <c r="Y34" s="67"/>
      <c r="Z34" s="85">
        <f>SUM(365/12)</f>
        <v>30.416666666666668</v>
      </c>
      <c r="AA34" s="85">
        <f>SUM(V34-U34)/Z34</f>
        <v>24.032876712328765</v>
      </c>
    </row>
    <row r="35" spans="1:28" ht="29.25" customHeight="1" thickBot="1" x14ac:dyDescent="0.3">
      <c r="A35" s="498" t="s">
        <v>90</v>
      </c>
      <c r="B35" s="1102"/>
      <c r="C35" s="1102"/>
      <c r="D35" s="1651" t="s">
        <v>654</v>
      </c>
      <c r="E35" s="1660"/>
      <c r="F35" s="1660"/>
      <c r="G35" s="1660"/>
      <c r="H35" s="1660"/>
      <c r="I35" s="1660"/>
      <c r="J35" s="1660"/>
      <c r="K35" s="1661"/>
      <c r="L35" s="500">
        <f t="shared" ref="L35:Q35" si="11">SUM(L36:L36)</f>
        <v>0</v>
      </c>
      <c r="M35" s="500">
        <f t="shared" si="11"/>
        <v>0</v>
      </c>
      <c r="N35" s="500">
        <f t="shared" si="11"/>
        <v>0</v>
      </c>
      <c r="O35" s="500">
        <f t="shared" si="11"/>
        <v>0</v>
      </c>
      <c r="P35" s="500">
        <f t="shared" si="11"/>
        <v>0</v>
      </c>
      <c r="Q35" s="500">
        <f t="shared" si="11"/>
        <v>0</v>
      </c>
      <c r="R35" s="148"/>
      <c r="S35" s="500"/>
      <c r="T35" s="500"/>
      <c r="U35" s="500"/>
      <c r="V35" s="500"/>
      <c r="W35" s="70">
        <v>0</v>
      </c>
      <c r="X35" s="70">
        <f>SUM(W35*120/100)</f>
        <v>0</v>
      </c>
      <c r="Y35" s="70">
        <f>SUM(W35-Q35)</f>
        <v>0</v>
      </c>
    </row>
    <row r="36" spans="1:28" ht="15.75" thickBot="1" x14ac:dyDescent="0.3">
      <c r="A36" s="1123"/>
      <c r="B36" s="1123"/>
      <c r="C36" s="1123"/>
      <c r="D36" s="1123"/>
      <c r="E36" s="1123"/>
      <c r="F36" s="1124"/>
      <c r="G36" s="1123"/>
      <c r="H36" s="1125"/>
      <c r="I36" s="1126"/>
      <c r="J36" s="893"/>
      <c r="K36" s="893"/>
      <c r="L36" s="1127">
        <f>SUM(M36:Q36)</f>
        <v>0</v>
      </c>
      <c r="M36" s="1128">
        <v>0</v>
      </c>
      <c r="N36" s="125">
        <v>0</v>
      </c>
      <c r="O36" s="125">
        <v>0</v>
      </c>
      <c r="P36" s="125">
        <v>0</v>
      </c>
      <c r="Q36" s="1128">
        <v>0</v>
      </c>
      <c r="R36" s="1128"/>
      <c r="S36" s="31"/>
      <c r="T36" s="31"/>
      <c r="U36" s="31"/>
      <c r="V36" s="31"/>
      <c r="W36" s="67"/>
      <c r="X36" s="67"/>
      <c r="Y36" s="67"/>
    </row>
    <row r="37" spans="1:28" ht="35.25" customHeight="1" thickBot="1" x14ac:dyDescent="0.3">
      <c r="A37" s="498" t="s">
        <v>92</v>
      </c>
      <c r="B37" s="1102"/>
      <c r="C37" s="1102"/>
      <c r="D37" s="1651" t="s">
        <v>655</v>
      </c>
      <c r="E37" s="1660"/>
      <c r="F37" s="1660"/>
      <c r="G37" s="1660"/>
      <c r="H37" s="1660"/>
      <c r="I37" s="1660"/>
      <c r="J37" s="1660"/>
      <c r="K37" s="1661"/>
      <c r="L37" s="500">
        <f t="shared" ref="L37:P37" si="12">SUM(L38)</f>
        <v>100658</v>
      </c>
      <c r="M37" s="500">
        <f t="shared" si="12"/>
        <v>27157</v>
      </c>
      <c r="N37" s="500">
        <f t="shared" si="12"/>
        <v>0</v>
      </c>
      <c r="O37" s="500">
        <f t="shared" si="12"/>
        <v>0</v>
      </c>
      <c r="P37" s="500">
        <f t="shared" si="12"/>
        <v>0</v>
      </c>
      <c r="Q37" s="500">
        <f t="shared" ref="Q37" si="13">SUM(Q38)</f>
        <v>73501</v>
      </c>
      <c r="R37" s="148"/>
      <c r="S37" s="500"/>
      <c r="T37" s="500"/>
      <c r="U37" s="500"/>
      <c r="V37" s="500"/>
      <c r="W37" s="70">
        <v>73501</v>
      </c>
      <c r="X37" s="70">
        <f>SUM(W37*120/100)</f>
        <v>88201.2</v>
      </c>
      <c r="Y37" s="70">
        <f>SUM(W37-Q37)</f>
        <v>0</v>
      </c>
    </row>
    <row r="38" spans="1:28" ht="48.75" thickBot="1" x14ac:dyDescent="0.3">
      <c r="A38" s="147" t="str">
        <f>CONCATENATE('3 pr-2'!A89)</f>
        <v>1.1.2.3.3</v>
      </c>
      <c r="B38" s="147" t="str">
        <f>CONCATENATE('3 pr-2'!B89)</f>
        <v>R01-5516-190000-1233</v>
      </c>
      <c r="C38" s="1133" t="str">
        <f>CONCATENATE('3 pr-2'!C89)</f>
        <v>04.5.1-TID-R-516-11-0002</v>
      </c>
      <c r="D38" s="147" t="s">
        <v>339</v>
      </c>
      <c r="E38" s="147" t="s">
        <v>161</v>
      </c>
      <c r="F38" s="147" t="s">
        <v>115</v>
      </c>
      <c r="G38" s="147" t="s">
        <v>493</v>
      </c>
      <c r="H38" s="324" t="s">
        <v>148</v>
      </c>
      <c r="I38" s="40" t="s">
        <v>119</v>
      </c>
      <c r="J38" s="40" t="s">
        <v>168</v>
      </c>
      <c r="K38" s="42" t="s">
        <v>66</v>
      </c>
      <c r="L38" s="42">
        <f>SUM(M38:Q38)</f>
        <v>100658</v>
      </c>
      <c r="M38" s="42">
        <v>27157</v>
      </c>
      <c r="N38" s="42">
        <v>0</v>
      </c>
      <c r="O38" s="42">
        <v>0</v>
      </c>
      <c r="P38" s="42">
        <v>0</v>
      </c>
      <c r="Q38" s="42">
        <v>73501</v>
      </c>
      <c r="R38" s="788">
        <v>42660</v>
      </c>
      <c r="S38" s="550">
        <v>42735</v>
      </c>
      <c r="T38" s="550">
        <v>43010</v>
      </c>
      <c r="U38" s="550">
        <v>43100</v>
      </c>
      <c r="V38" s="550">
        <v>43830</v>
      </c>
      <c r="W38" s="67"/>
      <c r="X38" s="67"/>
      <c r="Y38" s="67"/>
    </row>
    <row r="39" spans="1:28" ht="35.25" customHeight="1" thickBot="1" x14ac:dyDescent="0.3">
      <c r="A39" s="498" t="s">
        <v>94</v>
      </c>
      <c r="B39" s="1102"/>
      <c r="C39" s="1102"/>
      <c r="D39" s="1651" t="s">
        <v>656</v>
      </c>
      <c r="E39" s="1660"/>
      <c r="F39" s="1660"/>
      <c r="G39" s="1660"/>
      <c r="H39" s="1660"/>
      <c r="I39" s="1660"/>
      <c r="J39" s="1660"/>
      <c r="K39" s="1661"/>
      <c r="L39" s="500">
        <f t="shared" ref="L39:P39" si="14">SUM(L40)</f>
        <v>759934</v>
      </c>
      <c r="M39" s="500">
        <f t="shared" si="14"/>
        <v>113990</v>
      </c>
      <c r="N39" s="500">
        <f t="shared" si="14"/>
        <v>0</v>
      </c>
      <c r="O39" s="500">
        <f t="shared" si="14"/>
        <v>0</v>
      </c>
      <c r="P39" s="500">
        <f t="shared" si="14"/>
        <v>0</v>
      </c>
      <c r="Q39" s="500">
        <f t="shared" ref="Q39" si="15">SUM(Q40)</f>
        <v>645944</v>
      </c>
      <c r="R39" s="148"/>
      <c r="S39" s="500"/>
      <c r="T39" s="500"/>
      <c r="U39" s="500"/>
      <c r="V39" s="500"/>
      <c r="W39" s="70">
        <v>645944</v>
      </c>
      <c r="X39" s="70">
        <f>SUM(W39*120/100)</f>
        <v>775132.8</v>
      </c>
      <c r="Y39" s="70">
        <f>SUM(W39-Q39)</f>
        <v>0</v>
      </c>
      <c r="Z39" s="96"/>
    </row>
    <row r="40" spans="1:28" s="89" customFormat="1" ht="48.75" customHeight="1" thickBot="1" x14ac:dyDescent="0.3">
      <c r="A40" s="189" t="str">
        <f>CONCATENATE('3 pr-2'!A98)</f>
        <v>1.1.2.4.6</v>
      </c>
      <c r="B40" s="189" t="str">
        <f>CONCATENATE('3 pr-2'!B98)</f>
        <v>R01-5511-120000-1246</v>
      </c>
      <c r="C40" s="1133" t="str">
        <f>CONCATENATE('3 pr-2'!C98)</f>
        <v/>
      </c>
      <c r="D40" s="189" t="s">
        <v>338</v>
      </c>
      <c r="E40" s="189" t="s">
        <v>161</v>
      </c>
      <c r="F40" s="189" t="s">
        <v>115</v>
      </c>
      <c r="G40" s="189" t="s">
        <v>493</v>
      </c>
      <c r="H40" s="525" t="s">
        <v>141</v>
      </c>
      <c r="I40" s="590" t="s">
        <v>119</v>
      </c>
      <c r="J40" s="590" t="s">
        <v>168</v>
      </c>
      <c r="K40" s="468" t="s">
        <v>66</v>
      </c>
      <c r="L40" s="468">
        <f>SUM(M40:Q40)</f>
        <v>759934</v>
      </c>
      <c r="M40" s="468">
        <v>113990</v>
      </c>
      <c r="N40" s="468">
        <v>0</v>
      </c>
      <c r="O40" s="468">
        <v>0</v>
      </c>
      <c r="P40" s="468">
        <v>0</v>
      </c>
      <c r="Q40" s="468">
        <v>645944</v>
      </c>
      <c r="R40" s="1111">
        <v>42639</v>
      </c>
      <c r="S40" s="1111">
        <v>42732</v>
      </c>
      <c r="T40" s="1492">
        <v>43130</v>
      </c>
      <c r="U40" s="1492">
        <v>43217</v>
      </c>
      <c r="V40" s="1111">
        <v>43830</v>
      </c>
      <c r="W40" s="88"/>
      <c r="X40" s="88"/>
      <c r="Y40" s="88"/>
    </row>
    <row r="41" spans="1:28" ht="44.25" customHeight="1" thickBot="1" x14ac:dyDescent="0.3">
      <c r="A41" s="224" t="s">
        <v>27</v>
      </c>
      <c r="B41" s="1107"/>
      <c r="C41" s="1107"/>
      <c r="D41" s="1663" t="s">
        <v>657</v>
      </c>
      <c r="E41" s="1664"/>
      <c r="F41" s="1664"/>
      <c r="G41" s="1664"/>
      <c r="H41" s="1664"/>
      <c r="I41" s="1664"/>
      <c r="J41" s="1664"/>
      <c r="K41" s="1665"/>
      <c r="L41" s="218">
        <f t="shared" ref="L41:Q41" si="16">SUM(L42+L49+L56+L61)</f>
        <v>1535768.3899999997</v>
      </c>
      <c r="M41" s="218">
        <f t="shared" si="16"/>
        <v>143175</v>
      </c>
      <c r="N41" s="218">
        <f t="shared" si="16"/>
        <v>76025.573783783795</v>
      </c>
      <c r="O41" s="218">
        <f t="shared" si="16"/>
        <v>11471</v>
      </c>
      <c r="P41" s="218">
        <f t="shared" si="16"/>
        <v>0</v>
      </c>
      <c r="Q41" s="218">
        <f t="shared" si="16"/>
        <v>1305096.816216216</v>
      </c>
      <c r="R41" s="218"/>
      <c r="S41" s="225"/>
      <c r="T41" s="225"/>
      <c r="U41" s="225"/>
      <c r="V41" s="236"/>
      <c r="W41" s="78">
        <f>SUM(W42+W49+W56+W61)</f>
        <v>1324057.3557784213</v>
      </c>
      <c r="X41" s="78">
        <f>SUM(X42+X49+X56+X61)</f>
        <v>1588868.8269341055</v>
      </c>
      <c r="Y41" s="78">
        <f>SUM(Y42+Y49+Y56+Y61)</f>
        <v>18960.539562205129</v>
      </c>
    </row>
    <row r="42" spans="1:28" ht="57.75" customHeight="1" thickBot="1" x14ac:dyDescent="0.3">
      <c r="A42" s="216" t="s">
        <v>28</v>
      </c>
      <c r="B42" s="1106"/>
      <c r="C42" s="1106"/>
      <c r="D42" s="1653" t="s">
        <v>658</v>
      </c>
      <c r="E42" s="1666"/>
      <c r="F42" s="1666"/>
      <c r="G42" s="1666"/>
      <c r="H42" s="1666"/>
      <c r="I42" s="1666"/>
      <c r="J42" s="1666"/>
      <c r="K42" s="1667"/>
      <c r="L42" s="196">
        <f t="shared" ref="L42:Q42" si="17">SUM(L43+L45+L47)</f>
        <v>465147.20999999979</v>
      </c>
      <c r="M42" s="196">
        <f t="shared" si="17"/>
        <v>45082.21</v>
      </c>
      <c r="N42" s="196">
        <f t="shared" si="17"/>
        <v>24698.783783783801</v>
      </c>
      <c r="O42" s="196">
        <f t="shared" si="17"/>
        <v>0</v>
      </c>
      <c r="P42" s="196">
        <f t="shared" si="17"/>
        <v>0</v>
      </c>
      <c r="Q42" s="196">
        <f t="shared" si="17"/>
        <v>395366.21621621598</v>
      </c>
      <c r="R42" s="196"/>
      <c r="S42" s="197"/>
      <c r="T42" s="197"/>
      <c r="U42" s="197"/>
      <c r="V42" s="237"/>
      <c r="W42" s="69">
        <f>SUM(W43+W45+W47)</f>
        <v>414326.95823780389</v>
      </c>
      <c r="X42" s="69">
        <f>SUM(X43+X45+X47)</f>
        <v>497192.34988536465</v>
      </c>
      <c r="Y42" s="69">
        <f>SUM(Y43+Y45+Y47)</f>
        <v>18960.742021587866</v>
      </c>
    </row>
    <row r="43" spans="1:28" ht="36.75" customHeight="1" thickBot="1" x14ac:dyDescent="0.3">
      <c r="A43" s="498" t="s">
        <v>96</v>
      </c>
      <c r="B43" s="1102"/>
      <c r="C43" s="1102"/>
      <c r="D43" s="1651" t="s">
        <v>659</v>
      </c>
      <c r="E43" s="1660"/>
      <c r="F43" s="1660"/>
      <c r="G43" s="1660"/>
      <c r="H43" s="1660"/>
      <c r="I43" s="1660"/>
      <c r="J43" s="1660"/>
      <c r="K43" s="1661"/>
      <c r="L43" s="500">
        <f t="shared" ref="L43:P43" si="18">SUM(L44)</f>
        <v>195779</v>
      </c>
      <c r="M43" s="500">
        <f t="shared" si="18"/>
        <v>14684</v>
      </c>
      <c r="N43" s="500">
        <f t="shared" si="18"/>
        <v>14683</v>
      </c>
      <c r="O43" s="500">
        <f t="shared" si="18"/>
        <v>0</v>
      </c>
      <c r="P43" s="500">
        <f t="shared" si="18"/>
        <v>0</v>
      </c>
      <c r="Q43" s="500">
        <f t="shared" ref="Q43" si="19">SUM(Q44)</f>
        <v>166412</v>
      </c>
      <c r="R43" s="148"/>
      <c r="S43" s="500"/>
      <c r="T43" s="500"/>
      <c r="U43" s="500"/>
      <c r="V43" s="500"/>
      <c r="W43" s="70">
        <v>166412</v>
      </c>
      <c r="X43" s="70">
        <f>SUM(W43*120/100)</f>
        <v>199694.4</v>
      </c>
      <c r="Y43" s="70">
        <f>SUM(W43-Q43)</f>
        <v>0</v>
      </c>
    </row>
    <row r="44" spans="1:28" ht="48.75" thickBot="1" x14ac:dyDescent="0.3">
      <c r="A44" s="147" t="str">
        <f>CONCATENATE('3 pr-2'!A107)</f>
        <v>2.1.1.1.5</v>
      </c>
      <c r="B44" s="147" t="str">
        <f>CONCATENATE('3 pr-2'!B107)</f>
        <v>R01-7724-220000-2115</v>
      </c>
      <c r="C44" s="1133" t="str">
        <f>CONCATENATE('3 pr-2'!C107)</f>
        <v xml:space="preserve">09.1.3-CPVA-R-724-11-0001 </v>
      </c>
      <c r="D44" s="147" t="s">
        <v>289</v>
      </c>
      <c r="E44" s="147" t="s">
        <v>161</v>
      </c>
      <c r="F44" s="147" t="s">
        <v>97</v>
      </c>
      <c r="G44" s="147" t="s">
        <v>248</v>
      </c>
      <c r="H44" s="324" t="s">
        <v>136</v>
      </c>
      <c r="I44" s="40" t="s">
        <v>119</v>
      </c>
      <c r="J44" s="40" t="s">
        <v>66</v>
      </c>
      <c r="K44" s="42" t="s">
        <v>66</v>
      </c>
      <c r="L44" s="42">
        <f>SUM(M44:Q44)</f>
        <v>195779</v>
      </c>
      <c r="M44" s="468">
        <v>14684</v>
      </c>
      <c r="N44" s="42">
        <v>14683</v>
      </c>
      <c r="O44" s="42">
        <v>0</v>
      </c>
      <c r="P44" s="42">
        <v>0</v>
      </c>
      <c r="Q44" s="42">
        <v>166412</v>
      </c>
      <c r="R44" s="788">
        <v>42863</v>
      </c>
      <c r="S44" s="550">
        <v>42916</v>
      </c>
      <c r="T44" s="550">
        <v>42993</v>
      </c>
      <c r="U44" s="550">
        <v>43100</v>
      </c>
      <c r="V44" s="799">
        <v>43709</v>
      </c>
      <c r="W44" s="67"/>
      <c r="X44" s="67"/>
      <c r="Y44" s="67"/>
    </row>
    <row r="45" spans="1:28" ht="39" customHeight="1" thickBot="1" x14ac:dyDescent="0.3">
      <c r="A45" s="498" t="s">
        <v>99</v>
      </c>
      <c r="B45" s="1102"/>
      <c r="C45" s="1102"/>
      <c r="D45" s="1651" t="s">
        <v>660</v>
      </c>
      <c r="E45" s="1660"/>
      <c r="F45" s="1660"/>
      <c r="G45" s="1660"/>
      <c r="H45" s="1660"/>
      <c r="I45" s="1660"/>
      <c r="J45" s="1660"/>
      <c r="K45" s="1661"/>
      <c r="L45" s="500">
        <f t="shared" ref="L45:Q45" si="20">SUM(L46:L46)</f>
        <v>135814</v>
      </c>
      <c r="M45" s="500">
        <f t="shared" si="20"/>
        <v>20372</v>
      </c>
      <c r="N45" s="500">
        <f t="shared" si="20"/>
        <v>0</v>
      </c>
      <c r="O45" s="500">
        <f t="shared" si="20"/>
        <v>0</v>
      </c>
      <c r="P45" s="500">
        <f t="shared" si="20"/>
        <v>0</v>
      </c>
      <c r="Q45" s="500">
        <f t="shared" si="20"/>
        <v>115442</v>
      </c>
      <c r="R45" s="148"/>
      <c r="S45" s="500"/>
      <c r="T45" s="500"/>
      <c r="U45" s="500"/>
      <c r="V45" s="500"/>
      <c r="W45" s="70">
        <v>115442.4570765518</v>
      </c>
      <c r="X45" s="70">
        <f>SUM(W45*120/100)</f>
        <v>138530.94849186216</v>
      </c>
      <c r="Y45" s="70">
        <f>SUM(W45-Q45)</f>
        <v>0.45707655180012807</v>
      </c>
    </row>
    <row r="46" spans="1:28" ht="48.75" thickBot="1" x14ac:dyDescent="0.3">
      <c r="A46" s="147" t="str">
        <f>CONCATENATE('3 pr-2'!A113)</f>
        <v>2.1.1.2.5</v>
      </c>
      <c r="B46" s="147" t="str">
        <f>CONCATENATE('3 pr-2'!B113)</f>
        <v>R01-7725-240000-2125</v>
      </c>
      <c r="C46" s="1133" t="str">
        <f>CONCATENATE('3 pr-2'!C113)</f>
        <v>09.1.3-CPVA-R-725-11-0001</v>
      </c>
      <c r="D46" s="147" t="s">
        <v>290</v>
      </c>
      <c r="E46" s="147" t="s">
        <v>682</v>
      </c>
      <c r="F46" s="147" t="s">
        <v>97</v>
      </c>
      <c r="G46" s="147" t="s">
        <v>248</v>
      </c>
      <c r="H46" s="324" t="s">
        <v>139</v>
      </c>
      <c r="I46" s="40" t="s">
        <v>119</v>
      </c>
      <c r="J46" s="40" t="s">
        <v>66</v>
      </c>
      <c r="K46" s="42" t="s">
        <v>66</v>
      </c>
      <c r="L46" s="42">
        <f>SUM(M46:Q46)</f>
        <v>135814</v>
      </c>
      <c r="M46" s="42">
        <v>20372</v>
      </c>
      <c r="N46" s="42">
        <v>0</v>
      </c>
      <c r="O46" s="42">
        <v>0</v>
      </c>
      <c r="P46" s="42">
        <v>0</v>
      </c>
      <c r="Q46" s="42">
        <v>115442</v>
      </c>
      <c r="R46" s="788">
        <v>42828</v>
      </c>
      <c r="S46" s="550">
        <v>42866</v>
      </c>
      <c r="T46" s="550">
        <v>42916</v>
      </c>
      <c r="U46" s="550">
        <v>43100</v>
      </c>
      <c r="V46" s="799">
        <f>SUM('IV-1 su proj'!CH112)</f>
        <v>43465.25</v>
      </c>
      <c r="W46" s="67"/>
      <c r="X46" s="67"/>
      <c r="Y46" s="67"/>
    </row>
    <row r="47" spans="1:28" ht="40.5" customHeight="1" thickBot="1" x14ac:dyDescent="0.3">
      <c r="A47" s="498" t="s">
        <v>101</v>
      </c>
      <c r="B47" s="1102"/>
      <c r="C47" s="1102"/>
      <c r="D47" s="1651" t="s">
        <v>1685</v>
      </c>
      <c r="E47" s="1660"/>
      <c r="F47" s="1660"/>
      <c r="G47" s="1660"/>
      <c r="H47" s="1660"/>
      <c r="I47" s="1660"/>
      <c r="J47" s="1660"/>
      <c r="K47" s="1661"/>
      <c r="L47" s="500">
        <f t="shared" ref="L47:P47" si="21">SUM(L48)</f>
        <v>133554.20999999979</v>
      </c>
      <c r="M47" s="500">
        <f t="shared" si="21"/>
        <v>10026.209999999999</v>
      </c>
      <c r="N47" s="500">
        <f t="shared" si="21"/>
        <v>10015.7837837838</v>
      </c>
      <c r="O47" s="500">
        <f t="shared" si="21"/>
        <v>0</v>
      </c>
      <c r="P47" s="500">
        <f t="shared" si="21"/>
        <v>0</v>
      </c>
      <c r="Q47" s="500">
        <f t="shared" ref="Q47" si="22">SUM(Q48)</f>
        <v>113512.21621621599</v>
      </c>
      <c r="R47" s="148"/>
      <c r="S47" s="500"/>
      <c r="T47" s="500"/>
      <c r="U47" s="500"/>
      <c r="V47" s="500"/>
      <c r="W47" s="70">
        <v>132472.50116125206</v>
      </c>
      <c r="X47" s="70">
        <f>SUM(W47*120/100)</f>
        <v>158967.00139350246</v>
      </c>
      <c r="Y47" s="70">
        <f>SUM(W47-Q47)</f>
        <v>18960.284945036066</v>
      </c>
    </row>
    <row r="48" spans="1:28" s="89" customFormat="1" ht="48.75" thickBot="1" x14ac:dyDescent="0.3">
      <c r="A48" s="147" t="str">
        <f>CONCATENATE('3 pr-2'!A119)</f>
        <v>2.1.1.3.5</v>
      </c>
      <c r="B48" s="147" t="str">
        <f>CONCATENATE('3 pr-2'!B119)</f>
        <v>R01-7705-230000-2135</v>
      </c>
      <c r="C48" s="1133" t="str">
        <f>CONCATENATE('3 pr-2'!C119)</f>
        <v>09.1.3-CPVA-R-705-11-0002</v>
      </c>
      <c r="D48" s="147" t="s">
        <v>683</v>
      </c>
      <c r="E48" s="147" t="s">
        <v>161</v>
      </c>
      <c r="F48" s="147" t="s">
        <v>97</v>
      </c>
      <c r="G48" s="147" t="s">
        <v>248</v>
      </c>
      <c r="H48" s="324" t="s">
        <v>140</v>
      </c>
      <c r="I48" s="40" t="s">
        <v>119</v>
      </c>
      <c r="J48" s="40" t="s">
        <v>66</v>
      </c>
      <c r="K48" s="42" t="s">
        <v>66</v>
      </c>
      <c r="L48" s="42">
        <f>SUM(M48:Q48)</f>
        <v>133554.20999999979</v>
      </c>
      <c r="M48" s="42">
        <v>10026.209999999999</v>
      </c>
      <c r="N48" s="42">
        <v>10015.7837837838</v>
      </c>
      <c r="O48" s="42">
        <v>0</v>
      </c>
      <c r="P48" s="42">
        <v>0</v>
      </c>
      <c r="Q48" s="42">
        <v>113512.21621621599</v>
      </c>
      <c r="R48" s="788">
        <v>42966</v>
      </c>
      <c r="S48" s="550">
        <v>43039</v>
      </c>
      <c r="T48" s="550">
        <v>43080</v>
      </c>
      <c r="U48" s="550">
        <v>43159</v>
      </c>
      <c r="V48" s="799">
        <f>SUM('IV-1 su proj'!CH118)</f>
        <v>43739.5</v>
      </c>
      <c r="W48" s="88"/>
      <c r="X48" s="88"/>
      <c r="Y48" s="88"/>
      <c r="AA48" s="89">
        <v>123528</v>
      </c>
      <c r="AB48" s="89">
        <v>92.5</v>
      </c>
    </row>
    <row r="49" spans="1:28" ht="51.75" customHeight="1" thickBot="1" x14ac:dyDescent="0.3">
      <c r="A49" s="216" t="s">
        <v>32</v>
      </c>
      <c r="B49" s="1106"/>
      <c r="C49" s="1106"/>
      <c r="D49" s="1653" t="s">
        <v>661</v>
      </c>
      <c r="E49" s="1666"/>
      <c r="F49" s="1666"/>
      <c r="G49" s="1666"/>
      <c r="H49" s="1666"/>
      <c r="I49" s="1666"/>
      <c r="J49" s="1666"/>
      <c r="K49" s="1667"/>
      <c r="L49" s="196">
        <f t="shared" ref="L49:Q49" si="23">SUM(L50+L52)</f>
        <v>391716.18</v>
      </c>
      <c r="M49" s="196">
        <f t="shared" si="23"/>
        <v>17907.79</v>
      </c>
      <c r="N49" s="196">
        <f t="shared" si="23"/>
        <v>29378.79</v>
      </c>
      <c r="O49" s="196">
        <f t="shared" si="23"/>
        <v>11471</v>
      </c>
      <c r="P49" s="196">
        <f t="shared" si="23"/>
        <v>0</v>
      </c>
      <c r="Q49" s="196">
        <f t="shared" si="23"/>
        <v>332958.59999999998</v>
      </c>
      <c r="R49" s="196"/>
      <c r="S49" s="197"/>
      <c r="T49" s="197"/>
      <c r="U49" s="197"/>
      <c r="V49" s="237"/>
      <c r="W49" s="69">
        <f>SUM(W50+W52)</f>
        <v>332958.59999999998</v>
      </c>
      <c r="X49" s="69">
        <f>SUM(X50+X52)</f>
        <v>399550.32</v>
      </c>
      <c r="Y49" s="69">
        <f>SUM(Y50+Y52)</f>
        <v>0</v>
      </c>
      <c r="AA49" s="85" t="str">
        <f>CONCATENATE(AA48*AB49/AB48)</f>
        <v>113512,216216216</v>
      </c>
      <c r="AB49" s="85">
        <v>85</v>
      </c>
    </row>
    <row r="50" spans="1:28" ht="36.75" customHeight="1" thickBot="1" x14ac:dyDescent="0.3">
      <c r="A50" s="498" t="s">
        <v>33</v>
      </c>
      <c r="B50" s="1102"/>
      <c r="C50" s="1102"/>
      <c r="D50" s="1651" t="s">
        <v>662</v>
      </c>
      <c r="E50" s="1660"/>
      <c r="F50" s="1660"/>
      <c r="G50" s="1660"/>
      <c r="H50" s="1660"/>
      <c r="I50" s="1660"/>
      <c r="J50" s="1660"/>
      <c r="K50" s="1661"/>
      <c r="L50" s="500">
        <f t="shared" ref="L50:Q50" si="24">SUM(L51:L51)</f>
        <v>192719</v>
      </c>
      <c r="M50" s="500">
        <f t="shared" si="24"/>
        <v>2983</v>
      </c>
      <c r="N50" s="500">
        <f t="shared" si="24"/>
        <v>14454</v>
      </c>
      <c r="O50" s="500">
        <f t="shared" si="24"/>
        <v>11471</v>
      </c>
      <c r="P50" s="500">
        <f t="shared" si="24"/>
        <v>0</v>
      </c>
      <c r="Q50" s="500">
        <f t="shared" si="24"/>
        <v>163811</v>
      </c>
      <c r="R50" s="148"/>
      <c r="S50" s="500"/>
      <c r="T50" s="500"/>
      <c r="U50" s="500"/>
      <c r="V50" s="500"/>
      <c r="W50" s="70">
        <v>163811</v>
      </c>
      <c r="X50" s="70">
        <f>SUM(W50*120/100)</f>
        <v>196573.2</v>
      </c>
      <c r="Y50" s="70">
        <f>SUM(W50-Q50)</f>
        <v>0</v>
      </c>
      <c r="AA50" s="85" t="str">
        <f>CONCATENATE(AA48*AB50/AB48)</f>
        <v>10015,7837837838</v>
      </c>
      <c r="AB50" s="85">
        <v>7.5</v>
      </c>
    </row>
    <row r="51" spans="1:28" s="89" customFormat="1" ht="48.75" thickBot="1" x14ac:dyDescent="0.3">
      <c r="A51" s="147" t="str">
        <f>CONCATENATE('3 pr-2'!A132)</f>
        <v>2.1.2.1.11</v>
      </c>
      <c r="B51" s="147" t="str">
        <f>CONCATENATE('3 pr-2'!B132)</f>
        <v>R01-6609-274700-2221</v>
      </c>
      <c r="C51" s="1133" t="str">
        <f>CONCATENATE('3 pr-2'!C129)</f>
        <v/>
      </c>
      <c r="D51" s="848" t="s">
        <v>1737</v>
      </c>
      <c r="E51" s="848" t="s">
        <v>161</v>
      </c>
      <c r="F51" s="848" t="s">
        <v>103</v>
      </c>
      <c r="G51" s="848" t="s">
        <v>1738</v>
      </c>
      <c r="H51" s="851" t="s">
        <v>153</v>
      </c>
      <c r="I51" s="850" t="s">
        <v>119</v>
      </c>
      <c r="J51" s="850" t="s">
        <v>66</v>
      </c>
      <c r="K51" s="849" t="s">
        <v>66</v>
      </c>
      <c r="L51" s="849">
        <f>SUM(M51:Q51)</f>
        <v>192719</v>
      </c>
      <c r="M51" s="849">
        <v>2983</v>
      </c>
      <c r="N51" s="849">
        <v>14454</v>
      </c>
      <c r="O51" s="849">
        <v>11471</v>
      </c>
      <c r="P51" s="849">
        <v>0</v>
      </c>
      <c r="Q51" s="849">
        <v>163811</v>
      </c>
      <c r="R51" s="788">
        <v>43189</v>
      </c>
      <c r="S51" s="886">
        <v>43312</v>
      </c>
      <c r="T51" s="886">
        <v>43404</v>
      </c>
      <c r="U51" s="1459">
        <v>43496</v>
      </c>
      <c r="V51" s="1459">
        <v>44531</v>
      </c>
      <c r="W51" s="88"/>
      <c r="X51" s="88"/>
      <c r="Y51" s="88"/>
    </row>
    <row r="52" spans="1:28" ht="30.75" customHeight="1" thickBot="1" x14ac:dyDescent="0.3">
      <c r="A52" s="498" t="s">
        <v>34</v>
      </c>
      <c r="B52" s="1102"/>
      <c r="C52" s="1102"/>
      <c r="D52" s="1651" t="str">
        <f>CONCATENATE('3 pr-2'!D135)</f>
        <v/>
      </c>
      <c r="E52" s="1709"/>
      <c r="F52" s="1709"/>
      <c r="G52" s="1709"/>
      <c r="H52" s="1709"/>
      <c r="I52" s="1709"/>
      <c r="J52" s="1709"/>
      <c r="K52" s="1710"/>
      <c r="L52" s="500">
        <f t="shared" ref="L52:Q54" si="25">SUM(L53:L53)</f>
        <v>198997.18</v>
      </c>
      <c r="M52" s="500">
        <f t="shared" si="25"/>
        <v>14924.79</v>
      </c>
      <c r="N52" s="500">
        <f t="shared" si="25"/>
        <v>14924.79</v>
      </c>
      <c r="O52" s="500">
        <f t="shared" si="25"/>
        <v>0</v>
      </c>
      <c r="P52" s="500">
        <f t="shared" si="25"/>
        <v>0</v>
      </c>
      <c r="Q52" s="500">
        <f t="shared" si="25"/>
        <v>169147.6</v>
      </c>
      <c r="R52" s="148"/>
      <c r="S52" s="500"/>
      <c r="T52" s="500"/>
      <c r="U52" s="500"/>
      <c r="V52" s="500"/>
      <c r="W52" s="70">
        <v>169147.6</v>
      </c>
      <c r="X52" s="70">
        <f>SUM(W52*120/100)</f>
        <v>202977.12</v>
      </c>
      <c r="Y52" s="70">
        <f>SUM(W52-Q52)</f>
        <v>0</v>
      </c>
    </row>
    <row r="53" spans="1:28" s="89" customFormat="1" ht="48.75" thickBot="1" x14ac:dyDescent="0.3">
      <c r="A53" s="147" t="str">
        <f>CONCATENATE('3 pr-2'!A140)</f>
        <v>2.1.2.2.5</v>
      </c>
      <c r="B53" s="147" t="str">
        <f>CONCATENATE('3 pr-2'!B140)</f>
        <v>R01-6630-470000-2225</v>
      </c>
      <c r="C53" s="1133" t="str">
        <f>CONCATENATE('3 pr-2'!C140)</f>
        <v/>
      </c>
      <c r="D53" s="147" t="s">
        <v>1487</v>
      </c>
      <c r="E53" s="147" t="s">
        <v>1488</v>
      </c>
      <c r="F53" s="147" t="s">
        <v>103</v>
      </c>
      <c r="G53" s="147" t="s">
        <v>248</v>
      </c>
      <c r="H53" s="324" t="s">
        <v>1467</v>
      </c>
      <c r="I53" s="40" t="s">
        <v>119</v>
      </c>
      <c r="J53" s="40" t="s">
        <v>66</v>
      </c>
      <c r="K53" s="42" t="s">
        <v>66</v>
      </c>
      <c r="L53" s="42">
        <v>198997.18</v>
      </c>
      <c r="M53" s="42">
        <v>14924.79</v>
      </c>
      <c r="N53" s="42">
        <v>14924.79</v>
      </c>
      <c r="O53" s="42">
        <v>0</v>
      </c>
      <c r="P53" s="42">
        <v>0</v>
      </c>
      <c r="Q53" s="1129">
        <v>169147.6</v>
      </c>
      <c r="R53" s="42"/>
      <c r="S53" s="246">
        <v>43189</v>
      </c>
      <c r="T53" s="246">
        <v>43217</v>
      </c>
      <c r="U53" s="1130">
        <v>43278</v>
      </c>
      <c r="V53" s="246">
        <v>44561</v>
      </c>
      <c r="W53" s="88"/>
      <c r="X53" s="88">
        <f>SUM(Q51+Q53)</f>
        <v>332958.59999999998</v>
      </c>
      <c r="Y53" s="88"/>
    </row>
    <row r="54" spans="1:28" ht="30.75" customHeight="1" thickBot="1" x14ac:dyDescent="0.3">
      <c r="A54" s="498" t="s">
        <v>1476</v>
      </c>
      <c r="B54" s="1102"/>
      <c r="C54" s="1102"/>
      <c r="D54" s="1651" t="str">
        <f>CONCATENATE('3 pr-2'!D141)</f>
        <v/>
      </c>
      <c r="E54" s="1709"/>
      <c r="F54" s="1709"/>
      <c r="G54" s="1709"/>
      <c r="H54" s="1709"/>
      <c r="I54" s="1709"/>
      <c r="J54" s="1709"/>
      <c r="K54" s="1710"/>
      <c r="L54" s="500">
        <f t="shared" si="25"/>
        <v>15223.53</v>
      </c>
      <c r="M54" s="500">
        <f t="shared" si="25"/>
        <v>1141.77</v>
      </c>
      <c r="N54" s="500">
        <f t="shared" si="25"/>
        <v>1141.76</v>
      </c>
      <c r="O54" s="500">
        <f t="shared" si="25"/>
        <v>0</v>
      </c>
      <c r="P54" s="500">
        <f t="shared" si="25"/>
        <v>0</v>
      </c>
      <c r="Q54" s="500">
        <f t="shared" si="25"/>
        <v>12940</v>
      </c>
      <c r="R54" s="148"/>
      <c r="S54" s="500"/>
      <c r="T54" s="500"/>
      <c r="U54" s="500"/>
      <c r="V54" s="500"/>
      <c r="W54" s="70">
        <v>12940</v>
      </c>
      <c r="X54" s="70">
        <f>SUM(W54*120/100)</f>
        <v>15528</v>
      </c>
      <c r="Y54" s="70">
        <f>SUM(W54-Q54)</f>
        <v>0</v>
      </c>
    </row>
    <row r="55" spans="1:28" s="89" customFormat="1" ht="48.75" thickBot="1" x14ac:dyDescent="0.3">
      <c r="A55" s="147" t="str">
        <f>CONCATENATE('3 pr-2'!A144)</f>
        <v>2.1.2.3.3</v>
      </c>
      <c r="B55" s="147" t="str">
        <f>CONCATENATE('3 pr-2'!B144)</f>
        <v>R01-6615-470000-2233</v>
      </c>
      <c r="C55" s="1133" t="str">
        <f>CONCATENATE('3 pr-2'!C144)</f>
        <v/>
      </c>
      <c r="D55" s="147" t="s">
        <v>1497</v>
      </c>
      <c r="E55" s="147" t="s">
        <v>161</v>
      </c>
      <c r="F55" s="147" t="s">
        <v>103</v>
      </c>
      <c r="G55" s="147" t="s">
        <v>248</v>
      </c>
      <c r="H55" s="324" t="s">
        <v>1482</v>
      </c>
      <c r="I55" s="40" t="s">
        <v>119</v>
      </c>
      <c r="J55" s="40" t="s">
        <v>66</v>
      </c>
      <c r="K55" s="42" t="s">
        <v>66</v>
      </c>
      <c r="L55" s="42">
        <v>15223.53</v>
      </c>
      <c r="M55" s="42">
        <v>1141.77</v>
      </c>
      <c r="N55" s="42">
        <v>1141.76</v>
      </c>
      <c r="O55" s="42">
        <v>0</v>
      </c>
      <c r="P55" s="42">
        <v>0</v>
      </c>
      <c r="Q55" s="1129">
        <v>12940</v>
      </c>
      <c r="R55" s="42"/>
      <c r="S55" s="246">
        <v>43189</v>
      </c>
      <c r="T55" s="246">
        <v>43189</v>
      </c>
      <c r="U55" s="1130">
        <v>43250</v>
      </c>
      <c r="V55" s="246">
        <v>44561</v>
      </c>
      <c r="W55" s="88"/>
      <c r="X55" s="88">
        <f>SUM(Q53+Q55)</f>
        <v>182087.6</v>
      </c>
      <c r="Y55" s="88"/>
      <c r="AA55" s="1131"/>
    </row>
    <row r="56" spans="1:28" ht="42.75" customHeight="1" thickBot="1" x14ac:dyDescent="0.3">
      <c r="A56" s="216" t="s">
        <v>35</v>
      </c>
      <c r="B56" s="1106"/>
      <c r="C56" s="1106"/>
      <c r="D56" s="1653" t="s">
        <v>667</v>
      </c>
      <c r="E56" s="1666"/>
      <c r="F56" s="1666"/>
      <c r="G56" s="1666"/>
      <c r="H56" s="1666"/>
      <c r="I56" s="1666"/>
      <c r="J56" s="1666"/>
      <c r="K56" s="1667"/>
      <c r="L56" s="196">
        <f t="shared" ref="L56:Q56" si="26">SUM(L57+L59)</f>
        <v>514918</v>
      </c>
      <c r="M56" s="196">
        <f t="shared" si="26"/>
        <v>55587</v>
      </c>
      <c r="N56" s="196">
        <f t="shared" si="26"/>
        <v>21948</v>
      </c>
      <c r="O56" s="196">
        <f t="shared" si="26"/>
        <v>0</v>
      </c>
      <c r="P56" s="196">
        <f t="shared" si="26"/>
        <v>0</v>
      </c>
      <c r="Q56" s="196">
        <f t="shared" si="26"/>
        <v>437383</v>
      </c>
      <c r="R56" s="196"/>
      <c r="S56" s="197"/>
      <c r="T56" s="197"/>
      <c r="U56" s="197"/>
      <c r="V56" s="237"/>
      <c r="W56" s="69">
        <f>SUM(W57+W59)</f>
        <v>437382.655699722</v>
      </c>
      <c r="X56" s="69">
        <f>SUM(X57+X59)</f>
        <v>524859.18683966645</v>
      </c>
      <c r="Y56" s="69">
        <f>SUM(Y57+Y59)</f>
        <v>-0.34430027802591212</v>
      </c>
    </row>
    <row r="57" spans="1:28" ht="34.5" customHeight="1" thickBot="1" x14ac:dyDescent="0.3">
      <c r="A57" s="498" t="s">
        <v>36</v>
      </c>
      <c r="B57" s="1102"/>
      <c r="C57" s="1102"/>
      <c r="D57" s="1651" t="s">
        <v>663</v>
      </c>
      <c r="E57" s="1660"/>
      <c r="F57" s="1660"/>
      <c r="G57" s="1660"/>
      <c r="H57" s="1660"/>
      <c r="I57" s="1660"/>
      <c r="J57" s="1660"/>
      <c r="K57" s="1661"/>
      <c r="L57" s="500">
        <f>SUM(L58)</f>
        <v>146319</v>
      </c>
      <c r="M57" s="500">
        <f>SUM(M58)</f>
        <v>0</v>
      </c>
      <c r="N57" s="500">
        <f t="shared" ref="N57:P57" si="27">SUM(N58)</f>
        <v>21948</v>
      </c>
      <c r="O57" s="500">
        <f t="shared" si="27"/>
        <v>0</v>
      </c>
      <c r="P57" s="500">
        <f t="shared" si="27"/>
        <v>0</v>
      </c>
      <c r="Q57" s="500">
        <f>SUM(Q58)</f>
        <v>124371</v>
      </c>
      <c r="R57" s="148"/>
      <c r="S57" s="500"/>
      <c r="T57" s="500"/>
      <c r="U57" s="500"/>
      <c r="V57" s="500"/>
      <c r="W57" s="70">
        <v>124370.65569972197</v>
      </c>
      <c r="X57" s="70">
        <f>SUM(W57*120/100)</f>
        <v>149244.78683966637</v>
      </c>
      <c r="Y57" s="70">
        <f>SUM(W57-Q57)</f>
        <v>-0.34430027802591212</v>
      </c>
    </row>
    <row r="58" spans="1:28" ht="48.75" customHeight="1" thickBot="1" x14ac:dyDescent="0.3">
      <c r="A58" s="147" t="str">
        <f>CONCATENATE('3 pr-2'!A153)</f>
        <v>2.1.3.1.5</v>
      </c>
      <c r="B58" s="147" t="str">
        <f>CONCATENATE('3 pr-2'!B153)</f>
        <v>R01-4407-270000-2315</v>
      </c>
      <c r="C58" s="1133" t="str">
        <f>CONCATENATE('3 pr-2'!C153)</f>
        <v>08.1.1-CPVA-R-407-11-0003</v>
      </c>
      <c r="D58" s="147" t="s">
        <v>331</v>
      </c>
      <c r="E58" s="147" t="s">
        <v>332</v>
      </c>
      <c r="F58" s="147" t="s">
        <v>106</v>
      </c>
      <c r="G58" s="147" t="s">
        <v>248</v>
      </c>
      <c r="H58" s="324" t="s">
        <v>154</v>
      </c>
      <c r="I58" s="40" t="s">
        <v>119</v>
      </c>
      <c r="J58" s="40" t="s">
        <v>66</v>
      </c>
      <c r="K58" s="42" t="s">
        <v>66</v>
      </c>
      <c r="L58" s="42">
        <f>SUM(M58:Q58)</f>
        <v>146319</v>
      </c>
      <c r="M58" s="42">
        <v>0</v>
      </c>
      <c r="N58" s="42">
        <v>21948</v>
      </c>
      <c r="O58" s="42">
        <v>0</v>
      </c>
      <c r="P58" s="42">
        <v>0</v>
      </c>
      <c r="Q58" s="42">
        <v>124371</v>
      </c>
      <c r="R58" s="788">
        <v>42618</v>
      </c>
      <c r="S58" s="550">
        <v>42669</v>
      </c>
      <c r="T58" s="550">
        <v>42735</v>
      </c>
      <c r="U58" s="550">
        <v>42855</v>
      </c>
      <c r="V58" s="799">
        <f>SUM('IV-1 su proj'!CH152)</f>
        <v>43615</v>
      </c>
      <c r="W58" s="67"/>
      <c r="X58" s="67"/>
      <c r="Y58" s="67"/>
    </row>
    <row r="59" spans="1:28" ht="30" customHeight="1" thickBot="1" x14ac:dyDescent="0.3">
      <c r="A59" s="498" t="s">
        <v>37</v>
      </c>
      <c r="B59" s="1102"/>
      <c r="C59" s="1102"/>
      <c r="D59" s="1651" t="s">
        <v>664</v>
      </c>
      <c r="E59" s="1660"/>
      <c r="F59" s="1660"/>
      <c r="G59" s="1660"/>
      <c r="H59" s="1660"/>
      <c r="I59" s="1660"/>
      <c r="J59" s="1660"/>
      <c r="K59" s="1661"/>
      <c r="L59" s="500">
        <f>SUM(L60)</f>
        <v>368599</v>
      </c>
      <c r="M59" s="500">
        <f>SUM(M60)</f>
        <v>55587</v>
      </c>
      <c r="N59" s="500"/>
      <c r="O59" s="500"/>
      <c r="P59" s="500"/>
      <c r="Q59" s="500">
        <f>SUM(Q60)</f>
        <v>313012</v>
      </c>
      <c r="R59" s="148"/>
      <c r="S59" s="500"/>
      <c r="T59" s="500"/>
      <c r="U59" s="500"/>
      <c r="V59" s="500"/>
      <c r="W59" s="70">
        <v>313012</v>
      </c>
      <c r="X59" s="70">
        <f>SUM(W59*120/100)</f>
        <v>375614.4</v>
      </c>
      <c r="Y59" s="70">
        <f>SUM(W59-Q59)</f>
        <v>0</v>
      </c>
    </row>
    <row r="60" spans="1:28" s="89" customFormat="1" ht="48.75" thickBot="1" x14ac:dyDescent="0.3">
      <c r="A60" s="147" t="str">
        <f>CONCATENATE('3 pr-2'!A159)</f>
        <v>2.1.3.2.5</v>
      </c>
      <c r="B60" s="147" t="str">
        <f>CONCATENATE('3 pr-2'!B159)</f>
        <v>R01-4408-252600-2325</v>
      </c>
      <c r="C60" s="1133" t="str">
        <f>CONCATENATE('3 pr-2'!C159)</f>
        <v>08.1.2-CPVA-R-408-11-0004</v>
      </c>
      <c r="D60" s="147" t="s">
        <v>291</v>
      </c>
      <c r="E60" s="147" t="s">
        <v>161</v>
      </c>
      <c r="F60" s="147" t="s">
        <v>106</v>
      </c>
      <c r="G60" s="147" t="s">
        <v>248</v>
      </c>
      <c r="H60" s="324" t="s">
        <v>155</v>
      </c>
      <c r="I60" s="40" t="s">
        <v>119</v>
      </c>
      <c r="J60" s="40" t="s">
        <v>66</v>
      </c>
      <c r="K60" s="42" t="s">
        <v>66</v>
      </c>
      <c r="L60" s="42">
        <f>SUM(M60:Q60)</f>
        <v>368599</v>
      </c>
      <c r="M60" s="42">
        <v>55587</v>
      </c>
      <c r="N60" s="42">
        <v>0</v>
      </c>
      <c r="O60" s="42">
        <v>0</v>
      </c>
      <c r="P60" s="42">
        <v>0</v>
      </c>
      <c r="Q60" s="42">
        <v>313012</v>
      </c>
      <c r="R60" s="788">
        <v>42401</v>
      </c>
      <c r="S60" s="550">
        <v>42490</v>
      </c>
      <c r="T60" s="550">
        <v>42674</v>
      </c>
      <c r="U60" s="550">
        <v>42735</v>
      </c>
      <c r="V60" s="799">
        <v>43554</v>
      </c>
      <c r="W60" s="88"/>
      <c r="X60" s="88"/>
      <c r="Y60" s="88"/>
    </row>
    <row r="61" spans="1:28" ht="38.25" customHeight="1" thickBot="1" x14ac:dyDescent="0.3">
      <c r="A61" s="216" t="s">
        <v>38</v>
      </c>
      <c r="B61" s="1106"/>
      <c r="C61" s="1106"/>
      <c r="D61" s="1653" t="s">
        <v>665</v>
      </c>
      <c r="E61" s="1654"/>
      <c r="F61" s="1654"/>
      <c r="G61" s="1654"/>
      <c r="H61" s="1654"/>
      <c r="I61" s="1654"/>
      <c r="J61" s="1654"/>
      <c r="K61" s="1655"/>
      <c r="L61" s="219">
        <f t="shared" ref="L61:Q62" si="28">SUM(L62)</f>
        <v>163987</v>
      </c>
      <c r="M61" s="219">
        <f t="shared" si="28"/>
        <v>24598</v>
      </c>
      <c r="N61" s="219">
        <f t="shared" si="28"/>
        <v>0</v>
      </c>
      <c r="O61" s="219">
        <f t="shared" si="28"/>
        <v>0</v>
      </c>
      <c r="P61" s="219">
        <f t="shared" si="28"/>
        <v>0</v>
      </c>
      <c r="Q61" s="219">
        <f t="shared" si="28"/>
        <v>139389</v>
      </c>
      <c r="R61" s="219"/>
      <c r="S61" s="584"/>
      <c r="T61" s="585"/>
      <c r="U61" s="585"/>
      <c r="V61" s="586"/>
      <c r="W61" s="69">
        <f>SUM(W62)</f>
        <v>139389.14184089529</v>
      </c>
      <c r="X61" s="69">
        <f>SUM(X62)</f>
        <v>167266.97020907435</v>
      </c>
      <c r="Y61" s="69">
        <f>SUM(Y62)</f>
        <v>0.14184089528862387</v>
      </c>
    </row>
    <row r="62" spans="1:28" ht="30" customHeight="1" thickBot="1" x14ac:dyDescent="0.3">
      <c r="A62" s="498" t="s">
        <v>109</v>
      </c>
      <c r="B62" s="1102"/>
      <c r="C62" s="1102"/>
      <c r="D62" s="1651" t="s">
        <v>666</v>
      </c>
      <c r="E62" s="1660"/>
      <c r="F62" s="1660"/>
      <c r="G62" s="1660"/>
      <c r="H62" s="1660"/>
      <c r="I62" s="1660"/>
      <c r="J62" s="1660"/>
      <c r="K62" s="1661"/>
      <c r="L62" s="500">
        <f>SUM(L63)</f>
        <v>163987</v>
      </c>
      <c r="M62" s="500">
        <f>SUM(M63)</f>
        <v>24598</v>
      </c>
      <c r="N62" s="500">
        <f t="shared" si="28"/>
        <v>0</v>
      </c>
      <c r="O62" s="500">
        <f t="shared" si="28"/>
        <v>0</v>
      </c>
      <c r="P62" s="500">
        <f t="shared" si="28"/>
        <v>0</v>
      </c>
      <c r="Q62" s="500">
        <f>SUM(Q63)</f>
        <v>139389</v>
      </c>
      <c r="R62" s="148"/>
      <c r="S62" s="500"/>
      <c r="T62" s="500"/>
      <c r="U62" s="500"/>
      <c r="V62" s="500"/>
      <c r="W62" s="70">
        <v>139389.14184089529</v>
      </c>
      <c r="X62" s="70">
        <f>SUM(W62*120/100)</f>
        <v>167266.97020907435</v>
      </c>
      <c r="Y62" s="70">
        <f>SUM(W62-Q62)</f>
        <v>0.14184089528862387</v>
      </c>
    </row>
    <row r="63" spans="1:28" ht="48.75" thickBot="1" x14ac:dyDescent="0.3">
      <c r="A63" s="147" t="str">
        <f>CONCATENATE('3 pr-2'!A164)</f>
        <v>2.1.4.1.3</v>
      </c>
      <c r="B63" s="147" t="str">
        <f>CONCATENATE('3 pr-2'!B164)</f>
        <v>R01-9920-490000-2413</v>
      </c>
      <c r="C63" s="1133" t="str">
        <f>CONCATENATE('3 pr-2'!C164)</f>
        <v>10.1.3-ESFA-R-920-11-0003</v>
      </c>
      <c r="D63" s="147" t="s">
        <v>421</v>
      </c>
      <c r="E63" s="147" t="s">
        <v>161</v>
      </c>
      <c r="F63" s="147" t="s">
        <v>75</v>
      </c>
      <c r="G63" s="147" t="s">
        <v>248</v>
      </c>
      <c r="H63" s="324" t="s">
        <v>1375</v>
      </c>
      <c r="I63" s="40" t="s">
        <v>119</v>
      </c>
      <c r="J63" s="40" t="s">
        <v>66</v>
      </c>
      <c r="K63" s="42" t="s">
        <v>66</v>
      </c>
      <c r="L63" s="42">
        <f>SUM(M63:Q63)</f>
        <v>163987</v>
      </c>
      <c r="M63" s="42">
        <v>24598</v>
      </c>
      <c r="N63" s="42">
        <v>0</v>
      </c>
      <c r="O63" s="42">
        <v>0</v>
      </c>
      <c r="P63" s="42">
        <v>0</v>
      </c>
      <c r="Q63" s="42">
        <v>139389</v>
      </c>
      <c r="R63" s="788">
        <v>43017</v>
      </c>
      <c r="S63" s="550">
        <v>43039</v>
      </c>
      <c r="T63" s="550">
        <v>43063</v>
      </c>
      <c r="U63" s="550">
        <v>43131</v>
      </c>
      <c r="V63" s="550">
        <v>44196</v>
      </c>
      <c r="W63" s="67"/>
      <c r="X63" s="67"/>
      <c r="Y63" s="67"/>
    </row>
    <row r="64" spans="1:28" ht="39.75" customHeight="1" thickBot="1" x14ac:dyDescent="0.3">
      <c r="A64" s="224" t="s">
        <v>40</v>
      </c>
      <c r="B64" s="1107"/>
      <c r="C64" s="1107"/>
      <c r="D64" s="1663" t="s">
        <v>1689</v>
      </c>
      <c r="E64" s="1664"/>
      <c r="F64" s="1664"/>
      <c r="G64" s="1664"/>
      <c r="H64" s="1664"/>
      <c r="I64" s="1664"/>
      <c r="J64" s="1664"/>
      <c r="K64" s="1665"/>
      <c r="L64" s="218">
        <f t="shared" ref="L64:Q64" si="29">SUM(L65+L68)</f>
        <v>1151553.0217647059</v>
      </c>
      <c r="M64" s="218">
        <f t="shared" si="29"/>
        <v>199143.5121236539</v>
      </c>
      <c r="N64" s="218">
        <f t="shared" si="29"/>
        <v>0</v>
      </c>
      <c r="O64" s="218">
        <f t="shared" si="29"/>
        <v>0</v>
      </c>
      <c r="P64" s="218">
        <f t="shared" si="29"/>
        <v>0</v>
      </c>
      <c r="Q64" s="218">
        <f t="shared" si="29"/>
        <v>978820.08000000007</v>
      </c>
      <c r="R64" s="218"/>
      <c r="S64" s="225"/>
      <c r="T64" s="225"/>
      <c r="U64" s="225"/>
      <c r="V64" s="236"/>
      <c r="W64" s="68">
        <f>SUM(W65+W68)</f>
        <v>989368.88</v>
      </c>
      <c r="X64" s="68">
        <f>SUM(X65+X68)</f>
        <v>1187242.656</v>
      </c>
      <c r="Y64" s="68">
        <f>SUM(Y65+Y68)</f>
        <v>10548.799999999988</v>
      </c>
    </row>
    <row r="65" spans="1:25" ht="41.25" customHeight="1" thickBot="1" x14ac:dyDescent="0.3">
      <c r="A65" s="216" t="s">
        <v>41</v>
      </c>
      <c r="B65" s="1106"/>
      <c r="C65" s="1106"/>
      <c r="D65" s="1653" t="s">
        <v>1690</v>
      </c>
      <c r="E65" s="1666"/>
      <c r="F65" s="1666"/>
      <c r="G65" s="1666"/>
      <c r="H65" s="1666"/>
      <c r="I65" s="1666"/>
      <c r="J65" s="1666"/>
      <c r="K65" s="1667"/>
      <c r="L65" s="196">
        <f t="shared" ref="L65:Q65" si="30">SUM(L66)</f>
        <v>559462.21176470583</v>
      </c>
      <c r="M65" s="196">
        <f t="shared" si="30"/>
        <v>110329.9021236539</v>
      </c>
      <c r="N65" s="196">
        <f t="shared" si="30"/>
        <v>0</v>
      </c>
      <c r="O65" s="196">
        <f t="shared" si="30"/>
        <v>0</v>
      </c>
      <c r="P65" s="196">
        <f t="shared" si="30"/>
        <v>0</v>
      </c>
      <c r="Q65" s="196">
        <f t="shared" si="30"/>
        <v>475542.88</v>
      </c>
      <c r="R65" s="196"/>
      <c r="S65" s="197"/>
      <c r="T65" s="197"/>
      <c r="U65" s="197"/>
      <c r="V65" s="237"/>
      <c r="W65" s="69">
        <f>SUM(W66)</f>
        <v>475542.88</v>
      </c>
      <c r="X65" s="69">
        <f>SUM(X66)</f>
        <v>570651.45600000001</v>
      </c>
      <c r="Y65" s="69">
        <f>SUM(Y66)</f>
        <v>0</v>
      </c>
    </row>
    <row r="66" spans="1:25" ht="36" customHeight="1" thickBot="1" x14ac:dyDescent="0.3">
      <c r="A66" s="498" t="s">
        <v>42</v>
      </c>
      <c r="B66" s="1102"/>
      <c r="C66" s="1102"/>
      <c r="D66" s="1651" t="s">
        <v>637</v>
      </c>
      <c r="E66" s="1660"/>
      <c r="F66" s="1660"/>
      <c r="G66" s="1660"/>
      <c r="H66" s="1660"/>
      <c r="I66" s="1660"/>
      <c r="J66" s="1660"/>
      <c r="K66" s="1661"/>
      <c r="L66" s="500">
        <f t="shared" ref="L66:Q66" si="31">SUM(L67:L67)</f>
        <v>559462.21176470583</v>
      </c>
      <c r="M66" s="500">
        <f t="shared" si="31"/>
        <v>110329.9021236539</v>
      </c>
      <c r="N66" s="500">
        <f t="shared" si="31"/>
        <v>0</v>
      </c>
      <c r="O66" s="500">
        <f t="shared" si="31"/>
        <v>0</v>
      </c>
      <c r="P66" s="500">
        <f t="shared" si="31"/>
        <v>0</v>
      </c>
      <c r="Q66" s="500">
        <f t="shared" si="31"/>
        <v>475542.88</v>
      </c>
      <c r="R66" s="148"/>
      <c r="S66" s="500"/>
      <c r="T66" s="500"/>
      <c r="U66" s="500"/>
      <c r="V66" s="500"/>
      <c r="W66" s="70">
        <v>475542.88</v>
      </c>
      <c r="X66" s="70">
        <f>SUM(W66*120/100)</f>
        <v>570651.45600000001</v>
      </c>
      <c r="Y66" s="70">
        <f>SUM(W66-Q66)</f>
        <v>0</v>
      </c>
    </row>
    <row r="67" spans="1:25" s="89" customFormat="1" ht="48.75" thickBot="1" x14ac:dyDescent="0.3">
      <c r="A67" s="189" t="str">
        <f>CONCATENATE('3 pr-2'!A171)</f>
        <v>3.1.1.1.1</v>
      </c>
      <c r="B67" s="189" t="str">
        <f>CONCATENATE('3 pr-2'!B171)</f>
        <v>R01-0008-050000-3111</v>
      </c>
      <c r="C67" s="1133" t="str">
        <f>CONCATENATE('3 pr-2'!C171)</f>
        <v>05.2.1-APVA-R-008-11-0001</v>
      </c>
      <c r="D67" s="189" t="s">
        <v>323</v>
      </c>
      <c r="E67" s="189" t="s">
        <v>193</v>
      </c>
      <c r="F67" s="189" t="s">
        <v>77</v>
      </c>
      <c r="G67" s="189" t="s">
        <v>324</v>
      </c>
      <c r="H67" s="525" t="s">
        <v>194</v>
      </c>
      <c r="I67" s="590" t="s">
        <v>119</v>
      </c>
      <c r="J67" s="590" t="s">
        <v>66</v>
      </c>
      <c r="K67" s="468" t="s">
        <v>66</v>
      </c>
      <c r="L67" s="468">
        <v>559462.21176470583</v>
      </c>
      <c r="M67" s="468">
        <v>110329.9021236539</v>
      </c>
      <c r="N67" s="468">
        <v>0</v>
      </c>
      <c r="O67" s="468">
        <v>0</v>
      </c>
      <c r="P67" s="468">
        <v>0</v>
      </c>
      <c r="Q67" s="468">
        <v>475542.88</v>
      </c>
      <c r="R67" s="468"/>
      <c r="S67" s="1111">
        <v>42766</v>
      </c>
      <c r="T67" s="1111">
        <v>42916</v>
      </c>
      <c r="U67" s="1111">
        <v>43008</v>
      </c>
      <c r="V67" s="1111">
        <v>43830</v>
      </c>
      <c r="W67" s="88"/>
      <c r="X67" s="88"/>
      <c r="Y67" s="88"/>
    </row>
    <row r="68" spans="1:25" ht="34.5" customHeight="1" thickBot="1" x14ac:dyDescent="0.3">
      <c r="A68" s="216" t="s">
        <v>43</v>
      </c>
      <c r="B68" s="1106"/>
      <c r="C68" s="1106"/>
      <c r="D68" s="1653" t="s">
        <v>1691</v>
      </c>
      <c r="E68" s="1666"/>
      <c r="F68" s="1666"/>
      <c r="G68" s="1666"/>
      <c r="H68" s="1666"/>
      <c r="I68" s="1666"/>
      <c r="J68" s="1666"/>
      <c r="K68" s="1667"/>
      <c r="L68" s="196">
        <f t="shared" ref="L68:Q68" si="32">SUM(L69)</f>
        <v>592090.80999999994</v>
      </c>
      <c r="M68" s="196">
        <f t="shared" si="32"/>
        <v>88813.61</v>
      </c>
      <c r="N68" s="196">
        <f t="shared" si="32"/>
        <v>0</v>
      </c>
      <c r="O68" s="196">
        <f t="shared" si="32"/>
        <v>0</v>
      </c>
      <c r="P68" s="196">
        <f t="shared" si="32"/>
        <v>0</v>
      </c>
      <c r="Q68" s="196">
        <f t="shared" si="32"/>
        <v>503277.2</v>
      </c>
      <c r="R68" s="196"/>
      <c r="S68" s="197"/>
      <c r="T68" s="197"/>
      <c r="U68" s="197"/>
      <c r="V68" s="237"/>
      <c r="W68" s="69">
        <f>SUM(W69)</f>
        <v>513826</v>
      </c>
      <c r="X68" s="69">
        <f>SUM(X69)</f>
        <v>616591.19999999995</v>
      </c>
      <c r="Y68" s="69">
        <f>SUM(Y69)</f>
        <v>10548.799999999988</v>
      </c>
    </row>
    <row r="69" spans="1:25" ht="43.5" customHeight="1" thickBot="1" x14ac:dyDescent="0.3">
      <c r="A69" s="498" t="s">
        <v>113</v>
      </c>
      <c r="B69" s="1102"/>
      <c r="C69" s="1102"/>
      <c r="D69" s="1651" t="s">
        <v>641</v>
      </c>
      <c r="E69" s="1660"/>
      <c r="F69" s="1660"/>
      <c r="G69" s="1660"/>
      <c r="H69" s="1660"/>
      <c r="I69" s="1660"/>
      <c r="J69" s="1660"/>
      <c r="K69" s="1661"/>
      <c r="L69" s="500">
        <f t="shared" ref="L69:Q69" si="33">SUM(L70:L71)</f>
        <v>592090.80999999994</v>
      </c>
      <c r="M69" s="500">
        <f t="shared" si="33"/>
        <v>88813.61</v>
      </c>
      <c r="N69" s="500">
        <f t="shared" si="33"/>
        <v>0</v>
      </c>
      <c r="O69" s="500">
        <f t="shared" si="33"/>
        <v>0</v>
      </c>
      <c r="P69" s="500">
        <f t="shared" si="33"/>
        <v>0</v>
      </c>
      <c r="Q69" s="500">
        <f t="shared" si="33"/>
        <v>503277.2</v>
      </c>
      <c r="R69" s="148"/>
      <c r="S69" s="500"/>
      <c r="T69" s="500"/>
      <c r="U69" s="500"/>
      <c r="V69" s="500"/>
      <c r="W69" s="70">
        <v>513826</v>
      </c>
      <c r="X69" s="70">
        <f>SUM(W69*120/100)</f>
        <v>616591.19999999995</v>
      </c>
      <c r="Y69" s="70">
        <f>SUM(W69-Q69)</f>
        <v>10548.799999999988</v>
      </c>
    </row>
    <row r="70" spans="1:25" ht="48.75" thickBot="1" x14ac:dyDescent="0.3">
      <c r="A70" s="147" t="str">
        <f>CONCATENATE('3 pr-2'!A179)</f>
        <v>3.1.2.1.6</v>
      </c>
      <c r="B70" s="147" t="str">
        <f>CONCATENATE('3 pr-2'!B179)</f>
        <v>R01-0019-380000-3216</v>
      </c>
      <c r="C70" s="1133" t="str">
        <f>CONCATENATE('3 pr-2'!C179)</f>
        <v>05.5.1-APVA-R-019-11-0003</v>
      </c>
      <c r="D70" s="147" t="s">
        <v>302</v>
      </c>
      <c r="E70" s="147" t="s">
        <v>161</v>
      </c>
      <c r="F70" s="147" t="s">
        <v>77</v>
      </c>
      <c r="G70" s="147" t="s">
        <v>248</v>
      </c>
      <c r="H70" s="324" t="s">
        <v>196</v>
      </c>
      <c r="I70" s="40" t="s">
        <v>119</v>
      </c>
      <c r="J70" s="40" t="s">
        <v>66</v>
      </c>
      <c r="K70" s="42" t="s">
        <v>66</v>
      </c>
      <c r="L70" s="1200">
        <f t="shared" ref="L70" si="34">SUM(M70:Q70)</f>
        <v>442298.58999999997</v>
      </c>
      <c r="M70" s="1200">
        <v>66344.78</v>
      </c>
      <c r="N70" s="1110">
        <v>0</v>
      </c>
      <c r="O70" s="1110">
        <v>0</v>
      </c>
      <c r="P70" s="1110">
        <v>0</v>
      </c>
      <c r="Q70" s="1200">
        <v>375953.81</v>
      </c>
      <c r="R70" s="788">
        <v>42598</v>
      </c>
      <c r="S70" s="550">
        <v>42704</v>
      </c>
      <c r="T70" s="550">
        <v>42825</v>
      </c>
      <c r="U70" s="550">
        <v>42916</v>
      </c>
      <c r="V70" s="1111">
        <v>43646</v>
      </c>
      <c r="W70" s="67"/>
      <c r="X70" s="67"/>
      <c r="Y70" s="67"/>
    </row>
    <row r="71" spans="1:25" ht="48.75" thickBot="1" x14ac:dyDescent="0.3">
      <c r="A71" s="147" t="str">
        <f>CONCATENATE('3 pr-2'!A180)</f>
        <v>3.1.2.1.7</v>
      </c>
      <c r="B71" s="147" t="str">
        <f>CONCATENATE('3 pr-2'!B180)</f>
        <v>R01-019-283800-3217</v>
      </c>
      <c r="C71" s="1133" t="str">
        <f>CONCATENATE('3 pr-2'!C180)</f>
        <v/>
      </c>
      <c r="D71" s="848" t="s">
        <v>1750</v>
      </c>
      <c r="E71" s="147" t="s">
        <v>161</v>
      </c>
      <c r="F71" s="147" t="s">
        <v>77</v>
      </c>
      <c r="G71" s="147" t="s">
        <v>248</v>
      </c>
      <c r="H71" s="324" t="s">
        <v>196</v>
      </c>
      <c r="I71" s="40" t="s">
        <v>119</v>
      </c>
      <c r="J71" s="40" t="s">
        <v>66</v>
      </c>
      <c r="K71" s="42" t="s">
        <v>66</v>
      </c>
      <c r="L71" s="1200">
        <f t="shared" ref="L71" si="35">SUM(M71:Q71)</f>
        <v>149792.22</v>
      </c>
      <c r="M71" s="1200">
        <v>22468.83</v>
      </c>
      <c r="N71" s="1110">
        <v>0</v>
      </c>
      <c r="O71" s="1110">
        <v>0</v>
      </c>
      <c r="P71" s="1110">
        <v>0</v>
      </c>
      <c r="Q71" s="1200">
        <v>127323.39</v>
      </c>
      <c r="R71" s="788">
        <v>43277</v>
      </c>
      <c r="S71" s="886">
        <v>43373</v>
      </c>
      <c r="T71" s="886">
        <v>43434</v>
      </c>
      <c r="U71" s="886">
        <v>43495</v>
      </c>
      <c r="V71" s="1492">
        <v>44469</v>
      </c>
      <c r="W71" s="67"/>
      <c r="X71" s="67"/>
      <c r="Y71" s="67"/>
    </row>
    <row r="72" spans="1:25" ht="15.75" thickBot="1" x14ac:dyDescent="0.3">
      <c r="A72" s="92"/>
      <c r="B72" s="93"/>
      <c r="C72" s="93"/>
      <c r="D72" s="93"/>
      <c r="E72" s="93"/>
      <c r="F72" s="93"/>
      <c r="G72" s="93"/>
      <c r="H72" s="94"/>
      <c r="I72" s="100"/>
      <c r="J72" s="100"/>
      <c r="K72" s="100"/>
      <c r="L72" s="83">
        <f t="shared" ref="L72:Q72" si="36">SUM(L5+L41+L64)</f>
        <v>7502550.1735294117</v>
      </c>
      <c r="M72" s="83">
        <f t="shared" si="36"/>
        <v>1026227.2938883598</v>
      </c>
      <c r="N72" s="83">
        <f t="shared" si="36"/>
        <v>236308.59378378378</v>
      </c>
      <c r="O72" s="83">
        <f t="shared" si="36"/>
        <v>509597.01</v>
      </c>
      <c r="P72" s="83">
        <f t="shared" si="36"/>
        <v>0</v>
      </c>
      <c r="Q72" s="83">
        <f t="shared" si="36"/>
        <v>5756827.8462162167</v>
      </c>
      <c r="R72" s="578"/>
      <c r="S72" s="100"/>
      <c r="T72" s="100"/>
      <c r="U72" s="100"/>
      <c r="V72" s="1132"/>
      <c r="W72" s="84">
        <f>SUM(W5+W41+W64)</f>
        <v>5755741.3232784206</v>
      </c>
      <c r="X72" s="84">
        <f>SUM(X5+X41+X64)</f>
        <v>6906889.5879341066</v>
      </c>
      <c r="Y72" s="84">
        <f>SUM(Y5+Y41+Y64)</f>
        <v>-1086.5229377948708</v>
      </c>
    </row>
    <row r="73" spans="1:25" ht="15.75" thickTop="1" x14ac:dyDescent="0.25"/>
    <row r="74" spans="1:25" x14ac:dyDescent="0.25">
      <c r="P74" s="103"/>
    </row>
    <row r="75" spans="1:25" x14ac:dyDescent="0.25">
      <c r="N75" s="85">
        <v>777879.2799999998</v>
      </c>
      <c r="O75" s="85">
        <v>3352807.77</v>
      </c>
    </row>
    <row r="77" spans="1:25" x14ac:dyDescent="0.25">
      <c r="N77" s="103">
        <f>SUM(N75*O77/O75)</f>
        <v>110329.9021236539</v>
      </c>
      <c r="O77" s="85">
        <v>475542.88</v>
      </c>
    </row>
  </sheetData>
  <mergeCells count="41">
    <mergeCell ref="D5:K5"/>
    <mergeCell ref="D41:K41"/>
    <mergeCell ref="Y2:Y3"/>
    <mergeCell ref="A2:K2"/>
    <mergeCell ref="L2:Q2"/>
    <mergeCell ref="W2:W3"/>
    <mergeCell ref="X2:X3"/>
    <mergeCell ref="R2:V2"/>
    <mergeCell ref="D35:K35"/>
    <mergeCell ref="D37:K37"/>
    <mergeCell ref="D28:K28"/>
    <mergeCell ref="D30:K30"/>
    <mergeCell ref="D33:K33"/>
    <mergeCell ref="D7:K7"/>
    <mergeCell ref="D6:K6"/>
    <mergeCell ref="D32:K32"/>
    <mergeCell ref="D43:K43"/>
    <mergeCell ref="D66:K66"/>
    <mergeCell ref="D42:K42"/>
    <mergeCell ref="D49:K49"/>
    <mergeCell ref="D56:K56"/>
    <mergeCell ref="D45:K45"/>
    <mergeCell ref="D47:K47"/>
    <mergeCell ref="D50:K50"/>
    <mergeCell ref="D52:K52"/>
    <mergeCell ref="D69:K69"/>
    <mergeCell ref="D65:K65"/>
    <mergeCell ref="D68:K68"/>
    <mergeCell ref="D14:K14"/>
    <mergeCell ref="D16:K16"/>
    <mergeCell ref="D18:K18"/>
    <mergeCell ref="D20:K20"/>
    <mergeCell ref="D54:K54"/>
    <mergeCell ref="D64:K64"/>
    <mergeCell ref="D61:K61"/>
    <mergeCell ref="D57:K57"/>
    <mergeCell ref="D59:K59"/>
    <mergeCell ref="D62:K62"/>
    <mergeCell ref="D22:K22"/>
    <mergeCell ref="D24:K24"/>
    <mergeCell ref="D39:K39"/>
  </mergeCell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83"/>
  <sheetViews>
    <sheetView workbookViewId="0">
      <pane ySplit="2640" topLeftCell="A55" activePane="bottomLeft"/>
      <selection activeCell="C3" sqref="C3"/>
      <selection pane="bottomLeft" activeCell="L56" sqref="L56:N56"/>
    </sheetView>
  </sheetViews>
  <sheetFormatPr defaultColWidth="9.140625" defaultRowHeight="15" x14ac:dyDescent="0.25"/>
  <cols>
    <col min="1" max="1" width="9.140625" style="58"/>
    <col min="2" max="2" width="11.28515625" style="58" customWidth="1"/>
    <col min="3" max="3" width="12.5703125" style="58" customWidth="1"/>
    <col min="4" max="4" width="27.5703125" style="58" customWidth="1"/>
    <col min="5" max="5" width="10.28515625" style="58" customWidth="1"/>
    <col min="6" max="6" width="14.42578125" style="58" bestFit="1" customWidth="1"/>
    <col min="7" max="7" width="11.42578125" style="58" customWidth="1"/>
    <col min="8" max="8" width="17.42578125" style="58" customWidth="1"/>
    <col min="9" max="11" width="9.140625" style="58"/>
    <col min="12" max="12" width="14.28515625" style="58" bestFit="1" customWidth="1"/>
    <col min="13" max="15" width="10.5703125" style="58" bestFit="1" customWidth="1"/>
    <col min="16" max="16" width="9.140625" style="58"/>
    <col min="17" max="17" width="12.7109375" style="58" bestFit="1" customWidth="1"/>
    <col min="18" max="18" width="12.7109375" style="58" hidden="1" customWidth="1"/>
    <col min="19" max="19" width="11.85546875" style="58" customWidth="1"/>
    <col min="20" max="20" width="10.28515625" style="58" customWidth="1"/>
    <col min="21" max="21" width="9.140625" style="58"/>
    <col min="22" max="22" width="10.85546875" style="249" customWidth="1"/>
    <col min="23" max="24" width="18" style="58" hidden="1" customWidth="1"/>
    <col min="25" max="25" width="22.42578125" style="58" hidden="1" customWidth="1"/>
    <col min="26" max="26" width="9.140625" style="58" customWidth="1"/>
    <col min="27" max="16384" width="9.140625" style="58"/>
  </cols>
  <sheetData>
    <row r="1" spans="1:25" ht="15.75" thickBot="1" x14ac:dyDescent="0.3">
      <c r="A1" s="59" t="s">
        <v>73</v>
      </c>
      <c r="B1" s="59"/>
      <c r="C1" s="59"/>
    </row>
    <row r="2" spans="1:25" ht="16.5" customHeight="1" thickTop="1" thickBot="1" x14ac:dyDescent="0.3">
      <c r="A2" s="1721" t="s">
        <v>46</v>
      </c>
      <c r="B2" s="1722"/>
      <c r="C2" s="1722"/>
      <c r="D2" s="1722"/>
      <c r="E2" s="1722"/>
      <c r="F2" s="1722"/>
      <c r="G2" s="1722"/>
      <c r="H2" s="1722"/>
      <c r="I2" s="1722"/>
      <c r="J2" s="1722"/>
      <c r="K2" s="1723"/>
      <c r="L2" s="1724" t="s">
        <v>47</v>
      </c>
      <c r="M2" s="1722"/>
      <c r="N2" s="1722"/>
      <c r="O2" s="1722"/>
      <c r="P2" s="1722"/>
      <c r="Q2" s="1723"/>
      <c r="R2" s="1724" t="s">
        <v>48</v>
      </c>
      <c r="S2" s="1726"/>
      <c r="T2" s="1726"/>
      <c r="U2" s="1726"/>
      <c r="V2" s="1727"/>
      <c r="W2" s="1719" t="s">
        <v>117</v>
      </c>
      <c r="X2" s="1719" t="s">
        <v>118</v>
      </c>
      <c r="Y2" s="1719" t="s">
        <v>122</v>
      </c>
    </row>
    <row r="3" spans="1:25" ht="84.75" thickBot="1" x14ac:dyDescent="0.3">
      <c r="A3" s="60" t="s">
        <v>7</v>
      </c>
      <c r="B3" s="61" t="str">
        <f>CONCATENATE('3 pr-2'!B4)</f>
        <v xml:space="preserve">Unikalus numeris**** </v>
      </c>
      <c r="C3" s="61" t="str">
        <f>CONCATENATE('3 pr-2'!C4)</f>
        <v>Projekto kodas</v>
      </c>
      <c r="D3" s="61" t="s">
        <v>49</v>
      </c>
      <c r="E3" s="61" t="s">
        <v>50</v>
      </c>
      <c r="F3" s="61" t="s">
        <v>51</v>
      </c>
      <c r="G3" s="61" t="s">
        <v>52</v>
      </c>
      <c r="H3" s="62" t="s">
        <v>53</v>
      </c>
      <c r="I3" s="61" t="s">
        <v>54</v>
      </c>
      <c r="J3" s="61" t="s">
        <v>55</v>
      </c>
      <c r="K3" s="61" t="s">
        <v>56</v>
      </c>
      <c r="L3" s="61" t="s">
        <v>57</v>
      </c>
      <c r="M3" s="61" t="s">
        <v>58</v>
      </c>
      <c r="N3" s="61" t="s">
        <v>59</v>
      </c>
      <c r="O3" s="61" t="s">
        <v>60</v>
      </c>
      <c r="P3" s="61" t="s">
        <v>61</v>
      </c>
      <c r="Q3" s="61" t="s">
        <v>10</v>
      </c>
      <c r="R3" s="1112" t="s">
        <v>1381</v>
      </c>
      <c r="S3" s="61" t="s">
        <v>62</v>
      </c>
      <c r="T3" s="61" t="s">
        <v>63</v>
      </c>
      <c r="U3" s="61" t="s">
        <v>64</v>
      </c>
      <c r="V3" s="232" t="s">
        <v>65</v>
      </c>
      <c r="W3" s="1720"/>
      <c r="X3" s="1720"/>
      <c r="Y3" s="1720"/>
    </row>
    <row r="4" spans="1:25" ht="15.75" thickBot="1" x14ac:dyDescent="0.3">
      <c r="A4" s="64"/>
      <c r="B4" s="65"/>
      <c r="C4" s="65"/>
      <c r="D4" s="65"/>
      <c r="E4" s="65"/>
      <c r="F4" s="65"/>
      <c r="G4" s="65"/>
      <c r="H4" s="66"/>
      <c r="I4" s="65"/>
      <c r="J4" s="65"/>
      <c r="K4" s="65"/>
      <c r="L4" s="65"/>
      <c r="M4" s="65"/>
      <c r="N4" s="65"/>
      <c r="O4" s="65"/>
      <c r="P4" s="65"/>
      <c r="Q4" s="65"/>
      <c r="R4" s="65"/>
      <c r="S4" s="65"/>
      <c r="T4" s="65"/>
      <c r="U4" s="65"/>
      <c r="V4" s="250"/>
      <c r="W4" s="67"/>
      <c r="X4" s="67"/>
      <c r="Y4" s="67"/>
    </row>
    <row r="5" spans="1:25" ht="59.25" customHeight="1" thickBot="1" x14ac:dyDescent="0.3">
      <c r="A5" s="224" t="s">
        <v>11</v>
      </c>
      <c r="B5" s="1107"/>
      <c r="C5" s="1107"/>
      <c r="D5" s="1663" t="s">
        <v>1686</v>
      </c>
      <c r="E5" s="1664"/>
      <c r="F5" s="1664"/>
      <c r="G5" s="1664"/>
      <c r="H5" s="1664"/>
      <c r="I5" s="1664"/>
      <c r="J5" s="1664"/>
      <c r="K5" s="1665"/>
      <c r="L5" s="218">
        <f t="shared" ref="L5:Q5" si="0">SUM(L6+L37)</f>
        <v>10859210.771764705</v>
      </c>
      <c r="M5" s="218">
        <f t="shared" si="0"/>
        <v>991311.06176470593</v>
      </c>
      <c r="N5" s="218">
        <f t="shared" si="0"/>
        <v>563951.09000000008</v>
      </c>
      <c r="O5" s="218">
        <f t="shared" si="0"/>
        <v>862874.97</v>
      </c>
      <c r="P5" s="218">
        <f t="shared" si="0"/>
        <v>62660</v>
      </c>
      <c r="Q5" s="218">
        <f t="shared" si="0"/>
        <v>8378413.6499999985</v>
      </c>
      <c r="R5" s="218"/>
      <c r="S5" s="225" t="s">
        <v>66</v>
      </c>
      <c r="T5" s="225" t="s">
        <v>66</v>
      </c>
      <c r="U5" s="225" t="s">
        <v>66</v>
      </c>
      <c r="V5" s="236"/>
      <c r="W5" s="68">
        <f>SUM(W6+W37)</f>
        <v>8709654.9474999998</v>
      </c>
      <c r="X5" s="68">
        <f>SUM(X6+X37)</f>
        <v>10451585.937000003</v>
      </c>
      <c r="Y5" s="68">
        <f>SUM(Q6+Q37)</f>
        <v>8378413.6499999985</v>
      </c>
    </row>
    <row r="6" spans="1:25" ht="49.5" customHeight="1" thickBot="1" x14ac:dyDescent="0.3">
      <c r="A6" s="216" t="s">
        <v>12</v>
      </c>
      <c r="B6" s="1106"/>
      <c r="C6" s="1106"/>
      <c r="D6" s="1653" t="s">
        <v>1687</v>
      </c>
      <c r="E6" s="1666"/>
      <c r="F6" s="1666"/>
      <c r="G6" s="1666"/>
      <c r="H6" s="1666"/>
      <c r="I6" s="1666"/>
      <c r="J6" s="1666"/>
      <c r="K6" s="1667"/>
      <c r="L6" s="196">
        <f t="shared" ref="L6:Q6" si="1">SUM(L7+L13+L16+L23+L25+L27+L29+L33+L35)</f>
        <v>9928666.771764705</v>
      </c>
      <c r="M6" s="196">
        <f t="shared" si="1"/>
        <v>914381.06176470593</v>
      </c>
      <c r="N6" s="196">
        <f t="shared" si="1"/>
        <v>563951.09000000008</v>
      </c>
      <c r="O6" s="196">
        <f t="shared" si="1"/>
        <v>862874.97</v>
      </c>
      <c r="P6" s="196">
        <f t="shared" si="1"/>
        <v>0</v>
      </c>
      <c r="Q6" s="196">
        <f t="shared" si="1"/>
        <v>7587459.6499999985</v>
      </c>
      <c r="R6" s="196"/>
      <c r="S6" s="197" t="s">
        <v>66</v>
      </c>
      <c r="T6" s="197" t="s">
        <v>66</v>
      </c>
      <c r="U6" s="197" t="s">
        <v>66</v>
      </c>
      <c r="V6" s="237"/>
      <c r="W6" s="69">
        <f>SUM(W7+W13+W16+W23+W25+W27+W29+W33+W35)</f>
        <v>7673165.9474999998</v>
      </c>
      <c r="X6" s="69">
        <f>SUM(X7+X13+X16+X23+X25+X27+X29+X33+X35)</f>
        <v>9207799.137000002</v>
      </c>
      <c r="Y6" s="69">
        <f>SUM(Q7+Q13+Q16+Q25+Q29+Q33+Q35)</f>
        <v>7587459.6499999985</v>
      </c>
    </row>
    <row r="7" spans="1:25" ht="33" customHeight="1" thickBot="1" x14ac:dyDescent="0.3">
      <c r="A7" s="498" t="s">
        <v>67</v>
      </c>
      <c r="B7" s="1102"/>
      <c r="C7" s="1102"/>
      <c r="D7" s="1651" t="s">
        <v>635</v>
      </c>
      <c r="E7" s="1660"/>
      <c r="F7" s="1660"/>
      <c r="G7" s="1660"/>
      <c r="H7" s="1660"/>
      <c r="I7" s="1660"/>
      <c r="J7" s="1660"/>
      <c r="K7" s="1661"/>
      <c r="L7" s="500">
        <f t="shared" ref="L7:Q7" si="2">SUM(L8:L12)</f>
        <v>991499</v>
      </c>
      <c r="M7" s="500">
        <f t="shared" si="2"/>
        <v>198300</v>
      </c>
      <c r="N7" s="500">
        <f t="shared" si="2"/>
        <v>118980</v>
      </c>
      <c r="O7" s="500">
        <f t="shared" si="2"/>
        <v>0</v>
      </c>
      <c r="P7" s="500">
        <f t="shared" si="2"/>
        <v>0</v>
      </c>
      <c r="Q7" s="500">
        <f t="shared" si="2"/>
        <v>674219</v>
      </c>
      <c r="R7" s="148"/>
      <c r="S7" s="500" t="s">
        <v>66</v>
      </c>
      <c r="T7" s="500" t="s">
        <v>66</v>
      </c>
      <c r="U7" s="500" t="s">
        <v>66</v>
      </c>
      <c r="V7" s="500"/>
      <c r="W7" s="70">
        <v>674218</v>
      </c>
      <c r="X7" s="70">
        <f>SUM(W7*120/100)</f>
        <v>809061.6</v>
      </c>
      <c r="Y7" s="71">
        <f>SUM(W7-Q7)</f>
        <v>-1</v>
      </c>
    </row>
    <row r="8" spans="1:25" ht="60.75" thickBot="1" x14ac:dyDescent="0.3">
      <c r="A8" s="147" t="str">
        <f>CONCATENATE('3 pr-2'!A23)</f>
        <v>1.1.1.1.14</v>
      </c>
      <c r="B8" s="147" t="str">
        <f>CONCATENATE('3 pr-2'!B23)</f>
        <v>R01-ZM72-122900-1114</v>
      </c>
      <c r="C8" s="1133" t="str">
        <f>CONCATENATE('3 pr-2'!C23)</f>
        <v>20KI-KA-17-1-01647-PR001</v>
      </c>
      <c r="D8" s="147" t="s">
        <v>453</v>
      </c>
      <c r="E8" s="147" t="s">
        <v>365</v>
      </c>
      <c r="F8" s="147" t="s">
        <v>74</v>
      </c>
      <c r="G8" s="147" t="s">
        <v>293</v>
      </c>
      <c r="H8" s="147" t="s">
        <v>466</v>
      </c>
      <c r="I8" s="40" t="s">
        <v>119</v>
      </c>
      <c r="J8" s="40" t="s">
        <v>66</v>
      </c>
      <c r="K8" s="40" t="s">
        <v>66</v>
      </c>
      <c r="L8" s="42">
        <f>SUM(M8:Q8)</f>
        <v>215626</v>
      </c>
      <c r="M8" s="42">
        <v>43125</v>
      </c>
      <c r="N8" s="42">
        <v>25875</v>
      </c>
      <c r="O8" s="42">
        <v>0</v>
      </c>
      <c r="P8" s="42">
        <v>0</v>
      </c>
      <c r="Q8" s="42">
        <v>146626</v>
      </c>
      <c r="R8" s="788">
        <v>42643</v>
      </c>
      <c r="S8" s="550">
        <v>42855</v>
      </c>
      <c r="T8" s="550">
        <v>43010</v>
      </c>
      <c r="U8" s="1120">
        <v>43102</v>
      </c>
      <c r="V8" s="550">
        <v>43830</v>
      </c>
      <c r="W8" s="67"/>
      <c r="X8" s="67"/>
      <c r="Y8" s="67"/>
    </row>
    <row r="9" spans="1:25" ht="60.75" thickBot="1" x14ac:dyDescent="0.3">
      <c r="A9" s="147" t="str">
        <f>CONCATENATE('3 pr-2'!A26)</f>
        <v>1.1.1.1.17</v>
      </c>
      <c r="B9" s="147" t="str">
        <f>CONCATENATE('3 pr-2'!B26)</f>
        <v>R01-ZM72-120000-1117</v>
      </c>
      <c r="C9" s="1133" t="str">
        <f>CONCATENATE('3 pr-2'!C26)</f>
        <v>20KI-KA-17-1-01639-PR001</v>
      </c>
      <c r="D9" s="147" t="s">
        <v>456</v>
      </c>
      <c r="E9" s="147" t="s">
        <v>365</v>
      </c>
      <c r="F9" s="147" t="s">
        <v>74</v>
      </c>
      <c r="G9" s="147" t="s">
        <v>293</v>
      </c>
      <c r="H9" s="147" t="s">
        <v>466</v>
      </c>
      <c r="I9" s="40" t="s">
        <v>119</v>
      </c>
      <c r="J9" s="40" t="s">
        <v>66</v>
      </c>
      <c r="K9" s="40" t="s">
        <v>66</v>
      </c>
      <c r="L9" s="42">
        <f>SUM(M9:Q9)</f>
        <v>115824</v>
      </c>
      <c r="M9" s="42">
        <v>23165</v>
      </c>
      <c r="N9" s="42">
        <v>13899</v>
      </c>
      <c r="O9" s="42">
        <v>0</v>
      </c>
      <c r="P9" s="42">
        <v>0</v>
      </c>
      <c r="Q9" s="42">
        <v>78760</v>
      </c>
      <c r="R9" s="788">
        <v>42643</v>
      </c>
      <c r="S9" s="550">
        <v>42855</v>
      </c>
      <c r="T9" s="550">
        <v>43010</v>
      </c>
      <c r="U9" s="1120">
        <v>43102</v>
      </c>
      <c r="V9" s="550">
        <v>43830</v>
      </c>
      <c r="W9" s="67">
        <v>100</v>
      </c>
      <c r="X9" s="67"/>
      <c r="Y9" s="74"/>
    </row>
    <row r="10" spans="1:25" ht="60.75" thickBot="1" x14ac:dyDescent="0.3">
      <c r="A10" s="147" t="str">
        <f>CONCATENATE('3 pr-2'!A27)</f>
        <v>1.1.1.1.18</v>
      </c>
      <c r="B10" s="147" t="str">
        <f>CONCATENATE('3 pr-2'!B27)</f>
        <v>R01-ZM72-340000-1118</v>
      </c>
      <c r="C10" s="1133" t="str">
        <f>CONCATENATE('3 pr-2'!C27)</f>
        <v>20KI-KA-17-1-01666-PR001</v>
      </c>
      <c r="D10" s="147" t="s">
        <v>457</v>
      </c>
      <c r="E10" s="147" t="s">
        <v>365</v>
      </c>
      <c r="F10" s="147" t="s">
        <v>74</v>
      </c>
      <c r="G10" s="147" t="s">
        <v>293</v>
      </c>
      <c r="H10" s="147" t="s">
        <v>466</v>
      </c>
      <c r="I10" s="40" t="s">
        <v>119</v>
      </c>
      <c r="J10" s="40" t="s">
        <v>66</v>
      </c>
      <c r="K10" s="40" t="s">
        <v>66</v>
      </c>
      <c r="L10" s="42">
        <f>SUM(M10:Q10)</f>
        <v>250000</v>
      </c>
      <c r="M10" s="42">
        <v>50000</v>
      </c>
      <c r="N10" s="42">
        <v>30000</v>
      </c>
      <c r="O10" s="42">
        <v>0</v>
      </c>
      <c r="P10" s="42">
        <v>0</v>
      </c>
      <c r="Q10" s="42">
        <v>170000</v>
      </c>
      <c r="R10" s="788">
        <v>42643</v>
      </c>
      <c r="S10" s="550">
        <v>42855</v>
      </c>
      <c r="T10" s="550">
        <v>43010</v>
      </c>
      <c r="U10" s="1120">
        <v>43102</v>
      </c>
      <c r="V10" s="550">
        <v>43830</v>
      </c>
      <c r="W10" s="67">
        <v>85</v>
      </c>
      <c r="X10" s="67"/>
      <c r="Y10" s="74"/>
    </row>
    <row r="11" spans="1:25" ht="60.75" thickBot="1" x14ac:dyDescent="0.3">
      <c r="A11" s="147" t="str">
        <f>CONCATENATE('3 pr-2'!A29)</f>
        <v>1.1.1.1.20</v>
      </c>
      <c r="B11" s="147" t="str">
        <f>CONCATENATE('3 pr-2'!B29)</f>
        <v>R01-ZM72-340000-1120</v>
      </c>
      <c r="C11" s="1133" t="str">
        <f>CONCATENATE('3 pr-2'!C29)</f>
        <v>20KI-KA-17-1-01736-PR001</v>
      </c>
      <c r="D11" s="147" t="s">
        <v>459</v>
      </c>
      <c r="E11" s="147" t="s">
        <v>365</v>
      </c>
      <c r="F11" s="147" t="s">
        <v>74</v>
      </c>
      <c r="G11" s="147" t="s">
        <v>293</v>
      </c>
      <c r="H11" s="147" t="s">
        <v>466</v>
      </c>
      <c r="I11" s="40" t="s">
        <v>119</v>
      </c>
      <c r="J11" s="40" t="s">
        <v>66</v>
      </c>
      <c r="K11" s="40" t="s">
        <v>66</v>
      </c>
      <c r="L11" s="42">
        <f>SUM(M11:Q11)</f>
        <v>250000</v>
      </c>
      <c r="M11" s="42">
        <v>50000</v>
      </c>
      <c r="N11" s="42">
        <v>30000</v>
      </c>
      <c r="O11" s="42">
        <v>0</v>
      </c>
      <c r="P11" s="42">
        <v>0</v>
      </c>
      <c r="Q11" s="42">
        <v>170000</v>
      </c>
      <c r="R11" s="788">
        <v>42643</v>
      </c>
      <c r="S11" s="550">
        <v>42855</v>
      </c>
      <c r="T11" s="550">
        <v>43010</v>
      </c>
      <c r="U11" s="1120">
        <v>43102</v>
      </c>
      <c r="V11" s="550">
        <v>43830</v>
      </c>
      <c r="W11" s="72">
        <v>15</v>
      </c>
      <c r="X11" s="72"/>
      <c r="Y11" s="73"/>
    </row>
    <row r="12" spans="1:25" ht="60.75" thickBot="1" x14ac:dyDescent="0.3">
      <c r="A12" s="147" t="str">
        <f>CONCATENATE('3 pr-2'!A32)</f>
        <v>1.1.1.1.23</v>
      </c>
      <c r="B12" s="147" t="str">
        <f>CONCATENATE('3 pr-2'!B32)</f>
        <v>R01-ZM72-120000-1123</v>
      </c>
      <c r="C12" s="1133" t="str">
        <f>CONCATENATE('3 pr-2'!C32)</f>
        <v/>
      </c>
      <c r="D12" s="147" t="s">
        <v>462</v>
      </c>
      <c r="E12" s="147" t="s">
        <v>365</v>
      </c>
      <c r="F12" s="147" t="s">
        <v>74</v>
      </c>
      <c r="G12" s="147" t="s">
        <v>293</v>
      </c>
      <c r="H12" s="147" t="s">
        <v>466</v>
      </c>
      <c r="I12" s="40" t="s">
        <v>119</v>
      </c>
      <c r="J12" s="40" t="s">
        <v>66</v>
      </c>
      <c r="K12" s="61" t="s">
        <v>56</v>
      </c>
      <c r="L12" s="42">
        <f>SUM(M12:Q12)</f>
        <v>160049</v>
      </c>
      <c r="M12" s="42">
        <v>32010</v>
      </c>
      <c r="N12" s="42">
        <v>19206</v>
      </c>
      <c r="O12" s="42">
        <v>0</v>
      </c>
      <c r="P12" s="42">
        <v>0</v>
      </c>
      <c r="Q12" s="42">
        <v>108833</v>
      </c>
      <c r="R12" s="788">
        <v>42643</v>
      </c>
      <c r="S12" s="550">
        <v>42855</v>
      </c>
      <c r="T12" s="550">
        <v>43010</v>
      </c>
      <c r="U12" s="1120">
        <v>43102</v>
      </c>
      <c r="V12" s="550">
        <v>43830</v>
      </c>
      <c r="W12" s="67"/>
      <c r="X12" s="67"/>
      <c r="Y12" s="74"/>
    </row>
    <row r="13" spans="1:25" ht="27" customHeight="1" thickBot="1" x14ac:dyDescent="0.3">
      <c r="A13" s="498" t="s">
        <v>14</v>
      </c>
      <c r="B13" s="1102"/>
      <c r="C13" s="1102"/>
      <c r="D13" s="1651" t="s">
        <v>636</v>
      </c>
      <c r="E13" s="1660"/>
      <c r="F13" s="1660"/>
      <c r="G13" s="1660"/>
      <c r="H13" s="1660"/>
      <c r="I13" s="1660"/>
      <c r="J13" s="1660"/>
      <c r="K13" s="1661"/>
      <c r="L13" s="500">
        <f>SUM(L14:L15)</f>
        <v>1251222</v>
      </c>
      <c r="M13" s="500">
        <f t="shared" ref="M13:Q13" si="3">SUM(M14:M15)</f>
        <v>161232</v>
      </c>
      <c r="N13" s="500">
        <f t="shared" si="3"/>
        <v>88378</v>
      </c>
      <c r="O13" s="500">
        <f t="shared" si="3"/>
        <v>0</v>
      </c>
      <c r="P13" s="500">
        <f t="shared" si="3"/>
        <v>0</v>
      </c>
      <c r="Q13" s="500">
        <f t="shared" si="3"/>
        <v>1001612</v>
      </c>
      <c r="R13" s="148"/>
      <c r="S13" s="500"/>
      <c r="T13" s="500"/>
      <c r="U13" s="500"/>
      <c r="V13" s="500"/>
      <c r="W13" s="70">
        <v>1001612</v>
      </c>
      <c r="X13" s="70">
        <f>SUM(W13*120/100)</f>
        <v>1201934.3999999999</v>
      </c>
      <c r="Y13" s="71">
        <f>SUM(W13-Q13)</f>
        <v>0</v>
      </c>
    </row>
    <row r="14" spans="1:25" ht="60.75" thickBot="1" x14ac:dyDescent="0.3">
      <c r="A14" s="147" t="str">
        <f>CONCATENATE('3 pr-2'!A34)</f>
        <v>1.1.1.2.1</v>
      </c>
      <c r="B14" s="147" t="str">
        <f>CONCATENATE('3 pr-2'!B34)</f>
        <v>R01-9908-293400-1121</v>
      </c>
      <c r="C14" s="1133" t="str">
        <f>CONCATENATE('3 pr-2'!C34)</f>
        <v/>
      </c>
      <c r="D14" s="147" t="s">
        <v>124</v>
      </c>
      <c r="E14" s="147" t="s">
        <v>292</v>
      </c>
      <c r="F14" s="147" t="s">
        <v>75</v>
      </c>
      <c r="G14" s="147" t="s">
        <v>293</v>
      </c>
      <c r="H14" s="147" t="s">
        <v>146</v>
      </c>
      <c r="I14" s="17" t="s">
        <v>119</v>
      </c>
      <c r="J14" s="17" t="s">
        <v>66</v>
      </c>
      <c r="K14" s="17" t="s">
        <v>66</v>
      </c>
      <c r="L14" s="42">
        <f t="shared" ref="L14:L15" si="4">SUM(M14:Q14)</f>
        <v>646197</v>
      </c>
      <c r="M14" s="42">
        <v>115855</v>
      </c>
      <c r="N14" s="42">
        <v>43001</v>
      </c>
      <c r="O14" s="42">
        <v>0</v>
      </c>
      <c r="P14" s="42">
        <v>0</v>
      </c>
      <c r="Q14" s="42">
        <v>487341</v>
      </c>
      <c r="R14" s="788">
        <v>43006</v>
      </c>
      <c r="S14" s="789">
        <v>43100</v>
      </c>
      <c r="T14" s="789">
        <v>43189</v>
      </c>
      <c r="U14" s="789">
        <v>43281</v>
      </c>
      <c r="V14" s="799">
        <v>44196</v>
      </c>
      <c r="W14" s="67"/>
      <c r="X14" s="67"/>
      <c r="Y14" s="67"/>
    </row>
    <row r="15" spans="1:25" ht="60.75" thickBot="1" x14ac:dyDescent="0.3">
      <c r="A15" s="147" t="str">
        <f>CONCATENATE('3 pr-2'!A35)</f>
        <v>1.1.1.2.2</v>
      </c>
      <c r="B15" s="147" t="str">
        <f>CONCATENATE('3 pr-2'!B35)</f>
        <v>R01-9908-290000-1122</v>
      </c>
      <c r="C15" s="1133" t="str">
        <f>CONCATENATE('3 pr-2'!C35)</f>
        <v>08.2.1-CPVA-R-908-11-0001</v>
      </c>
      <c r="D15" s="147" t="s">
        <v>125</v>
      </c>
      <c r="E15" s="147" t="s">
        <v>292</v>
      </c>
      <c r="F15" s="147" t="s">
        <v>75</v>
      </c>
      <c r="G15" s="147" t="s">
        <v>293</v>
      </c>
      <c r="H15" s="147" t="s">
        <v>146</v>
      </c>
      <c r="I15" s="40" t="s">
        <v>119</v>
      </c>
      <c r="J15" s="40" t="s">
        <v>66</v>
      </c>
      <c r="K15" s="40" t="s">
        <v>66</v>
      </c>
      <c r="L15" s="42">
        <f t="shared" si="4"/>
        <v>605025</v>
      </c>
      <c r="M15" s="42">
        <v>45377</v>
      </c>
      <c r="N15" s="42">
        <v>45377</v>
      </c>
      <c r="O15" s="42">
        <v>0</v>
      </c>
      <c r="P15" s="42">
        <v>0</v>
      </c>
      <c r="Q15" s="42">
        <v>514271</v>
      </c>
      <c r="R15" s="788">
        <v>42982</v>
      </c>
      <c r="S15" s="519">
        <v>42978</v>
      </c>
      <c r="T15" s="519">
        <v>43039</v>
      </c>
      <c r="U15" s="519">
        <v>43131</v>
      </c>
      <c r="V15" s="799">
        <v>44196</v>
      </c>
      <c r="W15" s="67"/>
      <c r="X15" s="67"/>
      <c r="Y15" s="67"/>
    </row>
    <row r="16" spans="1:25" ht="36" customHeight="1" thickBot="1" x14ac:dyDescent="0.3">
      <c r="A16" s="498" t="s">
        <v>70</v>
      </c>
      <c r="B16" s="1102"/>
      <c r="C16" s="1102"/>
      <c r="D16" s="1651" t="s">
        <v>645</v>
      </c>
      <c r="E16" s="1660"/>
      <c r="F16" s="1660"/>
      <c r="G16" s="1660"/>
      <c r="H16" s="1660"/>
      <c r="I16" s="1660"/>
      <c r="J16" s="1660"/>
      <c r="K16" s="1661"/>
      <c r="L16" s="500">
        <f t="shared" ref="L16:P16" si="5">SUM(L17:L22)</f>
        <v>4402013.13</v>
      </c>
      <c r="M16" s="500">
        <f t="shared" si="5"/>
        <v>433824.5</v>
      </c>
      <c r="N16" s="500">
        <f t="shared" si="5"/>
        <v>356593.09</v>
      </c>
      <c r="O16" s="500">
        <f t="shared" si="5"/>
        <v>0</v>
      </c>
      <c r="P16" s="500">
        <f t="shared" si="5"/>
        <v>0</v>
      </c>
      <c r="Q16" s="500">
        <f>SUM(Q17:Q22)</f>
        <v>3611595.5399999996</v>
      </c>
      <c r="R16" s="148"/>
      <c r="S16" s="500"/>
      <c r="T16" s="500"/>
      <c r="U16" s="500"/>
      <c r="V16" s="500"/>
      <c r="W16" s="70">
        <v>3697302</v>
      </c>
      <c r="X16" s="70">
        <f>SUM(W16*120/100)</f>
        <v>4436762.4000000004</v>
      </c>
      <c r="Y16" s="70">
        <f>SUM(W16-Q16)</f>
        <v>85706.460000000428</v>
      </c>
    </row>
    <row r="17" spans="1:25" ht="60.75" thickBot="1" x14ac:dyDescent="0.3">
      <c r="A17" s="189" t="str">
        <f>CONCATENATE('3 pr-2'!A40)</f>
        <v>1.1.1.3.1</v>
      </c>
      <c r="B17" s="189" t="str">
        <f>CONCATENATE('3 pr-2'!B40)</f>
        <v>R01-9905-290000-1131</v>
      </c>
      <c r="C17" s="1133" t="str">
        <f>CONCATENATE('3 pr-2'!C40)</f>
        <v>07.1.1-CPVA-R-905-11-0001</v>
      </c>
      <c r="D17" s="189" t="s">
        <v>315</v>
      </c>
      <c r="E17" s="189" t="s">
        <v>292</v>
      </c>
      <c r="F17" s="189" t="s">
        <v>75</v>
      </c>
      <c r="G17" s="189" t="s">
        <v>383</v>
      </c>
      <c r="H17" s="189" t="s">
        <v>898</v>
      </c>
      <c r="I17" s="590" t="s">
        <v>119</v>
      </c>
      <c r="J17" s="590" t="s">
        <v>168</v>
      </c>
      <c r="K17" s="590" t="s">
        <v>66</v>
      </c>
      <c r="L17" s="468">
        <f t="shared" ref="L17:L22" si="6">SUM(M17:Q17)</f>
        <v>1516932.01</v>
      </c>
      <c r="M17" s="468">
        <v>75846.61</v>
      </c>
      <c r="N17" s="468">
        <v>151693.20000000001</v>
      </c>
      <c r="O17" s="468">
        <v>0</v>
      </c>
      <c r="P17" s="468">
        <v>0</v>
      </c>
      <c r="Q17" s="468">
        <v>1289392.2</v>
      </c>
      <c r="R17" s="788">
        <v>43108</v>
      </c>
      <c r="S17" s="1111">
        <v>42528</v>
      </c>
      <c r="T17" s="1111">
        <v>42566</v>
      </c>
      <c r="U17" s="1111">
        <v>42735</v>
      </c>
      <c r="V17" s="1111">
        <v>43465</v>
      </c>
      <c r="W17" s="67"/>
      <c r="X17" s="67"/>
      <c r="Y17" s="67"/>
    </row>
    <row r="18" spans="1:25" ht="60.75" thickBot="1" x14ac:dyDescent="0.3">
      <c r="A18" s="189" t="str">
        <f>CONCATENATE('3 pr-2'!A41)</f>
        <v>1.1.1.3.2</v>
      </c>
      <c r="B18" s="189" t="str">
        <f>CONCATENATE('3 pr-2'!B41)</f>
        <v>R01-9905-282900-1132</v>
      </c>
      <c r="C18" s="1133" t="str">
        <f>CONCATENATE('3 pr-2'!C41)</f>
        <v>07.1.1-CPVA-R-905-11-0002</v>
      </c>
      <c r="D18" s="189" t="s">
        <v>317</v>
      </c>
      <c r="E18" s="189" t="s">
        <v>292</v>
      </c>
      <c r="F18" s="189" t="s">
        <v>75</v>
      </c>
      <c r="G18" s="189" t="s">
        <v>383</v>
      </c>
      <c r="H18" s="189" t="s">
        <v>898</v>
      </c>
      <c r="I18" s="590" t="s">
        <v>119</v>
      </c>
      <c r="J18" s="590" t="s">
        <v>168</v>
      </c>
      <c r="K18" s="590" t="s">
        <v>66</v>
      </c>
      <c r="L18" s="468">
        <f t="shared" si="6"/>
        <v>995216.11</v>
      </c>
      <c r="M18" s="468">
        <v>74641.210000000006</v>
      </c>
      <c r="N18" s="468">
        <v>74641.210000000006</v>
      </c>
      <c r="O18" s="468">
        <v>0</v>
      </c>
      <c r="P18" s="468">
        <v>0</v>
      </c>
      <c r="Q18" s="468">
        <v>845933.69</v>
      </c>
      <c r="R18" s="788">
        <v>43108</v>
      </c>
      <c r="S18" s="1111">
        <v>42830</v>
      </c>
      <c r="T18" s="1111">
        <v>42885</v>
      </c>
      <c r="U18" s="1111">
        <v>42978</v>
      </c>
      <c r="V18" s="1111">
        <v>43830</v>
      </c>
      <c r="W18" s="67"/>
      <c r="X18" s="67"/>
      <c r="Y18" s="67"/>
    </row>
    <row r="19" spans="1:25" ht="60.75" thickBot="1" x14ac:dyDescent="0.3">
      <c r="A19" s="189" t="str">
        <f>CONCATENATE('3 pr-2'!A42)</f>
        <v>1.1.1.3.3</v>
      </c>
      <c r="B19" s="189" t="str">
        <f>CONCATENATE('3 pr-2'!B42)</f>
        <v>R01-9905-292800-1133</v>
      </c>
      <c r="C19" s="1133" t="str">
        <f>CONCATENATE('3 pr-2'!C42)</f>
        <v/>
      </c>
      <c r="D19" s="189" t="s">
        <v>277</v>
      </c>
      <c r="E19" s="189" t="s">
        <v>292</v>
      </c>
      <c r="F19" s="189" t="s">
        <v>75</v>
      </c>
      <c r="G19" s="189" t="s">
        <v>383</v>
      </c>
      <c r="H19" s="189" t="s">
        <v>898</v>
      </c>
      <c r="I19" s="590" t="s">
        <v>119</v>
      </c>
      <c r="J19" s="590" t="s">
        <v>168</v>
      </c>
      <c r="K19" s="590" t="s">
        <v>66</v>
      </c>
      <c r="L19" s="468">
        <f t="shared" si="6"/>
        <v>630000</v>
      </c>
      <c r="M19" s="468">
        <v>47250</v>
      </c>
      <c r="N19" s="468">
        <v>47250</v>
      </c>
      <c r="O19" s="468">
        <v>0</v>
      </c>
      <c r="P19" s="468">
        <v>0</v>
      </c>
      <c r="Q19" s="468">
        <v>535500</v>
      </c>
      <c r="R19" s="788">
        <v>43108</v>
      </c>
      <c r="S19" s="1111">
        <v>43190</v>
      </c>
      <c r="T19" s="1111">
        <v>43251</v>
      </c>
      <c r="U19" s="1111">
        <v>43343</v>
      </c>
      <c r="V19" s="1111">
        <v>44196</v>
      </c>
      <c r="W19" s="67"/>
      <c r="X19" s="67"/>
      <c r="Y19" s="67"/>
    </row>
    <row r="20" spans="1:25" ht="60.75" thickBot="1" x14ac:dyDescent="0.3">
      <c r="A20" s="189" t="str">
        <f>CONCATENATE('3 pr-2'!A43)</f>
        <v>1.1.1.3.4</v>
      </c>
      <c r="B20" s="189" t="str">
        <f>CONCATENATE('3 pr-2'!B43)</f>
        <v>R01-9905-280000-1134</v>
      </c>
      <c r="C20" s="1133" t="str">
        <f>CONCATENATE('3 pr-2'!C43)</f>
        <v>07.1.1-CPVA-R-905-11-0003</v>
      </c>
      <c r="D20" s="189" t="s">
        <v>684</v>
      </c>
      <c r="E20" s="189" t="s">
        <v>292</v>
      </c>
      <c r="F20" s="189" t="s">
        <v>75</v>
      </c>
      <c r="G20" s="189" t="s">
        <v>383</v>
      </c>
      <c r="H20" s="189" t="s">
        <v>898</v>
      </c>
      <c r="I20" s="590" t="s">
        <v>119</v>
      </c>
      <c r="J20" s="590" t="s">
        <v>168</v>
      </c>
      <c r="K20" s="590" t="s">
        <v>66</v>
      </c>
      <c r="L20" s="1142">
        <f t="shared" si="6"/>
        <v>757246.01</v>
      </c>
      <c r="M20" s="1142">
        <v>198389.68</v>
      </c>
      <c r="N20" s="1142">
        <v>45312.68</v>
      </c>
      <c r="O20" s="1142">
        <v>0</v>
      </c>
      <c r="P20" s="1142">
        <v>0</v>
      </c>
      <c r="Q20" s="1142">
        <v>513543.65</v>
      </c>
      <c r="R20" s="788">
        <v>43108</v>
      </c>
      <c r="S20" s="1111">
        <v>42923</v>
      </c>
      <c r="T20" s="1111">
        <v>43008</v>
      </c>
      <c r="U20" s="1111">
        <v>43100</v>
      </c>
      <c r="V20" s="1144">
        <v>43830</v>
      </c>
      <c r="W20" s="76"/>
      <c r="X20" s="76"/>
      <c r="Y20" s="67"/>
    </row>
    <row r="21" spans="1:25" ht="60.75" thickBot="1" x14ac:dyDescent="0.3">
      <c r="A21" s="189" t="str">
        <f>CONCATENATE('3 pr-2'!A44)</f>
        <v>1.1.1.3.5</v>
      </c>
      <c r="B21" s="189" t="str">
        <f>CONCATENATE('3 pr-2'!B44)</f>
        <v>R01-9905-362900-1135</v>
      </c>
      <c r="C21" s="1133" t="str">
        <f>CONCATENATE('3 pr-2'!C44)</f>
        <v/>
      </c>
      <c r="D21" s="189" t="s">
        <v>848</v>
      </c>
      <c r="E21" s="189" t="s">
        <v>292</v>
      </c>
      <c r="F21" s="189" t="s">
        <v>75</v>
      </c>
      <c r="G21" s="189" t="s">
        <v>383</v>
      </c>
      <c r="H21" s="189" t="s">
        <v>898</v>
      </c>
      <c r="I21" s="590" t="s">
        <v>119</v>
      </c>
      <c r="J21" s="590" t="s">
        <v>168</v>
      </c>
      <c r="K21" s="590" t="s">
        <v>66</v>
      </c>
      <c r="L21" s="468">
        <f t="shared" si="6"/>
        <v>250000</v>
      </c>
      <c r="M21" s="468">
        <v>18750</v>
      </c>
      <c r="N21" s="468">
        <v>18750</v>
      </c>
      <c r="O21" s="468">
        <v>0</v>
      </c>
      <c r="P21" s="468">
        <v>0</v>
      </c>
      <c r="Q21" s="468">
        <v>212500</v>
      </c>
      <c r="R21" s="788">
        <v>43108</v>
      </c>
      <c r="S21" s="1111">
        <v>43190</v>
      </c>
      <c r="T21" s="1111">
        <v>43251</v>
      </c>
      <c r="U21" s="1111">
        <v>43343</v>
      </c>
      <c r="V21" s="1111">
        <v>44196</v>
      </c>
      <c r="W21" s="72"/>
      <c r="X21" s="73"/>
      <c r="Y21" s="67"/>
    </row>
    <row r="22" spans="1:25" ht="60.75" thickBot="1" x14ac:dyDescent="0.3">
      <c r="A22" s="189" t="str">
        <f>CONCATENATE('3 pr-2'!A45)</f>
        <v>1.1.1.3.6</v>
      </c>
      <c r="B22" s="189" t="str">
        <f>CONCATENATE('3 pr-2'!B45)</f>
        <v>R01-9905-290000-1136</v>
      </c>
      <c r="C22" s="1133" t="str">
        <f>CONCATENATE('3 pr-2'!C45)</f>
        <v/>
      </c>
      <c r="D22" s="189" t="s">
        <v>850</v>
      </c>
      <c r="E22" s="189" t="s">
        <v>292</v>
      </c>
      <c r="F22" s="189" t="s">
        <v>75</v>
      </c>
      <c r="G22" s="189" t="s">
        <v>383</v>
      </c>
      <c r="H22" s="189" t="s">
        <v>898</v>
      </c>
      <c r="I22" s="590" t="s">
        <v>119</v>
      </c>
      <c r="J22" s="590" t="s">
        <v>168</v>
      </c>
      <c r="K22" s="590" t="s">
        <v>66</v>
      </c>
      <c r="L22" s="468">
        <f t="shared" si="6"/>
        <v>252619</v>
      </c>
      <c r="M22" s="468">
        <v>18947</v>
      </c>
      <c r="N22" s="468">
        <v>18946</v>
      </c>
      <c r="O22" s="468">
        <v>0</v>
      </c>
      <c r="P22" s="468">
        <v>0</v>
      </c>
      <c r="Q22" s="468">
        <v>214726</v>
      </c>
      <c r="R22" s="788">
        <v>43038</v>
      </c>
      <c r="S22" s="1136">
        <v>43159</v>
      </c>
      <c r="T22" s="1136">
        <v>43218</v>
      </c>
      <c r="U22" s="1136">
        <v>43309</v>
      </c>
      <c r="V22" s="1111">
        <v>44196</v>
      </c>
      <c r="W22" s="67"/>
      <c r="X22" s="74"/>
      <c r="Y22" s="67"/>
    </row>
    <row r="23" spans="1:25" ht="39.75" customHeight="1" thickBot="1" x14ac:dyDescent="0.3">
      <c r="A23" s="498" t="s">
        <v>16</v>
      </c>
      <c r="B23" s="1102"/>
      <c r="C23" s="1102"/>
      <c r="D23" s="1651" t="s">
        <v>646</v>
      </c>
      <c r="E23" s="1660"/>
      <c r="F23" s="1660"/>
      <c r="G23" s="1660"/>
      <c r="H23" s="1660"/>
      <c r="I23" s="1660"/>
      <c r="J23" s="1660"/>
      <c r="K23" s="1661"/>
      <c r="L23" s="500"/>
      <c r="M23" s="500"/>
      <c r="N23" s="500"/>
      <c r="O23" s="500"/>
      <c r="P23" s="500"/>
      <c r="Q23" s="500"/>
      <c r="R23" s="148"/>
      <c r="S23" s="500"/>
      <c r="T23" s="500"/>
      <c r="U23" s="500"/>
      <c r="V23" s="500"/>
      <c r="W23" s="77">
        <v>0</v>
      </c>
      <c r="X23" s="77">
        <f>SUM(W23*120/100)</f>
        <v>0</v>
      </c>
      <c r="Y23" s="77">
        <v>0</v>
      </c>
    </row>
    <row r="24" spans="1:25" ht="15.75" thickBot="1" x14ac:dyDescent="0.3">
      <c r="A24" s="32"/>
      <c r="B24" s="39"/>
      <c r="C24" s="39"/>
      <c r="D24" s="65"/>
      <c r="E24" s="65"/>
      <c r="F24" s="65"/>
      <c r="G24" s="65"/>
      <c r="H24" s="66"/>
      <c r="I24" s="75"/>
      <c r="J24" s="75"/>
      <c r="K24" s="75"/>
      <c r="L24" s="75"/>
      <c r="M24" s="75"/>
      <c r="N24" s="75"/>
      <c r="O24" s="75"/>
      <c r="P24" s="75"/>
      <c r="Q24" s="75"/>
      <c r="R24" s="75"/>
      <c r="S24" s="75"/>
      <c r="T24" s="75"/>
      <c r="U24" s="75"/>
      <c r="V24" s="234"/>
      <c r="W24" s="67"/>
      <c r="X24" s="67"/>
      <c r="Y24" s="67"/>
    </row>
    <row r="25" spans="1:25" ht="37.5" customHeight="1" thickBot="1" x14ac:dyDescent="0.3">
      <c r="A25" s="498" t="s">
        <v>76</v>
      </c>
      <c r="B25" s="1102"/>
      <c r="C25" s="1102"/>
      <c r="D25" s="1651" t="s">
        <v>647</v>
      </c>
      <c r="E25" s="1660"/>
      <c r="F25" s="1660"/>
      <c r="G25" s="1660"/>
      <c r="H25" s="1660"/>
      <c r="I25" s="1660"/>
      <c r="J25" s="1660"/>
      <c r="K25" s="1661"/>
      <c r="L25" s="500">
        <f>SUM(L26)</f>
        <v>2477103.23</v>
      </c>
      <c r="M25" s="500">
        <f t="shared" ref="M25:Q25" si="7">SUM(M26)</f>
        <v>0</v>
      </c>
      <c r="N25" s="500">
        <f t="shared" si="7"/>
        <v>0</v>
      </c>
      <c r="O25" s="500">
        <f t="shared" si="7"/>
        <v>862874.97</v>
      </c>
      <c r="P25" s="500">
        <f t="shared" si="7"/>
        <v>0</v>
      </c>
      <c r="Q25" s="500">
        <f t="shared" si="7"/>
        <v>1614228.26</v>
      </c>
      <c r="R25" s="148"/>
      <c r="S25" s="500"/>
      <c r="T25" s="500"/>
      <c r="U25" s="500"/>
      <c r="V25" s="500"/>
      <c r="W25" s="70">
        <v>1614228.26</v>
      </c>
      <c r="X25" s="70">
        <f>SUM(W25*120/100)</f>
        <v>1937073.9119999998</v>
      </c>
      <c r="Y25" s="70">
        <f>SUM(W25-Q25)</f>
        <v>0</v>
      </c>
    </row>
    <row r="26" spans="1:25" s="190" customFormat="1" ht="48.75" thickBot="1" x14ac:dyDescent="0.3">
      <c r="A26" s="189" t="str">
        <f>CONCATENATE('3 pr-2'!A51)</f>
        <v>1.1.1.5.1</v>
      </c>
      <c r="B26" s="189" t="str">
        <f>CONCATENATE('3 pr-2'!B51)</f>
        <v>R01-0014-060700-1151</v>
      </c>
      <c r="C26" s="1133" t="str">
        <f>CONCATENATE('3 pr-2'!C51)</f>
        <v>05.3.2-APVA-R-014-11-0001</v>
      </c>
      <c r="D26" s="189" t="s">
        <v>305</v>
      </c>
      <c r="E26" s="189" t="s">
        <v>306</v>
      </c>
      <c r="F26" s="189" t="s">
        <v>77</v>
      </c>
      <c r="G26" s="189" t="s">
        <v>293</v>
      </c>
      <c r="H26" s="189" t="s">
        <v>144</v>
      </c>
      <c r="I26" s="590" t="s">
        <v>119</v>
      </c>
      <c r="J26" s="590" t="s">
        <v>168</v>
      </c>
      <c r="K26" s="590" t="s">
        <v>66</v>
      </c>
      <c r="L26" s="468">
        <f>SUM(M26:Q26)</f>
        <v>2477103.23</v>
      </c>
      <c r="M26" s="468">
        <v>0</v>
      </c>
      <c r="N26" s="468">
        <v>0</v>
      </c>
      <c r="O26" s="468">
        <v>862874.97</v>
      </c>
      <c r="P26" s="468">
        <v>0</v>
      </c>
      <c r="Q26" s="468">
        <v>1614228.26</v>
      </c>
      <c r="R26" s="1111">
        <v>42451</v>
      </c>
      <c r="S26" s="1111">
        <v>42551</v>
      </c>
      <c r="T26" s="1111">
        <v>42674</v>
      </c>
      <c r="U26" s="1111">
        <v>42766</v>
      </c>
      <c r="V26" s="1144">
        <v>44012</v>
      </c>
      <c r="W26" s="88"/>
      <c r="X26" s="88"/>
      <c r="Y26" s="88"/>
    </row>
    <row r="27" spans="1:25" ht="30.75" customHeight="1" thickBot="1" x14ac:dyDescent="0.3">
      <c r="A27" s="498" t="s">
        <v>79</v>
      </c>
      <c r="B27" s="1102"/>
      <c r="C27" s="1102"/>
      <c r="D27" s="1651" t="s">
        <v>648</v>
      </c>
      <c r="E27" s="1660"/>
      <c r="F27" s="1660"/>
      <c r="G27" s="1660"/>
      <c r="H27" s="1660"/>
      <c r="I27" s="1660"/>
      <c r="J27" s="1660"/>
      <c r="K27" s="1661"/>
      <c r="L27" s="500"/>
      <c r="M27" s="500"/>
      <c r="N27" s="500"/>
      <c r="O27" s="500"/>
      <c r="P27" s="500"/>
      <c r="Q27" s="500"/>
      <c r="R27" s="148"/>
      <c r="S27" s="500"/>
      <c r="T27" s="500"/>
      <c r="U27" s="500"/>
      <c r="V27" s="500"/>
      <c r="W27" s="77">
        <v>0</v>
      </c>
      <c r="X27" s="77">
        <f>SUM(W27*120/100)</f>
        <v>0</v>
      </c>
      <c r="Y27" s="77">
        <v>0</v>
      </c>
    </row>
    <row r="28" spans="1:25" ht="15.75" thickBot="1" x14ac:dyDescent="0.3">
      <c r="A28" s="64"/>
      <c r="B28" s="65"/>
      <c r="C28" s="65"/>
      <c r="D28" s="65"/>
      <c r="E28" s="65"/>
      <c r="F28" s="65"/>
      <c r="G28" s="65"/>
      <c r="H28" s="66"/>
      <c r="I28" s="75"/>
      <c r="J28" s="75"/>
      <c r="K28" s="75"/>
      <c r="L28" s="75"/>
      <c r="M28" s="75"/>
      <c r="N28" s="75"/>
      <c r="O28" s="75"/>
      <c r="P28" s="75"/>
      <c r="Q28" s="75"/>
      <c r="R28" s="75"/>
      <c r="S28" s="75"/>
      <c r="T28" s="75"/>
      <c r="U28" s="75"/>
      <c r="V28" s="234"/>
      <c r="W28" s="67"/>
      <c r="X28" s="67"/>
      <c r="Y28" s="67"/>
    </row>
    <row r="29" spans="1:25" ht="29.25" customHeight="1" thickBot="1" x14ac:dyDescent="0.3">
      <c r="A29" s="498" t="s">
        <v>81</v>
      </c>
      <c r="B29" s="1102"/>
      <c r="C29" s="1102"/>
      <c r="D29" s="1651" t="s">
        <v>649</v>
      </c>
      <c r="E29" s="1660"/>
      <c r="F29" s="1660"/>
      <c r="G29" s="1660"/>
      <c r="H29" s="1660"/>
      <c r="I29" s="1660"/>
      <c r="J29" s="1660"/>
      <c r="K29" s="1661"/>
      <c r="L29" s="500">
        <f t="shared" ref="L29:P29" si="8">SUM(L30:L32)</f>
        <v>212009.4117647059</v>
      </c>
      <c r="M29" s="500">
        <f t="shared" si="8"/>
        <v>31801.411764705881</v>
      </c>
      <c r="N29" s="500">
        <f t="shared" si="8"/>
        <v>0</v>
      </c>
      <c r="O29" s="500">
        <f t="shared" si="8"/>
        <v>0</v>
      </c>
      <c r="P29" s="500">
        <f t="shared" si="8"/>
        <v>0</v>
      </c>
      <c r="Q29" s="500">
        <f>SUM(Q30:Q32)</f>
        <v>180208</v>
      </c>
      <c r="R29" s="148"/>
      <c r="S29" s="500"/>
      <c r="T29" s="500"/>
      <c r="U29" s="500"/>
      <c r="V29" s="500"/>
      <c r="W29" s="70">
        <v>180208</v>
      </c>
      <c r="X29" s="70">
        <f>SUM(W29*120/100)</f>
        <v>216249.60000000001</v>
      </c>
      <c r="Y29" s="70">
        <f>SUM(W29-Q29)</f>
        <v>0</v>
      </c>
    </row>
    <row r="30" spans="1:25" ht="60.75" thickBot="1" x14ac:dyDescent="0.3">
      <c r="A30" s="147" t="str">
        <f>CONCATENATE('3 pr-2'!A59)</f>
        <v>1.1.1.7.1</v>
      </c>
      <c r="B30" s="147" t="str">
        <f>CONCATENATE('3 pr-2'!B59)</f>
        <v>R01-8821-420000-1171</v>
      </c>
      <c r="C30" s="1133" t="str">
        <f>CONCATENATE('3 pr-2'!C59)</f>
        <v>05.4.1-LVPA-R-821-11-0002</v>
      </c>
      <c r="D30" s="147" t="str">
        <f>CONCATENATE('3 pr-2'!D59)</f>
        <v>Alytaus regiono turizmo informacinės infrastruktūros plėtra</v>
      </c>
      <c r="E30" s="147" t="s">
        <v>325</v>
      </c>
      <c r="F30" s="147" t="s">
        <v>82</v>
      </c>
      <c r="G30" s="147" t="s">
        <v>187</v>
      </c>
      <c r="H30" s="324" t="s">
        <v>142</v>
      </c>
      <c r="I30" s="40" t="s">
        <v>119</v>
      </c>
      <c r="J30" s="40" t="s">
        <v>66</v>
      </c>
      <c r="K30" s="42" t="s">
        <v>66</v>
      </c>
      <c r="L30" s="42">
        <f>SUM(M30:Q30)</f>
        <v>41644.705882352944</v>
      </c>
      <c r="M30" s="42">
        <v>6246.7058823529414</v>
      </c>
      <c r="N30" s="42">
        <v>0</v>
      </c>
      <c r="O30" s="42">
        <v>0</v>
      </c>
      <c r="P30" s="42">
        <v>0</v>
      </c>
      <c r="Q30" s="42">
        <v>35398</v>
      </c>
      <c r="R30" s="42"/>
      <c r="S30" s="550">
        <v>42643</v>
      </c>
      <c r="T30" s="550">
        <v>42766</v>
      </c>
      <c r="U30" s="550">
        <v>42855</v>
      </c>
      <c r="V30" s="1137">
        <v>2019</v>
      </c>
      <c r="W30" s="67"/>
      <c r="X30" s="67"/>
      <c r="Y30" s="67"/>
    </row>
    <row r="31" spans="1:25" ht="48.75" thickBot="1" x14ac:dyDescent="0.3">
      <c r="A31" s="147" t="str">
        <f>CONCATENATE('3 pr-2'!A60)</f>
        <v>1.1.1.7.2</v>
      </c>
      <c r="B31" s="147" t="str">
        <f>CONCATENATE('3 pr-2'!B60)</f>
        <v>R01-8821-420000-1172</v>
      </c>
      <c r="C31" s="1133" t="str">
        <f>CONCATENATE('3 pr-2'!C60)</f>
        <v>05.4.1-LVPA-R-821-11-0001</v>
      </c>
      <c r="D31" s="147" t="str">
        <f>CONCATENATE('3 pr-2'!D60)</f>
        <v>„Turizmo trasų ir maršrutų informacinės infrastruktūros plėtra  Lazdijų, Varėnos rajonų ir Druskininkų savivaldybėse“</v>
      </c>
      <c r="E31" s="147" t="s">
        <v>248</v>
      </c>
      <c r="F31" s="147" t="s">
        <v>82</v>
      </c>
      <c r="G31" s="147" t="s">
        <v>326</v>
      </c>
      <c r="H31" s="324" t="s">
        <v>142</v>
      </c>
      <c r="I31" s="40" t="s">
        <v>119</v>
      </c>
      <c r="J31" s="40" t="s">
        <v>66</v>
      </c>
      <c r="K31" s="42" t="s">
        <v>66</v>
      </c>
      <c r="L31" s="42">
        <f>SUM(M31:Q31)</f>
        <v>96035.294117647063</v>
      </c>
      <c r="M31" s="42">
        <f>SUM(Q31*15/85)</f>
        <v>14405.294117647059</v>
      </c>
      <c r="N31" s="42">
        <v>0</v>
      </c>
      <c r="O31" s="42">
        <v>0</v>
      </c>
      <c r="P31" s="42">
        <v>0</v>
      </c>
      <c r="Q31" s="42">
        <v>81630</v>
      </c>
      <c r="R31" s="42"/>
      <c r="S31" s="550">
        <v>42643</v>
      </c>
      <c r="T31" s="550">
        <v>42735</v>
      </c>
      <c r="U31" s="550">
        <v>42825</v>
      </c>
      <c r="V31" s="1137">
        <v>2018</v>
      </c>
      <c r="W31" s="67"/>
      <c r="X31" s="67"/>
      <c r="Y31" s="67"/>
    </row>
    <row r="32" spans="1:25" ht="48.75" thickBot="1" x14ac:dyDescent="0.3">
      <c r="A32" s="147" t="str">
        <f>CONCATENATE('3 pr-2'!A61)</f>
        <v>1.1.1.7.3</v>
      </c>
      <c r="B32" s="147" t="str">
        <f>CONCATENATE('3 pr-2'!B61)</f>
        <v>R01-8821-420000-1173</v>
      </c>
      <c r="C32" s="1133" t="str">
        <f>CONCATENATE('3 pr-2'!C61)</f>
        <v/>
      </c>
      <c r="D32" s="147" t="str">
        <f>CONCATENATE('3 pr-2'!D61)</f>
        <v>„Turizmo trasų ir maršrutų informacinės infrastruktūros plėtra  Lazdijų, Varėnos rajonų ir Druskininkų savivaldybėse II etapas“</v>
      </c>
      <c r="E32" s="147" t="s">
        <v>248</v>
      </c>
      <c r="F32" s="147" t="s">
        <v>82</v>
      </c>
      <c r="G32" s="147" t="s">
        <v>326</v>
      </c>
      <c r="H32" s="324" t="s">
        <v>142</v>
      </c>
      <c r="I32" s="40" t="s">
        <v>119</v>
      </c>
      <c r="J32" s="40" t="s">
        <v>66</v>
      </c>
      <c r="K32" s="42" t="s">
        <v>66</v>
      </c>
      <c r="L32" s="42">
        <f>SUM(M32:Q32)</f>
        <v>74329.411764705888</v>
      </c>
      <c r="M32" s="42">
        <f>SUM(Q32*15/85)</f>
        <v>11149.411764705883</v>
      </c>
      <c r="N32" s="42">
        <v>0</v>
      </c>
      <c r="O32" s="42">
        <v>0</v>
      </c>
      <c r="P32" s="42">
        <v>0</v>
      </c>
      <c r="Q32" s="42">
        <v>63180</v>
      </c>
      <c r="R32" s="42"/>
      <c r="S32" s="550">
        <v>43008</v>
      </c>
      <c r="T32" s="550"/>
      <c r="U32" s="550"/>
      <c r="V32" s="1137"/>
      <c r="W32" s="67"/>
      <c r="X32" s="67"/>
      <c r="Y32" s="67"/>
    </row>
    <row r="33" spans="1:25" ht="30" customHeight="1" thickBot="1" x14ac:dyDescent="0.3">
      <c r="A33" s="498" t="s">
        <v>84</v>
      </c>
      <c r="B33" s="1102"/>
      <c r="C33" s="1102"/>
      <c r="D33" s="1651" t="s">
        <v>650</v>
      </c>
      <c r="E33" s="1660"/>
      <c r="F33" s="1660"/>
      <c r="G33" s="1660"/>
      <c r="H33" s="1660"/>
      <c r="I33" s="1660"/>
      <c r="J33" s="1660"/>
      <c r="K33" s="1661"/>
      <c r="L33" s="500">
        <f>SUM(L34)</f>
        <v>352401</v>
      </c>
      <c r="M33" s="500">
        <f>SUM(M34)</f>
        <v>52860.15</v>
      </c>
      <c r="N33" s="500">
        <f t="shared" ref="N33:P33" si="9">SUM(N34)</f>
        <v>0</v>
      </c>
      <c r="O33" s="500">
        <f t="shared" si="9"/>
        <v>0</v>
      </c>
      <c r="P33" s="500">
        <f t="shared" si="9"/>
        <v>0</v>
      </c>
      <c r="Q33" s="500">
        <f>SUM(Q34)</f>
        <v>299540.84999999998</v>
      </c>
      <c r="R33" s="148"/>
      <c r="S33" s="500"/>
      <c r="T33" s="500"/>
      <c r="U33" s="500"/>
      <c r="V33" s="500"/>
      <c r="W33" s="70">
        <v>299541.3775</v>
      </c>
      <c r="X33" s="70">
        <f>SUM(W33*120/100)</f>
        <v>359449.65299999999</v>
      </c>
      <c r="Y33" s="70">
        <f>SUM(W33-Q33)</f>
        <v>0.52750000002561137</v>
      </c>
    </row>
    <row r="34" spans="1:25" ht="60.75" thickBot="1" x14ac:dyDescent="0.3">
      <c r="A34" s="147" t="str">
        <f>CONCATENATE('3 pr-2'!A63)</f>
        <v>1.1.1.8.1</v>
      </c>
      <c r="B34" s="147" t="str">
        <f>CONCATENATE('3 pr-2'!B63)</f>
        <v>R01-3305-330000-1181</v>
      </c>
      <c r="C34" s="1133" t="str">
        <f>CONCATENATE('3 pr-2'!C63)</f>
        <v>07.1.1-CPVA-R-305-11-0001</v>
      </c>
      <c r="D34" s="147" t="s">
        <v>134</v>
      </c>
      <c r="E34" s="147" t="s">
        <v>292</v>
      </c>
      <c r="F34" s="147" t="s">
        <v>116</v>
      </c>
      <c r="G34" s="147" t="s">
        <v>383</v>
      </c>
      <c r="H34" s="324" t="s">
        <v>143</v>
      </c>
      <c r="I34" s="40" t="s">
        <v>119</v>
      </c>
      <c r="J34" s="40" t="s">
        <v>168</v>
      </c>
      <c r="K34" s="42" t="s">
        <v>66</v>
      </c>
      <c r="L34" s="42">
        <f>SUM(M34:Q34)</f>
        <v>352401</v>
      </c>
      <c r="M34" s="42">
        <v>52860.15</v>
      </c>
      <c r="N34" s="42">
        <v>0</v>
      </c>
      <c r="O34" s="42">
        <v>0</v>
      </c>
      <c r="P34" s="42">
        <v>0</v>
      </c>
      <c r="Q34" s="42">
        <v>299540.84999999998</v>
      </c>
      <c r="R34" s="788">
        <v>42614</v>
      </c>
      <c r="S34" s="550">
        <v>42632</v>
      </c>
      <c r="T34" s="550">
        <v>42767</v>
      </c>
      <c r="U34" s="550">
        <v>42855</v>
      </c>
      <c r="V34" s="550">
        <v>43465</v>
      </c>
      <c r="W34" s="67"/>
      <c r="X34" s="67"/>
      <c r="Y34" s="67"/>
    </row>
    <row r="35" spans="1:25" ht="30" customHeight="1" thickBot="1" x14ac:dyDescent="0.3">
      <c r="A35" s="498" t="s">
        <v>86</v>
      </c>
      <c r="B35" s="1102"/>
      <c r="C35" s="1102"/>
      <c r="D35" s="1651" t="s">
        <v>651</v>
      </c>
      <c r="E35" s="1660"/>
      <c r="F35" s="1660"/>
      <c r="G35" s="1660"/>
      <c r="H35" s="1660"/>
      <c r="I35" s="1660"/>
      <c r="J35" s="1660"/>
      <c r="K35" s="1661"/>
      <c r="L35" s="500">
        <f>SUM(L36)</f>
        <v>242419</v>
      </c>
      <c r="M35" s="500">
        <f>SUM(M36)</f>
        <v>36363</v>
      </c>
      <c r="N35" s="500">
        <f t="shared" ref="N35:P35" si="10">SUM(N36)</f>
        <v>0</v>
      </c>
      <c r="O35" s="500">
        <f t="shared" si="10"/>
        <v>0</v>
      </c>
      <c r="P35" s="500">
        <f t="shared" si="10"/>
        <v>0</v>
      </c>
      <c r="Q35" s="500">
        <f>SUM(Q36)</f>
        <v>206056</v>
      </c>
      <c r="R35" s="148"/>
      <c r="S35" s="500"/>
      <c r="T35" s="500"/>
      <c r="U35" s="500"/>
      <c r="V35" s="500"/>
      <c r="W35" s="70">
        <v>206056.31</v>
      </c>
      <c r="X35" s="70">
        <f>SUM(W35*120/100)</f>
        <v>247267.57199999999</v>
      </c>
      <c r="Y35" s="70">
        <f>SUM(W35-Q35)</f>
        <v>0.30999999999767169</v>
      </c>
    </row>
    <row r="36" spans="1:25" ht="60.75" thickBot="1" x14ac:dyDescent="0.3">
      <c r="A36" s="147" t="str">
        <f>CONCATENATE('3 pr-2'!A72)</f>
        <v>1.1.1.9.5</v>
      </c>
      <c r="B36" s="147" t="str">
        <f>CONCATENATE('3 pr-2'!B72)</f>
        <v>R01-3302-440000-1195</v>
      </c>
      <c r="C36" s="1133" t="str">
        <f>CONCATENATE('3 pr-2'!C72)</f>
        <v/>
      </c>
      <c r="D36" s="147" t="s">
        <v>685</v>
      </c>
      <c r="E36" s="147" t="s">
        <v>292</v>
      </c>
      <c r="F36" s="147" t="s">
        <v>116</v>
      </c>
      <c r="G36" s="147" t="s">
        <v>293</v>
      </c>
      <c r="H36" s="324" t="s">
        <v>183</v>
      </c>
      <c r="I36" s="40" t="s">
        <v>119</v>
      </c>
      <c r="J36" s="42" t="s">
        <v>66</v>
      </c>
      <c r="K36" s="42" t="s">
        <v>66</v>
      </c>
      <c r="L36" s="42">
        <f>SUM(M36:Q36)</f>
        <v>242419</v>
      </c>
      <c r="M36" s="42">
        <v>36363</v>
      </c>
      <c r="N36" s="42">
        <v>0</v>
      </c>
      <c r="O36" s="42">
        <v>0</v>
      </c>
      <c r="P36" s="42">
        <v>0</v>
      </c>
      <c r="Q36" s="42">
        <v>206056</v>
      </c>
      <c r="R36" s="788">
        <v>42667</v>
      </c>
      <c r="S36" s="550">
        <v>42794</v>
      </c>
      <c r="T36" s="550">
        <v>43241</v>
      </c>
      <c r="U36" s="550">
        <v>43342</v>
      </c>
      <c r="V36" s="550">
        <v>44196</v>
      </c>
      <c r="W36" s="67"/>
      <c r="X36" s="67"/>
      <c r="Y36" s="67"/>
    </row>
    <row r="37" spans="1:25" ht="50.25" customHeight="1" thickBot="1" x14ac:dyDescent="0.3">
      <c r="A37" s="216" t="s">
        <v>22</v>
      </c>
      <c r="B37" s="1106"/>
      <c r="C37" s="1106"/>
      <c r="D37" s="1653" t="s">
        <v>1688</v>
      </c>
      <c r="E37" s="1666"/>
      <c r="F37" s="1666"/>
      <c r="G37" s="1666"/>
      <c r="H37" s="1666"/>
      <c r="I37" s="1666"/>
      <c r="J37" s="1666"/>
      <c r="K37" s="1667"/>
      <c r="L37" s="196">
        <f t="shared" ref="L37:Q37" si="11">SUM(L38+L40+L42+L44)</f>
        <v>930544</v>
      </c>
      <c r="M37" s="196">
        <f t="shared" si="11"/>
        <v>76930</v>
      </c>
      <c r="N37" s="196">
        <f t="shared" si="11"/>
        <v>0</v>
      </c>
      <c r="O37" s="196">
        <f t="shared" si="11"/>
        <v>0</v>
      </c>
      <c r="P37" s="196">
        <f t="shared" si="11"/>
        <v>62660</v>
      </c>
      <c r="Q37" s="196">
        <f t="shared" si="11"/>
        <v>790954</v>
      </c>
      <c r="R37" s="196"/>
      <c r="S37" s="197"/>
      <c r="T37" s="197"/>
      <c r="U37" s="197"/>
      <c r="V37" s="237"/>
      <c r="W37" s="69">
        <f>SUM(W38+W40+W42+W44)</f>
        <v>1036489</v>
      </c>
      <c r="X37" s="69">
        <f>SUM(X38+X40+X42+X44)</f>
        <v>1243786.8</v>
      </c>
      <c r="Y37" s="69">
        <f>SUM(Y38+Y40+Y42+Y44)</f>
        <v>245535</v>
      </c>
    </row>
    <row r="38" spans="1:25" ht="33" customHeight="1" thickBot="1" x14ac:dyDescent="0.3">
      <c r="A38" s="498" t="s">
        <v>88</v>
      </c>
      <c r="B38" s="1102"/>
      <c r="C38" s="1102"/>
      <c r="D38" s="1651" t="s">
        <v>653</v>
      </c>
      <c r="E38" s="1660"/>
      <c r="F38" s="1660"/>
      <c r="G38" s="1660"/>
      <c r="H38" s="1660"/>
      <c r="I38" s="1660"/>
      <c r="J38" s="1660"/>
      <c r="K38" s="1661"/>
      <c r="L38" s="500">
        <f t="shared" ref="L38:M38" si="12">SUM(L39)</f>
        <v>0</v>
      </c>
      <c r="M38" s="500">
        <f t="shared" si="12"/>
        <v>0</v>
      </c>
      <c r="N38" s="500"/>
      <c r="O38" s="500"/>
      <c r="P38" s="500"/>
      <c r="Q38" s="500">
        <f>SUM(Q39)</f>
        <v>0</v>
      </c>
      <c r="R38" s="148"/>
      <c r="S38" s="500"/>
      <c r="T38" s="500"/>
      <c r="U38" s="500"/>
      <c r="V38" s="500"/>
      <c r="W38" s="70">
        <v>245527</v>
      </c>
      <c r="X38" s="70">
        <f>SUM(W38*120/100)</f>
        <v>294632.40000000002</v>
      </c>
      <c r="Y38" s="70">
        <f>SUM(W38-Q38)</f>
        <v>245527</v>
      </c>
    </row>
    <row r="39" spans="1:25" ht="15.75" thickBot="1" x14ac:dyDescent="0.3">
      <c r="A39" s="147"/>
      <c r="B39" s="147"/>
      <c r="C39" s="147"/>
      <c r="D39" s="147"/>
      <c r="E39" s="147"/>
      <c r="F39" s="147"/>
      <c r="G39" s="147"/>
      <c r="H39" s="324"/>
      <c r="I39" s="40"/>
      <c r="J39" s="40"/>
      <c r="K39" s="42"/>
      <c r="L39" s="42"/>
      <c r="M39" s="42"/>
      <c r="N39" s="42"/>
      <c r="O39" s="42"/>
      <c r="P39" s="42"/>
      <c r="Q39" s="42"/>
      <c r="R39" s="42"/>
      <c r="S39" s="550"/>
      <c r="T39" s="550"/>
      <c r="U39" s="550"/>
      <c r="V39" s="247"/>
      <c r="W39" s="67"/>
      <c r="X39" s="67"/>
      <c r="Y39" s="67"/>
    </row>
    <row r="40" spans="1:25" ht="26.25" customHeight="1" thickBot="1" x14ac:dyDescent="0.3">
      <c r="A40" s="498" t="s">
        <v>90</v>
      </c>
      <c r="B40" s="1102"/>
      <c r="C40" s="1102"/>
      <c r="D40" s="1651" t="s">
        <v>654</v>
      </c>
      <c r="E40" s="1660"/>
      <c r="F40" s="1660"/>
      <c r="G40" s="1660"/>
      <c r="H40" s="1660"/>
      <c r="I40" s="1660"/>
      <c r="J40" s="1660"/>
      <c r="K40" s="1661"/>
      <c r="L40" s="500">
        <f t="shared" ref="L40:P40" si="13">SUM(L41)</f>
        <v>0</v>
      </c>
      <c r="M40" s="500">
        <f t="shared" si="13"/>
        <v>0</v>
      </c>
      <c r="N40" s="500">
        <f t="shared" si="13"/>
        <v>0</v>
      </c>
      <c r="O40" s="500">
        <f t="shared" si="13"/>
        <v>0</v>
      </c>
      <c r="P40" s="500">
        <f t="shared" si="13"/>
        <v>0</v>
      </c>
      <c r="Q40" s="500">
        <f t="shared" ref="Q40" si="14">SUM(Q41)</f>
        <v>0</v>
      </c>
      <c r="R40" s="148"/>
      <c r="S40" s="500"/>
      <c r="T40" s="500"/>
      <c r="U40" s="500"/>
      <c r="V40" s="500"/>
      <c r="W40" s="70">
        <v>0</v>
      </c>
      <c r="X40" s="70">
        <f>SUM(W40*120/100)</f>
        <v>0</v>
      </c>
      <c r="Y40" s="70">
        <f>SUM(W40-Q40)</f>
        <v>0</v>
      </c>
    </row>
    <row r="41" spans="1:25" ht="15.75" thickBot="1" x14ac:dyDescent="0.3">
      <c r="A41" s="141"/>
      <c r="B41" s="141"/>
      <c r="C41" s="141"/>
      <c r="D41" s="141"/>
      <c r="E41" s="141"/>
      <c r="F41" s="142"/>
      <c r="G41" s="141"/>
      <c r="H41" s="143"/>
      <c r="I41" s="144"/>
      <c r="J41" s="31"/>
      <c r="K41" s="31"/>
      <c r="L41" s="45">
        <v>0</v>
      </c>
      <c r="M41" s="1128">
        <v>0</v>
      </c>
      <c r="N41" s="125">
        <v>0</v>
      </c>
      <c r="O41" s="125">
        <v>0</v>
      </c>
      <c r="P41" s="125">
        <v>0</v>
      </c>
      <c r="Q41" s="1128">
        <v>0</v>
      </c>
      <c r="R41" s="1128"/>
      <c r="S41" s="18">
        <f>SUM(M41:N41)</f>
        <v>0</v>
      </c>
      <c r="T41" s="18">
        <f>SUM(Q41*15/85)</f>
        <v>0</v>
      </c>
      <c r="U41" s="31"/>
      <c r="V41" s="251"/>
      <c r="W41" s="67"/>
      <c r="X41" s="67"/>
      <c r="Y41" s="67"/>
    </row>
    <row r="42" spans="1:25" ht="26.25" customHeight="1" thickBot="1" x14ac:dyDescent="0.3">
      <c r="A42" s="498" t="s">
        <v>92</v>
      </c>
      <c r="B42" s="1102"/>
      <c r="C42" s="1102"/>
      <c r="D42" s="1651" t="s">
        <v>655</v>
      </c>
      <c r="E42" s="1660"/>
      <c r="F42" s="1660"/>
      <c r="G42" s="1660"/>
      <c r="H42" s="1660"/>
      <c r="I42" s="1660"/>
      <c r="J42" s="1660"/>
      <c r="K42" s="1661"/>
      <c r="L42" s="500">
        <f t="shared" ref="L42:P42" si="15">SUM(L43)</f>
        <v>95080</v>
      </c>
      <c r="M42" s="500">
        <f t="shared" si="15"/>
        <v>14270</v>
      </c>
      <c r="N42" s="500">
        <f t="shared" si="15"/>
        <v>0</v>
      </c>
      <c r="O42" s="500">
        <f t="shared" si="15"/>
        <v>0</v>
      </c>
      <c r="P42" s="500">
        <f t="shared" si="15"/>
        <v>0</v>
      </c>
      <c r="Q42" s="500">
        <f t="shared" ref="Q42" si="16">SUM(Q43)</f>
        <v>80810</v>
      </c>
      <c r="R42" s="148"/>
      <c r="S42" s="500"/>
      <c r="T42" s="500"/>
      <c r="U42" s="500"/>
      <c r="V42" s="500"/>
      <c r="W42" s="70">
        <v>80818</v>
      </c>
      <c r="X42" s="70">
        <f>SUM(W42*120/100)</f>
        <v>96981.6</v>
      </c>
      <c r="Y42" s="70">
        <f>SUM(W42-Q42)</f>
        <v>8</v>
      </c>
    </row>
    <row r="43" spans="1:25" ht="60.75" thickBot="1" x14ac:dyDescent="0.3">
      <c r="A43" s="147" t="str">
        <f>CONCATENATE('3 pr-2'!A87)</f>
        <v>1.1.2.3.1</v>
      </c>
      <c r="B43" s="147" t="str">
        <f>CONCATENATE('3 pr-2'!B87)</f>
        <v>R01-5516-190000-1231</v>
      </c>
      <c r="C43" s="1133" t="str">
        <f>CONCATENATE('3 pr-2'!C87)</f>
        <v>04.5.1-TID-R-516-11-0004</v>
      </c>
      <c r="D43" s="147" t="s">
        <v>686</v>
      </c>
      <c r="E43" s="147" t="s">
        <v>292</v>
      </c>
      <c r="F43" s="147" t="s">
        <v>115</v>
      </c>
      <c r="G43" s="147" t="s">
        <v>383</v>
      </c>
      <c r="H43" s="324" t="s">
        <v>148</v>
      </c>
      <c r="I43" s="40" t="s">
        <v>119</v>
      </c>
      <c r="J43" s="40" t="s">
        <v>168</v>
      </c>
      <c r="K43" s="42" t="s">
        <v>66</v>
      </c>
      <c r="L43" s="42">
        <f>SUM(M43:Q43)</f>
        <v>95080</v>
      </c>
      <c r="M43" s="42">
        <v>14270</v>
      </c>
      <c r="N43" s="42">
        <v>0</v>
      </c>
      <c r="O43" s="42">
        <v>0</v>
      </c>
      <c r="P43" s="42">
        <v>0</v>
      </c>
      <c r="Q43" s="42">
        <v>80810</v>
      </c>
      <c r="R43" s="788">
        <v>42660</v>
      </c>
      <c r="S43" s="550">
        <v>42735</v>
      </c>
      <c r="T43" s="550">
        <v>43100</v>
      </c>
      <c r="U43" s="550">
        <v>43190</v>
      </c>
      <c r="V43" s="550">
        <v>43465</v>
      </c>
      <c r="W43" s="67"/>
      <c r="X43" s="67"/>
      <c r="Y43" s="67"/>
    </row>
    <row r="44" spans="1:25" ht="29.25" customHeight="1" thickBot="1" x14ac:dyDescent="0.3">
      <c r="A44" s="498" t="s">
        <v>94</v>
      </c>
      <c r="B44" s="1102"/>
      <c r="C44" s="1102"/>
      <c r="D44" s="1651" t="s">
        <v>656</v>
      </c>
      <c r="E44" s="1660"/>
      <c r="F44" s="1660"/>
      <c r="G44" s="1660"/>
      <c r="H44" s="1660"/>
      <c r="I44" s="1660"/>
      <c r="J44" s="1660"/>
      <c r="K44" s="1661"/>
      <c r="L44" s="500">
        <f t="shared" ref="L44:P44" si="17">SUM(L45)</f>
        <v>835464</v>
      </c>
      <c r="M44" s="500">
        <f t="shared" si="17"/>
        <v>62660</v>
      </c>
      <c r="N44" s="500">
        <f t="shared" si="17"/>
        <v>0</v>
      </c>
      <c r="O44" s="500">
        <f t="shared" si="17"/>
        <v>0</v>
      </c>
      <c r="P44" s="500">
        <f t="shared" si="17"/>
        <v>62660</v>
      </c>
      <c r="Q44" s="500">
        <f t="shared" ref="Q44" si="18">SUM(Q45)</f>
        <v>710144</v>
      </c>
      <c r="R44" s="148"/>
      <c r="S44" s="500"/>
      <c r="T44" s="500"/>
      <c r="U44" s="500"/>
      <c r="V44" s="500"/>
      <c r="W44" s="70">
        <v>710144</v>
      </c>
      <c r="X44" s="70">
        <f>SUM(W44*120/100)</f>
        <v>852172.80000000005</v>
      </c>
      <c r="Y44" s="70">
        <f>SUM(W44-Q44)</f>
        <v>0</v>
      </c>
    </row>
    <row r="45" spans="1:25" ht="60.75" thickBot="1" x14ac:dyDescent="0.3">
      <c r="A45" s="147" t="str">
        <f>CONCATENATE('3 pr-2'!A93)</f>
        <v>1.1.2.4.1</v>
      </c>
      <c r="B45" s="147" t="str">
        <f>CONCATENATE('3 pr-2'!B93)</f>
        <v>R01-5511-120000-1241</v>
      </c>
      <c r="C45" s="1133" t="str">
        <f>CONCATENATE('3 pr-2'!C93)</f>
        <v>06.2.1-TID-R-511-11-0002</v>
      </c>
      <c r="D45" s="147" t="s">
        <v>337</v>
      </c>
      <c r="E45" s="147" t="s">
        <v>292</v>
      </c>
      <c r="F45" s="147" t="s">
        <v>115</v>
      </c>
      <c r="G45" s="147" t="s">
        <v>383</v>
      </c>
      <c r="H45" s="324" t="s">
        <v>141</v>
      </c>
      <c r="I45" s="40" t="s">
        <v>119</v>
      </c>
      <c r="J45" s="40" t="s">
        <v>168</v>
      </c>
      <c r="K45" s="42" t="s">
        <v>66</v>
      </c>
      <c r="L45" s="42">
        <f>SUM(M45:Q45)</f>
        <v>835464</v>
      </c>
      <c r="M45" s="42">
        <v>62660</v>
      </c>
      <c r="N45" s="1159">
        <v>0</v>
      </c>
      <c r="O45" s="42">
        <v>0</v>
      </c>
      <c r="P45" s="1159">
        <v>62660</v>
      </c>
      <c r="Q45" s="42">
        <v>710144</v>
      </c>
      <c r="R45" s="788">
        <v>42639</v>
      </c>
      <c r="S45" s="550">
        <v>42732</v>
      </c>
      <c r="T45" s="550">
        <v>42887</v>
      </c>
      <c r="U45" s="550">
        <v>43008</v>
      </c>
      <c r="V45" s="1158">
        <v>44196</v>
      </c>
      <c r="W45" s="67"/>
      <c r="X45" s="67"/>
      <c r="Y45" s="67"/>
    </row>
    <row r="46" spans="1:25" ht="39.75" customHeight="1" thickBot="1" x14ac:dyDescent="0.3">
      <c r="A46" s="224" t="s">
        <v>27</v>
      </c>
      <c r="B46" s="1107"/>
      <c r="C46" s="1107"/>
      <c r="D46" s="1663" t="s">
        <v>657</v>
      </c>
      <c r="E46" s="1664"/>
      <c r="F46" s="1664"/>
      <c r="G46" s="1664"/>
      <c r="H46" s="1664"/>
      <c r="I46" s="1664"/>
      <c r="J46" s="1664"/>
      <c r="K46" s="1665"/>
      <c r="L46" s="218">
        <f t="shared" ref="L46:Q46" si="19">SUM(L47+L54+L63+L68)</f>
        <v>2501375.6999999997</v>
      </c>
      <c r="M46" s="218">
        <f t="shared" si="19"/>
        <v>328717.82000000007</v>
      </c>
      <c r="N46" s="218">
        <f t="shared" si="19"/>
        <v>73059.790000000008</v>
      </c>
      <c r="O46" s="218">
        <f t="shared" si="19"/>
        <v>623</v>
      </c>
      <c r="P46" s="218">
        <f t="shared" si="19"/>
        <v>0</v>
      </c>
      <c r="Q46" s="218">
        <f t="shared" si="19"/>
        <v>2098975.09</v>
      </c>
      <c r="R46" s="218"/>
      <c r="S46" s="225"/>
      <c r="T46" s="225"/>
      <c r="U46" s="225"/>
      <c r="V46" s="236"/>
      <c r="W46" s="78">
        <f>SUM(W47+W54+W63+W68)</f>
        <v>2623843.2011587336</v>
      </c>
      <c r="X46" s="78">
        <f>SUM(X47+X54+X63+X68)</f>
        <v>3148611.8413904798</v>
      </c>
      <c r="Y46" s="78">
        <f>SUM(Y47+Y54+Y63+Y68)</f>
        <v>538195.11115873326</v>
      </c>
    </row>
    <row r="47" spans="1:25" ht="51" customHeight="1" thickBot="1" x14ac:dyDescent="0.3">
      <c r="A47" s="216" t="s">
        <v>28</v>
      </c>
      <c r="B47" s="1106"/>
      <c r="C47" s="1106"/>
      <c r="D47" s="1653" t="s">
        <v>658</v>
      </c>
      <c r="E47" s="1666"/>
      <c r="F47" s="1666"/>
      <c r="G47" s="1666"/>
      <c r="H47" s="1666"/>
      <c r="I47" s="1666"/>
      <c r="J47" s="1666"/>
      <c r="K47" s="1667"/>
      <c r="L47" s="196">
        <f t="shared" ref="L47:Q47" si="20">SUM(L48+L50+L52)</f>
        <v>1028004</v>
      </c>
      <c r="M47" s="196">
        <f t="shared" si="20"/>
        <v>139509</v>
      </c>
      <c r="N47" s="196">
        <f t="shared" si="20"/>
        <v>41885</v>
      </c>
      <c r="O47" s="196">
        <f t="shared" si="20"/>
        <v>0</v>
      </c>
      <c r="P47" s="196">
        <f t="shared" si="20"/>
        <v>0</v>
      </c>
      <c r="Q47" s="196">
        <f t="shared" si="20"/>
        <v>846610</v>
      </c>
      <c r="R47" s="196"/>
      <c r="S47" s="197"/>
      <c r="T47" s="197"/>
      <c r="U47" s="197"/>
      <c r="V47" s="237"/>
      <c r="W47" s="69">
        <f>SUM(W48+W50+W52)</f>
        <v>867541</v>
      </c>
      <c r="X47" s="69">
        <f>SUM(X48+X50+X52)</f>
        <v>1041049.2</v>
      </c>
      <c r="Y47" s="69">
        <f>SUM(Y48+Y50+Y52)</f>
        <v>20931</v>
      </c>
    </row>
    <row r="48" spans="1:25" ht="35.25" customHeight="1" thickBot="1" x14ac:dyDescent="0.3">
      <c r="A48" s="498" t="s">
        <v>96</v>
      </c>
      <c r="B48" s="1102"/>
      <c r="C48" s="1102"/>
      <c r="D48" s="1651" t="s">
        <v>659</v>
      </c>
      <c r="E48" s="1660"/>
      <c r="F48" s="1660"/>
      <c r="G48" s="1660"/>
      <c r="H48" s="1660"/>
      <c r="I48" s="1660"/>
      <c r="J48" s="1660"/>
      <c r="K48" s="1661"/>
      <c r="L48" s="500">
        <f t="shared" ref="L48:P48" si="21">SUM(L49)</f>
        <v>220453</v>
      </c>
      <c r="M48" s="500">
        <f t="shared" si="21"/>
        <v>16534</v>
      </c>
      <c r="N48" s="500">
        <f t="shared" si="21"/>
        <v>16534</v>
      </c>
      <c r="O48" s="500">
        <f t="shared" si="21"/>
        <v>0</v>
      </c>
      <c r="P48" s="500">
        <f t="shared" si="21"/>
        <v>0</v>
      </c>
      <c r="Q48" s="500">
        <f t="shared" ref="Q48" si="22">SUM(Q49)</f>
        <v>187385</v>
      </c>
      <c r="R48" s="148"/>
      <c r="S48" s="500"/>
      <c r="T48" s="500"/>
      <c r="U48" s="500"/>
      <c r="V48" s="500"/>
      <c r="W48" s="70">
        <v>187385</v>
      </c>
      <c r="X48" s="70">
        <f>SUM(W48*120/100)</f>
        <v>224862</v>
      </c>
      <c r="Y48" s="70">
        <f>SUM(W48-Q48)</f>
        <v>0</v>
      </c>
    </row>
    <row r="49" spans="1:27" ht="60.75" thickBot="1" x14ac:dyDescent="0.3">
      <c r="A49" s="147" t="str">
        <f>CONCATENATE('3 pr-2'!A103)</f>
        <v>2.1.1.1.1</v>
      </c>
      <c r="B49" s="147" t="str">
        <f>CONCATENATE('3 pr-2'!B103)</f>
        <v>R01-7724-220000-2111</v>
      </c>
      <c r="C49" s="1133" t="str">
        <f>CONCATENATE('3 pr-2'!C103)</f>
        <v xml:space="preserve">09.1.3-CPVA-R-724-11-0003 </v>
      </c>
      <c r="D49" s="147" t="s">
        <v>687</v>
      </c>
      <c r="E49" s="147" t="s">
        <v>292</v>
      </c>
      <c r="F49" s="147" t="s">
        <v>97</v>
      </c>
      <c r="G49" s="147" t="s">
        <v>383</v>
      </c>
      <c r="H49" s="324" t="s">
        <v>136</v>
      </c>
      <c r="I49" s="40" t="s">
        <v>119</v>
      </c>
      <c r="J49" s="40" t="s">
        <v>66</v>
      </c>
      <c r="K49" s="42" t="s">
        <v>66</v>
      </c>
      <c r="L49" s="42">
        <f>SUM(M49:Q49)</f>
        <v>220453</v>
      </c>
      <c r="M49" s="42">
        <v>16534</v>
      </c>
      <c r="N49" s="42">
        <v>16534</v>
      </c>
      <c r="O49" s="42">
        <v>0</v>
      </c>
      <c r="P49" s="42">
        <v>0</v>
      </c>
      <c r="Q49" s="42">
        <v>187385</v>
      </c>
      <c r="R49" s="788">
        <v>42863</v>
      </c>
      <c r="S49" s="550">
        <v>42916</v>
      </c>
      <c r="T49" s="550">
        <v>42993</v>
      </c>
      <c r="U49" s="550">
        <v>43099</v>
      </c>
      <c r="V49" s="799">
        <f>SUM('IV-1 su proj'!CH102)</f>
        <v>43845</v>
      </c>
      <c r="W49" s="67"/>
      <c r="X49" s="67"/>
      <c r="Y49" s="67"/>
    </row>
    <row r="50" spans="1:27" ht="31.5" customHeight="1" thickBot="1" x14ac:dyDescent="0.3">
      <c r="A50" s="498" t="s">
        <v>99</v>
      </c>
      <c r="B50" s="1102"/>
      <c r="C50" s="1102"/>
      <c r="D50" s="1651" t="s">
        <v>660</v>
      </c>
      <c r="E50" s="1660"/>
      <c r="F50" s="1660"/>
      <c r="G50" s="1660"/>
      <c r="H50" s="1660"/>
      <c r="I50" s="1660"/>
      <c r="J50" s="1660"/>
      <c r="K50" s="1661"/>
      <c r="L50" s="500">
        <f t="shared" ref="L50:Q50" si="23">SUM(L51:L51)</f>
        <v>437551</v>
      </c>
      <c r="M50" s="500">
        <f t="shared" si="23"/>
        <v>65633</v>
      </c>
      <c r="N50" s="500">
        <f t="shared" si="23"/>
        <v>0</v>
      </c>
      <c r="O50" s="500">
        <f t="shared" si="23"/>
        <v>0</v>
      </c>
      <c r="P50" s="500">
        <f t="shared" si="23"/>
        <v>0</v>
      </c>
      <c r="Q50" s="500">
        <f t="shared" si="23"/>
        <v>371918</v>
      </c>
      <c r="R50" s="148"/>
      <c r="S50" s="500"/>
      <c r="T50" s="500"/>
      <c r="U50" s="500"/>
      <c r="V50" s="500"/>
      <c r="W50" s="70">
        <v>371918</v>
      </c>
      <c r="X50" s="70">
        <f>SUM(W50*120/100)</f>
        <v>446301.6</v>
      </c>
      <c r="Y50" s="19">
        <f>SUM(W50-Q50)</f>
        <v>0</v>
      </c>
    </row>
    <row r="51" spans="1:27" ht="60.75" thickBot="1" x14ac:dyDescent="0.3">
      <c r="A51" s="147" t="str">
        <f>CONCATENATE('3 pr-2'!A109)</f>
        <v>2.1.1.2.1</v>
      </c>
      <c r="B51" s="147" t="str">
        <f>CONCATENATE('3 pr-2'!B109)</f>
        <v>R01-7725-240000-2121</v>
      </c>
      <c r="C51" s="1133" t="str">
        <f>CONCATENATE('3 pr-2'!C109)</f>
        <v>09.1.3-CPVA-R-725-11-0003</v>
      </c>
      <c r="D51" s="147" t="s">
        <v>418</v>
      </c>
      <c r="E51" s="147" t="s">
        <v>292</v>
      </c>
      <c r="F51" s="147" t="s">
        <v>97</v>
      </c>
      <c r="G51" s="147" t="s">
        <v>383</v>
      </c>
      <c r="H51" s="324" t="s">
        <v>139</v>
      </c>
      <c r="I51" s="40" t="s">
        <v>119</v>
      </c>
      <c r="J51" s="40" t="s">
        <v>66</v>
      </c>
      <c r="K51" s="42" t="s">
        <v>66</v>
      </c>
      <c r="L51" s="42">
        <f t="shared" ref="L51" si="24">SUM(M51:Q51)</f>
        <v>437551</v>
      </c>
      <c r="M51" s="42">
        <v>65633</v>
      </c>
      <c r="N51" s="42">
        <v>0</v>
      </c>
      <c r="O51" s="42">
        <v>0</v>
      </c>
      <c r="P51" s="42">
        <v>0</v>
      </c>
      <c r="Q51" s="42">
        <v>371918</v>
      </c>
      <c r="R51" s="788">
        <v>42870</v>
      </c>
      <c r="S51" s="550">
        <v>42916</v>
      </c>
      <c r="T51" s="550">
        <v>43007</v>
      </c>
      <c r="U51" s="550">
        <v>43100</v>
      </c>
      <c r="V51" s="799">
        <f>SUM('IV-1 su proj'!CH108)</f>
        <v>43845</v>
      </c>
      <c r="W51" s="67"/>
      <c r="X51" s="67"/>
      <c r="Y51" s="67"/>
    </row>
    <row r="52" spans="1:27" ht="30.75" customHeight="1" thickBot="1" x14ac:dyDescent="0.3">
      <c r="A52" s="498" t="s">
        <v>101</v>
      </c>
      <c r="B52" s="1102"/>
      <c r="C52" s="1102"/>
      <c r="D52" s="1651" t="s">
        <v>1685</v>
      </c>
      <c r="E52" s="1660"/>
      <c r="F52" s="1660"/>
      <c r="G52" s="1660"/>
      <c r="H52" s="1660"/>
      <c r="I52" s="1660"/>
      <c r="J52" s="1660"/>
      <c r="K52" s="1661"/>
      <c r="L52" s="500">
        <f t="shared" ref="L52:P52" si="25">SUM(L53)</f>
        <v>370000</v>
      </c>
      <c r="M52" s="500">
        <f t="shared" si="25"/>
        <v>57342</v>
      </c>
      <c r="N52" s="500">
        <f t="shared" si="25"/>
        <v>25351</v>
      </c>
      <c r="O52" s="500">
        <f t="shared" si="25"/>
        <v>0</v>
      </c>
      <c r="P52" s="500">
        <f t="shared" si="25"/>
        <v>0</v>
      </c>
      <c r="Q52" s="500">
        <f t="shared" ref="Q52" si="26">SUM(Q53)</f>
        <v>287307</v>
      </c>
      <c r="R52" s="148"/>
      <c r="S52" s="500"/>
      <c r="T52" s="500"/>
      <c r="U52" s="500"/>
      <c r="V52" s="500"/>
      <c r="W52" s="70">
        <v>308238</v>
      </c>
      <c r="X52" s="70">
        <f>SUM(W52*120/100)</f>
        <v>369885.6</v>
      </c>
      <c r="Y52" s="19">
        <f>SUM(W52-Q52)</f>
        <v>20931</v>
      </c>
    </row>
    <row r="53" spans="1:27" ht="60.75" customHeight="1" thickBot="1" x14ac:dyDescent="0.3">
      <c r="A53" s="147" t="str">
        <f>CONCATENATE('3 pr-2'!A115)</f>
        <v>2.1.1.3.1</v>
      </c>
      <c r="B53" s="147" t="str">
        <f>CONCATENATE('3 pr-2'!B115)</f>
        <v>R01-7705-230000-2131</v>
      </c>
      <c r="C53" s="1133" t="str">
        <f>CONCATENATE('3 pr-2'!C115)</f>
        <v>09.1.3-CPVA-R-705-11-0003</v>
      </c>
      <c r="D53" s="147" t="s">
        <v>138</v>
      </c>
      <c r="E53" s="147" t="s">
        <v>292</v>
      </c>
      <c r="F53" s="147" t="s">
        <v>97</v>
      </c>
      <c r="G53" s="147" t="s">
        <v>383</v>
      </c>
      <c r="H53" s="324" t="s">
        <v>140</v>
      </c>
      <c r="I53" s="40" t="s">
        <v>119</v>
      </c>
      <c r="J53" s="40" t="s">
        <v>66</v>
      </c>
      <c r="K53" s="42" t="s">
        <v>66</v>
      </c>
      <c r="L53" s="42">
        <f>SUM(M53:Q53)</f>
        <v>370000</v>
      </c>
      <c r="M53" s="42">
        <v>57342</v>
      </c>
      <c r="N53" s="42">
        <v>25351</v>
      </c>
      <c r="O53" s="42">
        <v>0</v>
      </c>
      <c r="P53" s="42">
        <v>0</v>
      </c>
      <c r="Q53" s="42">
        <v>287307</v>
      </c>
      <c r="R53" s="788">
        <v>42968</v>
      </c>
      <c r="S53" s="550">
        <v>43039</v>
      </c>
      <c r="T53" s="550">
        <v>43080</v>
      </c>
      <c r="U53" s="550">
        <v>43159</v>
      </c>
      <c r="V53" s="799">
        <f>SUM('IV-1 su proj'!CH114)</f>
        <v>43679.5</v>
      </c>
      <c r="W53" s="67"/>
      <c r="X53" s="67"/>
      <c r="Y53" s="67"/>
    </row>
    <row r="54" spans="1:27" ht="52.5" customHeight="1" thickBot="1" x14ac:dyDescent="0.3">
      <c r="A54" s="216" t="s">
        <v>32</v>
      </c>
      <c r="B54" s="1106"/>
      <c r="C54" s="1106"/>
      <c r="D54" s="1653" t="s">
        <v>661</v>
      </c>
      <c r="E54" s="1666"/>
      <c r="F54" s="1666"/>
      <c r="G54" s="1666"/>
      <c r="H54" s="1666"/>
      <c r="I54" s="1666"/>
      <c r="J54" s="1666"/>
      <c r="K54" s="1667"/>
      <c r="L54" s="196">
        <f t="shared" ref="L54:Q54" si="27">SUM(L55+L58+L61)</f>
        <v>415659.18</v>
      </c>
      <c r="M54" s="196">
        <f t="shared" si="27"/>
        <v>30551.79</v>
      </c>
      <c r="N54" s="196">
        <f t="shared" si="27"/>
        <v>31174.79</v>
      </c>
      <c r="O54" s="196">
        <f t="shared" si="27"/>
        <v>623</v>
      </c>
      <c r="P54" s="196">
        <f t="shared" si="27"/>
        <v>0</v>
      </c>
      <c r="Q54" s="196">
        <f t="shared" si="27"/>
        <v>353309.6</v>
      </c>
      <c r="R54" s="196"/>
      <c r="S54" s="197"/>
      <c r="T54" s="197"/>
      <c r="U54" s="197"/>
      <c r="V54" s="237"/>
      <c r="W54" s="69">
        <f>SUM(W55+W58)</f>
        <v>847000</v>
      </c>
      <c r="X54" s="69">
        <f>SUM(X55+X58)</f>
        <v>1016400</v>
      </c>
      <c r="Y54" s="69">
        <f>SUM(Y55+Y58)</f>
        <v>507017.4</v>
      </c>
    </row>
    <row r="55" spans="1:27" ht="35.25" customHeight="1" thickBot="1" x14ac:dyDescent="0.3">
      <c r="A55" s="498" t="s">
        <v>33</v>
      </c>
      <c r="B55" s="1102"/>
      <c r="C55" s="1102"/>
      <c r="D55" s="1651" t="s">
        <v>662</v>
      </c>
      <c r="E55" s="1660"/>
      <c r="F55" s="1660"/>
      <c r="G55" s="1660"/>
      <c r="H55" s="1660"/>
      <c r="I55" s="1660"/>
      <c r="J55" s="1660"/>
      <c r="K55" s="1661"/>
      <c r="L55" s="500">
        <f t="shared" ref="L55:P55" si="28">SUM(L56:L57)</f>
        <v>200983</v>
      </c>
      <c r="M55" s="500">
        <f t="shared" si="28"/>
        <v>14451</v>
      </c>
      <c r="N55" s="500">
        <f t="shared" si="28"/>
        <v>15074</v>
      </c>
      <c r="O55" s="500">
        <f t="shared" si="28"/>
        <v>623</v>
      </c>
      <c r="P55" s="500">
        <f t="shared" si="28"/>
        <v>0</v>
      </c>
      <c r="Q55" s="500">
        <f>SUM(Q56:Q57)</f>
        <v>170835</v>
      </c>
      <c r="R55" s="148"/>
      <c r="S55" s="500"/>
      <c r="T55" s="500"/>
      <c r="U55" s="500"/>
      <c r="V55" s="500"/>
      <c r="W55" s="70">
        <v>645000</v>
      </c>
      <c r="X55" s="70">
        <f>SUM(W55*120/100)</f>
        <v>774000</v>
      </c>
      <c r="Y55" s="70">
        <f>SUM(W55-Q55)</f>
        <v>474165</v>
      </c>
    </row>
    <row r="56" spans="1:27" ht="60.75" thickBot="1" x14ac:dyDescent="0.3">
      <c r="A56" s="147" t="str">
        <f>CONCATENATE('3 pr-2'!A133)</f>
        <v>2.1.2.1.12</v>
      </c>
      <c r="B56" s="147" t="str">
        <f>CONCATENATE('3 pr-2'!B133)</f>
        <v>R01-6609-274710-2222</v>
      </c>
      <c r="C56" s="1133" t="str">
        <f>CONCATENATE('3 pr-2'!C133)</f>
        <v/>
      </c>
      <c r="D56" s="147" t="s">
        <v>150</v>
      </c>
      <c r="E56" s="147" t="s">
        <v>151</v>
      </c>
      <c r="F56" s="147" t="s">
        <v>103</v>
      </c>
      <c r="G56" s="147" t="s">
        <v>1770</v>
      </c>
      <c r="H56" s="324" t="s">
        <v>153</v>
      </c>
      <c r="I56" s="40" t="s">
        <v>119</v>
      </c>
      <c r="J56" s="40" t="s">
        <v>66</v>
      </c>
      <c r="K56" s="42" t="s">
        <v>66</v>
      </c>
      <c r="L56" s="849">
        <f>SUM(M56:Q56)</f>
        <v>192678</v>
      </c>
      <c r="M56" s="849">
        <v>14451</v>
      </c>
      <c r="N56" s="849">
        <v>14451</v>
      </c>
      <c r="O56" s="42">
        <v>0</v>
      </c>
      <c r="P56" s="42">
        <v>0</v>
      </c>
      <c r="Q56" s="849">
        <v>163776</v>
      </c>
      <c r="R56" s="1543">
        <v>43189</v>
      </c>
      <c r="S56" s="246">
        <v>43312</v>
      </c>
      <c r="T56" s="246">
        <v>43434</v>
      </c>
      <c r="U56" s="246">
        <v>43496</v>
      </c>
      <c r="V56" s="246">
        <v>44227</v>
      </c>
      <c r="W56" s="67"/>
      <c r="X56" s="67"/>
      <c r="Y56" s="67"/>
    </row>
    <row r="57" spans="1:27" ht="48.75" thickBot="1" x14ac:dyDescent="0.3">
      <c r="A57" s="848" t="str">
        <f>CONCATENATE('3 pr-2'!A134)</f>
        <v>2.1.2.1.13</v>
      </c>
      <c r="B57" s="848" t="str">
        <f>CONCATENATE('3 pr-2'!B134)</f>
        <v>R01-6609-470000-2223</v>
      </c>
      <c r="C57" s="1133" t="str">
        <f>CONCATENATE('3 pr-2'!C135)</f>
        <v/>
      </c>
      <c r="D57" s="1536" t="s">
        <v>1769</v>
      </c>
      <c r="E57" s="848" t="s">
        <v>1771</v>
      </c>
      <c r="F57" s="848" t="s">
        <v>103</v>
      </c>
      <c r="G57" s="848" t="s">
        <v>1770</v>
      </c>
      <c r="H57" s="851" t="s">
        <v>153</v>
      </c>
      <c r="I57" s="850" t="s">
        <v>119</v>
      </c>
      <c r="J57" s="850" t="s">
        <v>66</v>
      </c>
      <c r="K57" s="849" t="s">
        <v>66</v>
      </c>
      <c r="L57" s="849">
        <f>SUM(M57:Q57)</f>
        <v>8305</v>
      </c>
      <c r="M57" s="849">
        <v>0</v>
      </c>
      <c r="N57" s="849">
        <v>623</v>
      </c>
      <c r="O57" s="849">
        <v>623</v>
      </c>
      <c r="P57" s="849">
        <v>0</v>
      </c>
      <c r="Q57" s="849">
        <v>7059</v>
      </c>
      <c r="R57" s="1537"/>
      <c r="S57" s="1538">
        <v>43311</v>
      </c>
      <c r="T57" s="1538">
        <v>43404</v>
      </c>
      <c r="U57" s="1538">
        <v>43496</v>
      </c>
      <c r="V57" s="1538">
        <v>43830</v>
      </c>
      <c r="W57" s="67"/>
      <c r="X57" s="67"/>
      <c r="Y57" s="67"/>
    </row>
    <row r="58" spans="1:27" ht="36.75" customHeight="1" thickBot="1" x14ac:dyDescent="0.3">
      <c r="A58" s="498" t="s">
        <v>34</v>
      </c>
      <c r="B58" s="1102"/>
      <c r="C58" s="1102"/>
      <c r="D58" s="1651" t="str">
        <f>CONCATENATE('3 pr-2'!D135)</f>
        <v/>
      </c>
      <c r="E58" s="1660"/>
      <c r="F58" s="1660"/>
      <c r="G58" s="1660"/>
      <c r="H58" s="1660"/>
      <c r="I58" s="1660"/>
      <c r="J58" s="1660"/>
      <c r="K58" s="1661"/>
      <c r="L58" s="500">
        <f>SUM(L59:L60)</f>
        <v>198997.18</v>
      </c>
      <c r="M58" s="500">
        <f>SUM(M59:M60)</f>
        <v>14924.79</v>
      </c>
      <c r="N58" s="500">
        <f t="shared" ref="N58:P58" si="29">SUM(N59:N60)</f>
        <v>14924.79</v>
      </c>
      <c r="O58" s="500">
        <f t="shared" si="29"/>
        <v>0</v>
      </c>
      <c r="P58" s="500">
        <f t="shared" si="29"/>
        <v>0</v>
      </c>
      <c r="Q58" s="500">
        <f>SUM(Q59:Q60)</f>
        <v>169147.6</v>
      </c>
      <c r="R58" s="148"/>
      <c r="S58" s="500"/>
      <c r="T58" s="500"/>
      <c r="U58" s="500"/>
      <c r="V58" s="500"/>
      <c r="W58" s="70">
        <v>202000</v>
      </c>
      <c r="X58" s="70">
        <f>SUM(W58*120/100)</f>
        <v>242400</v>
      </c>
      <c r="Y58" s="70">
        <f>SUM(W58-Q58)</f>
        <v>32852.399999999994</v>
      </c>
      <c r="AA58" s="101"/>
    </row>
    <row r="59" spans="1:27" ht="90" thickBot="1" x14ac:dyDescent="0.3">
      <c r="A59" s="147" t="str">
        <f>CONCATENATE('3 pr-2'!A138)</f>
        <v>2.1.2.2.3</v>
      </c>
      <c r="B59" s="147" t="str">
        <f>CONCATENATE('3 pr-2'!B138)</f>
        <v>R01-6630-470000-2223</v>
      </c>
      <c r="C59" s="1133" t="str">
        <f>CONCATENATE('3 pr-2'!C138)</f>
        <v/>
      </c>
      <c r="D59" s="1138" t="s">
        <v>1470</v>
      </c>
      <c r="E59" s="1138" t="s">
        <v>286</v>
      </c>
      <c r="F59" s="1138" t="s">
        <v>103</v>
      </c>
      <c r="G59" s="1138" t="s">
        <v>293</v>
      </c>
      <c r="H59" s="36" t="s">
        <v>1467</v>
      </c>
      <c r="I59" s="36" t="s">
        <v>119</v>
      </c>
      <c r="J59" s="36" t="s">
        <v>66</v>
      </c>
      <c r="K59" s="36" t="s">
        <v>66</v>
      </c>
      <c r="L59" s="1129">
        <v>198997.18</v>
      </c>
      <c r="M59" s="1129">
        <v>14924.79</v>
      </c>
      <c r="N59" s="1129">
        <v>14924.79</v>
      </c>
      <c r="O59" s="36">
        <v>0</v>
      </c>
      <c r="P59" s="36">
        <v>0</v>
      </c>
      <c r="Q59" s="1129">
        <v>169147.6</v>
      </c>
      <c r="R59" s="42"/>
      <c r="S59" s="1139">
        <v>43160</v>
      </c>
      <c r="T59" s="1140">
        <v>43250</v>
      </c>
      <c r="U59" s="1140">
        <v>43342</v>
      </c>
      <c r="V59" s="799">
        <v>44561</v>
      </c>
      <c r="W59" s="67"/>
      <c r="X59" s="67"/>
      <c r="Y59" s="67"/>
    </row>
    <row r="60" spans="1:27" ht="15.75" hidden="1" thickBot="1" x14ac:dyDescent="0.3">
      <c r="A60" s="147"/>
      <c r="B60" s="147"/>
      <c r="C60" s="147"/>
      <c r="D60" s="147"/>
      <c r="E60" s="147"/>
      <c r="F60" s="147"/>
      <c r="G60" s="147"/>
      <c r="H60" s="324"/>
      <c r="I60" s="40"/>
      <c r="J60" s="40"/>
      <c r="K60" s="42"/>
      <c r="L60" s="42"/>
      <c r="M60" s="42"/>
      <c r="N60" s="42"/>
      <c r="O60" s="42"/>
      <c r="P60" s="42"/>
      <c r="Q60" s="42"/>
      <c r="R60" s="42"/>
      <c r="S60" s="550"/>
      <c r="T60" s="550"/>
      <c r="U60" s="550"/>
      <c r="V60" s="1137"/>
      <c r="W60" s="67"/>
      <c r="X60" s="67"/>
      <c r="Y60" s="67"/>
    </row>
    <row r="61" spans="1:27" ht="36.75" customHeight="1" thickBot="1" x14ac:dyDescent="0.3">
      <c r="A61" s="498" t="s">
        <v>34</v>
      </c>
      <c r="B61" s="1102"/>
      <c r="C61" s="1102"/>
      <c r="D61" s="1651" t="str">
        <f>CONCATENATE('3 pr-2'!D138)</f>
        <v>Sveikos gyvensenos skatinimas Varėnos rajono savivaldybėje</v>
      </c>
      <c r="E61" s="1660"/>
      <c r="F61" s="1660"/>
      <c r="G61" s="1660"/>
      <c r="H61" s="1660"/>
      <c r="I61" s="1660"/>
      <c r="J61" s="1660"/>
      <c r="K61" s="1661"/>
      <c r="L61" s="500">
        <f t="shared" ref="L61:P61" si="30">SUM(L62)</f>
        <v>15679</v>
      </c>
      <c r="M61" s="500">
        <f t="shared" si="30"/>
        <v>1176</v>
      </c>
      <c r="N61" s="500">
        <f t="shared" si="30"/>
        <v>1176</v>
      </c>
      <c r="O61" s="500">
        <f t="shared" si="30"/>
        <v>0</v>
      </c>
      <c r="P61" s="500">
        <f t="shared" si="30"/>
        <v>0</v>
      </c>
      <c r="Q61" s="500">
        <f>SUM(Q62)</f>
        <v>13327</v>
      </c>
      <c r="R61" s="148"/>
      <c r="S61" s="500"/>
      <c r="T61" s="500"/>
      <c r="U61" s="500"/>
      <c r="V61" s="500"/>
      <c r="W61" s="70">
        <v>202000</v>
      </c>
      <c r="X61" s="70">
        <f>SUM(W61*120/100)</f>
        <v>242400</v>
      </c>
      <c r="Y61" s="70">
        <f>SUM(W61-Q61)</f>
        <v>188673</v>
      </c>
      <c r="AA61" s="101"/>
    </row>
    <row r="62" spans="1:27" ht="77.25" thickBot="1" x14ac:dyDescent="0.3">
      <c r="A62" s="147" t="str">
        <f>CONCATENATE('3 pr-2'!A146)</f>
        <v>2.1.2.3.5</v>
      </c>
      <c r="B62" s="147" t="str">
        <f>CONCATENATE('3 pr-2'!B146)</f>
        <v>R01-6615-470000-2235</v>
      </c>
      <c r="C62" s="1133" t="str">
        <f>CONCATENATE('3 pr-2'!C146)</f>
        <v/>
      </c>
      <c r="D62" s="1138" t="s">
        <v>1498</v>
      </c>
      <c r="E62" s="1138" t="s">
        <v>292</v>
      </c>
      <c r="F62" s="1138" t="s">
        <v>103</v>
      </c>
      <c r="G62" s="1138" t="s">
        <v>293</v>
      </c>
      <c r="H62" s="36" t="s">
        <v>1482</v>
      </c>
      <c r="I62" s="36" t="s">
        <v>119</v>
      </c>
      <c r="J62" s="36" t="s">
        <v>66</v>
      </c>
      <c r="K62" s="36" t="s">
        <v>66</v>
      </c>
      <c r="L62" s="1129">
        <v>15679</v>
      </c>
      <c r="M62" s="1129">
        <v>1176</v>
      </c>
      <c r="N62" s="1129">
        <v>1176</v>
      </c>
      <c r="O62" s="36">
        <v>0</v>
      </c>
      <c r="P62" s="36">
        <v>0</v>
      </c>
      <c r="Q62" s="1129">
        <v>13327</v>
      </c>
      <c r="R62" s="42"/>
      <c r="S62" s="1139">
        <v>43160</v>
      </c>
      <c r="T62" s="1139">
        <v>43252</v>
      </c>
      <c r="U62" s="1139">
        <v>43344</v>
      </c>
      <c r="V62" s="799">
        <v>44561</v>
      </c>
      <c r="W62" s="67"/>
      <c r="X62" s="67"/>
      <c r="Y62" s="67"/>
    </row>
    <row r="63" spans="1:27" ht="49.5" customHeight="1" thickBot="1" x14ac:dyDescent="0.3">
      <c r="A63" s="216" t="s">
        <v>35</v>
      </c>
      <c r="B63" s="1106"/>
      <c r="C63" s="1106"/>
      <c r="D63" s="1653" t="s">
        <v>667</v>
      </c>
      <c r="E63" s="1666"/>
      <c r="F63" s="1666"/>
      <c r="G63" s="1666"/>
      <c r="H63" s="1666"/>
      <c r="I63" s="1666"/>
      <c r="J63" s="1666"/>
      <c r="K63" s="1667"/>
      <c r="L63" s="196">
        <f t="shared" ref="L63:Q63" si="31">SUM(L64+L66)</f>
        <v>884979</v>
      </c>
      <c r="M63" s="196">
        <f t="shared" si="31"/>
        <v>132747</v>
      </c>
      <c r="N63" s="196">
        <f t="shared" si="31"/>
        <v>0</v>
      </c>
      <c r="O63" s="196">
        <f t="shared" si="31"/>
        <v>0</v>
      </c>
      <c r="P63" s="196">
        <f t="shared" si="31"/>
        <v>0</v>
      </c>
      <c r="Q63" s="196">
        <f t="shared" si="31"/>
        <v>752232</v>
      </c>
      <c r="R63" s="196"/>
      <c r="S63" s="197"/>
      <c r="T63" s="197"/>
      <c r="U63" s="197"/>
      <c r="V63" s="237"/>
      <c r="W63" s="69">
        <f>SUM(W64+W66)</f>
        <v>752232.00509731239</v>
      </c>
      <c r="X63" s="69">
        <f>SUM(X64+X66)</f>
        <v>902678.40611677477</v>
      </c>
      <c r="Y63" s="69">
        <f>SUM(Y64+Y66)</f>
        <v>5.0973123288713396E-3</v>
      </c>
    </row>
    <row r="64" spans="1:27" ht="29.25" customHeight="1" thickBot="1" x14ac:dyDescent="0.3">
      <c r="A64" s="498" t="s">
        <v>36</v>
      </c>
      <c r="B64" s="1102"/>
      <c r="C64" s="1102"/>
      <c r="D64" s="1651" t="s">
        <v>663</v>
      </c>
      <c r="E64" s="1660"/>
      <c r="F64" s="1660"/>
      <c r="G64" s="1660"/>
      <c r="H64" s="1660"/>
      <c r="I64" s="1660"/>
      <c r="J64" s="1660"/>
      <c r="K64" s="1661"/>
      <c r="L64" s="500">
        <f>SUM(L65)</f>
        <v>148480</v>
      </c>
      <c r="M64" s="500">
        <f>SUM(M65)</f>
        <v>22272</v>
      </c>
      <c r="N64" s="500">
        <f t="shared" ref="N64:P64" si="32">SUM(N65)</f>
        <v>0</v>
      </c>
      <c r="O64" s="500">
        <f t="shared" si="32"/>
        <v>0</v>
      </c>
      <c r="P64" s="500">
        <f t="shared" si="32"/>
        <v>0</v>
      </c>
      <c r="Q64" s="500">
        <f>SUM(Q65)</f>
        <v>126208</v>
      </c>
      <c r="R64" s="148"/>
      <c r="S64" s="500"/>
      <c r="T64" s="500"/>
      <c r="U64" s="500"/>
      <c r="V64" s="500"/>
      <c r="W64" s="70">
        <v>126208.00509731233</v>
      </c>
      <c r="X64" s="70">
        <f>SUM(W64*120/100)</f>
        <v>151449.60611677478</v>
      </c>
      <c r="Y64" s="70">
        <f>SUM(W64-Q64)</f>
        <v>5.0973123288713396E-3</v>
      </c>
    </row>
    <row r="65" spans="1:25" ht="60.75" thickBot="1" x14ac:dyDescent="0.3">
      <c r="A65" s="147" t="str">
        <f>CONCATENATE('3 pr-2'!A149)</f>
        <v>2.1.3.1.1</v>
      </c>
      <c r="B65" s="147" t="str">
        <f>CONCATENATE('3 pr-2'!B149)</f>
        <v>R01-4407-270000-2311</v>
      </c>
      <c r="C65" s="1133" t="str">
        <f>CONCATENATE('3 pr-2'!C149)</f>
        <v>08.1.1-CPVA-R-407-11-0002</v>
      </c>
      <c r="D65" s="217" t="s">
        <v>327</v>
      </c>
      <c r="E65" s="147" t="s">
        <v>292</v>
      </c>
      <c r="F65" s="217" t="s">
        <v>106</v>
      </c>
      <c r="G65" s="147" t="s">
        <v>293</v>
      </c>
      <c r="H65" s="324" t="s">
        <v>154</v>
      </c>
      <c r="I65" s="40" t="s">
        <v>119</v>
      </c>
      <c r="J65" s="40" t="s">
        <v>66</v>
      </c>
      <c r="K65" s="42" t="s">
        <v>66</v>
      </c>
      <c r="L65" s="42">
        <f>SUM(M65:Q65)</f>
        <v>148480</v>
      </c>
      <c r="M65" s="42">
        <v>22272</v>
      </c>
      <c r="N65" s="42">
        <v>0</v>
      </c>
      <c r="O65" s="42">
        <v>0</v>
      </c>
      <c r="P65" s="42">
        <v>0</v>
      </c>
      <c r="Q65" s="42">
        <v>126208</v>
      </c>
      <c r="R65" s="788">
        <v>42618</v>
      </c>
      <c r="S65" s="1141">
        <v>42669</v>
      </c>
      <c r="T65" s="1141">
        <v>42719</v>
      </c>
      <c r="U65" s="1141">
        <v>42855</v>
      </c>
      <c r="V65" s="799">
        <f>SUM('IV-1 su proj'!CH148)</f>
        <v>43495</v>
      </c>
      <c r="W65" s="67"/>
      <c r="X65" s="67"/>
      <c r="Y65" s="67"/>
    </row>
    <row r="66" spans="1:25" ht="34.5" customHeight="1" thickBot="1" x14ac:dyDescent="0.3">
      <c r="A66" s="498" t="s">
        <v>37</v>
      </c>
      <c r="B66" s="1102"/>
      <c r="C66" s="1102"/>
      <c r="D66" s="1651" t="s">
        <v>664</v>
      </c>
      <c r="E66" s="1660"/>
      <c r="F66" s="1660"/>
      <c r="G66" s="1660"/>
      <c r="H66" s="1660"/>
      <c r="I66" s="1660"/>
      <c r="J66" s="1660"/>
      <c r="K66" s="1661"/>
      <c r="L66" s="500">
        <f>SUM(L67)</f>
        <v>736499</v>
      </c>
      <c r="M66" s="500">
        <f>SUM(M67)</f>
        <v>110475</v>
      </c>
      <c r="N66" s="500">
        <f t="shared" ref="N66:P66" si="33">SUM(N67)</f>
        <v>0</v>
      </c>
      <c r="O66" s="500">
        <f t="shared" si="33"/>
        <v>0</v>
      </c>
      <c r="P66" s="500">
        <f t="shared" si="33"/>
        <v>0</v>
      </c>
      <c r="Q66" s="500">
        <f>SUM(Q67)</f>
        <v>626024</v>
      </c>
      <c r="R66" s="148"/>
      <c r="S66" s="500"/>
      <c r="T66" s="500"/>
      <c r="U66" s="500"/>
      <c r="V66" s="500"/>
      <c r="W66" s="70">
        <v>626024</v>
      </c>
      <c r="X66" s="70">
        <f>SUM(W66*120/100)</f>
        <v>751228.8</v>
      </c>
      <c r="Y66" s="70">
        <f>SUM(W66-Q66)</f>
        <v>0</v>
      </c>
    </row>
    <row r="67" spans="1:25" ht="60.75" thickBot="1" x14ac:dyDescent="0.3">
      <c r="A67" s="147" t="str">
        <f>CONCATENATE('3 pr-2'!A155)</f>
        <v>2.1.3.2.1</v>
      </c>
      <c r="B67" s="147" t="str">
        <f>CONCATENATE('3 pr-2'!B155)</f>
        <v>R01-4408-260000-2321</v>
      </c>
      <c r="C67" s="1133" t="str">
        <f>CONCATENATE('3 pr-2'!C155)</f>
        <v>08.1.2-CPVA-R-408-11-0001</v>
      </c>
      <c r="D67" s="147" t="s">
        <v>287</v>
      </c>
      <c r="E67" s="147" t="s">
        <v>292</v>
      </c>
      <c r="F67" s="147" t="s">
        <v>106</v>
      </c>
      <c r="G67" s="147" t="s">
        <v>293</v>
      </c>
      <c r="H67" s="324" t="s">
        <v>155</v>
      </c>
      <c r="I67" s="40" t="s">
        <v>119</v>
      </c>
      <c r="J67" s="40" t="s">
        <v>66</v>
      </c>
      <c r="K67" s="42" t="s">
        <v>66</v>
      </c>
      <c r="L67" s="42">
        <f>SUM(M67:Q67)</f>
        <v>736499</v>
      </c>
      <c r="M67" s="42">
        <v>110475</v>
      </c>
      <c r="N67" s="42">
        <v>0</v>
      </c>
      <c r="O67" s="42">
        <v>0</v>
      </c>
      <c r="P67" s="42">
        <v>0</v>
      </c>
      <c r="Q67" s="42">
        <v>626024</v>
      </c>
      <c r="R67" s="788">
        <v>42401</v>
      </c>
      <c r="S67" s="550">
        <v>42490</v>
      </c>
      <c r="T67" s="550">
        <v>42674</v>
      </c>
      <c r="U67" s="550">
        <v>42735</v>
      </c>
      <c r="V67" s="799">
        <v>43738</v>
      </c>
      <c r="W67" s="67"/>
      <c r="X67" s="67"/>
      <c r="Y67" s="67"/>
    </row>
    <row r="68" spans="1:25" ht="36.75" customHeight="1" thickBot="1" x14ac:dyDescent="0.3">
      <c r="A68" s="216" t="s">
        <v>38</v>
      </c>
      <c r="B68" s="1106"/>
      <c r="C68" s="1106"/>
      <c r="D68" s="1653" t="s">
        <v>665</v>
      </c>
      <c r="E68" s="1666"/>
      <c r="F68" s="1666"/>
      <c r="G68" s="1666"/>
      <c r="H68" s="1666"/>
      <c r="I68" s="1666"/>
      <c r="J68" s="1666"/>
      <c r="K68" s="1667"/>
      <c r="L68" s="196">
        <f t="shared" ref="L68:Q69" si="34">SUM(L69)</f>
        <v>172733.52</v>
      </c>
      <c r="M68" s="196">
        <f t="shared" si="34"/>
        <v>25910.03</v>
      </c>
      <c r="N68" s="196">
        <f t="shared" si="34"/>
        <v>0</v>
      </c>
      <c r="O68" s="196">
        <f t="shared" si="34"/>
        <v>0</v>
      </c>
      <c r="P68" s="196">
        <f t="shared" si="34"/>
        <v>0</v>
      </c>
      <c r="Q68" s="196">
        <f t="shared" si="34"/>
        <v>146823.49</v>
      </c>
      <c r="R68" s="196"/>
      <c r="S68" s="197"/>
      <c r="T68" s="197"/>
      <c r="U68" s="197"/>
      <c r="V68" s="237"/>
      <c r="W68" s="69">
        <f>SUM(W69)</f>
        <v>157070.19606142101</v>
      </c>
      <c r="X68" s="69">
        <f>SUM(X69)</f>
        <v>188484.23527370521</v>
      </c>
      <c r="Y68" s="69">
        <f>SUM(Y69)</f>
        <v>10246.70606142102</v>
      </c>
    </row>
    <row r="69" spans="1:25" ht="34.5" customHeight="1" thickBot="1" x14ac:dyDescent="0.3">
      <c r="A69" s="498" t="s">
        <v>109</v>
      </c>
      <c r="B69" s="1102"/>
      <c r="C69" s="1102"/>
      <c r="D69" s="1651" t="s">
        <v>666</v>
      </c>
      <c r="E69" s="1660"/>
      <c r="F69" s="1660"/>
      <c r="G69" s="1660"/>
      <c r="H69" s="1660"/>
      <c r="I69" s="1660"/>
      <c r="J69" s="1660"/>
      <c r="K69" s="1661"/>
      <c r="L69" s="500">
        <f>SUM(L70)</f>
        <v>172733.52</v>
      </c>
      <c r="M69" s="500">
        <f>SUM(M70)</f>
        <v>25910.03</v>
      </c>
      <c r="N69" s="500">
        <f t="shared" si="34"/>
        <v>0</v>
      </c>
      <c r="O69" s="500">
        <f t="shared" si="34"/>
        <v>0</v>
      </c>
      <c r="P69" s="500">
        <f t="shared" si="34"/>
        <v>0</v>
      </c>
      <c r="Q69" s="500">
        <f>SUM(Q70)</f>
        <v>146823.49</v>
      </c>
      <c r="R69" s="148"/>
      <c r="S69" s="500"/>
      <c r="T69" s="500"/>
      <c r="U69" s="500"/>
      <c r="V69" s="500"/>
      <c r="W69" s="70">
        <v>157070.19606142101</v>
      </c>
      <c r="X69" s="70">
        <f>SUM(W69*120/100)</f>
        <v>188484.23527370521</v>
      </c>
      <c r="Y69" s="70">
        <f>SUM(W69-Q69)</f>
        <v>10246.70606142102</v>
      </c>
    </row>
    <row r="70" spans="1:25" ht="60.75" thickBot="1" x14ac:dyDescent="0.3">
      <c r="A70" s="147" t="str">
        <f>CONCATENATE('3 pr-2'!A162)</f>
        <v>2.1.4.1.1</v>
      </c>
      <c r="B70" s="147" t="str">
        <f>CONCATENATE('3 pr-2'!B162)</f>
        <v>R01-9920-490000-2411</v>
      </c>
      <c r="C70" s="1133" t="str">
        <f>CONCATENATE('3 pr-2'!C162)</f>
        <v>10.1.3-ESFA-R-920-11-0001</v>
      </c>
      <c r="D70" s="147" t="s">
        <v>280</v>
      </c>
      <c r="E70" s="147" t="s">
        <v>292</v>
      </c>
      <c r="F70" s="147" t="s">
        <v>75</v>
      </c>
      <c r="G70" s="147" t="s">
        <v>383</v>
      </c>
      <c r="H70" s="324" t="s">
        <v>1375</v>
      </c>
      <c r="I70" s="40" t="s">
        <v>119</v>
      </c>
      <c r="J70" s="40" t="s">
        <v>66</v>
      </c>
      <c r="K70" s="42" t="s">
        <v>66</v>
      </c>
      <c r="L70" s="1159">
        <f>SUM(M70:Q70)</f>
        <v>172733.52</v>
      </c>
      <c r="M70" s="1159">
        <v>25910.03</v>
      </c>
      <c r="N70" s="42">
        <v>0</v>
      </c>
      <c r="O70" s="42">
        <v>0</v>
      </c>
      <c r="P70" s="42">
        <v>0</v>
      </c>
      <c r="Q70" s="1159">
        <v>146823.49</v>
      </c>
      <c r="R70" s="788">
        <v>43017</v>
      </c>
      <c r="S70" s="550">
        <v>42992</v>
      </c>
      <c r="T70" s="550">
        <v>43039</v>
      </c>
      <c r="U70" s="550">
        <v>43100</v>
      </c>
      <c r="V70" s="550">
        <v>43830</v>
      </c>
      <c r="W70" s="67"/>
      <c r="X70" s="67"/>
      <c r="Y70" s="67"/>
    </row>
    <row r="71" spans="1:25" ht="38.25" customHeight="1" thickBot="1" x14ac:dyDescent="0.3">
      <c r="A71" s="224" t="s">
        <v>40</v>
      </c>
      <c r="B71" s="1107"/>
      <c r="C71" s="1107"/>
      <c r="D71" s="1663" t="s">
        <v>1689</v>
      </c>
      <c r="E71" s="1664"/>
      <c r="F71" s="1664"/>
      <c r="G71" s="1664"/>
      <c r="H71" s="1664"/>
      <c r="I71" s="1664"/>
      <c r="J71" s="1664"/>
      <c r="K71" s="1665"/>
      <c r="L71" s="218">
        <f t="shared" ref="L71:Q71" si="35">SUM(L72+L75)</f>
        <v>1494161.1647058823</v>
      </c>
      <c r="M71" s="218">
        <f t="shared" si="35"/>
        <v>253884.88959101972</v>
      </c>
      <c r="N71" s="218">
        <f t="shared" si="35"/>
        <v>0</v>
      </c>
      <c r="O71" s="218">
        <f t="shared" si="35"/>
        <v>0</v>
      </c>
      <c r="P71" s="218">
        <f t="shared" si="35"/>
        <v>0</v>
      </c>
      <c r="Q71" s="218">
        <f t="shared" si="35"/>
        <v>1270036.94</v>
      </c>
      <c r="R71" s="218"/>
      <c r="S71" s="225"/>
      <c r="T71" s="225"/>
      <c r="U71" s="225"/>
      <c r="V71" s="236"/>
      <c r="W71" s="68">
        <f>SUM(W72+W75)</f>
        <v>1005066.94</v>
      </c>
      <c r="X71" s="68">
        <f>SUM(X72+X75)</f>
        <v>1206080.328</v>
      </c>
      <c r="Y71" s="68">
        <f>SUM(Y72+Y75)</f>
        <v>-264970</v>
      </c>
    </row>
    <row r="72" spans="1:25" ht="41.25" customHeight="1" thickBot="1" x14ac:dyDescent="0.3">
      <c r="A72" s="216" t="s">
        <v>41</v>
      </c>
      <c r="B72" s="1106"/>
      <c r="C72" s="1106"/>
      <c r="D72" s="1653" t="s">
        <v>1690</v>
      </c>
      <c r="E72" s="1666"/>
      <c r="F72" s="1666"/>
      <c r="G72" s="1666"/>
      <c r="H72" s="1666"/>
      <c r="I72" s="1666"/>
      <c r="J72" s="1666"/>
      <c r="K72" s="1667"/>
      <c r="L72" s="196">
        <f t="shared" ref="L72:Q72" si="36">SUM(L73)</f>
        <v>630428.16470588231</v>
      </c>
      <c r="M72" s="196">
        <f t="shared" si="36"/>
        <v>124324.88959101972</v>
      </c>
      <c r="N72" s="196">
        <f t="shared" si="36"/>
        <v>0</v>
      </c>
      <c r="O72" s="196">
        <f t="shared" si="36"/>
        <v>0</v>
      </c>
      <c r="P72" s="196">
        <f t="shared" si="36"/>
        <v>0</v>
      </c>
      <c r="Q72" s="196">
        <f t="shared" si="36"/>
        <v>535863.93999999994</v>
      </c>
      <c r="R72" s="196"/>
      <c r="S72" s="197"/>
      <c r="T72" s="197"/>
      <c r="U72" s="197"/>
      <c r="V72" s="237"/>
      <c r="W72" s="69">
        <f>SUM(W73)</f>
        <v>535863.93999999994</v>
      </c>
      <c r="X72" s="69">
        <f>SUM(X73)</f>
        <v>643036.728</v>
      </c>
      <c r="Y72" s="69">
        <f>SUM(Y73)</f>
        <v>0</v>
      </c>
    </row>
    <row r="73" spans="1:25" ht="33" customHeight="1" thickBot="1" x14ac:dyDescent="0.3">
      <c r="A73" s="498" t="s">
        <v>42</v>
      </c>
      <c r="B73" s="1102"/>
      <c r="C73" s="1102"/>
      <c r="D73" s="1651" t="s">
        <v>283</v>
      </c>
      <c r="E73" s="1660"/>
      <c r="F73" s="1660" t="s">
        <v>77</v>
      </c>
      <c r="G73" s="1660"/>
      <c r="H73" s="1660" t="s">
        <v>111</v>
      </c>
      <c r="I73" s="1660"/>
      <c r="J73" s="1660"/>
      <c r="K73" s="1661"/>
      <c r="L73" s="500">
        <f t="shared" ref="L73:Q73" si="37">SUM(L74:L74)</f>
        <v>630428.16470588231</v>
      </c>
      <c r="M73" s="500">
        <f t="shared" si="37"/>
        <v>124324.88959101972</v>
      </c>
      <c r="N73" s="500">
        <f t="shared" si="37"/>
        <v>0</v>
      </c>
      <c r="O73" s="500">
        <f t="shared" si="37"/>
        <v>0</v>
      </c>
      <c r="P73" s="500">
        <f t="shared" si="37"/>
        <v>0</v>
      </c>
      <c r="Q73" s="500">
        <f t="shared" si="37"/>
        <v>535863.93999999994</v>
      </c>
      <c r="R73" s="148"/>
      <c r="S73" s="500"/>
      <c r="T73" s="500"/>
      <c r="U73" s="500"/>
      <c r="V73" s="500"/>
      <c r="W73" s="70">
        <v>535863.93999999994</v>
      </c>
      <c r="X73" s="70">
        <f>SUM(W73*120/100)</f>
        <v>643036.728</v>
      </c>
      <c r="Y73" s="70">
        <f>SUM(W73-Q73)</f>
        <v>0</v>
      </c>
    </row>
    <row r="74" spans="1:25" s="190" customFormat="1" ht="60.75" thickBot="1" x14ac:dyDescent="0.3">
      <c r="A74" s="189" t="str">
        <f>CONCATENATE('3 pr-2'!A171)</f>
        <v>3.1.1.1.1</v>
      </c>
      <c r="B74" s="189" t="str">
        <f>CONCATENATE('3 pr-2'!B171)</f>
        <v>R01-0008-050000-3111</v>
      </c>
      <c r="C74" s="1133" t="str">
        <f>CONCATENATE('3 pr-2'!C171)</f>
        <v>05.2.1-APVA-R-008-11-0001</v>
      </c>
      <c r="D74" s="189" t="s">
        <v>323</v>
      </c>
      <c r="E74" s="189" t="s">
        <v>193</v>
      </c>
      <c r="F74" s="189" t="s">
        <v>77</v>
      </c>
      <c r="G74" s="189" t="s">
        <v>324</v>
      </c>
      <c r="H74" s="525" t="s">
        <v>194</v>
      </c>
      <c r="I74" s="590" t="s">
        <v>119</v>
      </c>
      <c r="J74" s="590" t="s">
        <v>66</v>
      </c>
      <c r="K74" s="468" t="s">
        <v>66</v>
      </c>
      <c r="L74" s="468">
        <v>630428.16470588231</v>
      </c>
      <c r="M74" s="468">
        <v>124324.88959101972</v>
      </c>
      <c r="N74" s="468">
        <v>0</v>
      </c>
      <c r="O74" s="468">
        <v>0</v>
      </c>
      <c r="P74" s="468">
        <v>0</v>
      </c>
      <c r="Q74" s="468">
        <v>535863.93999999994</v>
      </c>
      <c r="R74" s="468"/>
      <c r="S74" s="1111">
        <v>42766</v>
      </c>
      <c r="T74" s="1111">
        <v>42916</v>
      </c>
      <c r="U74" s="1111">
        <v>43008</v>
      </c>
      <c r="V74" s="550">
        <v>43830</v>
      </c>
      <c r="W74" s="88"/>
      <c r="X74" s="88"/>
      <c r="Y74" s="88"/>
    </row>
    <row r="75" spans="1:25" ht="39.75" customHeight="1" thickBot="1" x14ac:dyDescent="0.3">
      <c r="A75" s="216" t="s">
        <v>43</v>
      </c>
      <c r="B75" s="1106"/>
      <c r="C75" s="1106"/>
      <c r="D75" s="1653" t="s">
        <v>1691</v>
      </c>
      <c r="E75" s="1666"/>
      <c r="F75" s="1666"/>
      <c r="G75" s="1666"/>
      <c r="H75" s="1666"/>
      <c r="I75" s="1666"/>
      <c r="J75" s="1666"/>
      <c r="K75" s="1667"/>
      <c r="L75" s="196">
        <f t="shared" ref="L75:Q75" si="38">SUM(L76)</f>
        <v>863733</v>
      </c>
      <c r="M75" s="196">
        <f t="shared" si="38"/>
        <v>129560</v>
      </c>
      <c r="N75" s="196">
        <f t="shared" si="38"/>
        <v>0</v>
      </c>
      <c r="O75" s="196">
        <f t="shared" si="38"/>
        <v>0</v>
      </c>
      <c r="P75" s="196">
        <f t="shared" si="38"/>
        <v>0</v>
      </c>
      <c r="Q75" s="196">
        <f t="shared" si="38"/>
        <v>734173</v>
      </c>
      <c r="R75" s="196"/>
      <c r="S75" s="197"/>
      <c r="T75" s="197"/>
      <c r="U75" s="197"/>
      <c r="V75" s="237"/>
      <c r="W75" s="69">
        <f>SUM(W76)</f>
        <v>469203</v>
      </c>
      <c r="X75" s="69">
        <f>SUM(X76)</f>
        <v>563043.6</v>
      </c>
      <c r="Y75" s="69">
        <f>SUM(Y76)</f>
        <v>-264970</v>
      </c>
    </row>
    <row r="76" spans="1:25" ht="27.75" customHeight="1" thickBot="1" x14ac:dyDescent="0.3">
      <c r="A76" s="498" t="s">
        <v>113</v>
      </c>
      <c r="B76" s="1102"/>
      <c r="C76" s="1102"/>
      <c r="D76" s="1651" t="s">
        <v>641</v>
      </c>
      <c r="E76" s="1660"/>
      <c r="F76" s="1660"/>
      <c r="G76" s="1660"/>
      <c r="H76" s="1660"/>
      <c r="I76" s="1660"/>
      <c r="J76" s="1660"/>
      <c r="K76" s="1661"/>
      <c r="L76" s="500">
        <f t="shared" ref="L76:P76" si="39">SUM(L77:L78)</f>
        <v>863733</v>
      </c>
      <c r="M76" s="500">
        <f t="shared" si="39"/>
        <v>129560</v>
      </c>
      <c r="N76" s="500">
        <f t="shared" si="39"/>
        <v>0</v>
      </c>
      <c r="O76" s="500">
        <f t="shared" si="39"/>
        <v>0</v>
      </c>
      <c r="P76" s="500">
        <f t="shared" si="39"/>
        <v>0</v>
      </c>
      <c r="Q76" s="500">
        <f>SUM(Q77:Q78)</f>
        <v>734173</v>
      </c>
      <c r="R76" s="148"/>
      <c r="S76" s="500"/>
      <c r="T76" s="500"/>
      <c r="U76" s="500"/>
      <c r="V76" s="500"/>
      <c r="W76" s="70">
        <v>469203</v>
      </c>
      <c r="X76" s="70">
        <f>SUM(W76*120/100)</f>
        <v>563043.6</v>
      </c>
      <c r="Y76" s="71">
        <f>SUM(W76-Q76)</f>
        <v>-264970</v>
      </c>
    </row>
    <row r="77" spans="1:25" ht="60.75" thickBot="1" x14ac:dyDescent="0.3">
      <c r="A77" s="147" t="str">
        <f>CONCATENATE('3 pr-2'!A174)</f>
        <v>3.1.2.1.1</v>
      </c>
      <c r="B77" s="147" t="str">
        <f>CONCATENATE('3 pr-2'!B174)</f>
        <v>R01-0019-380000-3211</v>
      </c>
      <c r="C77" s="1133" t="str">
        <f>CONCATENATE('3 pr-2'!C174)</f>
        <v>05.5.1-APVA-R-019-11-0002</v>
      </c>
      <c r="D77" s="147" t="s">
        <v>320</v>
      </c>
      <c r="E77" s="147" t="s">
        <v>292</v>
      </c>
      <c r="F77" s="147" t="s">
        <v>77</v>
      </c>
      <c r="G77" s="147" t="s">
        <v>321</v>
      </c>
      <c r="H77" s="324" t="s">
        <v>196</v>
      </c>
      <c r="I77" s="40" t="s">
        <v>119</v>
      </c>
      <c r="J77" s="40" t="s">
        <v>66</v>
      </c>
      <c r="K77" s="42" t="s">
        <v>66</v>
      </c>
      <c r="L77" s="1110">
        <f>SUM(M77:Q77)</f>
        <v>566501</v>
      </c>
      <c r="M77" s="1110">
        <v>84975</v>
      </c>
      <c r="N77" s="1110">
        <v>0</v>
      </c>
      <c r="O77" s="1110">
        <v>0</v>
      </c>
      <c r="P77" s="1110">
        <v>0</v>
      </c>
      <c r="Q77" s="1110">
        <v>481526</v>
      </c>
      <c r="R77" s="788">
        <v>42598</v>
      </c>
      <c r="S77" s="550">
        <v>42632</v>
      </c>
      <c r="T77" s="550">
        <v>42795</v>
      </c>
      <c r="U77" s="550">
        <v>42916</v>
      </c>
      <c r="V77" s="1158">
        <v>43646</v>
      </c>
      <c r="W77" s="67"/>
      <c r="X77" s="67"/>
      <c r="Y77" s="67"/>
    </row>
    <row r="78" spans="1:25" ht="60.75" thickBot="1" x14ac:dyDescent="0.3">
      <c r="A78" s="147" t="str">
        <f>CONCATENATE('3 pr-2'!A175)</f>
        <v>3.1.2.1.2</v>
      </c>
      <c r="B78" s="147" t="str">
        <f>CONCATENATE('3 pr-2'!B175)</f>
        <v>R01-0019-380000-3212</v>
      </c>
      <c r="C78" s="1133" t="str">
        <f>CONCATENATE('3 pr-2'!C175)</f>
        <v/>
      </c>
      <c r="D78" s="147" t="s">
        <v>322</v>
      </c>
      <c r="E78" s="147" t="s">
        <v>292</v>
      </c>
      <c r="F78" s="147" t="s">
        <v>77</v>
      </c>
      <c r="G78" s="147" t="s">
        <v>321</v>
      </c>
      <c r="H78" s="324" t="s">
        <v>196</v>
      </c>
      <c r="I78" s="40" t="s">
        <v>119</v>
      </c>
      <c r="J78" s="40" t="s">
        <v>66</v>
      </c>
      <c r="K78" s="42" t="s">
        <v>66</v>
      </c>
      <c r="L78" s="1110">
        <f>SUM(M78:Q78)</f>
        <v>297232</v>
      </c>
      <c r="M78" s="1110">
        <v>44585</v>
      </c>
      <c r="N78" s="1110">
        <v>0</v>
      </c>
      <c r="O78" s="1110">
        <v>0</v>
      </c>
      <c r="P78" s="1110">
        <v>0</v>
      </c>
      <c r="Q78" s="1110">
        <v>252647</v>
      </c>
      <c r="R78" s="788">
        <v>43277</v>
      </c>
      <c r="S78" s="550">
        <v>43373</v>
      </c>
      <c r="T78" s="550">
        <v>43465</v>
      </c>
      <c r="U78" s="550">
        <v>43555</v>
      </c>
      <c r="V78" s="550">
        <v>45291</v>
      </c>
      <c r="W78" s="67"/>
      <c r="X78" s="67"/>
      <c r="Y78" s="67"/>
    </row>
    <row r="79" spans="1:25" ht="15.75" thickBot="1" x14ac:dyDescent="0.3">
      <c r="A79" s="79"/>
      <c r="B79" s="80"/>
      <c r="C79" s="80"/>
      <c r="D79" s="80"/>
      <c r="E79" s="80"/>
      <c r="F79" s="80"/>
      <c r="G79" s="80"/>
      <c r="H79" s="81"/>
      <c r="I79" s="82"/>
      <c r="J79" s="82"/>
      <c r="K79" s="82"/>
      <c r="L79" s="83">
        <f t="shared" ref="L79:Q79" si="40">SUM(L5+L46+L71)</f>
        <v>14854747.636470586</v>
      </c>
      <c r="M79" s="83">
        <f t="shared" si="40"/>
        <v>1573913.7713557258</v>
      </c>
      <c r="N79" s="83">
        <f t="shared" si="40"/>
        <v>637010.88000000012</v>
      </c>
      <c r="O79" s="83">
        <f t="shared" si="40"/>
        <v>863497.97</v>
      </c>
      <c r="P79" s="83">
        <f t="shared" si="40"/>
        <v>62660</v>
      </c>
      <c r="Q79" s="83">
        <f t="shared" si="40"/>
        <v>11747425.679999998</v>
      </c>
      <c r="R79" s="578"/>
      <c r="S79" s="82"/>
      <c r="T79" s="82"/>
      <c r="U79" s="82"/>
      <c r="V79" s="235"/>
      <c r="W79" s="84">
        <f>SUM(W5+W46+W71)</f>
        <v>12338565.088658733</v>
      </c>
      <c r="X79" s="84">
        <f>SUM(X5+X46+X71)</f>
        <v>14806278.106390482</v>
      </c>
      <c r="Y79" s="84">
        <f>SUM(Y5+Y46+Y71)</f>
        <v>8651638.7611587308</v>
      </c>
    </row>
    <row r="80" spans="1:25" ht="15.75" thickTop="1" x14ac:dyDescent="0.25"/>
    <row r="81" spans="14:15" x14ac:dyDescent="0.25">
      <c r="N81" s="85"/>
      <c r="O81" s="85"/>
    </row>
    <row r="82" spans="14:15" x14ac:dyDescent="0.25">
      <c r="N82" s="85"/>
      <c r="O82" s="85"/>
    </row>
    <row r="83" spans="14:15" x14ac:dyDescent="0.25">
      <c r="N83" s="103"/>
      <c r="O83" s="85"/>
    </row>
  </sheetData>
  <mergeCells count="41">
    <mergeCell ref="D5:K5"/>
    <mergeCell ref="D46:K46"/>
    <mergeCell ref="Y2:Y3"/>
    <mergeCell ref="A2:K2"/>
    <mergeCell ref="L2:Q2"/>
    <mergeCell ref="W2:W3"/>
    <mergeCell ref="X2:X3"/>
    <mergeCell ref="R2:V2"/>
    <mergeCell ref="D40:K40"/>
    <mergeCell ref="D42:K42"/>
    <mergeCell ref="D33:K33"/>
    <mergeCell ref="D35:K35"/>
    <mergeCell ref="D38:K38"/>
    <mergeCell ref="D7:K7"/>
    <mergeCell ref="D6:K6"/>
    <mergeCell ref="D37:K37"/>
    <mergeCell ref="D48:K48"/>
    <mergeCell ref="D73:K73"/>
    <mergeCell ref="D47:K47"/>
    <mergeCell ref="D54:K54"/>
    <mergeCell ref="D63:K63"/>
    <mergeCell ref="D50:K50"/>
    <mergeCell ref="D52:K52"/>
    <mergeCell ref="D55:K55"/>
    <mergeCell ref="D58:K58"/>
    <mergeCell ref="D76:K76"/>
    <mergeCell ref="D72:K72"/>
    <mergeCell ref="D75:K75"/>
    <mergeCell ref="D13:K13"/>
    <mergeCell ref="D16:K16"/>
    <mergeCell ref="D23:K23"/>
    <mergeCell ref="D25:K25"/>
    <mergeCell ref="D61:K61"/>
    <mergeCell ref="D71:K71"/>
    <mergeCell ref="D68:K68"/>
    <mergeCell ref="D64:K64"/>
    <mergeCell ref="D66:K66"/>
    <mergeCell ref="D69:K69"/>
    <mergeCell ref="D27:K27"/>
    <mergeCell ref="D29:K29"/>
    <mergeCell ref="D44:K44"/>
  </mergeCells>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27"/>
  <sheetViews>
    <sheetView workbookViewId="0">
      <selection activeCell="C7" sqref="C7"/>
    </sheetView>
  </sheetViews>
  <sheetFormatPr defaultRowHeight="15" x14ac:dyDescent="0.25"/>
  <cols>
    <col min="1" max="1" width="27.5703125" customWidth="1"/>
    <col min="2" max="2" width="41.28515625" customWidth="1"/>
    <col min="3" max="3" width="17.7109375" customWidth="1"/>
    <col min="4" max="4" width="19.85546875" customWidth="1"/>
    <col min="5" max="5" width="13.7109375" customWidth="1"/>
    <col min="7" max="7" width="10.42578125" bestFit="1" customWidth="1"/>
  </cols>
  <sheetData>
    <row r="1" spans="1:15" ht="48" thickBot="1" x14ac:dyDescent="0.3">
      <c r="A1" s="121" t="s">
        <v>255</v>
      </c>
      <c r="B1" s="121" t="s">
        <v>256</v>
      </c>
      <c r="C1" s="121" t="s">
        <v>398</v>
      </c>
      <c r="D1" s="121" t="s">
        <v>718</v>
      </c>
      <c r="E1" s="121" t="s">
        <v>399</v>
      </c>
    </row>
    <row r="2" spans="1:15" ht="32.25" thickBot="1" x14ac:dyDescent="0.3">
      <c r="A2" s="122"/>
      <c r="B2" s="117" t="s">
        <v>257</v>
      </c>
      <c r="C2" s="128">
        <v>2773894.25</v>
      </c>
      <c r="D2" s="116">
        <f>SUM('3 pr-2'!AA9-'3 pr-2'!AA32)</f>
        <v>2695718</v>
      </c>
      <c r="E2" s="116">
        <f>SUM(C2-D2)</f>
        <v>78176.25</v>
      </c>
      <c r="G2" s="127">
        <v>3263405</v>
      </c>
      <c r="H2" s="127">
        <v>100</v>
      </c>
    </row>
    <row r="3" spans="1:15" ht="16.5" thickBot="1" x14ac:dyDescent="0.3">
      <c r="A3" s="118" t="s">
        <v>146</v>
      </c>
      <c r="B3" s="117" t="s">
        <v>400</v>
      </c>
      <c r="C3" s="123">
        <v>2816452</v>
      </c>
      <c r="D3" s="116">
        <f>SUM('3 pr-2'!AA33)</f>
        <v>2816453</v>
      </c>
      <c r="E3" s="116">
        <f t="shared" ref="E3:E26" si="0">SUM(C3-D3)</f>
        <v>-1</v>
      </c>
      <c r="G3" s="127">
        <f>SUM(G2*H3/H2)</f>
        <v>2773894.25</v>
      </c>
      <c r="H3" s="127">
        <v>85</v>
      </c>
      <c r="N3" s="30">
        <v>3263405</v>
      </c>
      <c r="O3">
        <v>100</v>
      </c>
    </row>
    <row r="4" spans="1:15" ht="16.5" thickBot="1" x14ac:dyDescent="0.3">
      <c r="A4" s="118" t="s">
        <v>145</v>
      </c>
      <c r="B4" s="117" t="s">
        <v>401</v>
      </c>
      <c r="C4" s="123">
        <v>3697302</v>
      </c>
      <c r="D4" s="116">
        <f>SUM('3 pr-2'!AA39)</f>
        <v>3611595.5399999996</v>
      </c>
      <c r="E4" s="116">
        <f t="shared" si="0"/>
        <v>85706.460000000428</v>
      </c>
      <c r="N4">
        <f>SUM(N3*O4/O3)</f>
        <v>2773894.25</v>
      </c>
      <c r="O4">
        <v>85</v>
      </c>
    </row>
    <row r="5" spans="1:15" ht="16.5" thickBot="1" x14ac:dyDescent="0.3">
      <c r="A5" s="118" t="s">
        <v>179</v>
      </c>
      <c r="B5" s="117" t="s">
        <v>258</v>
      </c>
      <c r="C5" s="123">
        <v>1099672.68</v>
      </c>
      <c r="D5" s="116">
        <f>SUM('IV-3'!W45)</f>
        <v>1099672.68</v>
      </c>
      <c r="E5" s="116">
        <f t="shared" si="0"/>
        <v>0</v>
      </c>
    </row>
    <row r="6" spans="1:15" ht="16.5" thickBot="1" x14ac:dyDescent="0.3">
      <c r="A6" s="118" t="s">
        <v>274</v>
      </c>
      <c r="B6" s="117" t="s">
        <v>259</v>
      </c>
      <c r="C6" s="123">
        <v>575485</v>
      </c>
      <c r="D6" s="116">
        <f>SUM('IV-3'!W46+'IV-3'!W47)</f>
        <v>575484.89</v>
      </c>
      <c r="E6" s="116">
        <f t="shared" si="0"/>
        <v>0.10999999998603016</v>
      </c>
    </row>
    <row r="7" spans="1:15" ht="48" thickBot="1" x14ac:dyDescent="0.3">
      <c r="A7" s="118" t="s">
        <v>144</v>
      </c>
      <c r="B7" s="117" t="s">
        <v>402</v>
      </c>
      <c r="C7" s="123">
        <v>9294484.6400000006</v>
      </c>
      <c r="D7" s="124">
        <f>SUM('3 pr-2'!AA50)</f>
        <v>8810673.5099999998</v>
      </c>
      <c r="E7" s="116">
        <f t="shared" si="0"/>
        <v>483811.13000000082</v>
      </c>
    </row>
    <row r="8" spans="1:15" ht="16.5" thickBot="1" x14ac:dyDescent="0.3">
      <c r="A8" s="118" t="s">
        <v>180</v>
      </c>
      <c r="B8" s="117" t="s">
        <v>260</v>
      </c>
      <c r="C8" s="123">
        <v>3399493.48</v>
      </c>
      <c r="D8" s="116">
        <f>SUM('3 pr-2'!AA56)</f>
        <v>3399493.48</v>
      </c>
      <c r="E8" s="116">
        <f t="shared" si="0"/>
        <v>0</v>
      </c>
    </row>
    <row r="9" spans="1:15" ht="48" thickBot="1" x14ac:dyDescent="0.3">
      <c r="A9" s="118" t="s">
        <v>142</v>
      </c>
      <c r="B9" s="117" t="s">
        <v>133</v>
      </c>
      <c r="C9" s="123">
        <v>611420</v>
      </c>
      <c r="D9" s="116">
        <f>SUM('3 pr-2'!AA58)</f>
        <v>611420</v>
      </c>
      <c r="E9" s="116">
        <f t="shared" si="0"/>
        <v>0</v>
      </c>
    </row>
    <row r="10" spans="1:15" ht="32.25" thickBot="1" x14ac:dyDescent="0.3">
      <c r="A10" s="118" t="s">
        <v>143</v>
      </c>
      <c r="B10" s="117" t="s">
        <v>261</v>
      </c>
      <c r="C10" s="123">
        <v>1198165.51</v>
      </c>
      <c r="D10" s="116">
        <f>SUM('3 pr-2'!AA62)</f>
        <v>1198163.7</v>
      </c>
      <c r="E10" s="116">
        <f t="shared" si="0"/>
        <v>1.8100000000558794</v>
      </c>
    </row>
    <row r="11" spans="1:15" ht="32.25" thickBot="1" x14ac:dyDescent="0.3">
      <c r="A11" s="118" t="s">
        <v>183</v>
      </c>
      <c r="B11" s="117" t="s">
        <v>262</v>
      </c>
      <c r="C11" s="123">
        <v>1030281.61</v>
      </c>
      <c r="D11" s="116">
        <f>SUM('3 pr-2'!AA67)</f>
        <v>1030280</v>
      </c>
      <c r="E11" s="116">
        <f t="shared" si="0"/>
        <v>1.6099999999860302</v>
      </c>
    </row>
    <row r="12" spans="1:15" ht="32.25" thickBot="1" x14ac:dyDescent="0.3">
      <c r="A12" s="118" t="s">
        <v>135</v>
      </c>
      <c r="B12" s="117" t="s">
        <v>263</v>
      </c>
      <c r="C12" s="248">
        <v>1263272</v>
      </c>
      <c r="D12" s="116">
        <f>SUM('3 pr-2'!AA74)</f>
        <v>1263272</v>
      </c>
      <c r="E12" s="116">
        <f t="shared" si="0"/>
        <v>0</v>
      </c>
    </row>
    <row r="13" spans="1:15" ht="16.5" thickBot="1" x14ac:dyDescent="0.3">
      <c r="A13" s="118" t="s">
        <v>147</v>
      </c>
      <c r="B13" s="117" t="s">
        <v>264</v>
      </c>
      <c r="C13" s="123">
        <v>1567660</v>
      </c>
      <c r="D13" s="116">
        <f>SUM('3 pr-2'!AA80+'3 pr-2'!AA82+'3 pr-2'!AA84+'3 pr-2'!AA85)</f>
        <v>1567660</v>
      </c>
      <c r="E13" s="116">
        <f t="shared" si="0"/>
        <v>0</v>
      </c>
    </row>
    <row r="14" spans="1:15" ht="16.5" thickBot="1" x14ac:dyDescent="0.3">
      <c r="A14" s="118" t="s">
        <v>276</v>
      </c>
      <c r="B14" s="117" t="s">
        <v>281</v>
      </c>
      <c r="C14" s="123">
        <v>43042.3</v>
      </c>
      <c r="D14" s="116">
        <f>SUM('3 pr-2'!AA81+'3 pr-2'!AA83)</f>
        <v>43042.3</v>
      </c>
      <c r="E14" s="116">
        <f t="shared" si="0"/>
        <v>0</v>
      </c>
    </row>
    <row r="15" spans="1:15" ht="32.25" thickBot="1" x14ac:dyDescent="0.3">
      <c r="A15" s="118" t="s">
        <v>148</v>
      </c>
      <c r="B15" s="117" t="s">
        <v>265</v>
      </c>
      <c r="C15" s="123">
        <v>415732</v>
      </c>
      <c r="D15" s="116">
        <f>SUM('3 pr-2'!AA86)</f>
        <v>415723.56</v>
      </c>
      <c r="E15" s="126">
        <f t="shared" si="0"/>
        <v>8.4400000000023283</v>
      </c>
    </row>
    <row r="16" spans="1:15" ht="16.5" thickBot="1" x14ac:dyDescent="0.3">
      <c r="A16" s="118" t="s">
        <v>141</v>
      </c>
      <c r="B16" s="117" t="s">
        <v>304</v>
      </c>
      <c r="C16" s="123">
        <v>3052809</v>
      </c>
      <c r="D16" s="116">
        <f>SUM('3 pr-2'!AA92)</f>
        <v>3052807</v>
      </c>
      <c r="E16" s="116">
        <f t="shared" si="0"/>
        <v>2</v>
      </c>
    </row>
    <row r="17" spans="1:5" ht="16.5" thickBot="1" x14ac:dyDescent="0.3">
      <c r="A17" s="118" t="s">
        <v>136</v>
      </c>
      <c r="B17" s="117" t="s">
        <v>403</v>
      </c>
      <c r="C17" s="123">
        <v>1142378</v>
      </c>
      <c r="D17" s="116">
        <f>SUM('3 pr-2'!AA102)</f>
        <v>1142377</v>
      </c>
      <c r="E17" s="116">
        <f t="shared" si="0"/>
        <v>1</v>
      </c>
    </row>
    <row r="18" spans="1:5" ht="32.25" thickBot="1" x14ac:dyDescent="0.3">
      <c r="A18" s="118" t="s">
        <v>139</v>
      </c>
      <c r="B18" s="117" t="s">
        <v>266</v>
      </c>
      <c r="C18" s="123">
        <v>1486009</v>
      </c>
      <c r="D18" s="116">
        <f>SUM('3 pr-2'!AA108)</f>
        <v>1486008</v>
      </c>
      <c r="E18" s="116">
        <f t="shared" si="0"/>
        <v>1</v>
      </c>
    </row>
    <row r="19" spans="1:5" ht="32.25" thickBot="1" x14ac:dyDescent="0.3">
      <c r="A19" s="118" t="s">
        <v>140</v>
      </c>
      <c r="B19" s="117" t="s">
        <v>267</v>
      </c>
      <c r="C19" s="123">
        <v>1138588</v>
      </c>
      <c r="D19" s="116">
        <f>SUM('3 pr-2'!AA114)</f>
        <v>1138588.2162162161</v>
      </c>
      <c r="E19" s="116">
        <f t="shared" si="0"/>
        <v>-0.21621621609665453</v>
      </c>
    </row>
    <row r="20" spans="1:5" ht="32.25" thickBot="1" x14ac:dyDescent="0.3">
      <c r="A20" s="118" t="s">
        <v>153</v>
      </c>
      <c r="B20" s="117" t="s">
        <v>268</v>
      </c>
      <c r="C20" s="123">
        <v>1230854</v>
      </c>
      <c r="D20" s="116">
        <f>SUM('3 pr-2'!AA121)</f>
        <v>1230854</v>
      </c>
      <c r="E20" s="116">
        <f t="shared" si="0"/>
        <v>0</v>
      </c>
    </row>
    <row r="21" spans="1:5" ht="32.25" thickBot="1" x14ac:dyDescent="0.3">
      <c r="A21" s="118" t="s">
        <v>1467</v>
      </c>
      <c r="B21" s="117" t="s">
        <v>268</v>
      </c>
      <c r="C21" s="123">
        <v>845738</v>
      </c>
      <c r="D21" s="116">
        <f>SUM('3 pr-2'!AA135)</f>
        <v>845738</v>
      </c>
      <c r="E21" s="116">
        <f t="shared" si="0"/>
        <v>0</v>
      </c>
    </row>
    <row r="22" spans="1:5" ht="16.5" thickBot="1" x14ac:dyDescent="0.3">
      <c r="A22" s="118" t="s">
        <v>154</v>
      </c>
      <c r="B22" s="117" t="s">
        <v>269</v>
      </c>
      <c r="C22" s="123">
        <v>885762</v>
      </c>
      <c r="D22" s="116">
        <f>SUM('3 pr-2'!AA148)</f>
        <v>885761</v>
      </c>
      <c r="E22" s="116">
        <f t="shared" si="0"/>
        <v>1</v>
      </c>
    </row>
    <row r="23" spans="1:5" ht="16.5" thickBot="1" x14ac:dyDescent="0.3">
      <c r="A23" s="118" t="s">
        <v>155</v>
      </c>
      <c r="B23" s="117" t="s">
        <v>270</v>
      </c>
      <c r="C23" s="123">
        <v>2520974</v>
      </c>
      <c r="D23" s="116">
        <f>SUM('3 pr-2'!AA154)</f>
        <v>2520974</v>
      </c>
      <c r="E23" s="116">
        <f t="shared" si="0"/>
        <v>0</v>
      </c>
    </row>
    <row r="24" spans="1:5" ht="32.25" thickBot="1" x14ac:dyDescent="0.3">
      <c r="A24" s="118" t="s">
        <v>156</v>
      </c>
      <c r="B24" s="117" t="s">
        <v>271</v>
      </c>
      <c r="C24" s="123">
        <v>982761</v>
      </c>
      <c r="D24" s="116">
        <f>SUM('3 pr-2'!AA161)</f>
        <v>972514.49</v>
      </c>
      <c r="E24" s="116">
        <f t="shared" si="0"/>
        <v>10246.510000000009</v>
      </c>
    </row>
    <row r="25" spans="1:5" ht="32.25" thickBot="1" x14ac:dyDescent="0.3">
      <c r="A25" s="118" t="s">
        <v>194</v>
      </c>
      <c r="B25" s="117" t="s">
        <v>272</v>
      </c>
      <c r="C25" s="123">
        <v>3352807.77</v>
      </c>
      <c r="D25" s="116">
        <f>SUM('3 pr-2'!AA170)</f>
        <v>3352807.77</v>
      </c>
      <c r="E25" s="116">
        <f t="shared" si="0"/>
        <v>0</v>
      </c>
    </row>
    <row r="26" spans="1:5" ht="16.5" thickBot="1" x14ac:dyDescent="0.3">
      <c r="A26" s="118" t="s">
        <v>196</v>
      </c>
      <c r="B26" s="117" t="s">
        <v>273</v>
      </c>
      <c r="C26" s="123">
        <v>2131629</v>
      </c>
      <c r="D26" s="116">
        <f>SUM('3 pr-2'!AA173)</f>
        <v>2131628.0500000003</v>
      </c>
      <c r="E26" s="116">
        <f t="shared" si="0"/>
        <v>0.94999999972060323</v>
      </c>
    </row>
    <row r="27" spans="1:5" ht="16.5" thickBot="1" x14ac:dyDescent="0.3">
      <c r="C27" s="116"/>
      <c r="D27" s="116">
        <f>SUM(D2:D26)</f>
        <v>47898710.186216213</v>
      </c>
    </row>
  </sheetData>
  <pageMargins left="0.7" right="0.7" top="0.75" bottom="0.75" header="0.3" footer="0.3"/>
  <pageSetup scale="57"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73"/>
  <sheetViews>
    <sheetView showGridLines="0" showRuler="0" topLeftCell="A4" zoomScaleNormal="100" workbookViewId="0">
      <selection activeCell="C33" sqref="C33:C36"/>
    </sheetView>
  </sheetViews>
  <sheetFormatPr defaultRowHeight="15" x14ac:dyDescent="0.25"/>
  <cols>
    <col min="1" max="1" width="9.140625" style="213"/>
    <col min="2" max="2" width="40.85546875" style="213" customWidth="1"/>
    <col min="3" max="3" width="39.5703125" style="213" customWidth="1"/>
    <col min="4" max="4" width="14.42578125" style="213" customWidth="1"/>
    <col min="5" max="5" width="15.5703125" style="213" customWidth="1"/>
    <col min="6" max="6" width="23.42578125" style="213" customWidth="1"/>
    <col min="7" max="16384" width="9.140625" style="213"/>
  </cols>
  <sheetData>
    <row r="1" spans="1:6" ht="380.25" customHeight="1" x14ac:dyDescent="0.25">
      <c r="A1" s="1728" t="s">
        <v>1505</v>
      </c>
      <c r="B1" s="1729"/>
      <c r="C1" s="1729"/>
      <c r="D1" s="1729"/>
      <c r="E1" s="1729"/>
      <c r="F1" s="1729"/>
    </row>
    <row r="2" spans="1:6" ht="147" customHeight="1" x14ac:dyDescent="0.25">
      <c r="A2" s="1730" t="s">
        <v>1705</v>
      </c>
      <c r="B2" s="1731"/>
      <c r="C2" s="1731"/>
      <c r="D2" s="1731"/>
      <c r="E2" s="1731"/>
      <c r="F2" s="1731"/>
    </row>
    <row r="3" spans="1:6" x14ac:dyDescent="0.25">
      <c r="C3" s="974" t="s">
        <v>908</v>
      </c>
    </row>
    <row r="5" spans="1:6" ht="15.75" thickBot="1" x14ac:dyDescent="0.3">
      <c r="A5" s="974" t="s">
        <v>909</v>
      </c>
    </row>
    <row r="6" spans="1:6" ht="32.25" thickTop="1" x14ac:dyDescent="0.25">
      <c r="A6" s="1738" t="s">
        <v>393</v>
      </c>
      <c r="B6" s="1738" t="s">
        <v>910</v>
      </c>
      <c r="C6" s="1738" t="s">
        <v>788</v>
      </c>
      <c r="D6" s="1738" t="s">
        <v>911</v>
      </c>
      <c r="E6" s="975" t="s">
        <v>912</v>
      </c>
      <c r="F6" s="1738" t="s">
        <v>914</v>
      </c>
    </row>
    <row r="7" spans="1:6" ht="16.5" thickBot="1" x14ac:dyDescent="0.3">
      <c r="A7" s="1739"/>
      <c r="B7" s="1739"/>
      <c r="C7" s="1739"/>
      <c r="D7" s="1739"/>
      <c r="E7" s="977" t="s">
        <v>913</v>
      </c>
      <c r="F7" s="1739"/>
    </row>
    <row r="8" spans="1:6" ht="32.25" thickBot="1" x14ac:dyDescent="0.3">
      <c r="A8" s="1214"/>
      <c r="B8" s="1207" t="s">
        <v>915</v>
      </c>
      <c r="C8" s="1215"/>
      <c r="D8" s="1215"/>
      <c r="E8" s="1215"/>
      <c r="F8" s="1216"/>
    </row>
    <row r="9" spans="1:6" ht="79.5" thickBot="1" x14ac:dyDescent="0.3">
      <c r="A9" s="978" t="s">
        <v>916</v>
      </c>
      <c r="B9" s="979" t="s">
        <v>917</v>
      </c>
      <c r="C9" s="980" t="s">
        <v>918</v>
      </c>
      <c r="D9" s="979" t="s">
        <v>932</v>
      </c>
      <c r="E9" s="980" t="s">
        <v>919</v>
      </c>
      <c r="F9" s="981" t="s">
        <v>933</v>
      </c>
    </row>
    <row r="10" spans="1:6" ht="16.5" thickBot="1" x14ac:dyDescent="0.3">
      <c r="A10" s="1208"/>
      <c r="B10" s="977" t="s">
        <v>920</v>
      </c>
      <c r="C10" s="538"/>
      <c r="D10" s="538"/>
      <c r="E10" s="538"/>
      <c r="F10" s="1209"/>
    </row>
    <row r="11" spans="1:6" ht="63" customHeight="1" thickBot="1" x14ac:dyDescent="0.3">
      <c r="A11" s="978" t="s">
        <v>921</v>
      </c>
      <c r="B11" s="979" t="s">
        <v>922</v>
      </c>
      <c r="C11" s="980" t="s">
        <v>923</v>
      </c>
      <c r="D11" s="979" t="s">
        <v>934</v>
      </c>
      <c r="E11" s="980" t="s">
        <v>925</v>
      </c>
      <c r="F11" s="981" t="s">
        <v>935</v>
      </c>
    </row>
    <row r="12" spans="1:6" ht="32.25" thickBot="1" x14ac:dyDescent="0.3">
      <c r="A12" s="1208"/>
      <c r="B12" s="977" t="s">
        <v>926</v>
      </c>
      <c r="C12" s="538"/>
      <c r="D12" s="538"/>
      <c r="E12" s="538"/>
      <c r="F12" s="1209"/>
    </row>
    <row r="13" spans="1:6" ht="63.75" thickBot="1" x14ac:dyDescent="0.3">
      <c r="A13" s="978" t="s">
        <v>927</v>
      </c>
      <c r="B13" s="980" t="s">
        <v>928</v>
      </c>
      <c r="C13" s="980" t="s">
        <v>929</v>
      </c>
      <c r="D13" s="980" t="s">
        <v>1371</v>
      </c>
      <c r="E13" s="980" t="s">
        <v>930</v>
      </c>
      <c r="F13" s="981" t="s">
        <v>1372</v>
      </c>
    </row>
    <row r="15" spans="1:6" ht="15.75" thickBot="1" x14ac:dyDescent="0.3">
      <c r="A15" s="974" t="s">
        <v>936</v>
      </c>
    </row>
    <row r="16" spans="1:6" ht="31.5" x14ac:dyDescent="0.25">
      <c r="A16" s="1732" t="s">
        <v>393</v>
      </c>
      <c r="B16" s="1734" t="s">
        <v>910</v>
      </c>
      <c r="C16" s="1734" t="s">
        <v>788</v>
      </c>
      <c r="D16" s="1734" t="s">
        <v>911</v>
      </c>
      <c r="E16" s="1207" t="s">
        <v>912</v>
      </c>
      <c r="F16" s="1736" t="s">
        <v>914</v>
      </c>
    </row>
    <row r="17" spans="1:6" ht="16.5" thickBot="1" x14ac:dyDescent="0.3">
      <c r="A17" s="1733"/>
      <c r="B17" s="1735"/>
      <c r="C17" s="1735"/>
      <c r="D17" s="1735"/>
      <c r="E17" s="976" t="s">
        <v>913</v>
      </c>
      <c r="F17" s="1737"/>
    </row>
    <row r="18" spans="1:6" ht="96" thickTop="1" thickBot="1" x14ac:dyDescent="0.3">
      <c r="A18" s="1208"/>
      <c r="B18" s="977" t="s">
        <v>917</v>
      </c>
      <c r="C18" s="538"/>
      <c r="D18" s="538"/>
      <c r="E18" s="538"/>
      <c r="F18" s="1209"/>
    </row>
    <row r="19" spans="1:6" ht="63.75" thickBot="1" x14ac:dyDescent="0.3">
      <c r="A19" s="978" t="s">
        <v>937</v>
      </c>
      <c r="B19" s="980" t="s">
        <v>938</v>
      </c>
      <c r="C19" s="980" t="s">
        <v>939</v>
      </c>
      <c r="D19" s="979" t="s">
        <v>1374</v>
      </c>
      <c r="E19" s="980">
        <v>9394</v>
      </c>
      <c r="F19" s="981" t="s">
        <v>1373</v>
      </c>
    </row>
    <row r="20" spans="1:6" ht="15.75" x14ac:dyDescent="0.25">
      <c r="A20" s="1740" t="s">
        <v>940</v>
      </c>
      <c r="B20" s="1742" t="s">
        <v>938</v>
      </c>
      <c r="C20" s="1742" t="s">
        <v>941</v>
      </c>
      <c r="D20" s="538">
        <v>48</v>
      </c>
      <c r="E20" s="1742" t="s">
        <v>942</v>
      </c>
      <c r="F20" s="1209" t="s">
        <v>943</v>
      </c>
    </row>
    <row r="21" spans="1:6" ht="15.75" x14ac:dyDescent="0.25">
      <c r="A21" s="1740"/>
      <c r="B21" s="1742"/>
      <c r="C21" s="1742"/>
      <c r="D21" s="538" t="s">
        <v>924</v>
      </c>
      <c r="E21" s="1742"/>
      <c r="F21" s="1209" t="s">
        <v>944</v>
      </c>
    </row>
    <row r="22" spans="1:6" ht="15.75" x14ac:dyDescent="0.25">
      <c r="A22" s="1740"/>
      <c r="B22" s="1742"/>
      <c r="C22" s="1742"/>
      <c r="D22" s="982"/>
      <c r="E22" s="1742"/>
      <c r="F22" s="1209" t="s">
        <v>945</v>
      </c>
    </row>
    <row r="23" spans="1:6" ht="16.5" thickBot="1" x14ac:dyDescent="0.3">
      <c r="A23" s="1741"/>
      <c r="B23" s="1743"/>
      <c r="C23" s="1743"/>
      <c r="D23" s="983"/>
      <c r="E23" s="1743"/>
      <c r="F23" s="1210" t="s">
        <v>946</v>
      </c>
    </row>
    <row r="24" spans="1:6" ht="16.5" thickTop="1" x14ac:dyDescent="0.25">
      <c r="A24" s="1744" t="s">
        <v>947</v>
      </c>
      <c r="B24" s="1745" t="s">
        <v>948</v>
      </c>
      <c r="C24" s="1745" t="s">
        <v>949</v>
      </c>
      <c r="D24" s="538">
        <v>0</v>
      </c>
      <c r="E24" s="1745">
        <v>10</v>
      </c>
      <c r="F24" s="1209" t="s">
        <v>950</v>
      </c>
    </row>
    <row r="25" spans="1:6" ht="15.75" x14ac:dyDescent="0.25">
      <c r="A25" s="1740"/>
      <c r="B25" s="1742"/>
      <c r="C25" s="1742"/>
      <c r="D25" s="538" t="s">
        <v>924</v>
      </c>
      <c r="E25" s="1742"/>
      <c r="F25" s="1209" t="s">
        <v>951</v>
      </c>
    </row>
    <row r="26" spans="1:6" ht="15.75" x14ac:dyDescent="0.25">
      <c r="A26" s="1740"/>
      <c r="B26" s="1742"/>
      <c r="C26" s="1742"/>
      <c r="D26" s="982"/>
      <c r="E26" s="1742"/>
      <c r="F26" s="1209" t="s">
        <v>952</v>
      </c>
    </row>
    <row r="27" spans="1:6" ht="16.5" thickBot="1" x14ac:dyDescent="0.3">
      <c r="A27" s="1741"/>
      <c r="B27" s="1743"/>
      <c r="C27" s="1743"/>
      <c r="D27" s="983"/>
      <c r="E27" s="1743"/>
      <c r="F27" s="1210" t="s">
        <v>931</v>
      </c>
    </row>
    <row r="28" spans="1:6" ht="16.5" thickTop="1" x14ac:dyDescent="0.25">
      <c r="A28" s="1744" t="s">
        <v>953</v>
      </c>
      <c r="B28" s="1745" t="s">
        <v>948</v>
      </c>
      <c r="C28" s="1745" t="s">
        <v>954</v>
      </c>
      <c r="D28" s="538">
        <v>13</v>
      </c>
      <c r="E28" s="1745">
        <v>3</v>
      </c>
      <c r="F28" s="1209" t="s">
        <v>955</v>
      </c>
    </row>
    <row r="29" spans="1:6" ht="15.75" x14ac:dyDescent="0.25">
      <c r="A29" s="1740"/>
      <c r="B29" s="1742"/>
      <c r="C29" s="1742"/>
      <c r="D29" s="538" t="s">
        <v>924</v>
      </c>
      <c r="E29" s="1742"/>
      <c r="F29" s="1209" t="s">
        <v>956</v>
      </c>
    </row>
    <row r="30" spans="1:6" ht="15.75" x14ac:dyDescent="0.25">
      <c r="A30" s="1740"/>
      <c r="B30" s="1742"/>
      <c r="C30" s="1742"/>
      <c r="D30" s="982"/>
      <c r="E30" s="1742"/>
      <c r="F30" s="1209" t="s">
        <v>957</v>
      </c>
    </row>
    <row r="31" spans="1:6" ht="16.5" thickBot="1" x14ac:dyDescent="0.3">
      <c r="A31" s="1741"/>
      <c r="B31" s="1743"/>
      <c r="C31" s="1743"/>
      <c r="D31" s="983"/>
      <c r="E31" s="1743"/>
      <c r="F31" s="1210" t="s">
        <v>958</v>
      </c>
    </row>
    <row r="32" spans="1:6" ht="33" thickTop="1" thickBot="1" x14ac:dyDescent="0.3">
      <c r="A32" s="1211"/>
      <c r="B32" s="976" t="s">
        <v>922</v>
      </c>
      <c r="C32" s="156"/>
      <c r="D32" s="156"/>
      <c r="E32" s="156"/>
      <c r="F32" s="1210"/>
    </row>
    <row r="33" spans="1:6" ht="46.5" customHeight="1" thickTop="1" x14ac:dyDescent="0.25">
      <c r="A33" s="1744" t="s">
        <v>959</v>
      </c>
      <c r="B33" s="1745" t="s">
        <v>960</v>
      </c>
      <c r="C33" s="1745" t="s">
        <v>961</v>
      </c>
      <c r="D33" s="538">
        <v>0</v>
      </c>
      <c r="E33" s="1745">
        <v>48</v>
      </c>
      <c r="F33" s="1209" t="s">
        <v>962</v>
      </c>
    </row>
    <row r="34" spans="1:6" ht="15.75" x14ac:dyDescent="0.25">
      <c r="A34" s="1740"/>
      <c r="B34" s="1742"/>
      <c r="C34" s="1742"/>
      <c r="D34" s="538" t="s">
        <v>924</v>
      </c>
      <c r="E34" s="1742"/>
      <c r="F34" s="1209" t="s">
        <v>963</v>
      </c>
    </row>
    <row r="35" spans="1:6" ht="15.75" x14ac:dyDescent="0.25">
      <c r="A35" s="1740"/>
      <c r="B35" s="1742"/>
      <c r="C35" s="1742"/>
      <c r="D35" s="982"/>
      <c r="E35" s="1742"/>
      <c r="F35" s="1209" t="s">
        <v>964</v>
      </c>
    </row>
    <row r="36" spans="1:6" ht="16.5" thickBot="1" x14ac:dyDescent="0.3">
      <c r="A36" s="1741"/>
      <c r="B36" s="1743"/>
      <c r="C36" s="1743"/>
      <c r="D36" s="983"/>
      <c r="E36" s="1743"/>
      <c r="F36" s="1210" t="s">
        <v>965</v>
      </c>
    </row>
    <row r="37" spans="1:6" ht="16.5" thickTop="1" x14ac:dyDescent="0.25">
      <c r="A37" s="1744" t="s">
        <v>959</v>
      </c>
      <c r="B37" s="1745" t="s">
        <v>960</v>
      </c>
      <c r="C37" s="1745" t="s">
        <v>966</v>
      </c>
      <c r="D37" s="538">
        <v>0</v>
      </c>
      <c r="E37" s="1745">
        <v>38.4</v>
      </c>
      <c r="F37" s="1209" t="s">
        <v>967</v>
      </c>
    </row>
    <row r="38" spans="1:6" ht="15.75" x14ac:dyDescent="0.25">
      <c r="A38" s="1740"/>
      <c r="B38" s="1742"/>
      <c r="C38" s="1742"/>
      <c r="D38" s="538" t="s">
        <v>924</v>
      </c>
      <c r="E38" s="1742"/>
      <c r="F38" s="1209" t="s">
        <v>968</v>
      </c>
    </row>
    <row r="39" spans="1:6" ht="15.75" x14ac:dyDescent="0.25">
      <c r="A39" s="1740"/>
      <c r="B39" s="1742"/>
      <c r="C39" s="1742"/>
      <c r="D39" s="982"/>
      <c r="E39" s="1742"/>
      <c r="F39" s="1209" t="s">
        <v>969</v>
      </c>
    </row>
    <row r="40" spans="1:6" ht="16.5" thickBot="1" x14ac:dyDescent="0.3">
      <c r="A40" s="1741"/>
      <c r="B40" s="1743"/>
      <c r="C40" s="1743"/>
      <c r="D40" s="983"/>
      <c r="E40" s="1743"/>
      <c r="F40" s="1210" t="s">
        <v>970</v>
      </c>
    </row>
    <row r="41" spans="1:6" ht="46.5" customHeight="1" thickTop="1" x14ac:dyDescent="0.25">
      <c r="A41" s="1744" t="s">
        <v>971</v>
      </c>
      <c r="B41" s="1745" t="s">
        <v>960</v>
      </c>
      <c r="C41" s="1745" t="s">
        <v>972</v>
      </c>
      <c r="D41" s="538">
        <v>0</v>
      </c>
      <c r="E41" s="1745">
        <v>46</v>
      </c>
      <c r="F41" s="1209" t="s">
        <v>973</v>
      </c>
    </row>
    <row r="42" spans="1:6" ht="15.75" x14ac:dyDescent="0.25">
      <c r="A42" s="1740"/>
      <c r="B42" s="1742"/>
      <c r="C42" s="1742"/>
      <c r="D42" s="538" t="s">
        <v>924</v>
      </c>
      <c r="E42" s="1742"/>
      <c r="F42" s="1209" t="s">
        <v>974</v>
      </c>
    </row>
    <row r="43" spans="1:6" ht="15.75" x14ac:dyDescent="0.25">
      <c r="A43" s="1740"/>
      <c r="B43" s="1742"/>
      <c r="C43" s="1742"/>
      <c r="D43" s="982"/>
      <c r="E43" s="1742"/>
      <c r="F43" s="1209" t="s">
        <v>975</v>
      </c>
    </row>
    <row r="44" spans="1:6" ht="16.5" thickBot="1" x14ac:dyDescent="0.3">
      <c r="A44" s="1741"/>
      <c r="B44" s="1743"/>
      <c r="C44" s="1743"/>
      <c r="D44" s="983"/>
      <c r="E44" s="1743"/>
      <c r="F44" s="1210" t="s">
        <v>965</v>
      </c>
    </row>
    <row r="45" spans="1:6" ht="62.25" customHeight="1" thickTop="1" x14ac:dyDescent="0.25">
      <c r="A45" s="1744" t="s">
        <v>976</v>
      </c>
      <c r="B45" s="1745" t="s">
        <v>977</v>
      </c>
      <c r="C45" s="1745" t="s">
        <v>978</v>
      </c>
      <c r="D45" s="538">
        <v>5</v>
      </c>
      <c r="E45" s="1745">
        <v>3</v>
      </c>
      <c r="F45" s="1209" t="s">
        <v>955</v>
      </c>
    </row>
    <row r="46" spans="1:6" ht="15.75" x14ac:dyDescent="0.25">
      <c r="A46" s="1740"/>
      <c r="B46" s="1742"/>
      <c r="C46" s="1742"/>
      <c r="D46" s="538" t="s">
        <v>924</v>
      </c>
      <c r="E46" s="1742"/>
      <c r="F46" s="1209" t="s">
        <v>979</v>
      </c>
    </row>
    <row r="47" spans="1:6" ht="15.75" x14ac:dyDescent="0.25">
      <c r="A47" s="1740"/>
      <c r="B47" s="1742"/>
      <c r="C47" s="1742"/>
      <c r="D47" s="982"/>
      <c r="E47" s="1742"/>
      <c r="F47" s="1209" t="s">
        <v>980</v>
      </c>
    </row>
    <row r="48" spans="1:6" ht="16.5" thickBot="1" x14ac:dyDescent="0.3">
      <c r="A48" s="1741"/>
      <c r="B48" s="1743"/>
      <c r="C48" s="1743"/>
      <c r="D48" s="983"/>
      <c r="E48" s="1743"/>
      <c r="F48" s="1210" t="s">
        <v>981</v>
      </c>
    </row>
    <row r="49" spans="1:6" ht="62.25" customHeight="1" thickTop="1" x14ac:dyDescent="0.25">
      <c r="A49" s="1744" t="s">
        <v>982</v>
      </c>
      <c r="B49" s="1745" t="s">
        <v>977</v>
      </c>
      <c r="C49" s="1745" t="s">
        <v>983</v>
      </c>
      <c r="D49" s="538">
        <v>130</v>
      </c>
      <c r="E49" s="1745">
        <v>82</v>
      </c>
      <c r="F49" s="1209" t="s">
        <v>984</v>
      </c>
    </row>
    <row r="50" spans="1:6" ht="15.75" x14ac:dyDescent="0.25">
      <c r="A50" s="1740"/>
      <c r="B50" s="1742"/>
      <c r="C50" s="1742"/>
      <c r="D50" s="538" t="s">
        <v>924</v>
      </c>
      <c r="E50" s="1742"/>
      <c r="F50" s="1209" t="s">
        <v>985</v>
      </c>
    </row>
    <row r="51" spans="1:6" ht="15.75" x14ac:dyDescent="0.25">
      <c r="A51" s="1740"/>
      <c r="B51" s="1742"/>
      <c r="C51" s="1742"/>
      <c r="D51" s="982"/>
      <c r="E51" s="1742"/>
      <c r="F51" s="1209" t="s">
        <v>986</v>
      </c>
    </row>
    <row r="52" spans="1:6" ht="16.5" thickBot="1" x14ac:dyDescent="0.3">
      <c r="A52" s="1741"/>
      <c r="B52" s="1743"/>
      <c r="C52" s="1743"/>
      <c r="D52" s="983"/>
      <c r="E52" s="1743"/>
      <c r="F52" s="1210" t="s">
        <v>987</v>
      </c>
    </row>
    <row r="53" spans="1:6" ht="30.75" customHeight="1" thickTop="1" x14ac:dyDescent="0.25">
      <c r="A53" s="1744" t="s">
        <v>988</v>
      </c>
      <c r="B53" s="1745" t="s">
        <v>989</v>
      </c>
      <c r="C53" s="1745" t="s">
        <v>990</v>
      </c>
      <c r="D53" s="538">
        <v>0</v>
      </c>
      <c r="E53" s="1745">
        <v>62</v>
      </c>
      <c r="F53" s="1209" t="s">
        <v>991</v>
      </c>
    </row>
    <row r="54" spans="1:6" ht="15.75" x14ac:dyDescent="0.25">
      <c r="A54" s="1740"/>
      <c r="B54" s="1742"/>
      <c r="C54" s="1742"/>
      <c r="D54" s="538" t="s">
        <v>924</v>
      </c>
      <c r="E54" s="1742"/>
      <c r="F54" s="1209" t="s">
        <v>992</v>
      </c>
    </row>
    <row r="55" spans="1:6" ht="15.75" x14ac:dyDescent="0.25">
      <c r="A55" s="1740"/>
      <c r="B55" s="1742"/>
      <c r="C55" s="1742"/>
      <c r="D55" s="982"/>
      <c r="E55" s="1742"/>
      <c r="F55" s="1209" t="s">
        <v>993</v>
      </c>
    </row>
    <row r="56" spans="1:6" ht="16.5" thickBot="1" x14ac:dyDescent="0.3">
      <c r="A56" s="1741"/>
      <c r="B56" s="1743"/>
      <c r="C56" s="1743"/>
      <c r="D56" s="983"/>
      <c r="E56" s="1743"/>
      <c r="F56" s="1210" t="s">
        <v>965</v>
      </c>
    </row>
    <row r="57" spans="1:6" ht="16.5" thickTop="1" x14ac:dyDescent="0.25">
      <c r="A57" s="1744" t="s">
        <v>994</v>
      </c>
      <c r="B57" s="1745" t="s">
        <v>938</v>
      </c>
      <c r="C57" s="1745" t="s">
        <v>1370</v>
      </c>
      <c r="D57" s="538">
        <v>0</v>
      </c>
      <c r="E57" s="1745">
        <v>47</v>
      </c>
      <c r="F57" s="1209" t="s">
        <v>997</v>
      </c>
    </row>
    <row r="58" spans="1:6" ht="15.75" x14ac:dyDescent="0.25">
      <c r="A58" s="1740"/>
      <c r="B58" s="1742"/>
      <c r="C58" s="1746"/>
      <c r="D58" s="538" t="s">
        <v>924</v>
      </c>
      <c r="E58" s="1742"/>
      <c r="F58" s="1209" t="s">
        <v>998</v>
      </c>
    </row>
    <row r="59" spans="1:6" ht="15.75" x14ac:dyDescent="0.25">
      <c r="A59" s="1740"/>
      <c r="B59" s="1742"/>
      <c r="C59" s="1746"/>
      <c r="D59" s="982"/>
      <c r="E59" s="1742"/>
      <c r="F59" s="1209" t="s">
        <v>999</v>
      </c>
    </row>
    <row r="60" spans="1:6" ht="16.5" thickBot="1" x14ac:dyDescent="0.3">
      <c r="A60" s="1741"/>
      <c r="B60" s="1743"/>
      <c r="C60" s="1747"/>
      <c r="D60" s="983"/>
      <c r="E60" s="1743"/>
      <c r="F60" s="1210" t="s">
        <v>965</v>
      </c>
    </row>
    <row r="61" spans="1:6" ht="46.5" customHeight="1" thickTop="1" x14ac:dyDescent="0.25">
      <c r="A61" s="1744" t="s">
        <v>1000</v>
      </c>
      <c r="B61" s="1745" t="s">
        <v>989</v>
      </c>
      <c r="C61" s="1745" t="s">
        <v>1001</v>
      </c>
      <c r="D61" s="538">
        <v>0</v>
      </c>
      <c r="E61" s="1745">
        <v>14</v>
      </c>
      <c r="F61" s="1209" t="s">
        <v>1002</v>
      </c>
    </row>
    <row r="62" spans="1:6" ht="15.75" x14ac:dyDescent="0.25">
      <c r="A62" s="1740"/>
      <c r="B62" s="1742"/>
      <c r="C62" s="1742"/>
      <c r="D62" s="538" t="s">
        <v>924</v>
      </c>
      <c r="E62" s="1742"/>
      <c r="F62" s="1209" t="s">
        <v>1003</v>
      </c>
    </row>
    <row r="63" spans="1:6" ht="15.75" x14ac:dyDescent="0.25">
      <c r="A63" s="1740"/>
      <c r="B63" s="1742"/>
      <c r="C63" s="1742"/>
      <c r="D63" s="982"/>
      <c r="E63" s="1742"/>
      <c r="F63" s="1209" t="s">
        <v>1004</v>
      </c>
    </row>
    <row r="64" spans="1:6" ht="16.5" thickBot="1" x14ac:dyDescent="0.3">
      <c r="A64" s="1741"/>
      <c r="B64" s="1743"/>
      <c r="C64" s="1743"/>
      <c r="D64" s="983"/>
      <c r="E64" s="1743"/>
      <c r="F64" s="1210" t="s">
        <v>965</v>
      </c>
    </row>
    <row r="65" spans="1:6" ht="33" thickTop="1" thickBot="1" x14ac:dyDescent="0.3">
      <c r="A65" s="1211"/>
      <c r="B65" s="976" t="s">
        <v>1506</v>
      </c>
      <c r="C65" s="156"/>
      <c r="D65" s="156"/>
      <c r="E65" s="156"/>
      <c r="F65" s="1210"/>
    </row>
    <row r="66" spans="1:6" ht="16.5" thickTop="1" x14ac:dyDescent="0.25">
      <c r="A66" s="1744" t="s">
        <v>1005</v>
      </c>
      <c r="B66" s="1745" t="s">
        <v>1006</v>
      </c>
      <c r="C66" s="1745" t="s">
        <v>1007</v>
      </c>
      <c r="D66" s="538">
        <v>0</v>
      </c>
      <c r="E66" s="1745">
        <v>320</v>
      </c>
      <c r="F66" s="1209" t="s">
        <v>1008</v>
      </c>
    </row>
    <row r="67" spans="1:6" ht="15.75" x14ac:dyDescent="0.25">
      <c r="A67" s="1740"/>
      <c r="B67" s="1742"/>
      <c r="C67" s="1742"/>
      <c r="D67" s="538" t="s">
        <v>924</v>
      </c>
      <c r="E67" s="1742"/>
      <c r="F67" s="1209" t="s">
        <v>1009</v>
      </c>
    </row>
    <row r="68" spans="1:6" ht="15.75" x14ac:dyDescent="0.25">
      <c r="A68" s="1740"/>
      <c r="B68" s="1742"/>
      <c r="C68" s="1742"/>
      <c r="D68" s="982"/>
      <c r="E68" s="1742"/>
      <c r="F68" s="1209" t="s">
        <v>1010</v>
      </c>
    </row>
    <row r="69" spans="1:6" ht="16.5" thickBot="1" x14ac:dyDescent="0.3">
      <c r="A69" s="1741"/>
      <c r="B69" s="1743"/>
      <c r="C69" s="1743"/>
      <c r="D69" s="983"/>
      <c r="E69" s="1743"/>
      <c r="F69" s="1210" t="s">
        <v>965</v>
      </c>
    </row>
    <row r="70" spans="1:6" ht="16.5" thickTop="1" x14ac:dyDescent="0.25">
      <c r="A70" s="1744" t="s">
        <v>1011</v>
      </c>
      <c r="B70" s="1745" t="s">
        <v>1012</v>
      </c>
      <c r="C70" s="1745" t="s">
        <v>1013</v>
      </c>
      <c r="D70" s="538">
        <v>55</v>
      </c>
      <c r="E70" s="1745">
        <v>35</v>
      </c>
      <c r="F70" s="1209" t="s">
        <v>1014</v>
      </c>
    </row>
    <row r="71" spans="1:6" ht="15.75" x14ac:dyDescent="0.25">
      <c r="A71" s="1740"/>
      <c r="B71" s="1742"/>
      <c r="C71" s="1742"/>
      <c r="D71" s="538" t="s">
        <v>924</v>
      </c>
      <c r="E71" s="1742"/>
      <c r="F71" s="1209" t="s">
        <v>1015</v>
      </c>
    </row>
    <row r="72" spans="1:6" ht="15.75" x14ac:dyDescent="0.25">
      <c r="A72" s="1740"/>
      <c r="B72" s="1742"/>
      <c r="C72" s="1742"/>
      <c r="D72" s="982"/>
      <c r="E72" s="1742"/>
      <c r="F72" s="1209" t="s">
        <v>1016</v>
      </c>
    </row>
    <row r="73" spans="1:6" ht="16.5" thickBot="1" x14ac:dyDescent="0.3">
      <c r="A73" s="1748"/>
      <c r="B73" s="1749"/>
      <c r="C73" s="1749"/>
      <c r="D73" s="1212"/>
      <c r="E73" s="1749"/>
      <c r="F73" s="1213" t="s">
        <v>1017</v>
      </c>
    </row>
  </sheetData>
  <mergeCells count="64">
    <mergeCell ref="A66:A69"/>
    <mergeCell ref="B66:B69"/>
    <mergeCell ref="C66:C69"/>
    <mergeCell ref="E66:E69"/>
    <mergeCell ref="A70:A73"/>
    <mergeCell ref="B70:B73"/>
    <mergeCell ref="C70:C73"/>
    <mergeCell ref="E70:E73"/>
    <mergeCell ref="A61:A64"/>
    <mergeCell ref="B61:B64"/>
    <mergeCell ref="C61:C64"/>
    <mergeCell ref="E61:E64"/>
    <mergeCell ref="C57:C60"/>
    <mergeCell ref="A53:A56"/>
    <mergeCell ref="B53:B56"/>
    <mergeCell ref="C53:C56"/>
    <mergeCell ref="E53:E56"/>
    <mergeCell ref="A57:A60"/>
    <mergeCell ref="B57:B60"/>
    <mergeCell ref="E57:E60"/>
    <mergeCell ref="A45:A48"/>
    <mergeCell ref="B45:B48"/>
    <mergeCell ref="C45:C48"/>
    <mergeCell ref="E45:E48"/>
    <mergeCell ref="A49:A52"/>
    <mergeCell ref="B49:B52"/>
    <mergeCell ref="C49:C52"/>
    <mergeCell ref="E49:E52"/>
    <mergeCell ref="A37:A40"/>
    <mergeCell ref="B37:B40"/>
    <mergeCell ref="C37:C40"/>
    <mergeCell ref="E37:E40"/>
    <mergeCell ref="A41:A44"/>
    <mergeCell ref="B41:B44"/>
    <mergeCell ref="C41:C44"/>
    <mergeCell ref="E41:E44"/>
    <mergeCell ref="A28:A31"/>
    <mergeCell ref="B28:B31"/>
    <mergeCell ref="C28:C31"/>
    <mergeCell ref="E28:E31"/>
    <mergeCell ref="A33:A36"/>
    <mergeCell ref="B33:B36"/>
    <mergeCell ref="C33:C36"/>
    <mergeCell ref="E33:E36"/>
    <mergeCell ref="A20:A23"/>
    <mergeCell ref="B20:B23"/>
    <mergeCell ref="C20:C23"/>
    <mergeCell ref="E20:E23"/>
    <mergeCell ref="A24:A27"/>
    <mergeCell ref="B24:B27"/>
    <mergeCell ref="C24:C27"/>
    <mergeCell ref="E24:E27"/>
    <mergeCell ref="A1:F1"/>
    <mergeCell ref="A2:F2"/>
    <mergeCell ref="A16:A17"/>
    <mergeCell ref="B16:B17"/>
    <mergeCell ref="C16:C17"/>
    <mergeCell ref="D16:D17"/>
    <mergeCell ref="F16:F17"/>
    <mergeCell ref="A6:A7"/>
    <mergeCell ref="B6:B7"/>
    <mergeCell ref="C6:C7"/>
    <mergeCell ref="D6:D7"/>
    <mergeCell ref="F6:F7"/>
  </mergeCells>
  <pageMargins left="0.23622047244094491" right="0.23622047244094491" top="0.74803149606299213" bottom="0.59055118110236227" header="0.31496062992125984" footer="0.31496062992125984"/>
  <pageSetup paperSize="9" orientation="landscape" r:id="rId1"/>
  <headerFooter>
    <oddHeader>&amp;C&amp;"Times New Roman,Paprastas"&amp;12Alytaus regiono 2014 – 2020 metų plėtros planas (Projektas)</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K60"/>
  <sheetViews>
    <sheetView showGridLines="0" showRuler="0" topLeftCell="A22" zoomScaleNormal="100" workbookViewId="0">
      <selection activeCell="D14" sqref="D14"/>
    </sheetView>
  </sheetViews>
  <sheetFormatPr defaultRowHeight="15" x14ac:dyDescent="0.25"/>
  <cols>
    <col min="1" max="1" width="9.140625" style="157"/>
    <col min="2" max="2" width="58.140625" style="157" customWidth="1"/>
    <col min="3" max="16384" width="9.140625" style="157"/>
  </cols>
  <sheetData>
    <row r="2" spans="1:11" ht="15.75" x14ac:dyDescent="0.25">
      <c r="A2" s="155" t="s">
        <v>1018</v>
      </c>
    </row>
    <row r="3" spans="1:11" ht="15.75" thickBot="1" x14ac:dyDescent="0.3"/>
    <row r="4" spans="1:11" ht="17.25" thickTop="1" thickBot="1" x14ac:dyDescent="0.3">
      <c r="A4" s="381" t="s">
        <v>393</v>
      </c>
      <c r="B4" s="539" t="s">
        <v>788</v>
      </c>
      <c r="C4" s="1753" t="s">
        <v>715</v>
      </c>
      <c r="D4" s="1754"/>
      <c r="E4" s="1754"/>
      <c r="F4" s="1754"/>
      <c r="G4" s="1754"/>
      <c r="H4" s="1754"/>
      <c r="I4" s="1754"/>
      <c r="J4" s="1754"/>
      <c r="K4" s="1755"/>
    </row>
    <row r="5" spans="1:11" ht="17.25" thickTop="1" thickBot="1" x14ac:dyDescent="0.3">
      <c r="A5" s="487"/>
      <c r="B5" s="529"/>
      <c r="C5" s="529">
        <v>2015</v>
      </c>
      <c r="D5" s="529">
        <v>2016</v>
      </c>
      <c r="E5" s="529">
        <v>2017</v>
      </c>
      <c r="F5" s="529">
        <v>2018</v>
      </c>
      <c r="G5" s="529">
        <v>2019</v>
      </c>
      <c r="H5" s="529">
        <v>2020</v>
      </c>
      <c r="I5" s="529">
        <v>2021</v>
      </c>
      <c r="J5" s="529">
        <v>2022</v>
      </c>
      <c r="K5" s="529">
        <v>2023</v>
      </c>
    </row>
    <row r="6" spans="1:11" ht="16.5" thickTop="1" x14ac:dyDescent="0.25">
      <c r="A6" s="1756" t="s">
        <v>916</v>
      </c>
      <c r="B6" s="1756" t="s">
        <v>918</v>
      </c>
      <c r="C6" s="532" t="s">
        <v>1019</v>
      </c>
      <c r="D6" s="532" t="s">
        <v>1019</v>
      </c>
      <c r="E6" s="532" t="s">
        <v>1022</v>
      </c>
      <c r="F6" s="532" t="s">
        <v>1024</v>
      </c>
      <c r="G6" s="532" t="s">
        <v>1027</v>
      </c>
      <c r="H6" s="532" t="s">
        <v>1030</v>
      </c>
      <c r="I6" s="532" t="s">
        <v>1033</v>
      </c>
      <c r="J6" s="532" t="s">
        <v>1036</v>
      </c>
      <c r="K6" s="532" t="s">
        <v>1039</v>
      </c>
    </row>
    <row r="7" spans="1:11" ht="15.75" x14ac:dyDescent="0.25">
      <c r="A7" s="1757"/>
      <c r="B7" s="1757"/>
      <c r="C7" s="532" t="s">
        <v>1020</v>
      </c>
      <c r="D7" s="532" t="s">
        <v>1020</v>
      </c>
      <c r="E7" s="532" t="s">
        <v>1023</v>
      </c>
      <c r="F7" s="532" t="s">
        <v>1025</v>
      </c>
      <c r="G7" s="532" t="s">
        <v>1028</v>
      </c>
      <c r="H7" s="532" t="s">
        <v>1031</v>
      </c>
      <c r="I7" s="532" t="s">
        <v>1034</v>
      </c>
      <c r="J7" s="532" t="s">
        <v>1037</v>
      </c>
      <c r="K7" s="532" t="s">
        <v>1040</v>
      </c>
    </row>
    <row r="8" spans="1:11" ht="16.5" thickBot="1" x14ac:dyDescent="0.3">
      <c r="A8" s="1758"/>
      <c r="B8" s="1758"/>
      <c r="C8" s="531" t="s">
        <v>1021</v>
      </c>
      <c r="D8" s="531" t="s">
        <v>1021</v>
      </c>
      <c r="E8" s="531" t="s">
        <v>1021</v>
      </c>
      <c r="F8" s="531" t="s">
        <v>1026</v>
      </c>
      <c r="G8" s="531" t="s">
        <v>1029</v>
      </c>
      <c r="H8" s="531" t="s">
        <v>1032</v>
      </c>
      <c r="I8" s="531" t="s">
        <v>1035</v>
      </c>
      <c r="J8" s="531" t="s">
        <v>1038</v>
      </c>
      <c r="K8" s="531" t="s">
        <v>1041</v>
      </c>
    </row>
    <row r="9" spans="1:11" ht="16.5" thickTop="1" x14ac:dyDescent="0.25">
      <c r="A9" s="1750" t="s">
        <v>937</v>
      </c>
      <c r="B9" s="1750" t="s">
        <v>939</v>
      </c>
      <c r="C9" s="1750" t="s">
        <v>1042</v>
      </c>
      <c r="D9" s="1750" t="s">
        <v>1042</v>
      </c>
      <c r="E9" s="1750" t="s">
        <v>1042</v>
      </c>
      <c r="F9" s="532" t="s">
        <v>1043</v>
      </c>
      <c r="G9" s="532" t="s">
        <v>1046</v>
      </c>
      <c r="H9" s="532" t="s">
        <v>1049</v>
      </c>
      <c r="I9" s="532" t="s">
        <v>1052</v>
      </c>
      <c r="J9" s="532" t="s">
        <v>1055</v>
      </c>
      <c r="K9" s="532" t="s">
        <v>1058</v>
      </c>
    </row>
    <row r="10" spans="1:11" ht="15.75" x14ac:dyDescent="0.25">
      <c r="A10" s="1751"/>
      <c r="B10" s="1751"/>
      <c r="C10" s="1751"/>
      <c r="D10" s="1751"/>
      <c r="E10" s="1751"/>
      <c r="F10" s="532" t="s">
        <v>1044</v>
      </c>
      <c r="G10" s="532" t="s">
        <v>1047</v>
      </c>
      <c r="H10" s="532" t="s">
        <v>1050</v>
      </c>
      <c r="I10" s="532" t="s">
        <v>1053</v>
      </c>
      <c r="J10" s="532" t="s">
        <v>1056</v>
      </c>
      <c r="K10" s="532" t="s">
        <v>1059</v>
      </c>
    </row>
    <row r="11" spans="1:11" ht="16.5" thickBot="1" x14ac:dyDescent="0.3">
      <c r="A11" s="1752"/>
      <c r="B11" s="1752"/>
      <c r="C11" s="1752"/>
      <c r="D11" s="1752"/>
      <c r="E11" s="1752"/>
      <c r="F11" s="531" t="s">
        <v>1045</v>
      </c>
      <c r="G11" s="531" t="s">
        <v>1048</v>
      </c>
      <c r="H11" s="531" t="s">
        <v>1051</v>
      </c>
      <c r="I11" s="531" t="s">
        <v>1054</v>
      </c>
      <c r="J11" s="531" t="s">
        <v>1057</v>
      </c>
      <c r="K11" s="531" t="s">
        <v>1060</v>
      </c>
    </row>
    <row r="12" spans="1:11" ht="16.5" thickTop="1" x14ac:dyDescent="0.25">
      <c r="A12" s="1750" t="s">
        <v>940</v>
      </c>
      <c r="B12" s="1750" t="s">
        <v>941</v>
      </c>
      <c r="C12" s="532" t="s">
        <v>1061</v>
      </c>
      <c r="D12" s="532" t="s">
        <v>1064</v>
      </c>
      <c r="E12" s="532" t="s">
        <v>1067</v>
      </c>
      <c r="F12" s="532" t="s">
        <v>1070</v>
      </c>
      <c r="G12" s="532" t="s">
        <v>1073</v>
      </c>
      <c r="H12" s="532" t="s">
        <v>1076</v>
      </c>
      <c r="I12" s="532" t="s">
        <v>1079</v>
      </c>
      <c r="J12" s="532" t="s">
        <v>1082</v>
      </c>
      <c r="K12" s="532" t="s">
        <v>1085</v>
      </c>
    </row>
    <row r="13" spans="1:11" ht="15.75" x14ac:dyDescent="0.25">
      <c r="A13" s="1751"/>
      <c r="B13" s="1751"/>
      <c r="C13" s="532" t="s">
        <v>1062</v>
      </c>
      <c r="D13" s="532" t="s">
        <v>1065</v>
      </c>
      <c r="E13" s="532" t="s">
        <v>1068</v>
      </c>
      <c r="F13" s="532" t="s">
        <v>1071</v>
      </c>
      <c r="G13" s="532" t="s">
        <v>1074</v>
      </c>
      <c r="H13" s="532" t="s">
        <v>1077</v>
      </c>
      <c r="I13" s="532" t="s">
        <v>1080</v>
      </c>
      <c r="J13" s="532" t="s">
        <v>1083</v>
      </c>
      <c r="K13" s="532" t="s">
        <v>1086</v>
      </c>
    </row>
    <row r="14" spans="1:11" ht="16.5" thickBot="1" x14ac:dyDescent="0.3">
      <c r="A14" s="1752"/>
      <c r="B14" s="1752"/>
      <c r="C14" s="531" t="s">
        <v>1063</v>
      </c>
      <c r="D14" s="531" t="s">
        <v>1066</v>
      </c>
      <c r="E14" s="531" t="s">
        <v>1069</v>
      </c>
      <c r="F14" s="531" t="s">
        <v>1072</v>
      </c>
      <c r="G14" s="531" t="s">
        <v>1075</v>
      </c>
      <c r="H14" s="531" t="s">
        <v>1078</v>
      </c>
      <c r="I14" s="531" t="s">
        <v>1081</v>
      </c>
      <c r="J14" s="531" t="s">
        <v>1084</v>
      </c>
      <c r="K14" s="531" t="s">
        <v>1087</v>
      </c>
    </row>
    <row r="15" spans="1:11" ht="16.5" thickTop="1" x14ac:dyDescent="0.25">
      <c r="A15" s="1750" t="s">
        <v>947</v>
      </c>
      <c r="B15" s="1759" t="s">
        <v>949</v>
      </c>
      <c r="C15" s="1750" t="s">
        <v>1042</v>
      </c>
      <c r="D15" s="1750" t="s">
        <v>1042</v>
      </c>
      <c r="E15" s="532" t="s">
        <v>1088</v>
      </c>
      <c r="F15" s="532" t="s">
        <v>1090</v>
      </c>
      <c r="G15" s="532" t="s">
        <v>1093</v>
      </c>
      <c r="H15" s="532" t="s">
        <v>1096</v>
      </c>
      <c r="I15" s="532" t="s">
        <v>1099</v>
      </c>
      <c r="J15" s="532" t="s">
        <v>1102</v>
      </c>
      <c r="K15" s="532" t="s">
        <v>1105</v>
      </c>
    </row>
    <row r="16" spans="1:11" ht="15.75" x14ac:dyDescent="0.25">
      <c r="A16" s="1751"/>
      <c r="B16" s="1760"/>
      <c r="C16" s="1751"/>
      <c r="D16" s="1751"/>
      <c r="E16" s="532" t="s">
        <v>1089</v>
      </c>
      <c r="F16" s="532" t="s">
        <v>1091</v>
      </c>
      <c r="G16" s="532" t="s">
        <v>1094</v>
      </c>
      <c r="H16" s="532" t="s">
        <v>1097</v>
      </c>
      <c r="I16" s="532" t="s">
        <v>1100</v>
      </c>
      <c r="J16" s="532" t="s">
        <v>1103</v>
      </c>
      <c r="K16" s="532" t="s">
        <v>1106</v>
      </c>
    </row>
    <row r="17" spans="1:11" ht="16.5" thickBot="1" x14ac:dyDescent="0.3">
      <c r="A17" s="1752"/>
      <c r="B17" s="1761"/>
      <c r="C17" s="1752"/>
      <c r="D17" s="1752"/>
      <c r="E17" s="531"/>
      <c r="F17" s="531" t="s">
        <v>1092</v>
      </c>
      <c r="G17" s="531" t="s">
        <v>1095</v>
      </c>
      <c r="H17" s="531" t="s">
        <v>1098</v>
      </c>
      <c r="I17" s="531" t="s">
        <v>1101</v>
      </c>
      <c r="J17" s="531" t="s">
        <v>1104</v>
      </c>
      <c r="K17" s="531" t="s">
        <v>1107</v>
      </c>
    </row>
    <row r="18" spans="1:11" ht="16.5" thickTop="1" x14ac:dyDescent="0.25">
      <c r="A18" s="1750" t="s">
        <v>953</v>
      </c>
      <c r="B18" s="1759" t="s">
        <v>954</v>
      </c>
      <c r="C18" s="532" t="s">
        <v>1108</v>
      </c>
      <c r="D18" s="532" t="s">
        <v>1105</v>
      </c>
      <c r="E18" s="532" t="s">
        <v>1102</v>
      </c>
      <c r="F18" s="532" t="s">
        <v>1115</v>
      </c>
      <c r="G18" s="532" t="s">
        <v>1099</v>
      </c>
      <c r="H18" s="532" t="s">
        <v>1118</v>
      </c>
      <c r="I18" s="532" t="s">
        <v>1096</v>
      </c>
      <c r="J18" s="532" t="s">
        <v>1121</v>
      </c>
      <c r="K18" s="532" t="s">
        <v>1093</v>
      </c>
    </row>
    <row r="19" spans="1:11" ht="15.75" x14ac:dyDescent="0.25">
      <c r="A19" s="1751"/>
      <c r="B19" s="1760"/>
      <c r="C19" s="532" t="s">
        <v>1109</v>
      </c>
      <c r="D19" s="532" t="s">
        <v>1111</v>
      </c>
      <c r="E19" s="532" t="s">
        <v>1113</v>
      </c>
      <c r="F19" s="532" t="s">
        <v>1116</v>
      </c>
      <c r="G19" s="532" t="s">
        <v>1074</v>
      </c>
      <c r="H19" s="532" t="s">
        <v>1106</v>
      </c>
      <c r="I19" s="532" t="s">
        <v>1103</v>
      </c>
      <c r="J19" s="532" t="s">
        <v>1122</v>
      </c>
      <c r="K19" s="532" t="s">
        <v>1100</v>
      </c>
    </row>
    <row r="20" spans="1:11" ht="16.5" thickBot="1" x14ac:dyDescent="0.3">
      <c r="A20" s="1752"/>
      <c r="B20" s="1761"/>
      <c r="C20" s="531" t="s">
        <v>1110</v>
      </c>
      <c r="D20" s="531" t="s">
        <v>1112</v>
      </c>
      <c r="E20" s="531" t="s">
        <v>1114</v>
      </c>
      <c r="F20" s="531" t="s">
        <v>1117</v>
      </c>
      <c r="G20" s="531" t="s">
        <v>1075</v>
      </c>
      <c r="H20" s="531" t="s">
        <v>1119</v>
      </c>
      <c r="I20" s="531" t="s">
        <v>1120</v>
      </c>
      <c r="J20" s="531" t="s">
        <v>1123</v>
      </c>
      <c r="K20" s="531" t="s">
        <v>1124</v>
      </c>
    </row>
    <row r="21" spans="1:11" ht="16.5" thickTop="1" x14ac:dyDescent="0.25">
      <c r="A21" s="1756" t="s">
        <v>921</v>
      </c>
      <c r="B21" s="1762" t="s">
        <v>923</v>
      </c>
      <c r="C21" s="532" t="s">
        <v>1125</v>
      </c>
      <c r="D21" s="532" t="s">
        <v>1128</v>
      </c>
      <c r="E21" s="532" t="s">
        <v>1131</v>
      </c>
      <c r="F21" s="532" t="s">
        <v>1134</v>
      </c>
      <c r="G21" s="532" t="s">
        <v>1137</v>
      </c>
      <c r="H21" s="532" t="s">
        <v>1140</v>
      </c>
      <c r="I21" s="532" t="s">
        <v>1143</v>
      </c>
      <c r="J21" s="532" t="s">
        <v>1146</v>
      </c>
      <c r="K21" s="532" t="s">
        <v>1149</v>
      </c>
    </row>
    <row r="22" spans="1:11" ht="15.75" x14ac:dyDescent="0.25">
      <c r="A22" s="1757"/>
      <c r="B22" s="1763"/>
      <c r="C22" s="532" t="s">
        <v>1126</v>
      </c>
      <c r="D22" s="532" t="s">
        <v>1129</v>
      </c>
      <c r="E22" s="532" t="s">
        <v>1132</v>
      </c>
      <c r="F22" s="532" t="s">
        <v>1135</v>
      </c>
      <c r="G22" s="532" t="s">
        <v>1138</v>
      </c>
      <c r="H22" s="532" t="s">
        <v>1141</v>
      </c>
      <c r="I22" s="532" t="s">
        <v>1144</v>
      </c>
      <c r="J22" s="532" t="s">
        <v>1147</v>
      </c>
      <c r="K22" s="532" t="s">
        <v>1150</v>
      </c>
    </row>
    <row r="23" spans="1:11" ht="16.5" thickBot="1" x14ac:dyDescent="0.3">
      <c r="A23" s="1758"/>
      <c r="B23" s="1764"/>
      <c r="C23" s="531" t="s">
        <v>1127</v>
      </c>
      <c r="D23" s="531" t="s">
        <v>1130</v>
      </c>
      <c r="E23" s="531" t="s">
        <v>1133</v>
      </c>
      <c r="F23" s="531" t="s">
        <v>1136</v>
      </c>
      <c r="G23" s="531" t="s">
        <v>1139</v>
      </c>
      <c r="H23" s="531" t="s">
        <v>1142</v>
      </c>
      <c r="I23" s="531" t="s">
        <v>1145</v>
      </c>
      <c r="J23" s="531" t="s">
        <v>1148</v>
      </c>
      <c r="K23" s="531" t="s">
        <v>1151</v>
      </c>
    </row>
    <row r="24" spans="1:11" ht="32.25" thickTop="1" x14ac:dyDescent="0.25">
      <c r="A24" s="1750" t="s">
        <v>959</v>
      </c>
      <c r="B24" s="1750" t="s">
        <v>961</v>
      </c>
      <c r="C24" s="1750" t="s">
        <v>1042</v>
      </c>
      <c r="D24" s="532" t="s">
        <v>1105</v>
      </c>
      <c r="E24" s="532" t="s">
        <v>1153</v>
      </c>
      <c r="F24" s="532" t="s">
        <v>1154</v>
      </c>
      <c r="G24" s="532" t="s">
        <v>1157</v>
      </c>
      <c r="H24" s="532" t="s">
        <v>1159</v>
      </c>
      <c r="I24" s="532" t="s">
        <v>1161</v>
      </c>
      <c r="J24" s="532" t="s">
        <v>1061</v>
      </c>
      <c r="K24" s="532" t="s">
        <v>1070</v>
      </c>
    </row>
    <row r="25" spans="1:11" ht="15.75" x14ac:dyDescent="0.25">
      <c r="A25" s="1751"/>
      <c r="B25" s="1751"/>
      <c r="C25" s="1751"/>
      <c r="D25" s="532" t="s">
        <v>1122</v>
      </c>
      <c r="E25" s="532" t="s">
        <v>1113</v>
      </c>
      <c r="F25" s="532" t="s">
        <v>1155</v>
      </c>
      <c r="G25" s="532" t="s">
        <v>1158</v>
      </c>
      <c r="H25" s="532" t="s">
        <v>1160</v>
      </c>
      <c r="I25" s="532" t="s">
        <v>1162</v>
      </c>
      <c r="J25" s="532" t="s">
        <v>1062</v>
      </c>
      <c r="K25" s="532" t="s">
        <v>1068</v>
      </c>
    </row>
    <row r="26" spans="1:11" ht="16.5" thickBot="1" x14ac:dyDescent="0.3">
      <c r="A26" s="1752"/>
      <c r="B26" s="1752"/>
      <c r="C26" s="1752"/>
      <c r="D26" s="531" t="s">
        <v>1152</v>
      </c>
      <c r="E26" s="531" t="s">
        <v>1124</v>
      </c>
      <c r="F26" s="531" t="s">
        <v>1156</v>
      </c>
      <c r="G26" s="531" t="s">
        <v>1063</v>
      </c>
      <c r="H26" s="531" t="s">
        <v>1066</v>
      </c>
      <c r="I26" s="531" t="s">
        <v>1069</v>
      </c>
      <c r="J26" s="531" t="s">
        <v>1072</v>
      </c>
      <c r="K26" s="531" t="s">
        <v>1163</v>
      </c>
    </row>
    <row r="27" spans="1:11" ht="16.5" thickTop="1" x14ac:dyDescent="0.25">
      <c r="A27" s="1750" t="s">
        <v>1164</v>
      </c>
      <c r="B27" s="1750" t="s">
        <v>966</v>
      </c>
      <c r="C27" s="532" t="s">
        <v>1165</v>
      </c>
      <c r="D27" s="532" t="s">
        <v>1168</v>
      </c>
      <c r="E27" s="532" t="s">
        <v>1171</v>
      </c>
      <c r="F27" s="532" t="s">
        <v>1174</v>
      </c>
      <c r="G27" s="532" t="s">
        <v>1165</v>
      </c>
      <c r="H27" s="532" t="s">
        <v>1177</v>
      </c>
      <c r="I27" s="532" t="s">
        <v>1180</v>
      </c>
      <c r="J27" s="532" t="s">
        <v>1183</v>
      </c>
      <c r="K27" s="532" t="s">
        <v>1185</v>
      </c>
    </row>
    <row r="28" spans="1:11" ht="15.75" x14ac:dyDescent="0.25">
      <c r="A28" s="1751"/>
      <c r="B28" s="1751"/>
      <c r="C28" s="532" t="s">
        <v>1166</v>
      </c>
      <c r="D28" s="532" t="s">
        <v>1169</v>
      </c>
      <c r="E28" s="532" t="s">
        <v>1172</v>
      </c>
      <c r="F28" s="532" t="s">
        <v>1169</v>
      </c>
      <c r="G28" s="532" t="s">
        <v>1176</v>
      </c>
      <c r="H28" s="532" t="s">
        <v>1178</v>
      </c>
      <c r="I28" s="532" t="s">
        <v>1181</v>
      </c>
      <c r="J28" s="532" t="s">
        <v>1155</v>
      </c>
      <c r="K28" s="532" t="s">
        <v>1186</v>
      </c>
    </row>
    <row r="29" spans="1:11" ht="16.5" thickBot="1" x14ac:dyDescent="0.3">
      <c r="A29" s="1752"/>
      <c r="B29" s="1752"/>
      <c r="C29" s="531" t="s">
        <v>1167</v>
      </c>
      <c r="D29" s="531" t="s">
        <v>1170</v>
      </c>
      <c r="E29" s="531" t="s">
        <v>1173</v>
      </c>
      <c r="F29" s="531" t="s">
        <v>1175</v>
      </c>
      <c r="G29" s="531" t="s">
        <v>1156</v>
      </c>
      <c r="H29" s="531" t="s">
        <v>1179</v>
      </c>
      <c r="I29" s="531" t="s">
        <v>1182</v>
      </c>
      <c r="J29" s="531" t="s">
        <v>1184</v>
      </c>
      <c r="K29" s="531" t="s">
        <v>1187</v>
      </c>
    </row>
    <row r="30" spans="1:11" ht="16.5" thickTop="1" x14ac:dyDescent="0.25">
      <c r="A30" s="1750" t="s">
        <v>971</v>
      </c>
      <c r="B30" s="1750" t="s">
        <v>972</v>
      </c>
      <c r="C30" s="1750" t="s">
        <v>1042</v>
      </c>
      <c r="D30" s="532" t="s">
        <v>1105</v>
      </c>
      <c r="E30" s="532" t="s">
        <v>1153</v>
      </c>
      <c r="F30" s="532" t="s">
        <v>1188</v>
      </c>
      <c r="G30" s="532" t="s">
        <v>1165</v>
      </c>
      <c r="H30" s="532" t="s">
        <v>1183</v>
      </c>
      <c r="I30" s="532" t="s">
        <v>1159</v>
      </c>
      <c r="J30" s="532" t="s">
        <v>1161</v>
      </c>
      <c r="K30" s="532" t="s">
        <v>1064</v>
      </c>
    </row>
    <row r="31" spans="1:11" ht="15.75" x14ac:dyDescent="0.25">
      <c r="A31" s="1751"/>
      <c r="B31" s="1751"/>
      <c r="C31" s="1751"/>
      <c r="D31" s="532" t="s">
        <v>1122</v>
      </c>
      <c r="E31" s="532" t="s">
        <v>1113</v>
      </c>
      <c r="F31" s="532" t="s">
        <v>1189</v>
      </c>
      <c r="G31" s="532" t="s">
        <v>1169</v>
      </c>
      <c r="H31" s="532" t="s">
        <v>1155</v>
      </c>
      <c r="I31" s="532" t="s">
        <v>1191</v>
      </c>
      <c r="J31" s="532" t="s">
        <v>1160</v>
      </c>
      <c r="K31" s="532" t="s">
        <v>1062</v>
      </c>
    </row>
    <row r="32" spans="1:11" ht="16.5" thickBot="1" x14ac:dyDescent="0.3">
      <c r="A32" s="1752"/>
      <c r="B32" s="1752"/>
      <c r="C32" s="1752"/>
      <c r="D32" s="531" t="s">
        <v>1152</v>
      </c>
      <c r="E32" s="531" t="s">
        <v>1124</v>
      </c>
      <c r="F32" s="531" t="s">
        <v>1190</v>
      </c>
      <c r="G32" s="531" t="s">
        <v>1175</v>
      </c>
      <c r="H32" s="531" t="s">
        <v>1182</v>
      </c>
      <c r="I32" s="531" t="s">
        <v>1192</v>
      </c>
      <c r="J32" s="531" t="s">
        <v>1063</v>
      </c>
      <c r="K32" s="531" t="s">
        <v>1069</v>
      </c>
    </row>
    <row r="33" spans="1:11" ht="16.5" thickTop="1" x14ac:dyDescent="0.25">
      <c r="A33" s="1750" t="s">
        <v>976</v>
      </c>
      <c r="B33" s="1759" t="s">
        <v>1193</v>
      </c>
      <c r="C33" s="1750" t="s">
        <v>1096</v>
      </c>
      <c r="D33" s="1750" t="s">
        <v>1096</v>
      </c>
      <c r="E33" s="532" t="s">
        <v>1105</v>
      </c>
      <c r="F33" s="532" t="s">
        <v>1195</v>
      </c>
      <c r="G33" s="532" t="s">
        <v>1197</v>
      </c>
      <c r="H33" s="532" t="s">
        <v>1197</v>
      </c>
      <c r="I33" s="532" t="s">
        <v>1202</v>
      </c>
      <c r="J33" s="532" t="s">
        <v>1205</v>
      </c>
      <c r="K33" s="532" t="s">
        <v>1205</v>
      </c>
    </row>
    <row r="34" spans="1:11" ht="15.75" x14ac:dyDescent="0.25">
      <c r="A34" s="1751"/>
      <c r="B34" s="1760"/>
      <c r="C34" s="1751"/>
      <c r="D34" s="1751"/>
      <c r="E34" s="532" t="s">
        <v>1194</v>
      </c>
      <c r="F34" s="532" t="s">
        <v>1196</v>
      </c>
      <c r="G34" s="532" t="s">
        <v>1198</v>
      </c>
      <c r="H34" s="532" t="s">
        <v>1200</v>
      </c>
      <c r="I34" s="532" t="s">
        <v>1203</v>
      </c>
      <c r="J34" s="532" t="s">
        <v>1206</v>
      </c>
      <c r="K34" s="532" t="s">
        <v>1206</v>
      </c>
    </row>
    <row r="35" spans="1:11" ht="15.75" x14ac:dyDescent="0.25">
      <c r="A35" s="1751"/>
      <c r="B35" s="1760"/>
      <c r="C35" s="1751"/>
      <c r="D35" s="1751"/>
      <c r="E35" s="533"/>
      <c r="F35" s="532" t="s">
        <v>1117</v>
      </c>
      <c r="G35" s="532" t="s">
        <v>1199</v>
      </c>
      <c r="H35" s="532" t="s">
        <v>1201</v>
      </c>
      <c r="I35" s="532" t="s">
        <v>1204</v>
      </c>
      <c r="J35" s="532" t="s">
        <v>1167</v>
      </c>
      <c r="K35" s="532" t="s">
        <v>1167</v>
      </c>
    </row>
    <row r="36" spans="1:11" ht="16.5" thickBot="1" x14ac:dyDescent="0.3">
      <c r="A36" s="1752"/>
      <c r="B36" s="1761"/>
      <c r="C36" s="1752"/>
      <c r="D36" s="1752"/>
      <c r="E36" s="534"/>
      <c r="F36" s="531"/>
      <c r="G36" s="531"/>
      <c r="H36" s="534"/>
      <c r="I36" s="534"/>
      <c r="J36" s="534"/>
      <c r="K36" s="534"/>
    </row>
    <row r="37" spans="1:11" ht="16.5" thickTop="1" x14ac:dyDescent="0.25">
      <c r="A37" s="1750" t="s">
        <v>982</v>
      </c>
      <c r="B37" s="1765" t="s">
        <v>1207</v>
      </c>
      <c r="C37" s="1750" t="s">
        <v>1105</v>
      </c>
      <c r="D37" s="532" t="s">
        <v>1208</v>
      </c>
      <c r="E37" s="532" t="s">
        <v>1195</v>
      </c>
      <c r="F37" s="532" t="s">
        <v>1202</v>
      </c>
      <c r="G37" s="532" t="s">
        <v>1188</v>
      </c>
      <c r="H37" s="532" t="s">
        <v>1188</v>
      </c>
      <c r="I37" s="532" t="s">
        <v>1212</v>
      </c>
      <c r="J37" s="532" t="s">
        <v>1215</v>
      </c>
      <c r="K37" s="532" t="s">
        <v>1183</v>
      </c>
    </row>
    <row r="38" spans="1:11" ht="15.75" x14ac:dyDescent="0.25">
      <c r="A38" s="1751"/>
      <c r="B38" s="1766"/>
      <c r="C38" s="1751"/>
      <c r="D38" s="532" t="s">
        <v>1113</v>
      </c>
      <c r="E38" s="532" t="s">
        <v>1209</v>
      </c>
      <c r="F38" s="532" t="s">
        <v>1200</v>
      </c>
      <c r="G38" s="532" t="s">
        <v>1210</v>
      </c>
      <c r="H38" s="532" t="s">
        <v>1210</v>
      </c>
      <c r="I38" s="532" t="s">
        <v>1213</v>
      </c>
      <c r="J38" s="532" t="s">
        <v>1216</v>
      </c>
      <c r="K38" s="532" t="s">
        <v>1217</v>
      </c>
    </row>
    <row r="39" spans="1:11" ht="15.75" x14ac:dyDescent="0.25">
      <c r="A39" s="1751"/>
      <c r="B39" s="1766"/>
      <c r="C39" s="1751"/>
      <c r="D39" s="532"/>
      <c r="E39" s="532" t="s">
        <v>1117</v>
      </c>
      <c r="F39" s="532" t="s">
        <v>1117</v>
      </c>
      <c r="G39" s="532" t="s">
        <v>1199</v>
      </c>
      <c r="H39" s="532" t="s">
        <v>1211</v>
      </c>
      <c r="I39" s="532" t="s">
        <v>1214</v>
      </c>
      <c r="J39" s="532" t="s">
        <v>1189</v>
      </c>
      <c r="K39" s="532" t="s">
        <v>1176</v>
      </c>
    </row>
    <row r="40" spans="1:11" ht="16.5" thickBot="1" x14ac:dyDescent="0.3">
      <c r="A40" s="1752"/>
      <c r="B40" s="1767"/>
      <c r="C40" s="1752"/>
      <c r="D40" s="534"/>
      <c r="E40" s="531"/>
      <c r="F40" s="531"/>
      <c r="G40" s="531"/>
      <c r="H40" s="534"/>
      <c r="I40" s="534"/>
      <c r="J40" s="534"/>
      <c r="K40" s="534"/>
    </row>
    <row r="41" spans="1:11" ht="16.5" thickTop="1" x14ac:dyDescent="0.25">
      <c r="A41" s="1750" t="s">
        <v>988</v>
      </c>
      <c r="B41" s="1759" t="s">
        <v>990</v>
      </c>
      <c r="C41" s="1750" t="s">
        <v>1042</v>
      </c>
      <c r="D41" s="1750" t="s">
        <v>1042</v>
      </c>
      <c r="E41" s="1750" t="s">
        <v>1042</v>
      </c>
      <c r="F41" s="1750" t="s">
        <v>1042</v>
      </c>
      <c r="G41" s="532" t="s">
        <v>1218</v>
      </c>
      <c r="H41" s="532" t="s">
        <v>1197</v>
      </c>
      <c r="I41" s="532" t="s">
        <v>1220</v>
      </c>
      <c r="J41" s="532" t="s">
        <v>1221</v>
      </c>
      <c r="K41" s="532" t="s">
        <v>1222</v>
      </c>
    </row>
    <row r="42" spans="1:11" ht="15.75" x14ac:dyDescent="0.25">
      <c r="A42" s="1751"/>
      <c r="B42" s="1760"/>
      <c r="C42" s="1751"/>
      <c r="D42" s="1751"/>
      <c r="E42" s="1751"/>
      <c r="F42" s="1751"/>
      <c r="G42" s="532" t="s">
        <v>1106</v>
      </c>
      <c r="H42" s="532" t="s">
        <v>1111</v>
      </c>
      <c r="I42" s="532" t="s">
        <v>1169</v>
      </c>
      <c r="J42" s="532" t="s">
        <v>1186</v>
      </c>
      <c r="K42" s="532" t="s">
        <v>1223</v>
      </c>
    </row>
    <row r="43" spans="1:11" ht="16.5" thickBot="1" x14ac:dyDescent="0.3">
      <c r="A43" s="1752"/>
      <c r="B43" s="1761"/>
      <c r="C43" s="1752"/>
      <c r="D43" s="1752"/>
      <c r="E43" s="1752"/>
      <c r="F43" s="1752"/>
      <c r="G43" s="531" t="s">
        <v>1152</v>
      </c>
      <c r="H43" s="531" t="s">
        <v>1219</v>
      </c>
      <c r="I43" s="531" t="s">
        <v>1110</v>
      </c>
      <c r="J43" s="531" t="s">
        <v>1167</v>
      </c>
      <c r="K43" s="531" t="s">
        <v>1184</v>
      </c>
    </row>
    <row r="44" spans="1:11" ht="32.25" thickTop="1" x14ac:dyDescent="0.25">
      <c r="A44" s="1750" t="s">
        <v>994</v>
      </c>
      <c r="B44" s="532" t="s">
        <v>995</v>
      </c>
      <c r="C44" s="1750" t="s">
        <v>1042</v>
      </c>
      <c r="D44" s="1750" t="s">
        <v>1042</v>
      </c>
      <c r="E44" s="1750" t="s">
        <v>1042</v>
      </c>
      <c r="F44" s="1750" t="s">
        <v>1042</v>
      </c>
      <c r="G44" s="532" t="s">
        <v>1105</v>
      </c>
      <c r="H44" s="532" t="s">
        <v>1208</v>
      </c>
      <c r="I44" s="532" t="s">
        <v>1224</v>
      </c>
      <c r="J44" s="532" t="s">
        <v>1226</v>
      </c>
      <c r="K44" s="532" t="s">
        <v>1067</v>
      </c>
    </row>
    <row r="45" spans="1:11" ht="15.75" x14ac:dyDescent="0.25">
      <c r="A45" s="1751"/>
      <c r="B45" s="540" t="s">
        <v>996</v>
      </c>
      <c r="C45" s="1751"/>
      <c r="D45" s="1751"/>
      <c r="E45" s="1751"/>
      <c r="F45" s="1751"/>
      <c r="G45" s="532" t="s">
        <v>1122</v>
      </c>
      <c r="H45" s="532" t="s">
        <v>1116</v>
      </c>
      <c r="I45" s="532" t="s">
        <v>1225</v>
      </c>
      <c r="J45" s="532" t="s">
        <v>1227</v>
      </c>
      <c r="K45" s="532" t="s">
        <v>1229</v>
      </c>
    </row>
    <row r="46" spans="1:11" ht="16.5" thickBot="1" x14ac:dyDescent="0.3">
      <c r="A46" s="1752"/>
      <c r="B46" s="534"/>
      <c r="C46" s="1752"/>
      <c r="D46" s="1752"/>
      <c r="E46" s="1752"/>
      <c r="F46" s="1752"/>
      <c r="G46" s="531" t="s">
        <v>1152</v>
      </c>
      <c r="H46" s="531" t="s">
        <v>1124</v>
      </c>
      <c r="I46" s="531" t="s">
        <v>1117</v>
      </c>
      <c r="J46" s="531" t="s">
        <v>1228</v>
      </c>
      <c r="K46" s="531" t="s">
        <v>1230</v>
      </c>
    </row>
    <row r="47" spans="1:11" ht="16.5" thickTop="1" x14ac:dyDescent="0.25">
      <c r="A47" s="1750" t="s">
        <v>1000</v>
      </c>
      <c r="B47" s="1759" t="s">
        <v>1231</v>
      </c>
      <c r="C47" s="532" t="s">
        <v>1232</v>
      </c>
      <c r="D47" s="532" t="s">
        <v>1232</v>
      </c>
      <c r="E47" s="532" t="s">
        <v>1232</v>
      </c>
      <c r="F47" s="532" t="s">
        <v>1232</v>
      </c>
      <c r="G47" s="532" t="s">
        <v>1118</v>
      </c>
      <c r="H47" s="532" t="s">
        <v>1115</v>
      </c>
      <c r="I47" s="532" t="s">
        <v>1105</v>
      </c>
      <c r="J47" s="532" t="s">
        <v>1218</v>
      </c>
      <c r="K47" s="532" t="s">
        <v>1237</v>
      </c>
    </row>
    <row r="48" spans="1:11" ht="15.75" x14ac:dyDescent="0.25">
      <c r="A48" s="1751"/>
      <c r="B48" s="1760"/>
      <c r="C48" s="532" t="s">
        <v>1094</v>
      </c>
      <c r="D48" s="532" t="s">
        <v>1094</v>
      </c>
      <c r="E48" s="532" t="s">
        <v>1094</v>
      </c>
      <c r="F48" s="532" t="s">
        <v>1094</v>
      </c>
      <c r="G48" s="532" t="s">
        <v>1100</v>
      </c>
      <c r="H48" s="532" t="s">
        <v>1103</v>
      </c>
      <c r="I48" s="532" t="s">
        <v>1236</v>
      </c>
      <c r="J48" s="532" t="s">
        <v>1113</v>
      </c>
      <c r="K48" s="532" t="s">
        <v>1109</v>
      </c>
    </row>
    <row r="49" spans="1:11" ht="15.75" x14ac:dyDescent="0.25">
      <c r="A49" s="1751"/>
      <c r="B49" s="1760"/>
      <c r="C49" s="532" t="s">
        <v>1233</v>
      </c>
      <c r="D49" s="532" t="s">
        <v>1233</v>
      </c>
      <c r="E49" s="532" t="s">
        <v>1233</v>
      </c>
      <c r="F49" s="532" t="s">
        <v>1233</v>
      </c>
      <c r="G49" s="532" t="s">
        <v>1234</v>
      </c>
      <c r="H49" s="532" t="s">
        <v>1235</v>
      </c>
      <c r="I49" s="532" t="s">
        <v>1123</v>
      </c>
      <c r="J49" s="532" t="s">
        <v>1119</v>
      </c>
      <c r="K49" s="532" t="s">
        <v>1119</v>
      </c>
    </row>
    <row r="50" spans="1:11" ht="16.5" thickBot="1" x14ac:dyDescent="0.3">
      <c r="A50" s="1752"/>
      <c r="B50" s="1761"/>
      <c r="C50" s="531"/>
      <c r="D50" s="534"/>
      <c r="E50" s="534"/>
      <c r="F50" s="534"/>
      <c r="G50" s="534"/>
      <c r="H50" s="534"/>
      <c r="I50" s="534"/>
      <c r="J50" s="534"/>
      <c r="K50" s="534"/>
    </row>
    <row r="51" spans="1:11" ht="16.5" thickTop="1" x14ac:dyDescent="0.25">
      <c r="A51" s="1750" t="s">
        <v>927</v>
      </c>
      <c r="B51" s="1756" t="s">
        <v>929</v>
      </c>
      <c r="C51" s="1750" t="s">
        <v>1042</v>
      </c>
      <c r="D51" s="1750" t="s">
        <v>1042</v>
      </c>
      <c r="E51" s="532" t="s">
        <v>1090</v>
      </c>
      <c r="F51" s="532" t="s">
        <v>1093</v>
      </c>
      <c r="G51" s="532" t="s">
        <v>1096</v>
      </c>
      <c r="H51" s="532" t="s">
        <v>1118</v>
      </c>
      <c r="I51" s="532" t="s">
        <v>1099</v>
      </c>
      <c r="J51" s="532" t="s">
        <v>1115</v>
      </c>
      <c r="K51" s="532" t="s">
        <v>1105</v>
      </c>
    </row>
    <row r="52" spans="1:11" ht="15.75" x14ac:dyDescent="0.25">
      <c r="A52" s="1751"/>
      <c r="B52" s="1757"/>
      <c r="C52" s="1751"/>
      <c r="D52" s="1751"/>
      <c r="E52" s="532" t="s">
        <v>1238</v>
      </c>
      <c r="F52" s="532" t="s">
        <v>1239</v>
      </c>
      <c r="G52" s="532" t="s">
        <v>1241</v>
      </c>
      <c r="H52" s="532" t="s">
        <v>1097</v>
      </c>
      <c r="I52" s="532" t="s">
        <v>1122</v>
      </c>
      <c r="J52" s="532" t="s">
        <v>1103</v>
      </c>
      <c r="K52" s="532" t="s">
        <v>1236</v>
      </c>
    </row>
    <row r="53" spans="1:11" ht="16.5" thickBot="1" x14ac:dyDescent="0.3">
      <c r="A53" s="1752"/>
      <c r="B53" s="1758"/>
      <c r="C53" s="1752"/>
      <c r="D53" s="1752"/>
      <c r="E53" s="531" t="s">
        <v>1152</v>
      </c>
      <c r="F53" s="531" t="s">
        <v>1240</v>
      </c>
      <c r="G53" s="531" t="s">
        <v>1242</v>
      </c>
      <c r="H53" s="531" t="s">
        <v>1242</v>
      </c>
      <c r="I53" s="531" t="s">
        <v>1243</v>
      </c>
      <c r="J53" s="531" t="s">
        <v>1235</v>
      </c>
      <c r="K53" s="531" t="s">
        <v>1123</v>
      </c>
    </row>
    <row r="54" spans="1:11" ht="16.5" thickTop="1" x14ac:dyDescent="0.25">
      <c r="A54" s="1750" t="s">
        <v>1005</v>
      </c>
      <c r="B54" s="1750" t="s">
        <v>1007</v>
      </c>
      <c r="C54" s="1750" t="s">
        <v>1042</v>
      </c>
      <c r="D54" s="1750" t="s">
        <v>1042</v>
      </c>
      <c r="E54" s="532" t="s">
        <v>1096</v>
      </c>
      <c r="F54" s="532" t="s">
        <v>1157</v>
      </c>
      <c r="G54" s="532" t="s">
        <v>1149</v>
      </c>
      <c r="H54" s="532" t="s">
        <v>1245</v>
      </c>
      <c r="I54" s="532" t="s">
        <v>1248</v>
      </c>
      <c r="J54" s="532" t="s">
        <v>1251</v>
      </c>
      <c r="K54" s="532" t="s">
        <v>1254</v>
      </c>
    </row>
    <row r="55" spans="1:11" ht="15.75" x14ac:dyDescent="0.25">
      <c r="A55" s="1751"/>
      <c r="B55" s="1751"/>
      <c r="C55" s="1751"/>
      <c r="D55" s="1751"/>
      <c r="E55" s="532" t="s">
        <v>1094</v>
      </c>
      <c r="F55" s="532" t="s">
        <v>1169</v>
      </c>
      <c r="G55" s="532" t="s">
        <v>1244</v>
      </c>
      <c r="H55" s="532" t="s">
        <v>1246</v>
      </c>
      <c r="I55" s="532" t="s">
        <v>1249</v>
      </c>
      <c r="J55" s="532" t="s">
        <v>1252</v>
      </c>
      <c r="K55" s="532" t="s">
        <v>1255</v>
      </c>
    </row>
    <row r="56" spans="1:11" ht="16.5" thickBot="1" x14ac:dyDescent="0.3">
      <c r="A56" s="1752"/>
      <c r="B56" s="1752"/>
      <c r="C56" s="1752"/>
      <c r="D56" s="1752"/>
      <c r="E56" s="531" t="s">
        <v>1152</v>
      </c>
      <c r="F56" s="531" t="s">
        <v>1117</v>
      </c>
      <c r="G56" s="531" t="s">
        <v>1156</v>
      </c>
      <c r="H56" s="531" t="s">
        <v>1247</v>
      </c>
      <c r="I56" s="531" t="s">
        <v>1250</v>
      </c>
      <c r="J56" s="531" t="s">
        <v>1253</v>
      </c>
      <c r="K56" s="531" t="s">
        <v>1256</v>
      </c>
    </row>
    <row r="57" spans="1:11" ht="16.5" thickTop="1" x14ac:dyDescent="0.25">
      <c r="A57" s="1750" t="s">
        <v>1011</v>
      </c>
      <c r="B57" s="1750" t="s">
        <v>1013</v>
      </c>
      <c r="C57" s="532" t="s">
        <v>1257</v>
      </c>
      <c r="D57" s="532" t="s">
        <v>1260</v>
      </c>
      <c r="E57" s="532" t="s">
        <v>1076</v>
      </c>
      <c r="F57" s="532" t="s">
        <v>1161</v>
      </c>
      <c r="G57" s="532" t="s">
        <v>1157</v>
      </c>
      <c r="H57" s="532" t="s">
        <v>1220</v>
      </c>
      <c r="I57" s="532" t="s">
        <v>1267</v>
      </c>
      <c r="J57" s="532" t="s">
        <v>1268</v>
      </c>
      <c r="K57" s="532" t="s">
        <v>1183</v>
      </c>
    </row>
    <row r="58" spans="1:11" ht="15.75" x14ac:dyDescent="0.25">
      <c r="A58" s="1751"/>
      <c r="B58" s="1751"/>
      <c r="C58" s="532" t="s">
        <v>1258</v>
      </c>
      <c r="D58" s="532" t="s">
        <v>1261</v>
      </c>
      <c r="E58" s="532" t="s">
        <v>1263</v>
      </c>
      <c r="F58" s="532" t="s">
        <v>1086</v>
      </c>
      <c r="G58" s="532" t="s">
        <v>1265</v>
      </c>
      <c r="H58" s="532" t="s">
        <v>1062</v>
      </c>
      <c r="I58" s="532" t="s">
        <v>1162</v>
      </c>
      <c r="J58" s="532" t="s">
        <v>1160</v>
      </c>
      <c r="K58" s="532" t="s">
        <v>1158</v>
      </c>
    </row>
    <row r="59" spans="1:11" ht="16.5" thickBot="1" x14ac:dyDescent="0.3">
      <c r="A59" s="1752"/>
      <c r="B59" s="1752"/>
      <c r="C59" s="531" t="s">
        <v>1259</v>
      </c>
      <c r="D59" s="531" t="s">
        <v>1262</v>
      </c>
      <c r="E59" s="531" t="s">
        <v>1264</v>
      </c>
      <c r="F59" s="531" t="s">
        <v>1247</v>
      </c>
      <c r="G59" s="531" t="s">
        <v>1266</v>
      </c>
      <c r="H59" s="531" t="s">
        <v>1087</v>
      </c>
      <c r="I59" s="531" t="s">
        <v>1084</v>
      </c>
      <c r="J59" s="531" t="s">
        <v>1081</v>
      </c>
      <c r="K59" s="531" t="s">
        <v>1078</v>
      </c>
    </row>
    <row r="60" spans="1:11" ht="15.75" thickTop="1" x14ac:dyDescent="0.25"/>
  </sheetData>
  <mergeCells count="56">
    <mergeCell ref="A47:A50"/>
    <mergeCell ref="B47:B50"/>
    <mergeCell ref="A57:A59"/>
    <mergeCell ref="B57:B59"/>
    <mergeCell ref="A51:A53"/>
    <mergeCell ref="B51:B53"/>
    <mergeCell ref="D51:D53"/>
    <mergeCell ref="A54:A56"/>
    <mergeCell ref="B54:B56"/>
    <mergeCell ref="C54:C56"/>
    <mergeCell ref="D54:D56"/>
    <mergeCell ref="C51:C53"/>
    <mergeCell ref="A44:A46"/>
    <mergeCell ref="C44:C46"/>
    <mergeCell ref="D44:D46"/>
    <mergeCell ref="E44:E46"/>
    <mergeCell ref="F44:F46"/>
    <mergeCell ref="D41:D43"/>
    <mergeCell ref="E41:E43"/>
    <mergeCell ref="F41:F43"/>
    <mergeCell ref="A33:A36"/>
    <mergeCell ref="B33:B36"/>
    <mergeCell ref="C33:C36"/>
    <mergeCell ref="D33:D36"/>
    <mergeCell ref="A37:A40"/>
    <mergeCell ref="B37:B40"/>
    <mergeCell ref="C37:C40"/>
    <mergeCell ref="A41:A43"/>
    <mergeCell ref="B41:B43"/>
    <mergeCell ref="C41:C43"/>
    <mergeCell ref="C24:C26"/>
    <mergeCell ref="A27:A29"/>
    <mergeCell ref="B27:B29"/>
    <mergeCell ref="A30:A32"/>
    <mergeCell ref="B30:B32"/>
    <mergeCell ref="C30:C32"/>
    <mergeCell ref="A18:A20"/>
    <mergeCell ref="B18:B20"/>
    <mergeCell ref="A21:A23"/>
    <mergeCell ref="B21:B23"/>
    <mergeCell ref="A24:A26"/>
    <mergeCell ref="B24:B26"/>
    <mergeCell ref="D15:D17"/>
    <mergeCell ref="C4:K4"/>
    <mergeCell ref="A6:A8"/>
    <mergeCell ref="B6:B8"/>
    <mergeCell ref="A9:A11"/>
    <mergeCell ref="B9:B11"/>
    <mergeCell ref="C9:C11"/>
    <mergeCell ref="D9:D11"/>
    <mergeCell ref="E9:E11"/>
    <mergeCell ref="A12:A14"/>
    <mergeCell ref="B12:B14"/>
    <mergeCell ref="A15:A17"/>
    <mergeCell ref="B15:B17"/>
    <mergeCell ref="C15:C17"/>
  </mergeCells>
  <pageMargins left="0.23622047244094491" right="0.23622047244094491" top="0.74803149606299213" bottom="0.55118110236220474" header="0.31496062992125984" footer="0.31496062992125984"/>
  <pageSetup paperSize="9" scale="95" fitToHeight="0" orientation="landscape" r:id="rId1"/>
  <headerFooter>
    <oddHeader>&amp;C&amp;"Times New Roman,Paprastas"&amp;12Alytaus regiono 2014 – 2020 metų plėtros planas</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106"/>
  <sheetViews>
    <sheetView showGridLines="0" showRuler="0" zoomScaleNormal="100" workbookViewId="0">
      <pane ySplit="2535" topLeftCell="A4" activePane="bottomLeft"/>
      <selection sqref="A1:XFD1048576"/>
      <selection pane="bottomLeft" activeCell="L10" sqref="L10"/>
    </sheetView>
  </sheetViews>
  <sheetFormatPr defaultRowHeight="15" x14ac:dyDescent="0.25"/>
  <cols>
    <col min="1" max="1" width="9.140625" style="190"/>
    <col min="2" max="2" width="53.42578125" style="190" customWidth="1"/>
    <col min="3" max="4" width="5.5703125" style="190" bestFit="1" customWidth="1"/>
    <col min="5" max="5" width="7.28515625" style="190" bestFit="1" customWidth="1"/>
    <col min="6" max="6" width="10.140625" style="190" bestFit="1" customWidth="1"/>
    <col min="7" max="7" width="10.140625" style="190" customWidth="1"/>
    <col min="8" max="11" width="10.140625" style="190" bestFit="1" customWidth="1"/>
    <col min="12" max="12" width="19.28515625" style="190" customWidth="1"/>
    <col min="13" max="13" width="10.28515625" style="190" bestFit="1" customWidth="1"/>
    <col min="14" max="16384" width="9.140625" style="190"/>
  </cols>
  <sheetData>
    <row r="1" spans="1:12" ht="31.5" customHeight="1" x14ac:dyDescent="0.25">
      <c r="A1" s="843" t="s">
        <v>1679</v>
      </c>
    </row>
    <row r="2" spans="1:12" ht="15.75" thickBot="1" x14ac:dyDescent="0.3"/>
    <row r="3" spans="1:12" ht="64.5" thickTop="1" thickBot="1" x14ac:dyDescent="0.3">
      <c r="A3" s="1394" t="s">
        <v>393</v>
      </c>
      <c r="B3" s="1395" t="s">
        <v>580</v>
      </c>
      <c r="C3" s="1396">
        <v>2015</v>
      </c>
      <c r="D3" s="1396">
        <v>2016</v>
      </c>
      <c r="E3" s="1396">
        <v>2017</v>
      </c>
      <c r="F3" s="1396">
        <v>2018</v>
      </c>
      <c r="G3" s="1396">
        <v>2019</v>
      </c>
      <c r="H3" s="1396">
        <v>2020</v>
      </c>
      <c r="I3" s="1396">
        <v>2021</v>
      </c>
      <c r="J3" s="1396">
        <v>2022</v>
      </c>
      <c r="K3" s="1396">
        <v>2023</v>
      </c>
      <c r="L3" s="1395" t="s">
        <v>581</v>
      </c>
    </row>
    <row r="4" spans="1:12" ht="48.75" thickTop="1" thickBot="1" x14ac:dyDescent="0.3">
      <c r="A4" s="159" t="s">
        <v>477</v>
      </c>
      <c r="B4" s="160" t="s">
        <v>478</v>
      </c>
      <c r="C4" s="160">
        <v>0</v>
      </c>
      <c r="D4" s="160">
        <v>0</v>
      </c>
      <c r="E4" s="160">
        <f>SUM('3 pr-3'!Y9)</f>
        <v>0</v>
      </c>
      <c r="F4" s="160">
        <f>SUM('3 pr-3'!Z9)</f>
        <v>31</v>
      </c>
      <c r="G4" s="160">
        <f>SUM('3 pr-3'!AA9)</f>
        <v>5</v>
      </c>
      <c r="H4" s="160">
        <f>SUM('3 pr-3'!AB9)</f>
        <v>0</v>
      </c>
      <c r="I4" s="160">
        <f>SUM('3 pr-3'!AC9)</f>
        <v>0</v>
      </c>
      <c r="J4" s="160">
        <f>SUM('3 pr-3'!AD9)</f>
        <v>0</v>
      </c>
      <c r="K4" s="160">
        <f>SUM('3 pr-3'!AE9)</f>
        <v>0</v>
      </c>
      <c r="L4" s="1397">
        <f>SUM('3 pr-3'!V9)</f>
        <v>36</v>
      </c>
    </row>
    <row r="5" spans="1:12" ht="64.5" thickTop="1" thickBot="1" x14ac:dyDescent="0.3">
      <c r="A5" s="159" t="s">
        <v>479</v>
      </c>
      <c r="B5" s="160" t="s">
        <v>480</v>
      </c>
      <c r="C5" s="160">
        <v>0</v>
      </c>
      <c r="D5" s="160">
        <v>0</v>
      </c>
      <c r="E5" s="160">
        <f>SUM('3 pr-3'!AS9)</f>
        <v>0</v>
      </c>
      <c r="F5" s="160">
        <f>SUM('3 pr-3'!AT9)</f>
        <v>6394</v>
      </c>
      <c r="G5" s="160">
        <f>SUM('3 pr-3'!AU9)</f>
        <v>1163</v>
      </c>
      <c r="H5" s="160">
        <f>SUM('3 pr-3'!AV9)</f>
        <v>0</v>
      </c>
      <c r="I5" s="160">
        <f>SUM('3 pr-3'!AW9)</f>
        <v>0</v>
      </c>
      <c r="J5" s="160">
        <f>SUM('3 pr-3'!AX9)</f>
        <v>0</v>
      </c>
      <c r="K5" s="160">
        <f>SUM('3 pr-3'!AY9)</f>
        <v>0</v>
      </c>
      <c r="L5" s="1397">
        <f>SUM('3 pr-3'!AP9)</f>
        <v>7557</v>
      </c>
    </row>
    <row r="6" spans="1:12" ht="48.75" thickTop="1" thickBot="1" x14ac:dyDescent="0.3">
      <c r="A6" s="159" t="s">
        <v>481</v>
      </c>
      <c r="B6" s="160" t="s">
        <v>482</v>
      </c>
      <c r="C6" s="160">
        <v>0</v>
      </c>
      <c r="D6" s="160">
        <v>0</v>
      </c>
      <c r="E6" s="160">
        <f>SUM('3 pr-3'!BM9)</f>
        <v>0</v>
      </c>
      <c r="F6" s="160">
        <f>SUM('3 pr-3'!BN9)</f>
        <v>18</v>
      </c>
      <c r="G6" s="160">
        <f>SUM('3 pr-3'!BO9)</f>
        <v>5</v>
      </c>
      <c r="H6" s="160">
        <f>SUM('3 pr-3'!BP9)</f>
        <v>0</v>
      </c>
      <c r="I6" s="160">
        <f>SUM('3 pr-3'!BQ9)</f>
        <v>0</v>
      </c>
      <c r="J6" s="160">
        <f>SUM('3 pr-3'!BR9)</f>
        <v>0</v>
      </c>
      <c r="K6" s="160">
        <f>SUM('3 pr-3'!BS9)</f>
        <v>0</v>
      </c>
      <c r="L6" s="1397">
        <f>SUM('3 pr-3'!BJ9)</f>
        <v>23</v>
      </c>
    </row>
    <row r="7" spans="1:12" ht="48.75" thickTop="1" thickBot="1" x14ac:dyDescent="0.3">
      <c r="A7" s="159" t="s">
        <v>1683</v>
      </c>
      <c r="B7" s="160" t="s">
        <v>1684</v>
      </c>
      <c r="C7" s="160">
        <v>0</v>
      </c>
      <c r="D7" s="160">
        <v>0</v>
      </c>
      <c r="E7" s="160">
        <f>SUM('3 pr-3'!AS68)</f>
        <v>0</v>
      </c>
      <c r="F7" s="160">
        <f>SUM('3 pr-3'!AT68)</f>
        <v>0</v>
      </c>
      <c r="G7" s="160">
        <f>SUM('3 pr-3'!AU68)</f>
        <v>0</v>
      </c>
      <c r="H7" s="160">
        <f>SUM('3 pr-3'!AV68)</f>
        <v>0</v>
      </c>
      <c r="I7" s="160">
        <f>SUM('3 pr-3'!AW68)</f>
        <v>0</v>
      </c>
      <c r="J7" s="160">
        <f>SUM('3 pr-3'!AX68)</f>
        <v>0</v>
      </c>
      <c r="K7" s="160">
        <f>SUM('3 pr-3'!AY68)</f>
        <v>0</v>
      </c>
      <c r="L7" s="1397">
        <f>SUM('3 pr-3'!AP67)</f>
        <v>3500</v>
      </c>
    </row>
    <row r="8" spans="1:12" ht="17.25" thickTop="1" thickBot="1" x14ac:dyDescent="0.3">
      <c r="A8" s="159" t="s">
        <v>529</v>
      </c>
      <c r="B8" s="160" t="s">
        <v>530</v>
      </c>
      <c r="C8" s="160">
        <v>0</v>
      </c>
      <c r="D8" s="160">
        <v>0</v>
      </c>
      <c r="E8" s="160">
        <f>SUM('3 pr-3'!Y92)</f>
        <v>0</v>
      </c>
      <c r="F8" s="160">
        <f>SUM('3 pr-3'!Z92)</f>
        <v>0</v>
      </c>
      <c r="G8" s="160">
        <f>SUM('3 pr-3'!AA92)</f>
        <v>2.59</v>
      </c>
      <c r="H8" s="160">
        <f>SUM('3 pr-3'!AB92)</f>
        <v>0.78</v>
      </c>
      <c r="I8" s="160">
        <f>SUM('3 pr-3'!AC92)</f>
        <v>0</v>
      </c>
      <c r="J8" s="160">
        <f>SUM('3 pr-3'!AD92)</f>
        <v>0</v>
      </c>
      <c r="K8" s="160">
        <f>SUM('3 pr-3'!AE92)</f>
        <v>0</v>
      </c>
      <c r="L8" s="1397">
        <f>SUM('3 pr-3'!V92)</f>
        <v>3.37</v>
      </c>
    </row>
    <row r="9" spans="1:12" ht="33" thickTop="1" thickBot="1" x14ac:dyDescent="0.3">
      <c r="A9" s="159" t="s">
        <v>537</v>
      </c>
      <c r="B9" s="160" t="s">
        <v>538</v>
      </c>
      <c r="C9" s="160">
        <v>0</v>
      </c>
      <c r="D9" s="160">
        <v>0</v>
      </c>
      <c r="E9" s="160">
        <f>SUM('3 pr-3'!AS102+'3 pr-3'!AS108+'3 pr-3'!AS114)</f>
        <v>0</v>
      </c>
      <c r="F9" s="160">
        <f>SUM('3 pr-3'!AT102+'3 pr-3'!AT108+'3 pr-3'!AT114)</f>
        <v>880</v>
      </c>
      <c r="G9" s="160">
        <f>SUM('3 pr-3'!AU102+'3 pr-3'!AU108+'3 pr-3'!AU114)</f>
        <v>2941</v>
      </c>
      <c r="H9" s="160">
        <f>SUM('3 pr-3'!AV102+'3 pr-3'!AV108+'3 pr-3'!AV114)</f>
        <v>2072</v>
      </c>
      <c r="I9" s="160">
        <f>SUM('3 pr-3'!AW102+'3 pr-3'!AW108+'3 pr-3'!AW114)</f>
        <v>0</v>
      </c>
      <c r="J9" s="160">
        <f>SUM('3 pr-3'!AX102+'3 pr-3'!AX108+'3 pr-3'!AX114)</f>
        <v>0</v>
      </c>
      <c r="K9" s="160">
        <f>SUM('3 pr-3'!AY102+'3 pr-3'!AY108+'3 pr-3'!AY114)</f>
        <v>0</v>
      </c>
      <c r="L9" s="1397">
        <f>SUM('3 pr-3'!AP102+'3 pr-3'!AP108+'3 pr-3'!AP114)</f>
        <v>5893</v>
      </c>
    </row>
    <row r="10" spans="1:12" ht="33" thickTop="1" thickBot="1" x14ac:dyDescent="0.3">
      <c r="A10" s="159" t="s">
        <v>543</v>
      </c>
      <c r="B10" s="160" t="s">
        <v>582</v>
      </c>
      <c r="C10" s="160">
        <v>0</v>
      </c>
      <c r="D10" s="160">
        <v>0</v>
      </c>
      <c r="E10" s="160">
        <f>SUM('3 pr-3'!AS121)</f>
        <v>0</v>
      </c>
      <c r="F10" s="160">
        <f>SUM('3 pr-3'!AT121)</f>
        <v>0</v>
      </c>
      <c r="G10" s="1435">
        <f>SUM('3 pr-3'!AU121)</f>
        <v>2458</v>
      </c>
      <c r="H10" s="1435">
        <f>SUM('3 pr-3'!AV121)</f>
        <v>22143</v>
      </c>
      <c r="I10" s="160">
        <f>SUM('3 pr-3'!AW121)</f>
        <v>26070</v>
      </c>
      <c r="J10" s="160">
        <f>SUM('3 pr-3'!AX121)</f>
        <v>0</v>
      </c>
      <c r="K10" s="160">
        <f>SUM('3 pr-3'!AY121)</f>
        <v>0</v>
      </c>
      <c r="L10" s="1437">
        <f>SUM('3 pr-3'!AP121)</f>
        <v>50671</v>
      </c>
    </row>
    <row r="11" spans="1:12" ht="33" thickTop="1" thickBot="1" x14ac:dyDescent="0.3">
      <c r="A11" s="159" t="s">
        <v>489</v>
      </c>
      <c r="B11" s="160" t="s">
        <v>583</v>
      </c>
      <c r="C11" s="158">
        <v>0</v>
      </c>
      <c r="D11" s="158">
        <v>0</v>
      </c>
      <c r="E11" s="485">
        <f>SUM('3 pr-3'!Y39+'3 pr-3'!Y46)</f>
        <v>0</v>
      </c>
      <c r="F11" s="485">
        <f>SUM('3 pr-3'!Z39+'3 pr-3'!Z46)</f>
        <v>43844.5</v>
      </c>
      <c r="G11" s="485">
        <f>SUM('3 pr-3'!AA39+'3 pr-3'!AA46)</f>
        <v>156457.41</v>
      </c>
      <c r="H11" s="485">
        <f>SUM('3 pr-3'!AB39+'3 pr-3'!AB46)</f>
        <v>56063</v>
      </c>
      <c r="I11" s="485">
        <f>SUM('3 pr-3'!AC39+'3 pr-3'!AC46)</f>
        <v>0</v>
      </c>
      <c r="J11" s="485">
        <f>SUM('3 pr-3'!AD39+'3 pr-3'!AD46)</f>
        <v>0</v>
      </c>
      <c r="K11" s="485">
        <f>SUM('3 pr-3'!AE39+'3 pr-3'!AE46)</f>
        <v>0</v>
      </c>
      <c r="L11" s="1399">
        <f>SUM('3 pr-3'!V39+'3 pr-3'!V46)</f>
        <v>256364.91</v>
      </c>
    </row>
    <row r="12" spans="1:12" ht="33" thickTop="1" thickBot="1" x14ac:dyDescent="0.3">
      <c r="A12" s="159" t="s">
        <v>491</v>
      </c>
      <c r="B12" s="160" t="s">
        <v>492</v>
      </c>
      <c r="C12" s="158">
        <v>0</v>
      </c>
      <c r="D12" s="158">
        <v>0</v>
      </c>
      <c r="E12" s="158">
        <f>SUM('3 pr-3'!AS39+'3 pr-3'!AS46)</f>
        <v>0</v>
      </c>
      <c r="F12" s="158">
        <f>SUM('3 pr-3'!AT39+'3 pr-3'!AT46)</f>
        <v>690.97</v>
      </c>
      <c r="G12" s="158">
        <f>SUM('3 pr-3'!AU39+'3 pr-3'!AU46)</f>
        <v>34.56</v>
      </c>
      <c r="H12" s="158">
        <f>SUM('3 pr-3'!AV39+'3 pr-3'!AV46)</f>
        <v>0</v>
      </c>
      <c r="I12" s="158">
        <f>SUM('3 pr-3'!AW39+'3 pr-3'!AW46)</f>
        <v>0</v>
      </c>
      <c r="J12" s="158">
        <f>SUM('3 pr-3'!AX39+'3 pr-3'!AX46)</f>
        <v>0</v>
      </c>
      <c r="K12" s="158">
        <f>SUM('3 pr-3'!AY39+'3 pr-3'!AY46)</f>
        <v>0</v>
      </c>
      <c r="L12" s="1400">
        <f>SUM('3 pr-3'!AP46+'3 pr-3'!AP39)</f>
        <v>725.53</v>
      </c>
    </row>
    <row r="13" spans="1:12" ht="33" thickTop="1" thickBot="1" x14ac:dyDescent="0.3">
      <c r="A13" s="159" t="s">
        <v>510</v>
      </c>
      <c r="B13" s="160" t="s">
        <v>584</v>
      </c>
      <c r="C13" s="160">
        <v>0</v>
      </c>
      <c r="D13" s="160">
        <v>0</v>
      </c>
      <c r="E13" s="160">
        <f>SUM('3 pr-3'!AS56)</f>
        <v>0</v>
      </c>
      <c r="F13" s="160">
        <f>SUM('3 pr-3'!AT56)</f>
        <v>0</v>
      </c>
      <c r="G13" s="160">
        <f>SUM('3 pr-3'!AU56)</f>
        <v>0</v>
      </c>
      <c r="H13" s="160">
        <f>SUM('3 pr-3'!AV56)</f>
        <v>26</v>
      </c>
      <c r="I13" s="160">
        <f>SUM('3 pr-3'!AW56)</f>
        <v>0</v>
      </c>
      <c r="J13" s="160">
        <f>SUM('3 pr-3'!AX56)</f>
        <v>0</v>
      </c>
      <c r="K13" s="160">
        <f>SUM('3 pr-3'!AY56)</f>
        <v>0</v>
      </c>
      <c r="L13" s="1397">
        <f>SUM('3 pr-3'!AP57)</f>
        <v>26</v>
      </c>
    </row>
    <row r="14" spans="1:12" ht="48.75" thickTop="1" thickBot="1" x14ac:dyDescent="0.3">
      <c r="A14" s="159" t="s">
        <v>495</v>
      </c>
      <c r="B14" s="160" t="s">
        <v>585</v>
      </c>
      <c r="C14" s="160">
        <v>0</v>
      </c>
      <c r="D14" s="160">
        <v>0</v>
      </c>
      <c r="E14" s="160">
        <f>SUM('3 pr-3'!Y50)</f>
        <v>0</v>
      </c>
      <c r="F14" s="160">
        <f>SUM('3 pr-3'!Z50)</f>
        <v>0</v>
      </c>
      <c r="G14" s="160">
        <f>SUM('3 pr-3'!AA50)</f>
        <v>240</v>
      </c>
      <c r="H14" s="160">
        <f>SUM('3 pr-3'!AB50)</f>
        <v>238</v>
      </c>
      <c r="I14" s="160">
        <f>SUM('3 pr-3'!AC50)</f>
        <v>422</v>
      </c>
      <c r="J14" s="160">
        <f>SUM('3 pr-3'!AD50)</f>
        <v>0</v>
      </c>
      <c r="K14" s="160">
        <f>SUM('3 pr-3'!AE50)</f>
        <v>0</v>
      </c>
      <c r="L14" s="1397">
        <f>SUM('3 pr-3'!V50)</f>
        <v>900</v>
      </c>
    </row>
    <row r="15" spans="1:12" ht="48.75" thickTop="1" thickBot="1" x14ac:dyDescent="0.3">
      <c r="A15" s="159" t="s">
        <v>503</v>
      </c>
      <c r="B15" s="160" t="s">
        <v>586</v>
      </c>
      <c r="C15" s="160">
        <v>0</v>
      </c>
      <c r="D15" s="160">
        <v>0</v>
      </c>
      <c r="E15" s="161">
        <f>SUM('3 pr-3'!AS50)</f>
        <v>0</v>
      </c>
      <c r="F15" s="161">
        <f>SUM('3 pr-3'!AT50)</f>
        <v>0</v>
      </c>
      <c r="G15" s="161">
        <f>SUM('3 pr-3'!AU50)</f>
        <v>0</v>
      </c>
      <c r="H15" s="161">
        <f>SUM('3 pr-3'!AV50)</f>
        <v>25450</v>
      </c>
      <c r="I15" s="161">
        <f>SUM('3 pr-3'!AW50)</f>
        <v>15887</v>
      </c>
      <c r="J15" s="161">
        <f>SUM('3 pr-3'!AX50)</f>
        <v>0</v>
      </c>
      <c r="K15" s="161">
        <f>SUM('3 pr-3'!AY50)</f>
        <v>0</v>
      </c>
      <c r="L15" s="1398">
        <f>SUM('3 pr-3'!AP50)</f>
        <v>41337</v>
      </c>
    </row>
    <row r="16" spans="1:12" ht="33" thickTop="1" thickBot="1" x14ac:dyDescent="0.3">
      <c r="A16" s="159" t="s">
        <v>497</v>
      </c>
      <c r="B16" s="160" t="s">
        <v>587</v>
      </c>
      <c r="C16" s="160">
        <v>0</v>
      </c>
      <c r="D16" s="160">
        <v>0</v>
      </c>
      <c r="E16" s="160">
        <f>SUM('3 pr-3'!BM50)</f>
        <v>0</v>
      </c>
      <c r="F16" s="160">
        <f>SUM('3 pr-3'!BN50)</f>
        <v>0</v>
      </c>
      <c r="G16" s="160">
        <f>SUM('3 pr-3'!BO50)</f>
        <v>210</v>
      </c>
      <c r="H16" s="160">
        <f>SUM('3 pr-3'!BP50)</f>
        <v>798</v>
      </c>
      <c r="I16" s="160">
        <f>SUM('3 pr-3'!BQ50)</f>
        <v>431</v>
      </c>
      <c r="J16" s="160">
        <f>SUM('3 pr-3'!BR50)</f>
        <v>0</v>
      </c>
      <c r="K16" s="160">
        <f>SUM('3 pr-3'!BS50)</f>
        <v>0</v>
      </c>
      <c r="L16" s="1398">
        <f>SUM('3 pr-3'!BJ50)</f>
        <v>1439</v>
      </c>
    </row>
    <row r="17" spans="1:12" ht="48.75" thickTop="1" thickBot="1" x14ac:dyDescent="0.3">
      <c r="A17" s="159" t="s">
        <v>499</v>
      </c>
      <c r="B17" s="160" t="s">
        <v>588</v>
      </c>
      <c r="C17" s="160">
        <v>0</v>
      </c>
      <c r="D17" s="160">
        <v>0</v>
      </c>
      <c r="E17" s="160">
        <f>SUM('3 pr-3'!CG50)</f>
        <v>0</v>
      </c>
      <c r="F17" s="160">
        <f>SUM('3 pr-3'!CH50)</f>
        <v>0</v>
      </c>
      <c r="G17" s="160">
        <f>SUM('3 pr-3'!CI50)</f>
        <v>210</v>
      </c>
      <c r="H17" s="160">
        <f>SUM('3 pr-3'!CJ50)</f>
        <v>1239</v>
      </c>
      <c r="I17" s="160">
        <f>SUM('3 pr-3'!CK50)</f>
        <v>0</v>
      </c>
      <c r="J17" s="160">
        <f>SUM('3 pr-3'!CL50)</f>
        <v>0</v>
      </c>
      <c r="K17" s="160">
        <f>SUM('3 pr-3'!CM50)</f>
        <v>0</v>
      </c>
      <c r="L17" s="1397">
        <f>SUM('3 pr-3'!CD50)</f>
        <v>1449</v>
      </c>
    </row>
    <row r="18" spans="1:12" ht="48.75" thickTop="1" thickBot="1" x14ac:dyDescent="0.3">
      <c r="A18" s="159" t="s">
        <v>575</v>
      </c>
      <c r="B18" s="160" t="s">
        <v>579</v>
      </c>
      <c r="C18" s="160">
        <v>0</v>
      </c>
      <c r="D18" s="160">
        <v>0</v>
      </c>
      <c r="E18" s="160">
        <f>SUM('3 pr-3'!AS173)</f>
        <v>0</v>
      </c>
      <c r="F18" s="160">
        <f>SUM('3 pr-3'!AT173)</f>
        <v>1</v>
      </c>
      <c r="G18" s="160">
        <f>SUM('3 pr-3'!AU173)</f>
        <v>0</v>
      </c>
      <c r="H18" s="160">
        <f>SUM('3 pr-3'!AV173)</f>
        <v>0</v>
      </c>
      <c r="I18" s="160">
        <f>SUM('3 pr-3'!AW173)</f>
        <v>1</v>
      </c>
      <c r="J18" s="160">
        <f>SUM('3 pr-3'!AX173)</f>
        <v>0</v>
      </c>
      <c r="K18" s="160">
        <f>SUM('3 pr-3'!AY173)</f>
        <v>0</v>
      </c>
      <c r="L18" s="1397">
        <f>SUM('3 pr-3'!AP173)</f>
        <v>2</v>
      </c>
    </row>
    <row r="19" spans="1:12" ht="33" thickTop="1" thickBot="1" x14ac:dyDescent="0.3">
      <c r="A19" s="159" t="s">
        <v>568</v>
      </c>
      <c r="B19" s="162" t="s">
        <v>589</v>
      </c>
      <c r="C19" s="160">
        <v>0</v>
      </c>
      <c r="D19" s="160">
        <v>0</v>
      </c>
      <c r="E19" s="160">
        <f>SUM('3 pr-3'!BM173)</f>
        <v>0</v>
      </c>
      <c r="F19" s="160">
        <f>SUM('3 pr-3'!BN173)</f>
        <v>23</v>
      </c>
      <c r="G19" s="160">
        <f>SUM('3 pr-3'!BO173)</f>
        <v>31</v>
      </c>
      <c r="H19" s="160">
        <f>SUM('3 pr-3'!BP173)</f>
        <v>0</v>
      </c>
      <c r="I19" s="160">
        <f>SUM('3 pr-3'!BQ173)</f>
        <v>8</v>
      </c>
      <c r="J19" s="160">
        <f>SUM('3 pr-3'!BR173)</f>
        <v>0</v>
      </c>
      <c r="K19" s="160">
        <f>SUM('3 pr-3'!BS173)</f>
        <v>0</v>
      </c>
      <c r="L19" s="1397">
        <f>SUM('3 pr-3'!BJ173)</f>
        <v>62</v>
      </c>
    </row>
    <row r="20" spans="1:12" ht="17.25" thickTop="1" thickBot="1" x14ac:dyDescent="0.3">
      <c r="A20" s="159" t="s">
        <v>570</v>
      </c>
      <c r="B20" s="162" t="s">
        <v>571</v>
      </c>
      <c r="C20" s="160">
        <v>0</v>
      </c>
      <c r="D20" s="160">
        <v>0</v>
      </c>
      <c r="E20" s="160">
        <f>SUM('3 pr-3'!CG173)</f>
        <v>0</v>
      </c>
      <c r="F20" s="160">
        <f>SUM('3 pr-3'!CH173)</f>
        <v>0</v>
      </c>
      <c r="G20" s="160">
        <f>SUM('3 pr-3'!CI173)</f>
        <v>3</v>
      </c>
      <c r="H20" s="160">
        <f>SUM('3 pr-3'!CJ173)</f>
        <v>0</v>
      </c>
      <c r="I20" s="160">
        <f>SUM('3 pr-3'!CK173)</f>
        <v>0</v>
      </c>
      <c r="J20" s="160">
        <f>SUM('3 pr-3'!CL173)</f>
        <v>0</v>
      </c>
      <c r="K20" s="160">
        <f>SUM('3 pr-3'!CM173)</f>
        <v>0</v>
      </c>
      <c r="L20" s="1397">
        <f>SUM('3 pr-3'!CD173)</f>
        <v>3</v>
      </c>
    </row>
    <row r="21" spans="1:12" ht="17.25" thickTop="1" thickBot="1" x14ac:dyDescent="0.3">
      <c r="A21" s="159" t="s">
        <v>514</v>
      </c>
      <c r="B21" s="162" t="s">
        <v>590</v>
      </c>
      <c r="C21" s="160">
        <v>0</v>
      </c>
      <c r="D21" s="160">
        <v>0</v>
      </c>
      <c r="E21" s="160">
        <f>SUM('3 pr-3'!Y62)</f>
        <v>0</v>
      </c>
      <c r="F21" s="160">
        <f>SUM('3 pr-3'!Z62)</f>
        <v>4</v>
      </c>
      <c r="G21" s="160">
        <f>SUM('3 pr-3'!AA62)</f>
        <v>0</v>
      </c>
      <c r="H21" s="160">
        <f>SUM('3 pr-3'!AB62)</f>
        <v>1</v>
      </c>
      <c r="I21" s="160">
        <f>SUM('3 pr-3'!AC62)</f>
        <v>0</v>
      </c>
      <c r="J21" s="160">
        <f>SUM('3 pr-3'!AD62)</f>
        <v>0</v>
      </c>
      <c r="K21" s="160">
        <f>SUM('3 pr-3'!AE62)</f>
        <v>0</v>
      </c>
      <c r="L21" s="1397">
        <f>SUM('3 pr-3'!V62)</f>
        <v>5</v>
      </c>
    </row>
    <row r="22" spans="1:12" ht="17.25" thickTop="1" thickBot="1" x14ac:dyDescent="0.3">
      <c r="A22" s="159" t="s">
        <v>846</v>
      </c>
      <c r="B22" s="162" t="s">
        <v>847</v>
      </c>
      <c r="C22" s="160">
        <v>0</v>
      </c>
      <c r="D22" s="160">
        <v>0</v>
      </c>
      <c r="E22" s="160">
        <f>SUM('3 pr-3'!AS79)</f>
        <v>1</v>
      </c>
      <c r="F22" s="160">
        <f>SUM('3 pr-3'!AT79)</f>
        <v>1</v>
      </c>
      <c r="G22" s="160">
        <f>SUM('3 pr-3'!AU79)</f>
        <v>0</v>
      </c>
      <c r="H22" s="160">
        <f>SUM('3 pr-3'!AV79)</f>
        <v>0</v>
      </c>
      <c r="I22" s="160">
        <f>SUM('3 pr-3'!AW79)</f>
        <v>0</v>
      </c>
      <c r="J22" s="160">
        <f>SUM('3 pr-3'!AX79)</f>
        <v>0</v>
      </c>
      <c r="K22" s="160">
        <f>SUM('3 pr-3'!AY79)</f>
        <v>0</v>
      </c>
      <c r="L22" s="1397">
        <f>SUM('3 pr-3'!AP79)</f>
        <v>2</v>
      </c>
    </row>
    <row r="23" spans="1:12" ht="17.25" thickTop="1" thickBot="1" x14ac:dyDescent="0.3">
      <c r="A23" s="159" t="s">
        <v>533</v>
      </c>
      <c r="B23" s="162" t="s">
        <v>534</v>
      </c>
      <c r="C23" s="160">
        <v>0</v>
      </c>
      <c r="D23" s="160">
        <v>0</v>
      </c>
      <c r="E23" s="160">
        <f>SUM('3 pr-3'!BM92)</f>
        <v>0</v>
      </c>
      <c r="F23" s="160">
        <f>SUM('3 pr-3'!BN92)</f>
        <v>0.72</v>
      </c>
      <c r="G23" s="160">
        <f>SUM('3 pr-3'!BO92)</f>
        <v>0</v>
      </c>
      <c r="H23" s="160">
        <f>SUM('3 pr-3'!BP92)</f>
        <v>0</v>
      </c>
      <c r="I23" s="160">
        <f>SUM('3 pr-3'!BQ92)</f>
        <v>0</v>
      </c>
      <c r="J23" s="160">
        <f>SUM('3 pr-3'!BR92)</f>
        <v>0</v>
      </c>
      <c r="K23" s="160">
        <f>SUM('3 pr-3'!BS92)</f>
        <v>0</v>
      </c>
      <c r="L23" s="1397">
        <f>SUM('3 pr-3'!BJ92)</f>
        <v>0.72</v>
      </c>
    </row>
    <row r="24" spans="1:12" ht="48.75" thickTop="1" thickBot="1" x14ac:dyDescent="0.3">
      <c r="A24" s="159" t="s">
        <v>1485</v>
      </c>
      <c r="B24" s="162" t="s">
        <v>1486</v>
      </c>
      <c r="C24" s="160">
        <v>0</v>
      </c>
      <c r="D24" s="160">
        <v>0</v>
      </c>
      <c r="E24" s="160">
        <f>SUM('3 pr-3'!Y141)</f>
        <v>0</v>
      </c>
      <c r="F24" s="160">
        <f>SUM('3 pr-3'!Z141)</f>
        <v>0</v>
      </c>
      <c r="G24" s="160">
        <f>SUM('3 pr-3'!AA141)</f>
        <v>0</v>
      </c>
      <c r="H24" s="160">
        <f>SUM('3 pr-3'!AB141)</f>
        <v>50</v>
      </c>
      <c r="I24" s="160">
        <f>SUM('3 pr-3'!AC141)</f>
        <v>130</v>
      </c>
      <c r="J24" s="160">
        <f>SUM('3 pr-3'!AD141)</f>
        <v>0</v>
      </c>
      <c r="K24" s="160">
        <f>SUM('3 pr-3'!AE141)</f>
        <v>0</v>
      </c>
      <c r="L24" s="1397">
        <f>SUM('3 pr-3'!V141)</f>
        <v>180</v>
      </c>
    </row>
    <row r="25" spans="1:12" ht="17.25" thickTop="1" thickBot="1" x14ac:dyDescent="0.3">
      <c r="A25" s="159" t="str">
        <f>CONCATENATE('3 pr-3'!AF135)</f>
        <v>P.N.671</v>
      </c>
      <c r="B25" s="159" t="str">
        <f>CONCATENATE('3 pr-3'!AG135)</f>
        <v>Modernizuoti savivaldybių visuomenės sveikatos biurai</v>
      </c>
      <c r="C25" s="160">
        <v>0</v>
      </c>
      <c r="D25" s="160">
        <v>0</v>
      </c>
      <c r="E25" s="160">
        <f>SUM('3 pr-3'!AS135)</f>
        <v>0</v>
      </c>
      <c r="F25" s="160">
        <f>SUM('3 pr-3'!AT135)</f>
        <v>1</v>
      </c>
      <c r="G25" s="160">
        <f>SUM('3 pr-3'!AU135)</f>
        <v>0</v>
      </c>
      <c r="H25" s="160">
        <f>SUM('3 pr-3'!AV135)</f>
        <v>0</v>
      </c>
      <c r="I25" s="160">
        <f>SUM('3 pr-3'!AW135)</f>
        <v>1</v>
      </c>
      <c r="J25" s="160">
        <f>SUM('3 pr-3'!AX135)</f>
        <v>0</v>
      </c>
      <c r="K25" s="160">
        <f>SUM('3 pr-3'!AY135)</f>
        <v>0</v>
      </c>
      <c r="L25" s="1397">
        <f>SUM('3 pr-3'!AP135)</f>
        <v>2</v>
      </c>
    </row>
    <row r="26" spans="1:12" ht="33" thickTop="1" thickBot="1" x14ac:dyDescent="0.3">
      <c r="A26" s="159" t="s">
        <v>541</v>
      </c>
      <c r="B26" s="162" t="s">
        <v>591</v>
      </c>
      <c r="C26" s="160">
        <v>0</v>
      </c>
      <c r="D26" s="160">
        <v>0</v>
      </c>
      <c r="E26" s="160">
        <f>SUM('3 pr-3'!Y114)</f>
        <v>0</v>
      </c>
      <c r="F26" s="160">
        <f>SUM('3 pr-3'!Z114)</f>
        <v>0</v>
      </c>
      <c r="G26" s="160">
        <f>SUM('3 pr-3'!AA114)</f>
        <v>4</v>
      </c>
      <c r="H26" s="160">
        <f>SUM('3 pr-3'!AB114)</f>
        <v>1</v>
      </c>
      <c r="I26" s="160">
        <f>SUM('3 pr-3'!AC114)</f>
        <v>0</v>
      </c>
      <c r="J26" s="160">
        <f>SUM('3 pr-3'!AD114)</f>
        <v>0</v>
      </c>
      <c r="K26" s="160">
        <f>SUM('3 pr-3'!AE114)</f>
        <v>0</v>
      </c>
      <c r="L26" s="1397">
        <f>SUM('3 pr-3'!V114)</f>
        <v>5</v>
      </c>
    </row>
    <row r="27" spans="1:12" ht="33" thickTop="1" thickBot="1" x14ac:dyDescent="0.3">
      <c r="A27" s="159" t="s">
        <v>592</v>
      </c>
      <c r="B27" s="162" t="s">
        <v>593</v>
      </c>
      <c r="C27" s="160">
        <v>0</v>
      </c>
      <c r="D27" s="160">
        <v>0</v>
      </c>
      <c r="E27" s="160">
        <f>SUM('3 pr-3'!Y102)</f>
        <v>0</v>
      </c>
      <c r="F27" s="160">
        <f>SUM('3 pr-3'!Z102)</f>
        <v>0</v>
      </c>
      <c r="G27" s="160">
        <f>SUM('3 pr-3'!AA102)</f>
        <v>6</v>
      </c>
      <c r="H27" s="160">
        <f>SUM('3 pr-3'!AB102)</f>
        <v>2</v>
      </c>
      <c r="I27" s="160">
        <f>SUM('3 pr-3'!AC102)</f>
        <v>0</v>
      </c>
      <c r="J27" s="160">
        <f>SUM('3 pr-3'!AD102)</f>
        <v>0</v>
      </c>
      <c r="K27" s="160">
        <f>SUM('3 pr-3'!AE102)</f>
        <v>0</v>
      </c>
      <c r="L27" s="1397">
        <f>SUM('3 pr-3'!V102)</f>
        <v>8</v>
      </c>
    </row>
    <row r="28" spans="1:12" ht="33" thickTop="1" thickBot="1" x14ac:dyDescent="0.3">
      <c r="A28" s="159" t="s">
        <v>594</v>
      </c>
      <c r="B28" s="162" t="s">
        <v>595</v>
      </c>
      <c r="C28" s="160">
        <v>0</v>
      </c>
      <c r="D28" s="160">
        <v>0</v>
      </c>
      <c r="E28" s="160">
        <f>SUM('3 pr-3'!Y108)</f>
        <v>0</v>
      </c>
      <c r="F28" s="160">
        <f>SUM('3 pr-3'!Z108)</f>
        <v>2</v>
      </c>
      <c r="G28" s="160">
        <f>SUM('3 pr-3'!AA108)</f>
        <v>0</v>
      </c>
      <c r="H28" s="160">
        <f>SUM('3 pr-3'!AB108)</f>
        <v>3</v>
      </c>
      <c r="I28" s="160">
        <f>SUM('3 pr-3'!AC108)</f>
        <v>0</v>
      </c>
      <c r="J28" s="160">
        <f>SUM('3 pr-3'!AD108)</f>
        <v>0</v>
      </c>
      <c r="K28" s="160">
        <f>SUM('3 pr-3'!AE108)</f>
        <v>0</v>
      </c>
      <c r="L28" s="1397">
        <f>SUM('3 pr-3'!V108)</f>
        <v>5</v>
      </c>
    </row>
    <row r="29" spans="1:12" ht="33" thickTop="1" thickBot="1" x14ac:dyDescent="0.3">
      <c r="A29" s="159" t="s">
        <v>629</v>
      </c>
      <c r="B29" s="162" t="s">
        <v>630</v>
      </c>
      <c r="C29" s="160">
        <v>0</v>
      </c>
      <c r="D29" s="160">
        <v>0</v>
      </c>
      <c r="E29" s="160">
        <f>SUM('3 pr-3'!BM114)</f>
        <v>0</v>
      </c>
      <c r="F29" s="160">
        <f>SUM('3 pr-3'!BN114)</f>
        <v>0</v>
      </c>
      <c r="G29" s="160">
        <f>SUM('3 pr-3'!BO114)</f>
        <v>10</v>
      </c>
      <c r="H29" s="160">
        <f>SUM('3 pr-3'!BP114)</f>
        <v>6</v>
      </c>
      <c r="I29" s="160">
        <f>SUM('3 pr-3'!BQ114)</f>
        <v>0</v>
      </c>
      <c r="J29" s="160">
        <f>SUM('3 pr-3'!BR114)</f>
        <v>0</v>
      </c>
      <c r="K29" s="160">
        <f>SUM('3 pr-3'!BS114)</f>
        <v>0</v>
      </c>
      <c r="L29" s="1397">
        <f>SUM('3 pr-3'!BJ114)</f>
        <v>16</v>
      </c>
    </row>
    <row r="30" spans="1:12" ht="17.25" thickTop="1" thickBot="1" x14ac:dyDescent="0.3">
      <c r="A30" s="159" t="s">
        <v>628</v>
      </c>
      <c r="B30" s="162" t="s">
        <v>513</v>
      </c>
      <c r="C30" s="160">
        <v>0</v>
      </c>
      <c r="D30" s="160">
        <v>0</v>
      </c>
      <c r="E30" s="160">
        <f>SUM('3 pr-3'!Y58)</f>
        <v>0</v>
      </c>
      <c r="F30" s="160">
        <f>SUM('3 pr-3'!Z58)</f>
        <v>0</v>
      </c>
      <c r="G30" s="160">
        <f>SUM('3 pr-3'!AA58)</f>
        <v>595</v>
      </c>
      <c r="H30" s="160">
        <f>SUM('3 pr-3'!AB58)</f>
        <v>38</v>
      </c>
      <c r="I30" s="160">
        <f>SUM('3 pr-3'!AC58)</f>
        <v>0</v>
      </c>
      <c r="J30" s="160">
        <f>SUM('3 pr-3'!AD58)</f>
        <v>0</v>
      </c>
      <c r="K30" s="160">
        <f>SUM('3 pr-3'!AE58)</f>
        <v>0</v>
      </c>
      <c r="L30" s="1397">
        <f>SUM('3 pr-3'!V58)</f>
        <v>633</v>
      </c>
    </row>
    <row r="31" spans="1:12" ht="17.25" thickTop="1" thickBot="1" x14ac:dyDescent="0.3">
      <c r="A31" s="159" t="s">
        <v>561</v>
      </c>
      <c r="B31" s="162" t="s">
        <v>562</v>
      </c>
      <c r="C31" s="160">
        <v>0</v>
      </c>
      <c r="D31" s="160">
        <v>0</v>
      </c>
      <c r="E31" s="160">
        <f>SUM('3 pr-3'!BM161)</f>
        <v>0</v>
      </c>
      <c r="F31" s="160">
        <f>SUM('3 pr-3'!BN161)</f>
        <v>0</v>
      </c>
      <c r="G31" s="160">
        <f>SUM('3 pr-3'!BO161)</f>
        <v>2</v>
      </c>
      <c r="H31" s="160">
        <f>SUM('3 pr-3'!BP161)</f>
        <v>0</v>
      </c>
      <c r="I31" s="160">
        <f>SUM('3 pr-3'!BQ161)</f>
        <v>1</v>
      </c>
      <c r="J31" s="160">
        <f>SUM('3 pr-3'!BR161)</f>
        <v>0</v>
      </c>
      <c r="K31" s="160">
        <f>SUM('3 pr-3'!BS161)</f>
        <v>0</v>
      </c>
      <c r="L31" s="1397">
        <f>SUM('3 pr-3'!BJ161)</f>
        <v>3</v>
      </c>
    </row>
    <row r="32" spans="1:12" ht="33" thickTop="1" thickBot="1" x14ac:dyDescent="0.3">
      <c r="A32" s="159" t="s">
        <v>524</v>
      </c>
      <c r="B32" s="162" t="s">
        <v>597</v>
      </c>
      <c r="C32" s="160">
        <v>0</v>
      </c>
      <c r="D32" s="160">
        <v>0</v>
      </c>
      <c r="E32" s="160">
        <f>SUM('3 pr-3'!Y86)</f>
        <v>0</v>
      </c>
      <c r="F32" s="160">
        <f>SUM('3 pr-3'!Z86)</f>
        <v>1.73</v>
      </c>
      <c r="G32" s="160">
        <f>SUM('3 pr-3'!AA86)</f>
        <v>1.964</v>
      </c>
      <c r="H32" s="160">
        <f>SUM('3 pr-3'!AB86)</f>
        <v>0</v>
      </c>
      <c r="I32" s="160">
        <f>SUM('3 pr-3'!AC86)</f>
        <v>0</v>
      </c>
      <c r="J32" s="160">
        <f>SUM('3 pr-3'!AD86)</f>
        <v>0</v>
      </c>
      <c r="K32" s="160">
        <f>SUM('3 pr-3'!AE86)</f>
        <v>0</v>
      </c>
      <c r="L32" s="1397">
        <f>SUM('3 pr-3'!V86)</f>
        <v>3.694</v>
      </c>
    </row>
    <row r="33" spans="1:12" ht="33" thickTop="1" thickBot="1" x14ac:dyDescent="0.3">
      <c r="A33" s="159" t="s">
        <v>527</v>
      </c>
      <c r="B33" s="160" t="s">
        <v>598</v>
      </c>
      <c r="C33" s="160">
        <v>0</v>
      </c>
      <c r="D33" s="160">
        <v>0</v>
      </c>
      <c r="E33" s="160">
        <f>SUM('3 pr-3'!AS86)</f>
        <v>0</v>
      </c>
      <c r="F33" s="160">
        <f>SUM('3 pr-3'!AT86)</f>
        <v>0</v>
      </c>
      <c r="G33" s="160">
        <f>SUM('3 pr-3'!AU86)</f>
        <v>0.69</v>
      </c>
      <c r="H33" s="160">
        <f>SUM('3 pr-3'!AV86)</f>
        <v>0</v>
      </c>
      <c r="I33" s="160">
        <f>SUM('3 pr-3'!AW86)</f>
        <v>0</v>
      </c>
      <c r="J33" s="160">
        <f>SUM('3 pr-3'!AX86)</f>
        <v>0</v>
      </c>
      <c r="K33" s="160">
        <f>SUM('3 pr-3'!AY86)</f>
        <v>0</v>
      </c>
      <c r="L33" s="1397">
        <f>SUM('3 pr-3'!AP86)</f>
        <v>0.69</v>
      </c>
    </row>
    <row r="34" spans="1:12" ht="21.75" customHeight="1" thickTop="1" thickBot="1" x14ac:dyDescent="0.3">
      <c r="A34" s="159" t="s">
        <v>522</v>
      </c>
      <c r="B34" s="160" t="s">
        <v>599</v>
      </c>
      <c r="C34" s="160">
        <v>0</v>
      </c>
      <c r="D34" s="160">
        <v>0</v>
      </c>
      <c r="E34" s="160">
        <f>SUM('3 pr-3'!Y79)</f>
        <v>0</v>
      </c>
      <c r="F34" s="160">
        <f>SUM('3 pr-3'!Z79)</f>
        <v>0</v>
      </c>
      <c r="G34" s="160">
        <f>SUM('3 pr-3'!AA79)</f>
        <v>1</v>
      </c>
      <c r="H34" s="160">
        <f>SUM('3 pr-3'!AB79)</f>
        <v>3</v>
      </c>
      <c r="I34" s="160">
        <f>SUM('3 pr-3'!AC79)</f>
        <v>1</v>
      </c>
      <c r="J34" s="160">
        <f>SUM('3 pr-3'!AD79)</f>
        <v>0</v>
      </c>
      <c r="K34" s="160">
        <f>SUM('3 pr-3'!AE79)</f>
        <v>0</v>
      </c>
      <c r="L34" s="1397">
        <f>SUM('3 pr-3'!V79)</f>
        <v>5</v>
      </c>
    </row>
    <row r="35" spans="1:12" ht="22.5" customHeight="1" thickTop="1" thickBot="1" x14ac:dyDescent="0.3">
      <c r="A35" s="159" t="s">
        <v>1713</v>
      </c>
      <c r="B35" s="160" t="s">
        <v>1714</v>
      </c>
      <c r="C35" s="160">
        <v>0</v>
      </c>
      <c r="D35" s="160">
        <v>0</v>
      </c>
      <c r="E35" s="160">
        <f>SUM('3 pr-3'!BM79)</f>
        <v>0</v>
      </c>
      <c r="F35" s="160">
        <f>SUM('3 pr-3'!BN79)</f>
        <v>0</v>
      </c>
      <c r="G35" s="160">
        <f>SUM('3 pr-3'!BO79)</f>
        <v>0</v>
      </c>
      <c r="H35" s="160">
        <f>SUM('3 pr-3'!BP79)</f>
        <v>1</v>
      </c>
      <c r="I35" s="160">
        <f>SUM('3 pr-3'!BQ79)</f>
        <v>0</v>
      </c>
      <c r="J35" s="160">
        <f>SUM('3 pr-3'!BR79)</f>
        <v>0</v>
      </c>
      <c r="K35" s="160">
        <f>SUM('3 pr-3'!BS79)</f>
        <v>0</v>
      </c>
      <c r="L35" s="1397">
        <f>SUM('3 pr-3'!BJ79)</f>
        <v>1</v>
      </c>
    </row>
    <row r="36" spans="1:12" ht="33" thickTop="1" thickBot="1" x14ac:dyDescent="0.3">
      <c r="A36" s="159" t="s">
        <v>519</v>
      </c>
      <c r="B36" s="160" t="s">
        <v>600</v>
      </c>
      <c r="C36" s="160">
        <v>0</v>
      </c>
      <c r="D36" s="160">
        <v>0</v>
      </c>
      <c r="E36" s="160">
        <f>SUM('3 pr-3'!Y74)</f>
        <v>0</v>
      </c>
      <c r="F36" s="160">
        <f>SUM('3 pr-3'!Z74)</f>
        <v>0</v>
      </c>
      <c r="G36" s="160">
        <f>SUM('3 pr-3'!AA74)</f>
        <v>2</v>
      </c>
      <c r="H36" s="160">
        <f>SUM('3 pr-3'!AB74)</f>
        <v>4</v>
      </c>
      <c r="I36" s="160">
        <f>SUM('3 pr-3'!AC74)</f>
        <v>0</v>
      </c>
      <c r="J36" s="160">
        <f>SUM('3 pr-3'!AD74)</f>
        <v>0</v>
      </c>
      <c r="K36" s="160">
        <f>SUM('3 pr-3'!AE74)</f>
        <v>0</v>
      </c>
      <c r="L36" s="1397">
        <f>SUM('3 pr-3'!V74)</f>
        <v>6</v>
      </c>
    </row>
    <row r="37" spans="1:12" ht="48.75" thickTop="1" thickBot="1" x14ac:dyDescent="0.3">
      <c r="A37" s="159" t="s">
        <v>508</v>
      </c>
      <c r="B37" s="160" t="s">
        <v>509</v>
      </c>
      <c r="C37" s="160">
        <v>0</v>
      </c>
      <c r="D37" s="160">
        <v>0</v>
      </c>
      <c r="E37" s="160">
        <f>SUM('3 pr-3'!Y56)</f>
        <v>0</v>
      </c>
      <c r="F37" s="160">
        <f>SUM('3 pr-3'!Z56)</f>
        <v>0</v>
      </c>
      <c r="G37" s="160">
        <f>SUM('3 pr-3'!AA56)</f>
        <v>0</v>
      </c>
      <c r="H37" s="160">
        <f>SUM('3 pr-3'!AB56)</f>
        <v>262.58999999999997</v>
      </c>
      <c r="I37" s="160">
        <f>SUM('3 pr-3'!AC56)</f>
        <v>0</v>
      </c>
      <c r="J37" s="160">
        <f>SUM('3 pr-3'!AD56)</f>
        <v>0</v>
      </c>
      <c r="K37" s="160">
        <f>SUM('3 pr-3'!AE56)</f>
        <v>0</v>
      </c>
      <c r="L37" s="1397">
        <f>SUM('3 pr-3'!V56)</f>
        <v>262.58999999999997</v>
      </c>
    </row>
    <row r="38" spans="1:12" ht="33" thickTop="1" thickBot="1" x14ac:dyDescent="0.3">
      <c r="A38" s="159" t="s">
        <v>564</v>
      </c>
      <c r="B38" s="160" t="s">
        <v>601</v>
      </c>
      <c r="C38" s="160">
        <v>0</v>
      </c>
      <c r="D38" s="161">
        <v>0</v>
      </c>
      <c r="E38" s="161">
        <f>SUM('3 pr-3'!Y170)</f>
        <v>0</v>
      </c>
      <c r="F38" s="161">
        <f>SUM('3 pr-3'!Z170)</f>
        <v>0</v>
      </c>
      <c r="G38" s="486">
        <f>SUM('3 pr-3'!AA170)</f>
        <v>7187.76</v>
      </c>
      <c r="H38" s="161">
        <f>SUM('3 pr-3'!AB170)</f>
        <v>0</v>
      </c>
      <c r="I38" s="161">
        <f>SUM('3 pr-3'!AC170)</f>
        <v>0</v>
      </c>
      <c r="J38" s="161">
        <f>SUM('3 pr-3'!AD170)</f>
        <v>0</v>
      </c>
      <c r="K38" s="161">
        <f>SUM('3 pr-3'!AE170)</f>
        <v>0</v>
      </c>
      <c r="L38" s="1401">
        <f>SUM('3 pr-3'!V170)</f>
        <v>7187.76</v>
      </c>
    </row>
    <row r="39" spans="1:12" ht="33" thickTop="1" thickBot="1" x14ac:dyDescent="0.3">
      <c r="A39" s="159" t="s">
        <v>501</v>
      </c>
      <c r="B39" s="160" t="s">
        <v>602</v>
      </c>
      <c r="C39" s="160">
        <v>0</v>
      </c>
      <c r="D39" s="160">
        <v>0</v>
      </c>
      <c r="E39" s="160">
        <f>SUM('3 pr-3'!DA50)</f>
        <v>0</v>
      </c>
      <c r="F39" s="160">
        <f>SUM('3 pr-3'!DB50)</f>
        <v>0</v>
      </c>
      <c r="G39" s="160">
        <f>SUM('3 pr-3'!DC50)</f>
        <v>0</v>
      </c>
      <c r="H39" s="160">
        <f>SUM('3 pr-3'!DD50)</f>
        <v>19.32</v>
      </c>
      <c r="I39" s="160">
        <f>SUM('3 pr-3'!DE50)</f>
        <v>3.2</v>
      </c>
      <c r="J39" s="160">
        <f>SUM('3 pr-3'!DF50)</f>
        <v>0</v>
      </c>
      <c r="K39" s="160">
        <f>SUM('3 pr-3'!DG50)</f>
        <v>0</v>
      </c>
      <c r="L39" s="1397">
        <f>SUM('3 pr-3'!CX50)</f>
        <v>22.52</v>
      </c>
    </row>
    <row r="40" spans="1:12" ht="33" thickTop="1" thickBot="1" x14ac:dyDescent="0.3">
      <c r="A40" s="159" t="s">
        <v>516</v>
      </c>
      <c r="B40" s="160" t="s">
        <v>517</v>
      </c>
      <c r="C40" s="160">
        <v>0</v>
      </c>
      <c r="D40" s="160">
        <v>0</v>
      </c>
      <c r="E40" s="160">
        <f>SUM('3 pr-3'!Y67)</f>
        <v>0</v>
      </c>
      <c r="F40" s="160">
        <f>SUM('3 pr-3'!Z67)</f>
        <v>0</v>
      </c>
      <c r="G40" s="160">
        <f>SUM('3 pr-3'!AA67)</f>
        <v>2</v>
      </c>
      <c r="H40" s="160">
        <f>SUM('3 pr-3'!AB67)</f>
        <v>3</v>
      </c>
      <c r="I40" s="160">
        <f>SUM('3 pr-3'!AC67)</f>
        <v>0</v>
      </c>
      <c r="J40" s="160">
        <f>SUM('3 pr-3'!AD67)</f>
        <v>0</v>
      </c>
      <c r="K40" s="160">
        <f>SUM('3 pr-3'!AE67)</f>
        <v>0</v>
      </c>
      <c r="L40" s="1397">
        <f>SUM('3 pr-3'!V67)</f>
        <v>5</v>
      </c>
    </row>
    <row r="41" spans="1:12" ht="33" thickTop="1" thickBot="1" x14ac:dyDescent="0.3">
      <c r="A41" s="159" t="s">
        <v>572</v>
      </c>
      <c r="B41" s="160" t="s">
        <v>603</v>
      </c>
      <c r="C41" s="160">
        <v>0</v>
      </c>
      <c r="D41" s="160">
        <v>0</v>
      </c>
      <c r="E41" s="160">
        <f>SUM('3 pr-3'!DA173)</f>
        <v>0</v>
      </c>
      <c r="F41" s="160">
        <f>SUM('3 pr-3'!DB173)</f>
        <v>0</v>
      </c>
      <c r="G41" s="160">
        <f>SUM('3 pr-3'!DC173)</f>
        <v>2</v>
      </c>
      <c r="H41" s="160">
        <f>SUM('3 pr-3'!DD173)</f>
        <v>1</v>
      </c>
      <c r="I41" s="160">
        <f>SUM('3 pr-3'!DE173)</f>
        <v>0</v>
      </c>
      <c r="J41" s="160">
        <f>SUM('3 pr-3'!DF173)</f>
        <v>0</v>
      </c>
      <c r="K41" s="160">
        <f>SUM('3 pr-3'!DG173)</f>
        <v>1</v>
      </c>
      <c r="L41" s="1397">
        <f>SUM('3 pr-3'!CX173)</f>
        <v>4</v>
      </c>
    </row>
    <row r="42" spans="1:12" ht="33" thickTop="1" thickBot="1" x14ac:dyDescent="0.3">
      <c r="A42" s="842" t="s">
        <v>531</v>
      </c>
      <c r="B42" s="160" t="s">
        <v>532</v>
      </c>
      <c r="C42" s="160">
        <v>0</v>
      </c>
      <c r="D42" s="160">
        <v>0</v>
      </c>
      <c r="E42" s="160">
        <f>SUM('3 pr-3'!AS92)</f>
        <v>0</v>
      </c>
      <c r="F42" s="160">
        <f>SUM('3 pr-3'!AT92)</f>
        <v>0</v>
      </c>
      <c r="G42" s="160">
        <f>SUM('3 pr-3'!AU92)</f>
        <v>8</v>
      </c>
      <c r="H42" s="160">
        <f>SUM('3 pr-3'!AV92)</f>
        <v>4</v>
      </c>
      <c r="I42" s="160">
        <f>SUM('3 pr-3'!AW92)</f>
        <v>0</v>
      </c>
      <c r="J42" s="160">
        <f>SUM('3 pr-3'!AX92)</f>
        <v>0</v>
      </c>
      <c r="K42" s="160">
        <f>SUM('3 pr-3'!AY92)</f>
        <v>0</v>
      </c>
      <c r="L42" s="1397">
        <f>SUM('3 pr-3'!AP92)</f>
        <v>12</v>
      </c>
    </row>
    <row r="43" spans="1:12" ht="33" thickTop="1" thickBot="1" x14ac:dyDescent="0.3">
      <c r="A43" s="159" t="s">
        <v>552</v>
      </c>
      <c r="B43" s="160" t="s">
        <v>604</v>
      </c>
      <c r="C43" s="160">
        <v>0</v>
      </c>
      <c r="D43" s="160">
        <v>0</v>
      </c>
      <c r="E43" s="160">
        <f>SUM('3 pr-3'!Y148)</f>
        <v>0</v>
      </c>
      <c r="F43" s="160">
        <f>SUM('3 pr-3'!Z148)</f>
        <v>0</v>
      </c>
      <c r="G43" s="160">
        <f>SUM('3 pr-3'!AA148)</f>
        <v>5</v>
      </c>
      <c r="H43" s="160">
        <f>SUM('3 pr-3'!AB148)</f>
        <v>0</v>
      </c>
      <c r="I43" s="160">
        <f>SUM('3 pr-3'!AC148)</f>
        <v>0</v>
      </c>
      <c r="J43" s="160">
        <f>SUM('3 pr-3'!AD148)</f>
        <v>0</v>
      </c>
      <c r="K43" s="160">
        <f>SUM('3 pr-3'!AE148)</f>
        <v>0</v>
      </c>
      <c r="L43" s="1397">
        <f>SUM('3 pr-3'!V148)</f>
        <v>5</v>
      </c>
    </row>
    <row r="44" spans="1:12" ht="17.25" thickTop="1" thickBot="1" x14ac:dyDescent="0.3">
      <c r="A44" s="159" t="s">
        <v>555</v>
      </c>
      <c r="B44" s="160" t="s">
        <v>605</v>
      </c>
      <c r="C44" s="160">
        <v>0</v>
      </c>
      <c r="D44" s="160">
        <v>0</v>
      </c>
      <c r="E44" s="160">
        <f>SUM('3 pr-3'!Y154)</f>
        <v>0</v>
      </c>
      <c r="F44" s="160">
        <f>SUM('3 pr-3'!Z154)</f>
        <v>66</v>
      </c>
      <c r="G44" s="160">
        <f>SUM('3 pr-3'!AA154)</f>
        <v>40</v>
      </c>
      <c r="H44" s="160">
        <f>SUM('3 pr-3'!AB154)</f>
        <v>0</v>
      </c>
      <c r="I44" s="160">
        <f>SUM('3 pr-3'!AC154)</f>
        <v>0</v>
      </c>
      <c r="J44" s="160">
        <f>SUM('3 pr-3'!AD154)</f>
        <v>0</v>
      </c>
      <c r="K44" s="160">
        <f>SUM('3 pr-3'!AE154)</f>
        <v>0</v>
      </c>
      <c r="L44" s="1397">
        <f>SUM('3 pr-3'!V154)</f>
        <v>106</v>
      </c>
    </row>
    <row r="45" spans="1:12" ht="48.75" thickTop="1" thickBot="1" x14ac:dyDescent="0.3">
      <c r="A45" s="159" t="s">
        <v>1741</v>
      </c>
      <c r="B45" s="160" t="s">
        <v>1742</v>
      </c>
      <c r="C45" s="160">
        <v>0</v>
      </c>
      <c r="D45" s="160">
        <v>0</v>
      </c>
      <c r="E45" s="160">
        <f>SUM('3 pr-3'!Y121)</f>
        <v>0</v>
      </c>
      <c r="F45" s="160">
        <f>SUM('3 pr-3'!Z121)</f>
        <v>0</v>
      </c>
      <c r="G45" s="1435">
        <f>SUM('3 pr-3'!AA121)</f>
        <v>3</v>
      </c>
      <c r="H45" s="160">
        <f>SUM('3 pr-3'!AB121)</f>
        <v>7</v>
      </c>
      <c r="I45" s="160">
        <f>SUM('3 pr-3'!AC121)</f>
        <v>7</v>
      </c>
      <c r="J45" s="160">
        <f>SUM('3 pr-3'!AD121)</f>
        <v>0</v>
      </c>
      <c r="K45" s="160">
        <f>SUM('3 pr-3'!AE121)</f>
        <v>0</v>
      </c>
      <c r="L45" s="1435">
        <f>SUM('3 pr-3'!V121)</f>
        <v>17</v>
      </c>
    </row>
    <row r="46" spans="1:12" ht="34.5" thickTop="1" thickBot="1" x14ac:dyDescent="0.3">
      <c r="A46" s="159" t="s">
        <v>409</v>
      </c>
      <c r="B46" s="160" t="s">
        <v>631</v>
      </c>
      <c r="C46" s="160">
        <v>0</v>
      </c>
      <c r="D46" s="161">
        <v>0</v>
      </c>
      <c r="E46" s="161">
        <f>SUM('3 pr-3'!Y33)</f>
        <v>0</v>
      </c>
      <c r="F46" s="161">
        <f>SUM('3 pr-3'!Z33)</f>
        <v>0</v>
      </c>
      <c r="G46" s="161">
        <f>SUM('3 pr-3'!AA33)</f>
        <v>8195</v>
      </c>
      <c r="H46" s="161">
        <f>SUM('3 pr-3'!AB33)</f>
        <v>46261</v>
      </c>
      <c r="I46" s="161">
        <f>SUM('3 pr-3'!AC33)</f>
        <v>0</v>
      </c>
      <c r="J46" s="161">
        <f>SUM('3 pr-3'!AD33)</f>
        <v>0</v>
      </c>
      <c r="K46" s="161">
        <f>SUM('3 pr-3'!AE33)</f>
        <v>0</v>
      </c>
      <c r="L46" s="1398">
        <f>SUM('3 pr-3'!V33)</f>
        <v>54456</v>
      </c>
    </row>
    <row r="47" spans="1:12" ht="48.75" thickTop="1" thickBot="1" x14ac:dyDescent="0.3">
      <c r="A47" s="159" t="s">
        <v>410</v>
      </c>
      <c r="B47" s="160" t="s">
        <v>411</v>
      </c>
      <c r="C47" s="160">
        <v>0</v>
      </c>
      <c r="D47" s="160">
        <v>0</v>
      </c>
      <c r="E47" s="160">
        <f>SUM('3 pr-3'!AS33)</f>
        <v>0</v>
      </c>
      <c r="F47" s="160">
        <f>SUM('3 pr-3'!AT33)</f>
        <v>0</v>
      </c>
      <c r="G47" s="160">
        <f>SUM('3 pr-3'!AU33)</f>
        <v>0</v>
      </c>
      <c r="H47" s="160">
        <f>SUM('3 pr-3'!AV33)</f>
        <v>200</v>
      </c>
      <c r="I47" s="160">
        <f>SUM('3 pr-3'!AW33)</f>
        <v>0</v>
      </c>
      <c r="J47" s="160">
        <f>SUM('3 pr-3'!AX33)</f>
        <v>0</v>
      </c>
      <c r="K47" s="160">
        <f>SUM('3 pr-3'!AY33)</f>
        <v>0</v>
      </c>
      <c r="L47" s="1397">
        <f>SUM('3 pr-3'!AP33)</f>
        <v>200</v>
      </c>
    </row>
    <row r="48" spans="1:12" ht="48.75" thickTop="1" thickBot="1" x14ac:dyDescent="0.3">
      <c r="A48" s="159" t="str">
        <f>CONCATENATE('3 pr-3'!L135)</f>
        <v>P.S.372</v>
      </c>
      <c r="B48" s="160" t="str">
        <f>CONCATENATE('3 pr-3'!M135)</f>
        <v>Tikslinių grupių asmenys, kurie dalyvavo informavimo, švietimo ir mokymo renginiuose bei sveikatos raštingumą didinančiose veiklose</v>
      </c>
      <c r="C48" s="160">
        <v>0</v>
      </c>
      <c r="D48" s="160">
        <v>0</v>
      </c>
      <c r="E48" s="160">
        <f>SUM('3 pr-3'!Y135)</f>
        <v>0</v>
      </c>
      <c r="F48" s="160">
        <f>SUM('3 pr-3'!Z135)</f>
        <v>2270</v>
      </c>
      <c r="G48" s="160">
        <f>SUM('3 pr-3'!AA135)</f>
        <v>2826</v>
      </c>
      <c r="H48" s="160">
        <f>SUM('3 pr-3'!AB135)</f>
        <v>2828</v>
      </c>
      <c r="I48" s="160">
        <f>SUM('3 pr-3'!AC135)</f>
        <v>1013</v>
      </c>
      <c r="J48" s="160">
        <f>SUM('3 pr-3'!AD135)</f>
        <v>0</v>
      </c>
      <c r="K48" s="160">
        <f>SUM('3 pr-3'!AE135)</f>
        <v>0</v>
      </c>
      <c r="L48" s="1397">
        <f>SUM('3 pr-3'!V135)</f>
        <v>8937</v>
      </c>
    </row>
    <row r="49" spans="1:12" ht="33" thickTop="1" thickBot="1" x14ac:dyDescent="0.3">
      <c r="A49" s="159" t="s">
        <v>837</v>
      </c>
      <c r="B49" s="160" t="s">
        <v>838</v>
      </c>
      <c r="C49" s="160">
        <v>0</v>
      </c>
      <c r="D49" s="160">
        <v>0</v>
      </c>
      <c r="E49" s="161">
        <f>SUM('3 pr-3'!CG114)</f>
        <v>0</v>
      </c>
      <c r="F49" s="161">
        <f>SUM('3 pr-3'!CH114)</f>
        <v>0</v>
      </c>
      <c r="G49" s="161">
        <f>SUM('3 pr-3'!CI114)</f>
        <v>79</v>
      </c>
      <c r="H49" s="161">
        <f>SUM('3 pr-3'!CJ114)</f>
        <v>61</v>
      </c>
      <c r="I49" s="161">
        <f>SUM('3 pr-3'!CK114)</f>
        <v>0</v>
      </c>
      <c r="J49" s="161">
        <f>SUM('3 pr-3'!CL114)</f>
        <v>0</v>
      </c>
      <c r="K49" s="161">
        <f>SUM('3 pr-3'!CM114)</f>
        <v>0</v>
      </c>
      <c r="L49" s="1398">
        <f>SUM('3 pr-3'!CD114)</f>
        <v>140</v>
      </c>
    </row>
    <row r="50" spans="1:12" ht="48.75" thickTop="1" thickBot="1" x14ac:dyDescent="0.3">
      <c r="A50" s="159" t="s">
        <v>557</v>
      </c>
      <c r="B50" s="160" t="s">
        <v>606</v>
      </c>
      <c r="C50" s="160">
        <v>0</v>
      </c>
      <c r="D50" s="160">
        <v>0</v>
      </c>
      <c r="E50" s="160">
        <f>SUM('3 pr-3'!Y161)</f>
        <v>0</v>
      </c>
      <c r="F50" s="160">
        <f>SUM('3 pr-3'!Z161)</f>
        <v>0</v>
      </c>
      <c r="G50" s="160">
        <f>SUM('3 pr-3'!AA161)</f>
        <v>39</v>
      </c>
      <c r="H50" s="160">
        <f>SUM('3 pr-3'!AB161)</f>
        <v>42</v>
      </c>
      <c r="I50" s="160">
        <f>SUM('3 pr-3'!AC161)</f>
        <v>2</v>
      </c>
      <c r="J50" s="160">
        <f>SUM('3 pr-3'!AD161)</f>
        <v>0</v>
      </c>
      <c r="K50" s="160">
        <f>SUM('3 pr-3'!AE161)</f>
        <v>0</v>
      </c>
      <c r="L50" s="1397">
        <f>SUM('3 pr-3'!V161)</f>
        <v>83</v>
      </c>
    </row>
    <row r="51" spans="1:12" ht="64.5" thickTop="1" thickBot="1" x14ac:dyDescent="0.3">
      <c r="A51" s="159" t="s">
        <v>559</v>
      </c>
      <c r="B51" s="160" t="s">
        <v>607</v>
      </c>
      <c r="C51" s="160">
        <v>0</v>
      </c>
      <c r="D51" s="160">
        <v>0</v>
      </c>
      <c r="E51" s="160">
        <f>SUM('3 pr-3'!AS161)</f>
        <v>0</v>
      </c>
      <c r="F51" s="160">
        <f>SUM('3 pr-3'!AT161)</f>
        <v>0</v>
      </c>
      <c r="G51" s="160">
        <f>SUM('3 pr-3'!AU161)</f>
        <v>178</v>
      </c>
      <c r="H51" s="160">
        <f>SUM('3 pr-3'!AV161)</f>
        <v>207</v>
      </c>
      <c r="I51" s="160">
        <f>SUM('3 pr-3'!AW161)</f>
        <v>20</v>
      </c>
      <c r="J51" s="160">
        <f>SUM('3 pr-3'!AX161)</f>
        <v>0</v>
      </c>
      <c r="K51" s="160">
        <f>SUM('3 pr-3'!AY161)</f>
        <v>0</v>
      </c>
      <c r="L51" s="1397">
        <f>SUM('3 pr-3'!AP161)</f>
        <v>405</v>
      </c>
    </row>
    <row r="52" spans="1:12" ht="33" thickTop="1" thickBot="1" x14ac:dyDescent="0.3">
      <c r="A52" s="159" t="s">
        <v>566</v>
      </c>
      <c r="B52" s="163" t="s">
        <v>608</v>
      </c>
      <c r="C52" s="160">
        <v>0</v>
      </c>
      <c r="D52" s="160">
        <v>0</v>
      </c>
      <c r="E52" s="160">
        <f>SUM('3 pr-3'!AS162)</f>
        <v>0</v>
      </c>
      <c r="F52" s="1510">
        <f>SUM('3 pr-3'!Z173)</f>
        <v>4.8900000000000006</v>
      </c>
      <c r="G52" s="1510">
        <f>SUM('3 pr-3'!AA173)</f>
        <v>37.601500000000001</v>
      </c>
      <c r="H52" s="1510">
        <f>SUM('3 pr-3'!AB173)</f>
        <v>0</v>
      </c>
      <c r="I52" s="1510">
        <f>SUM('3 pr-3'!AC173)</f>
        <v>0</v>
      </c>
      <c r="J52" s="1510">
        <f>SUM('3 pr-3'!AD173)</f>
        <v>0</v>
      </c>
      <c r="K52" s="1510">
        <f>SUM('3 pr-3'!AE173)</f>
        <v>2</v>
      </c>
      <c r="L52" s="1511">
        <f>SUM('3 pr-3'!V173)</f>
        <v>44.491500000000002</v>
      </c>
    </row>
    <row r="53" spans="1:12" ht="15.75" thickTop="1" x14ac:dyDescent="0.25"/>
    <row r="55" spans="1:12" ht="15.75" thickBot="1" x14ac:dyDescent="0.3">
      <c r="A55" s="1768" t="s">
        <v>1680</v>
      </c>
      <c r="B55" s="1563"/>
      <c r="C55" s="1563"/>
      <c r="D55" s="1563"/>
      <c r="E55" s="1563"/>
      <c r="F55" s="1563"/>
      <c r="G55" s="1563"/>
      <c r="H55" s="1563"/>
      <c r="I55" s="1563"/>
      <c r="J55" s="1563"/>
      <c r="K55" s="1563"/>
      <c r="L55" s="1563"/>
    </row>
    <row r="56" spans="1:12" ht="64.5" thickTop="1" thickBot="1" x14ac:dyDescent="0.3">
      <c r="A56" s="1394" t="s">
        <v>393</v>
      </c>
      <c r="B56" s="1395" t="s">
        <v>580</v>
      </c>
      <c r="C56" s="1395">
        <v>2015</v>
      </c>
      <c r="D56" s="1395">
        <v>2016</v>
      </c>
      <c r="E56" s="1395">
        <v>2017</v>
      </c>
      <c r="F56" s="1395">
        <v>2018</v>
      </c>
      <c r="G56" s="1395">
        <v>2019</v>
      </c>
      <c r="H56" s="1395">
        <v>2020</v>
      </c>
      <c r="I56" s="1395">
        <v>2021</v>
      </c>
      <c r="J56" s="1395">
        <v>2022</v>
      </c>
      <c r="K56" s="1395">
        <v>2023</v>
      </c>
      <c r="L56" s="1395" t="s">
        <v>581</v>
      </c>
    </row>
    <row r="57" spans="1:12" ht="48.75" thickTop="1" thickBot="1" x14ac:dyDescent="0.3">
      <c r="A57" s="159" t="s">
        <v>477</v>
      </c>
      <c r="B57" s="160" t="s">
        <v>478</v>
      </c>
      <c r="C57" s="161">
        <f t="shared" ref="C57:C73" si="0">SUM(C4)</f>
        <v>0</v>
      </c>
      <c r="D57" s="161">
        <f t="shared" ref="D57:K66" si="1">SUM(C57+D4)</f>
        <v>0</v>
      </c>
      <c r="E57" s="161">
        <f t="shared" si="1"/>
        <v>0</v>
      </c>
      <c r="F57" s="161">
        <f t="shared" si="1"/>
        <v>31</v>
      </c>
      <c r="G57" s="161">
        <f t="shared" si="1"/>
        <v>36</v>
      </c>
      <c r="H57" s="161">
        <f t="shared" si="1"/>
        <v>36</v>
      </c>
      <c r="I57" s="161">
        <f t="shared" si="1"/>
        <v>36</v>
      </c>
      <c r="J57" s="161">
        <f t="shared" si="1"/>
        <v>36</v>
      </c>
      <c r="K57" s="161">
        <f t="shared" si="1"/>
        <v>36</v>
      </c>
      <c r="L57" s="1398">
        <f t="shared" ref="L57:L104" si="2">SUM(L4)</f>
        <v>36</v>
      </c>
    </row>
    <row r="58" spans="1:12" ht="64.5" thickTop="1" thickBot="1" x14ac:dyDescent="0.3">
      <c r="A58" s="159" t="s">
        <v>479</v>
      </c>
      <c r="B58" s="160" t="s">
        <v>480</v>
      </c>
      <c r="C58" s="161">
        <f t="shared" si="0"/>
        <v>0</v>
      </c>
      <c r="D58" s="161">
        <f t="shared" si="1"/>
        <v>0</v>
      </c>
      <c r="E58" s="161">
        <f t="shared" si="1"/>
        <v>0</v>
      </c>
      <c r="F58" s="161">
        <f t="shared" si="1"/>
        <v>6394</v>
      </c>
      <c r="G58" s="161">
        <f t="shared" si="1"/>
        <v>7557</v>
      </c>
      <c r="H58" s="161">
        <f t="shared" si="1"/>
        <v>7557</v>
      </c>
      <c r="I58" s="161">
        <f t="shared" si="1"/>
        <v>7557</v>
      </c>
      <c r="J58" s="161">
        <f t="shared" si="1"/>
        <v>7557</v>
      </c>
      <c r="K58" s="161">
        <f t="shared" si="1"/>
        <v>7557</v>
      </c>
      <c r="L58" s="1398">
        <f t="shared" si="2"/>
        <v>7557</v>
      </c>
    </row>
    <row r="59" spans="1:12" ht="48.75" thickTop="1" thickBot="1" x14ac:dyDescent="0.3">
      <c r="A59" s="159" t="s">
        <v>481</v>
      </c>
      <c r="B59" s="160" t="s">
        <v>482</v>
      </c>
      <c r="C59" s="161">
        <f t="shared" si="0"/>
        <v>0</v>
      </c>
      <c r="D59" s="161">
        <f t="shared" si="1"/>
        <v>0</v>
      </c>
      <c r="E59" s="161">
        <f t="shared" si="1"/>
        <v>0</v>
      </c>
      <c r="F59" s="161">
        <f t="shared" si="1"/>
        <v>18</v>
      </c>
      <c r="G59" s="161">
        <f t="shared" si="1"/>
        <v>23</v>
      </c>
      <c r="H59" s="161">
        <f t="shared" si="1"/>
        <v>23</v>
      </c>
      <c r="I59" s="161">
        <f t="shared" si="1"/>
        <v>23</v>
      </c>
      <c r="J59" s="161">
        <f t="shared" si="1"/>
        <v>23</v>
      </c>
      <c r="K59" s="161">
        <f t="shared" si="1"/>
        <v>23</v>
      </c>
      <c r="L59" s="1398">
        <f t="shared" si="2"/>
        <v>23</v>
      </c>
    </row>
    <row r="60" spans="1:12" ht="48.75" thickTop="1" thickBot="1" x14ac:dyDescent="0.3">
      <c r="A60" s="159" t="s">
        <v>1683</v>
      </c>
      <c r="B60" s="160" t="s">
        <v>1684</v>
      </c>
      <c r="C60" s="161">
        <f t="shared" si="0"/>
        <v>0</v>
      </c>
      <c r="D60" s="161">
        <f t="shared" si="1"/>
        <v>0</v>
      </c>
      <c r="E60" s="161">
        <f t="shared" si="1"/>
        <v>0</v>
      </c>
      <c r="F60" s="161">
        <f t="shared" si="1"/>
        <v>0</v>
      </c>
      <c r="G60" s="161">
        <f t="shared" si="1"/>
        <v>0</v>
      </c>
      <c r="H60" s="161">
        <f t="shared" si="1"/>
        <v>0</v>
      </c>
      <c r="I60" s="161">
        <f t="shared" si="1"/>
        <v>0</v>
      </c>
      <c r="J60" s="161">
        <f t="shared" si="1"/>
        <v>0</v>
      </c>
      <c r="K60" s="161">
        <f t="shared" si="1"/>
        <v>0</v>
      </c>
      <c r="L60" s="1398">
        <f t="shared" si="2"/>
        <v>3500</v>
      </c>
    </row>
    <row r="61" spans="1:12" ht="32.25" customHeight="1" thickTop="1" thickBot="1" x14ac:dyDescent="0.3">
      <c r="A61" s="159" t="s">
        <v>529</v>
      </c>
      <c r="B61" s="160" t="s">
        <v>530</v>
      </c>
      <c r="C61" s="486">
        <f t="shared" si="0"/>
        <v>0</v>
      </c>
      <c r="D61" s="486">
        <f t="shared" si="1"/>
        <v>0</v>
      </c>
      <c r="E61" s="486">
        <f t="shared" si="1"/>
        <v>0</v>
      </c>
      <c r="F61" s="486">
        <f t="shared" si="1"/>
        <v>0</v>
      </c>
      <c r="G61" s="486">
        <f t="shared" si="1"/>
        <v>2.59</v>
      </c>
      <c r="H61" s="486">
        <f t="shared" si="1"/>
        <v>3.37</v>
      </c>
      <c r="I61" s="486">
        <f t="shared" si="1"/>
        <v>3.37</v>
      </c>
      <c r="J61" s="486">
        <f t="shared" si="1"/>
        <v>3.37</v>
      </c>
      <c r="K61" s="486">
        <f t="shared" si="1"/>
        <v>3.37</v>
      </c>
      <c r="L61" s="1401">
        <f t="shared" si="2"/>
        <v>3.37</v>
      </c>
    </row>
    <row r="62" spans="1:12" ht="33" thickTop="1" thickBot="1" x14ac:dyDescent="0.3">
      <c r="A62" s="159" t="s">
        <v>537</v>
      </c>
      <c r="B62" s="160" t="s">
        <v>538</v>
      </c>
      <c r="C62" s="161">
        <f t="shared" si="0"/>
        <v>0</v>
      </c>
      <c r="D62" s="161">
        <f t="shared" si="1"/>
        <v>0</v>
      </c>
      <c r="E62" s="161">
        <f t="shared" si="1"/>
        <v>0</v>
      </c>
      <c r="F62" s="161">
        <f t="shared" si="1"/>
        <v>880</v>
      </c>
      <c r="G62" s="161">
        <f t="shared" si="1"/>
        <v>3821</v>
      </c>
      <c r="H62" s="161">
        <f t="shared" si="1"/>
        <v>5893</v>
      </c>
      <c r="I62" s="161">
        <f t="shared" si="1"/>
        <v>5893</v>
      </c>
      <c r="J62" s="161">
        <f t="shared" si="1"/>
        <v>5893</v>
      </c>
      <c r="K62" s="161">
        <f t="shared" si="1"/>
        <v>5893</v>
      </c>
      <c r="L62" s="1398">
        <f t="shared" si="2"/>
        <v>5893</v>
      </c>
    </row>
    <row r="63" spans="1:12" ht="33" thickTop="1" thickBot="1" x14ac:dyDescent="0.3">
      <c r="A63" s="159" t="s">
        <v>543</v>
      </c>
      <c r="B63" s="160" t="s">
        <v>582</v>
      </c>
      <c r="C63" s="161">
        <f t="shared" si="0"/>
        <v>0</v>
      </c>
      <c r="D63" s="161">
        <f t="shared" si="1"/>
        <v>0</v>
      </c>
      <c r="E63" s="161">
        <f t="shared" si="1"/>
        <v>0</v>
      </c>
      <c r="F63" s="161">
        <f t="shared" si="1"/>
        <v>0</v>
      </c>
      <c r="G63" s="1436">
        <f t="shared" si="1"/>
        <v>2458</v>
      </c>
      <c r="H63" s="1436">
        <f t="shared" si="1"/>
        <v>24601</v>
      </c>
      <c r="I63" s="1436">
        <f t="shared" si="1"/>
        <v>50671</v>
      </c>
      <c r="J63" s="1436">
        <f t="shared" si="1"/>
        <v>50671</v>
      </c>
      <c r="K63" s="1436">
        <f t="shared" si="1"/>
        <v>50671</v>
      </c>
      <c r="L63" s="1437">
        <f t="shared" si="2"/>
        <v>50671</v>
      </c>
    </row>
    <row r="64" spans="1:12" ht="33" thickTop="1" thickBot="1" x14ac:dyDescent="0.3">
      <c r="A64" s="159" t="s">
        <v>489</v>
      </c>
      <c r="B64" s="160" t="s">
        <v>583</v>
      </c>
      <c r="C64" s="161">
        <f t="shared" si="0"/>
        <v>0</v>
      </c>
      <c r="D64" s="161">
        <f t="shared" si="1"/>
        <v>0</v>
      </c>
      <c r="E64" s="161">
        <f t="shared" si="1"/>
        <v>0</v>
      </c>
      <c r="F64" s="161">
        <f t="shared" si="1"/>
        <v>43844.5</v>
      </c>
      <c r="G64" s="161">
        <f t="shared" si="1"/>
        <v>200301.91</v>
      </c>
      <c r="H64" s="161">
        <f t="shared" si="1"/>
        <v>256364.91</v>
      </c>
      <c r="I64" s="161">
        <f t="shared" si="1"/>
        <v>256364.91</v>
      </c>
      <c r="J64" s="161">
        <f t="shared" si="1"/>
        <v>256364.91</v>
      </c>
      <c r="K64" s="161">
        <f t="shared" si="1"/>
        <v>256364.91</v>
      </c>
      <c r="L64" s="1398">
        <f t="shared" si="2"/>
        <v>256364.91</v>
      </c>
    </row>
    <row r="65" spans="1:12" ht="33" thickTop="1" thickBot="1" x14ac:dyDescent="0.3">
      <c r="A65" s="159" t="s">
        <v>491</v>
      </c>
      <c r="B65" s="160" t="s">
        <v>492</v>
      </c>
      <c r="C65" s="161">
        <f t="shared" si="0"/>
        <v>0</v>
      </c>
      <c r="D65" s="161">
        <f t="shared" si="1"/>
        <v>0</v>
      </c>
      <c r="E65" s="161">
        <f t="shared" si="1"/>
        <v>0</v>
      </c>
      <c r="F65" s="161">
        <f t="shared" si="1"/>
        <v>690.97</v>
      </c>
      <c r="G65" s="161">
        <f t="shared" si="1"/>
        <v>725.53</v>
      </c>
      <c r="H65" s="161">
        <f t="shared" si="1"/>
        <v>725.53</v>
      </c>
      <c r="I65" s="161">
        <f t="shared" si="1"/>
        <v>725.53</v>
      </c>
      <c r="J65" s="161">
        <f t="shared" si="1"/>
        <v>725.53</v>
      </c>
      <c r="K65" s="161">
        <f t="shared" si="1"/>
        <v>725.53</v>
      </c>
      <c r="L65" s="1398">
        <f t="shared" si="2"/>
        <v>725.53</v>
      </c>
    </row>
    <row r="66" spans="1:12" ht="33" thickTop="1" thickBot="1" x14ac:dyDescent="0.3">
      <c r="A66" s="159" t="s">
        <v>510</v>
      </c>
      <c r="B66" s="160" t="s">
        <v>584</v>
      </c>
      <c r="C66" s="161">
        <f t="shared" si="0"/>
        <v>0</v>
      </c>
      <c r="D66" s="161">
        <f t="shared" si="1"/>
        <v>0</v>
      </c>
      <c r="E66" s="161">
        <f t="shared" si="1"/>
        <v>0</v>
      </c>
      <c r="F66" s="161">
        <f t="shared" si="1"/>
        <v>0</v>
      </c>
      <c r="G66" s="161">
        <f t="shared" si="1"/>
        <v>0</v>
      </c>
      <c r="H66" s="161">
        <f t="shared" si="1"/>
        <v>26</v>
      </c>
      <c r="I66" s="161">
        <f t="shared" si="1"/>
        <v>26</v>
      </c>
      <c r="J66" s="161">
        <f t="shared" si="1"/>
        <v>26</v>
      </c>
      <c r="K66" s="161">
        <f t="shared" si="1"/>
        <v>26</v>
      </c>
      <c r="L66" s="1398">
        <f t="shared" si="2"/>
        <v>26</v>
      </c>
    </row>
    <row r="67" spans="1:12" ht="48.75" thickTop="1" thickBot="1" x14ac:dyDescent="0.3">
      <c r="A67" s="159" t="s">
        <v>495</v>
      </c>
      <c r="B67" s="160" t="s">
        <v>585</v>
      </c>
      <c r="C67" s="161">
        <f t="shared" si="0"/>
        <v>0</v>
      </c>
      <c r="D67" s="161">
        <f t="shared" ref="D67:K76" si="3">SUM(C67+D14)</f>
        <v>0</v>
      </c>
      <c r="E67" s="161">
        <f t="shared" si="3"/>
        <v>0</v>
      </c>
      <c r="F67" s="161">
        <f t="shared" si="3"/>
        <v>0</v>
      </c>
      <c r="G67" s="161">
        <f t="shared" si="3"/>
        <v>240</v>
      </c>
      <c r="H67" s="161">
        <f t="shared" si="3"/>
        <v>478</v>
      </c>
      <c r="I67" s="161">
        <f t="shared" si="3"/>
        <v>900</v>
      </c>
      <c r="J67" s="161">
        <f t="shared" si="3"/>
        <v>900</v>
      </c>
      <c r="K67" s="161">
        <f t="shared" si="3"/>
        <v>900</v>
      </c>
      <c r="L67" s="1398">
        <f t="shared" si="2"/>
        <v>900</v>
      </c>
    </row>
    <row r="68" spans="1:12" ht="48.75" thickTop="1" thickBot="1" x14ac:dyDescent="0.3">
      <c r="A68" s="159" t="s">
        <v>503</v>
      </c>
      <c r="B68" s="160" t="s">
        <v>586</v>
      </c>
      <c r="C68" s="161">
        <f t="shared" si="0"/>
        <v>0</v>
      </c>
      <c r="D68" s="161">
        <f t="shared" si="3"/>
        <v>0</v>
      </c>
      <c r="E68" s="161">
        <f t="shared" si="3"/>
        <v>0</v>
      </c>
      <c r="F68" s="486">
        <f t="shared" si="3"/>
        <v>0</v>
      </c>
      <c r="G68" s="161">
        <f t="shared" si="3"/>
        <v>0</v>
      </c>
      <c r="H68" s="161">
        <f t="shared" si="3"/>
        <v>25450</v>
      </c>
      <c r="I68" s="161">
        <f t="shared" si="3"/>
        <v>41337</v>
      </c>
      <c r="J68" s="161">
        <f t="shared" si="3"/>
        <v>41337</v>
      </c>
      <c r="K68" s="161">
        <f t="shared" si="3"/>
        <v>41337</v>
      </c>
      <c r="L68" s="1398">
        <f t="shared" si="2"/>
        <v>41337</v>
      </c>
    </row>
    <row r="69" spans="1:12" ht="33" thickTop="1" thickBot="1" x14ac:dyDescent="0.3">
      <c r="A69" s="159" t="s">
        <v>497</v>
      </c>
      <c r="B69" s="160" t="s">
        <v>587</v>
      </c>
      <c r="C69" s="161">
        <f t="shared" si="0"/>
        <v>0</v>
      </c>
      <c r="D69" s="161">
        <f t="shared" si="3"/>
        <v>0</v>
      </c>
      <c r="E69" s="161">
        <f t="shared" si="3"/>
        <v>0</v>
      </c>
      <c r="F69" s="161">
        <f t="shared" si="3"/>
        <v>0</v>
      </c>
      <c r="G69" s="161">
        <f t="shared" si="3"/>
        <v>210</v>
      </c>
      <c r="H69" s="161">
        <f t="shared" si="3"/>
        <v>1008</v>
      </c>
      <c r="I69" s="161">
        <f t="shared" si="3"/>
        <v>1439</v>
      </c>
      <c r="J69" s="161">
        <f t="shared" si="3"/>
        <v>1439</v>
      </c>
      <c r="K69" s="161">
        <f t="shared" si="3"/>
        <v>1439</v>
      </c>
      <c r="L69" s="1398">
        <f t="shared" si="2"/>
        <v>1439</v>
      </c>
    </row>
    <row r="70" spans="1:12" ht="48.75" thickTop="1" thickBot="1" x14ac:dyDescent="0.3">
      <c r="A70" s="159" t="s">
        <v>499</v>
      </c>
      <c r="B70" s="160" t="s">
        <v>588</v>
      </c>
      <c r="C70" s="161">
        <f t="shared" si="0"/>
        <v>0</v>
      </c>
      <c r="D70" s="161">
        <f t="shared" si="3"/>
        <v>0</v>
      </c>
      <c r="E70" s="161">
        <f t="shared" si="3"/>
        <v>0</v>
      </c>
      <c r="F70" s="161">
        <f t="shared" si="3"/>
        <v>0</v>
      </c>
      <c r="G70" s="161">
        <f t="shared" si="3"/>
        <v>210</v>
      </c>
      <c r="H70" s="161">
        <f t="shared" si="3"/>
        <v>1449</v>
      </c>
      <c r="I70" s="161">
        <f t="shared" si="3"/>
        <v>1449</v>
      </c>
      <c r="J70" s="161">
        <f t="shared" si="3"/>
        <v>1449</v>
      </c>
      <c r="K70" s="161">
        <f t="shared" si="3"/>
        <v>1449</v>
      </c>
      <c r="L70" s="1398">
        <f t="shared" si="2"/>
        <v>1449</v>
      </c>
    </row>
    <row r="71" spans="1:12" ht="48.75" thickTop="1" thickBot="1" x14ac:dyDescent="0.3">
      <c r="A71" s="159" t="s">
        <v>575</v>
      </c>
      <c r="B71" s="160" t="s">
        <v>579</v>
      </c>
      <c r="C71" s="161">
        <f t="shared" si="0"/>
        <v>0</v>
      </c>
      <c r="D71" s="161">
        <f t="shared" si="3"/>
        <v>0</v>
      </c>
      <c r="E71" s="161">
        <f t="shared" si="3"/>
        <v>0</v>
      </c>
      <c r="F71" s="161">
        <f t="shared" si="3"/>
        <v>1</v>
      </c>
      <c r="G71" s="161">
        <f t="shared" si="3"/>
        <v>1</v>
      </c>
      <c r="H71" s="161">
        <f t="shared" si="3"/>
        <v>1</v>
      </c>
      <c r="I71" s="161">
        <f t="shared" si="3"/>
        <v>2</v>
      </c>
      <c r="J71" s="161">
        <f t="shared" si="3"/>
        <v>2</v>
      </c>
      <c r="K71" s="161">
        <f t="shared" si="3"/>
        <v>2</v>
      </c>
      <c r="L71" s="1398">
        <f t="shared" si="2"/>
        <v>2</v>
      </c>
    </row>
    <row r="72" spans="1:12" ht="33" thickTop="1" thickBot="1" x14ac:dyDescent="0.3">
      <c r="A72" s="159" t="s">
        <v>568</v>
      </c>
      <c r="B72" s="162" t="s">
        <v>589</v>
      </c>
      <c r="C72" s="161">
        <f t="shared" si="0"/>
        <v>0</v>
      </c>
      <c r="D72" s="161">
        <f t="shared" si="3"/>
        <v>0</v>
      </c>
      <c r="E72" s="161">
        <f t="shared" si="3"/>
        <v>0</v>
      </c>
      <c r="F72" s="161">
        <f t="shared" si="3"/>
        <v>23</v>
      </c>
      <c r="G72" s="161">
        <f t="shared" si="3"/>
        <v>54</v>
      </c>
      <c r="H72" s="161">
        <f t="shared" si="3"/>
        <v>54</v>
      </c>
      <c r="I72" s="161">
        <f t="shared" si="3"/>
        <v>62</v>
      </c>
      <c r="J72" s="161">
        <f t="shared" si="3"/>
        <v>62</v>
      </c>
      <c r="K72" s="161">
        <f t="shared" si="3"/>
        <v>62</v>
      </c>
      <c r="L72" s="1398">
        <f t="shared" si="2"/>
        <v>62</v>
      </c>
    </row>
    <row r="73" spans="1:12" ht="17.25" thickTop="1" thickBot="1" x14ac:dyDescent="0.3">
      <c r="A73" s="159" t="s">
        <v>570</v>
      </c>
      <c r="B73" s="162" t="s">
        <v>571</v>
      </c>
      <c r="C73" s="161">
        <f t="shared" si="0"/>
        <v>0</v>
      </c>
      <c r="D73" s="161">
        <f t="shared" si="3"/>
        <v>0</v>
      </c>
      <c r="E73" s="161">
        <f t="shared" si="3"/>
        <v>0</v>
      </c>
      <c r="F73" s="161">
        <f t="shared" si="3"/>
        <v>0</v>
      </c>
      <c r="G73" s="161">
        <f t="shared" si="3"/>
        <v>3</v>
      </c>
      <c r="H73" s="161">
        <f t="shared" si="3"/>
        <v>3</v>
      </c>
      <c r="I73" s="161">
        <f t="shared" si="3"/>
        <v>3</v>
      </c>
      <c r="J73" s="161">
        <f t="shared" si="3"/>
        <v>3</v>
      </c>
      <c r="K73" s="161">
        <f t="shared" si="3"/>
        <v>3</v>
      </c>
      <c r="L73" s="1398">
        <f t="shared" si="2"/>
        <v>3</v>
      </c>
    </row>
    <row r="74" spans="1:12" ht="17.25" thickTop="1" thickBot="1" x14ac:dyDescent="0.3">
      <c r="A74" s="159" t="s">
        <v>514</v>
      </c>
      <c r="B74" s="162" t="s">
        <v>590</v>
      </c>
      <c r="C74" s="161">
        <f>SUM(C20)</f>
        <v>0</v>
      </c>
      <c r="D74" s="161">
        <f t="shared" si="3"/>
        <v>0</v>
      </c>
      <c r="E74" s="161">
        <f t="shared" si="3"/>
        <v>0</v>
      </c>
      <c r="F74" s="161">
        <f t="shared" si="3"/>
        <v>4</v>
      </c>
      <c r="G74" s="161">
        <f t="shared" si="3"/>
        <v>4</v>
      </c>
      <c r="H74" s="161">
        <f t="shared" si="3"/>
        <v>5</v>
      </c>
      <c r="I74" s="161">
        <f t="shared" si="3"/>
        <v>5</v>
      </c>
      <c r="J74" s="161">
        <f t="shared" si="3"/>
        <v>5</v>
      </c>
      <c r="K74" s="161">
        <f t="shared" si="3"/>
        <v>5</v>
      </c>
      <c r="L74" s="1398">
        <f t="shared" si="2"/>
        <v>5</v>
      </c>
    </row>
    <row r="75" spans="1:12" ht="17.25" thickTop="1" thickBot="1" x14ac:dyDescent="0.3">
      <c r="A75" s="159" t="s">
        <v>846</v>
      </c>
      <c r="B75" s="162" t="s">
        <v>847</v>
      </c>
      <c r="C75" s="161">
        <f>SUM(C21)</f>
        <v>0</v>
      </c>
      <c r="D75" s="161">
        <f t="shared" si="3"/>
        <v>0</v>
      </c>
      <c r="E75" s="161">
        <f t="shared" si="3"/>
        <v>1</v>
      </c>
      <c r="F75" s="161">
        <f t="shared" si="3"/>
        <v>2</v>
      </c>
      <c r="G75" s="161">
        <f t="shared" si="3"/>
        <v>2</v>
      </c>
      <c r="H75" s="161">
        <f t="shared" si="3"/>
        <v>2</v>
      </c>
      <c r="I75" s="161">
        <f t="shared" si="3"/>
        <v>2</v>
      </c>
      <c r="J75" s="161">
        <f t="shared" si="3"/>
        <v>2</v>
      </c>
      <c r="K75" s="161">
        <f t="shared" si="3"/>
        <v>2</v>
      </c>
      <c r="L75" s="1398">
        <f t="shared" si="2"/>
        <v>2</v>
      </c>
    </row>
    <row r="76" spans="1:12" ht="17.25" thickTop="1" thickBot="1" x14ac:dyDescent="0.3">
      <c r="A76" s="159" t="s">
        <v>533</v>
      </c>
      <c r="B76" s="162" t="s">
        <v>534</v>
      </c>
      <c r="C76" s="161">
        <f t="shared" ref="C76:C105" si="4">SUM(C23)</f>
        <v>0</v>
      </c>
      <c r="D76" s="161">
        <f t="shared" si="3"/>
        <v>0</v>
      </c>
      <c r="E76" s="161">
        <f t="shared" si="3"/>
        <v>0</v>
      </c>
      <c r="F76" s="161">
        <f t="shared" si="3"/>
        <v>0.72</v>
      </c>
      <c r="G76" s="161">
        <f t="shared" si="3"/>
        <v>0.72</v>
      </c>
      <c r="H76" s="161">
        <f t="shared" si="3"/>
        <v>0.72</v>
      </c>
      <c r="I76" s="161">
        <f t="shared" si="3"/>
        <v>0.72</v>
      </c>
      <c r="J76" s="161">
        <f t="shared" si="3"/>
        <v>0.72</v>
      </c>
      <c r="K76" s="161">
        <f t="shared" si="3"/>
        <v>0.72</v>
      </c>
      <c r="L76" s="1398">
        <f t="shared" si="2"/>
        <v>0.72</v>
      </c>
    </row>
    <row r="77" spans="1:12" ht="48.75" thickTop="1" thickBot="1" x14ac:dyDescent="0.3">
      <c r="A77" s="159" t="s">
        <v>1485</v>
      </c>
      <c r="B77" s="162" t="s">
        <v>1486</v>
      </c>
      <c r="C77" s="161">
        <f t="shared" si="4"/>
        <v>0</v>
      </c>
      <c r="D77" s="161">
        <f t="shared" ref="D77:K86" si="5">SUM(C77+D24)</f>
        <v>0</v>
      </c>
      <c r="E77" s="161">
        <f t="shared" si="5"/>
        <v>0</v>
      </c>
      <c r="F77" s="161">
        <f t="shared" si="5"/>
        <v>0</v>
      </c>
      <c r="G77" s="161">
        <f t="shared" si="5"/>
        <v>0</v>
      </c>
      <c r="H77" s="161">
        <f t="shared" si="5"/>
        <v>50</v>
      </c>
      <c r="I77" s="161">
        <f t="shared" si="5"/>
        <v>180</v>
      </c>
      <c r="J77" s="161">
        <f t="shared" si="5"/>
        <v>180</v>
      </c>
      <c r="K77" s="161">
        <f t="shared" si="5"/>
        <v>180</v>
      </c>
      <c r="L77" s="1398">
        <f t="shared" si="2"/>
        <v>180</v>
      </c>
    </row>
    <row r="78" spans="1:12" ht="28.5" customHeight="1" thickTop="1" thickBot="1" x14ac:dyDescent="0.3">
      <c r="A78" s="159" t="str">
        <f>CONCATENATE(A25)</f>
        <v>P.N.671</v>
      </c>
      <c r="B78" s="159" t="str">
        <f>CONCATENATE(B25)</f>
        <v>Modernizuoti savivaldybių visuomenės sveikatos biurai</v>
      </c>
      <c r="C78" s="161">
        <f t="shared" si="4"/>
        <v>0</v>
      </c>
      <c r="D78" s="161">
        <f t="shared" si="5"/>
        <v>0</v>
      </c>
      <c r="E78" s="161">
        <f t="shared" si="5"/>
        <v>0</v>
      </c>
      <c r="F78" s="161">
        <f t="shared" si="5"/>
        <v>1</v>
      </c>
      <c r="G78" s="161">
        <f t="shared" si="5"/>
        <v>1</v>
      </c>
      <c r="H78" s="161">
        <f t="shared" si="5"/>
        <v>1</v>
      </c>
      <c r="I78" s="161">
        <f t="shared" si="5"/>
        <v>2</v>
      </c>
      <c r="J78" s="161">
        <f t="shared" si="5"/>
        <v>2</v>
      </c>
      <c r="K78" s="161">
        <f t="shared" si="5"/>
        <v>2</v>
      </c>
      <c r="L78" s="1398">
        <f t="shared" si="2"/>
        <v>2</v>
      </c>
    </row>
    <row r="79" spans="1:12" ht="33" thickTop="1" thickBot="1" x14ac:dyDescent="0.3">
      <c r="A79" s="159" t="s">
        <v>541</v>
      </c>
      <c r="B79" s="162" t="s">
        <v>591</v>
      </c>
      <c r="C79" s="161">
        <f t="shared" si="4"/>
        <v>0</v>
      </c>
      <c r="D79" s="161">
        <f t="shared" si="5"/>
        <v>0</v>
      </c>
      <c r="E79" s="161">
        <f t="shared" si="5"/>
        <v>0</v>
      </c>
      <c r="F79" s="161">
        <f t="shared" si="5"/>
        <v>0</v>
      </c>
      <c r="G79" s="161">
        <f t="shared" si="5"/>
        <v>4</v>
      </c>
      <c r="H79" s="161">
        <f t="shared" si="5"/>
        <v>5</v>
      </c>
      <c r="I79" s="161">
        <f t="shared" si="5"/>
        <v>5</v>
      </c>
      <c r="J79" s="161">
        <f t="shared" si="5"/>
        <v>5</v>
      </c>
      <c r="K79" s="161">
        <f t="shared" si="5"/>
        <v>5</v>
      </c>
      <c r="L79" s="1398">
        <f t="shared" si="2"/>
        <v>5</v>
      </c>
    </row>
    <row r="80" spans="1:12" ht="33" thickTop="1" thickBot="1" x14ac:dyDescent="0.3">
      <c r="A80" s="159" t="s">
        <v>592</v>
      </c>
      <c r="B80" s="162" t="s">
        <v>593</v>
      </c>
      <c r="C80" s="161">
        <f t="shared" si="4"/>
        <v>0</v>
      </c>
      <c r="D80" s="161">
        <f t="shared" si="5"/>
        <v>0</v>
      </c>
      <c r="E80" s="161">
        <f t="shared" si="5"/>
        <v>0</v>
      </c>
      <c r="F80" s="161">
        <f t="shared" si="5"/>
        <v>0</v>
      </c>
      <c r="G80" s="161">
        <f t="shared" si="5"/>
        <v>6</v>
      </c>
      <c r="H80" s="161">
        <f t="shared" si="5"/>
        <v>8</v>
      </c>
      <c r="I80" s="161">
        <f t="shared" si="5"/>
        <v>8</v>
      </c>
      <c r="J80" s="161">
        <f t="shared" si="5"/>
        <v>8</v>
      </c>
      <c r="K80" s="161">
        <f t="shared" si="5"/>
        <v>8</v>
      </c>
      <c r="L80" s="1398">
        <f t="shared" si="2"/>
        <v>8</v>
      </c>
    </row>
    <row r="81" spans="1:12" ht="33" thickTop="1" thickBot="1" x14ac:dyDescent="0.3">
      <c r="A81" s="159" t="s">
        <v>594</v>
      </c>
      <c r="B81" s="162" t="s">
        <v>595</v>
      </c>
      <c r="C81" s="161">
        <f t="shared" si="4"/>
        <v>0</v>
      </c>
      <c r="D81" s="161">
        <f t="shared" si="5"/>
        <v>0</v>
      </c>
      <c r="E81" s="161">
        <f t="shared" si="5"/>
        <v>0</v>
      </c>
      <c r="F81" s="161">
        <f t="shared" si="5"/>
        <v>2</v>
      </c>
      <c r="G81" s="161">
        <f t="shared" si="5"/>
        <v>2</v>
      </c>
      <c r="H81" s="161">
        <f t="shared" si="5"/>
        <v>5</v>
      </c>
      <c r="I81" s="161">
        <f t="shared" si="5"/>
        <v>5</v>
      </c>
      <c r="J81" s="161">
        <f t="shared" si="5"/>
        <v>5</v>
      </c>
      <c r="K81" s="161">
        <f t="shared" si="5"/>
        <v>5</v>
      </c>
      <c r="L81" s="1398">
        <f t="shared" si="2"/>
        <v>5</v>
      </c>
    </row>
    <row r="82" spans="1:12" ht="33" thickTop="1" thickBot="1" x14ac:dyDescent="0.3">
      <c r="A82" s="159" t="s">
        <v>629</v>
      </c>
      <c r="B82" s="162" t="s">
        <v>630</v>
      </c>
      <c r="C82" s="161">
        <f t="shared" si="4"/>
        <v>0</v>
      </c>
      <c r="D82" s="161">
        <f t="shared" si="5"/>
        <v>0</v>
      </c>
      <c r="E82" s="161">
        <f t="shared" si="5"/>
        <v>0</v>
      </c>
      <c r="F82" s="161">
        <f t="shared" si="5"/>
        <v>0</v>
      </c>
      <c r="G82" s="161">
        <f t="shared" si="5"/>
        <v>10</v>
      </c>
      <c r="H82" s="161">
        <f t="shared" si="5"/>
        <v>16</v>
      </c>
      <c r="I82" s="161">
        <f t="shared" si="5"/>
        <v>16</v>
      </c>
      <c r="J82" s="161">
        <f t="shared" si="5"/>
        <v>16</v>
      </c>
      <c r="K82" s="161">
        <f t="shared" si="5"/>
        <v>16</v>
      </c>
      <c r="L82" s="1398">
        <f t="shared" si="2"/>
        <v>16</v>
      </c>
    </row>
    <row r="83" spans="1:12" ht="17.25" thickTop="1" thickBot="1" x14ac:dyDescent="0.3">
      <c r="A83" s="159" t="s">
        <v>596</v>
      </c>
      <c r="B83" s="162" t="s">
        <v>513</v>
      </c>
      <c r="C83" s="161">
        <f t="shared" si="4"/>
        <v>0</v>
      </c>
      <c r="D83" s="161">
        <f t="shared" si="5"/>
        <v>0</v>
      </c>
      <c r="E83" s="161">
        <f t="shared" si="5"/>
        <v>0</v>
      </c>
      <c r="F83" s="161">
        <f t="shared" si="5"/>
        <v>0</v>
      </c>
      <c r="G83" s="161">
        <f t="shared" si="5"/>
        <v>595</v>
      </c>
      <c r="H83" s="161">
        <f t="shared" si="5"/>
        <v>633</v>
      </c>
      <c r="I83" s="161">
        <f t="shared" si="5"/>
        <v>633</v>
      </c>
      <c r="J83" s="161">
        <f t="shared" si="5"/>
        <v>633</v>
      </c>
      <c r="K83" s="161">
        <f t="shared" si="5"/>
        <v>633</v>
      </c>
      <c r="L83" s="1398">
        <f t="shared" si="2"/>
        <v>633</v>
      </c>
    </row>
    <row r="84" spans="1:12" ht="17.25" thickTop="1" thickBot="1" x14ac:dyDescent="0.3">
      <c r="A84" s="159" t="s">
        <v>561</v>
      </c>
      <c r="B84" s="162" t="s">
        <v>562</v>
      </c>
      <c r="C84" s="161">
        <f t="shared" si="4"/>
        <v>0</v>
      </c>
      <c r="D84" s="161">
        <f t="shared" si="5"/>
        <v>0</v>
      </c>
      <c r="E84" s="161">
        <f t="shared" si="5"/>
        <v>0</v>
      </c>
      <c r="F84" s="161">
        <f t="shared" si="5"/>
        <v>0</v>
      </c>
      <c r="G84" s="161">
        <f t="shared" si="5"/>
        <v>2</v>
      </c>
      <c r="H84" s="161">
        <f t="shared" si="5"/>
        <v>2</v>
      </c>
      <c r="I84" s="161">
        <f t="shared" si="5"/>
        <v>3</v>
      </c>
      <c r="J84" s="161">
        <f t="shared" si="5"/>
        <v>3</v>
      </c>
      <c r="K84" s="161">
        <f t="shared" si="5"/>
        <v>3</v>
      </c>
      <c r="L84" s="1398">
        <f t="shared" si="2"/>
        <v>3</v>
      </c>
    </row>
    <row r="85" spans="1:12" ht="33" thickTop="1" thickBot="1" x14ac:dyDescent="0.3">
      <c r="A85" s="159" t="s">
        <v>524</v>
      </c>
      <c r="B85" s="162" t="s">
        <v>597</v>
      </c>
      <c r="C85" s="161">
        <f t="shared" si="4"/>
        <v>0</v>
      </c>
      <c r="D85" s="161">
        <f t="shared" si="5"/>
        <v>0</v>
      </c>
      <c r="E85" s="161">
        <f t="shared" si="5"/>
        <v>0</v>
      </c>
      <c r="F85" s="486">
        <f t="shared" si="5"/>
        <v>1.73</v>
      </c>
      <c r="G85" s="486">
        <f t="shared" si="5"/>
        <v>3.694</v>
      </c>
      <c r="H85" s="486">
        <f t="shared" si="5"/>
        <v>3.694</v>
      </c>
      <c r="I85" s="486">
        <f t="shared" si="5"/>
        <v>3.694</v>
      </c>
      <c r="J85" s="486">
        <f t="shared" si="5"/>
        <v>3.694</v>
      </c>
      <c r="K85" s="486">
        <f t="shared" si="5"/>
        <v>3.694</v>
      </c>
      <c r="L85" s="1401">
        <f t="shared" si="2"/>
        <v>3.694</v>
      </c>
    </row>
    <row r="86" spans="1:12" ht="33" thickTop="1" thickBot="1" x14ac:dyDescent="0.3">
      <c r="A86" s="159" t="s">
        <v>527</v>
      </c>
      <c r="B86" s="160" t="s">
        <v>598</v>
      </c>
      <c r="C86" s="161">
        <f t="shared" si="4"/>
        <v>0</v>
      </c>
      <c r="D86" s="161">
        <f t="shared" si="5"/>
        <v>0</v>
      </c>
      <c r="E86" s="161">
        <f t="shared" si="5"/>
        <v>0</v>
      </c>
      <c r="F86" s="486">
        <f t="shared" si="5"/>
        <v>0</v>
      </c>
      <c r="G86" s="486">
        <f t="shared" si="5"/>
        <v>0.69</v>
      </c>
      <c r="H86" s="486">
        <f t="shared" si="5"/>
        <v>0.69</v>
      </c>
      <c r="I86" s="486">
        <f t="shared" si="5"/>
        <v>0.69</v>
      </c>
      <c r="J86" s="486">
        <f t="shared" si="5"/>
        <v>0.69</v>
      </c>
      <c r="K86" s="486">
        <f t="shared" si="5"/>
        <v>0.69</v>
      </c>
      <c r="L86" s="1401">
        <f t="shared" si="2"/>
        <v>0.69</v>
      </c>
    </row>
    <row r="87" spans="1:12" ht="22.5" customHeight="1" thickTop="1" thickBot="1" x14ac:dyDescent="0.3">
      <c r="A87" s="159" t="s">
        <v>522</v>
      </c>
      <c r="B87" s="160" t="s">
        <v>599</v>
      </c>
      <c r="C87" s="161">
        <f t="shared" si="4"/>
        <v>0</v>
      </c>
      <c r="D87" s="161">
        <f t="shared" ref="D87:K96" si="6">SUM(C87+D34)</f>
        <v>0</v>
      </c>
      <c r="E87" s="161">
        <f t="shared" si="6"/>
        <v>0</v>
      </c>
      <c r="F87" s="161">
        <f t="shared" si="6"/>
        <v>0</v>
      </c>
      <c r="G87" s="161">
        <f t="shared" si="6"/>
        <v>1</v>
      </c>
      <c r="H87" s="161">
        <f t="shared" si="6"/>
        <v>4</v>
      </c>
      <c r="I87" s="161">
        <f t="shared" si="6"/>
        <v>5</v>
      </c>
      <c r="J87" s="161">
        <f t="shared" si="6"/>
        <v>5</v>
      </c>
      <c r="K87" s="161">
        <f t="shared" si="6"/>
        <v>5</v>
      </c>
      <c r="L87" s="1398">
        <f t="shared" si="2"/>
        <v>5</v>
      </c>
    </row>
    <row r="88" spans="1:12" ht="22.5" customHeight="1" thickTop="1" thickBot="1" x14ac:dyDescent="0.3">
      <c r="A88" s="159" t="s">
        <v>1713</v>
      </c>
      <c r="B88" s="160" t="s">
        <v>1714</v>
      </c>
      <c r="C88" s="161">
        <f t="shared" si="4"/>
        <v>0</v>
      </c>
      <c r="D88" s="161">
        <f t="shared" si="6"/>
        <v>0</v>
      </c>
      <c r="E88" s="161">
        <f t="shared" si="6"/>
        <v>0</v>
      </c>
      <c r="F88" s="161">
        <f t="shared" si="6"/>
        <v>0</v>
      </c>
      <c r="G88" s="161">
        <f t="shared" si="6"/>
        <v>0</v>
      </c>
      <c r="H88" s="161">
        <f t="shared" si="6"/>
        <v>1</v>
      </c>
      <c r="I88" s="161">
        <f t="shared" si="6"/>
        <v>1</v>
      </c>
      <c r="J88" s="161">
        <f t="shared" si="6"/>
        <v>1</v>
      </c>
      <c r="K88" s="161">
        <f t="shared" si="6"/>
        <v>1</v>
      </c>
      <c r="L88" s="1398">
        <f t="shared" si="2"/>
        <v>1</v>
      </c>
    </row>
    <row r="89" spans="1:12" ht="33" thickTop="1" thickBot="1" x14ac:dyDescent="0.3">
      <c r="A89" s="159" t="s">
        <v>519</v>
      </c>
      <c r="B89" s="160" t="s">
        <v>600</v>
      </c>
      <c r="C89" s="161">
        <f t="shared" si="4"/>
        <v>0</v>
      </c>
      <c r="D89" s="161">
        <f t="shared" si="6"/>
        <v>0</v>
      </c>
      <c r="E89" s="161">
        <f t="shared" si="6"/>
        <v>0</v>
      </c>
      <c r="F89" s="161">
        <f t="shared" si="6"/>
        <v>0</v>
      </c>
      <c r="G89" s="161">
        <f t="shared" si="6"/>
        <v>2</v>
      </c>
      <c r="H89" s="161">
        <f t="shared" si="6"/>
        <v>6</v>
      </c>
      <c r="I89" s="161">
        <f t="shared" si="6"/>
        <v>6</v>
      </c>
      <c r="J89" s="161">
        <f t="shared" si="6"/>
        <v>6</v>
      </c>
      <c r="K89" s="161">
        <f t="shared" si="6"/>
        <v>6</v>
      </c>
      <c r="L89" s="1398">
        <f t="shared" si="2"/>
        <v>6</v>
      </c>
    </row>
    <row r="90" spans="1:12" ht="48.75" thickTop="1" thickBot="1" x14ac:dyDescent="0.3">
      <c r="A90" s="159" t="s">
        <v>508</v>
      </c>
      <c r="B90" s="160" t="s">
        <v>509</v>
      </c>
      <c r="C90" s="161">
        <f t="shared" si="4"/>
        <v>0</v>
      </c>
      <c r="D90" s="161">
        <f t="shared" si="6"/>
        <v>0</v>
      </c>
      <c r="E90" s="161">
        <f t="shared" si="6"/>
        <v>0</v>
      </c>
      <c r="F90" s="161">
        <f t="shared" si="6"/>
        <v>0</v>
      </c>
      <c r="G90" s="161">
        <f t="shared" si="6"/>
        <v>0</v>
      </c>
      <c r="H90" s="486">
        <f t="shared" si="6"/>
        <v>262.58999999999997</v>
      </c>
      <c r="I90" s="486">
        <f t="shared" si="6"/>
        <v>262.58999999999997</v>
      </c>
      <c r="J90" s="486">
        <f t="shared" si="6"/>
        <v>262.58999999999997</v>
      </c>
      <c r="K90" s="486">
        <f t="shared" si="6"/>
        <v>262.58999999999997</v>
      </c>
      <c r="L90" s="1401">
        <f t="shared" si="2"/>
        <v>262.58999999999997</v>
      </c>
    </row>
    <row r="91" spans="1:12" ht="33" thickTop="1" thickBot="1" x14ac:dyDescent="0.3">
      <c r="A91" s="159" t="s">
        <v>564</v>
      </c>
      <c r="B91" s="160" t="s">
        <v>601</v>
      </c>
      <c r="C91" s="161">
        <f t="shared" si="4"/>
        <v>0</v>
      </c>
      <c r="D91" s="161">
        <f t="shared" si="6"/>
        <v>0</v>
      </c>
      <c r="E91" s="161">
        <f t="shared" si="6"/>
        <v>0</v>
      </c>
      <c r="F91" s="486">
        <f t="shared" si="6"/>
        <v>0</v>
      </c>
      <c r="G91" s="486">
        <f t="shared" si="6"/>
        <v>7187.76</v>
      </c>
      <c r="H91" s="486">
        <f t="shared" si="6"/>
        <v>7187.76</v>
      </c>
      <c r="I91" s="486">
        <f t="shared" si="6"/>
        <v>7187.76</v>
      </c>
      <c r="J91" s="486">
        <f t="shared" si="6"/>
        <v>7187.76</v>
      </c>
      <c r="K91" s="486">
        <f t="shared" si="6"/>
        <v>7187.76</v>
      </c>
      <c r="L91" s="1401">
        <f t="shared" si="2"/>
        <v>7187.76</v>
      </c>
    </row>
    <row r="92" spans="1:12" ht="33" thickTop="1" thickBot="1" x14ac:dyDescent="0.3">
      <c r="A92" s="159" t="s">
        <v>501</v>
      </c>
      <c r="B92" s="160" t="s">
        <v>602</v>
      </c>
      <c r="C92" s="161">
        <f t="shared" si="4"/>
        <v>0</v>
      </c>
      <c r="D92" s="161">
        <f t="shared" si="6"/>
        <v>0</v>
      </c>
      <c r="E92" s="161">
        <f t="shared" si="6"/>
        <v>0</v>
      </c>
      <c r="F92" s="486">
        <f t="shared" si="6"/>
        <v>0</v>
      </c>
      <c r="G92" s="486">
        <f t="shared" si="6"/>
        <v>0</v>
      </c>
      <c r="H92" s="486">
        <f t="shared" si="6"/>
        <v>19.32</v>
      </c>
      <c r="I92" s="486">
        <f t="shared" si="6"/>
        <v>22.52</v>
      </c>
      <c r="J92" s="486">
        <f t="shared" si="6"/>
        <v>22.52</v>
      </c>
      <c r="K92" s="486">
        <f t="shared" si="6"/>
        <v>22.52</v>
      </c>
      <c r="L92" s="1401">
        <f t="shared" si="2"/>
        <v>22.52</v>
      </c>
    </row>
    <row r="93" spans="1:12" ht="33" thickTop="1" thickBot="1" x14ac:dyDescent="0.3">
      <c r="A93" s="159" t="s">
        <v>516</v>
      </c>
      <c r="B93" s="160" t="s">
        <v>517</v>
      </c>
      <c r="C93" s="161">
        <f t="shared" si="4"/>
        <v>0</v>
      </c>
      <c r="D93" s="161">
        <f t="shared" si="6"/>
        <v>0</v>
      </c>
      <c r="E93" s="161">
        <f t="shared" si="6"/>
        <v>0</v>
      </c>
      <c r="F93" s="161">
        <f t="shared" si="6"/>
        <v>0</v>
      </c>
      <c r="G93" s="161">
        <f t="shared" si="6"/>
        <v>2</v>
      </c>
      <c r="H93" s="161">
        <f t="shared" si="6"/>
        <v>5</v>
      </c>
      <c r="I93" s="161">
        <f t="shared" si="6"/>
        <v>5</v>
      </c>
      <c r="J93" s="161">
        <f t="shared" si="6"/>
        <v>5</v>
      </c>
      <c r="K93" s="161">
        <f t="shared" si="6"/>
        <v>5</v>
      </c>
      <c r="L93" s="1398">
        <f t="shared" si="2"/>
        <v>5</v>
      </c>
    </row>
    <row r="94" spans="1:12" ht="33" thickTop="1" thickBot="1" x14ac:dyDescent="0.3">
      <c r="A94" s="159" t="s">
        <v>572</v>
      </c>
      <c r="B94" s="160" t="s">
        <v>603</v>
      </c>
      <c r="C94" s="161">
        <f t="shared" si="4"/>
        <v>0</v>
      </c>
      <c r="D94" s="161">
        <f t="shared" si="6"/>
        <v>0</v>
      </c>
      <c r="E94" s="161">
        <f t="shared" si="6"/>
        <v>0</v>
      </c>
      <c r="F94" s="161">
        <f t="shared" si="6"/>
        <v>0</v>
      </c>
      <c r="G94" s="161">
        <f t="shared" si="6"/>
        <v>2</v>
      </c>
      <c r="H94" s="161">
        <f t="shared" si="6"/>
        <v>3</v>
      </c>
      <c r="I94" s="161">
        <f t="shared" si="6"/>
        <v>3</v>
      </c>
      <c r="J94" s="161">
        <f t="shared" si="6"/>
        <v>3</v>
      </c>
      <c r="K94" s="161">
        <f t="shared" si="6"/>
        <v>4</v>
      </c>
      <c r="L94" s="1398">
        <f t="shared" si="2"/>
        <v>4</v>
      </c>
    </row>
    <row r="95" spans="1:12" ht="33" thickTop="1" thickBot="1" x14ac:dyDescent="0.3">
      <c r="A95" s="842" t="s">
        <v>531</v>
      </c>
      <c r="B95" s="160" t="s">
        <v>532</v>
      </c>
      <c r="C95" s="161">
        <f t="shared" si="4"/>
        <v>0</v>
      </c>
      <c r="D95" s="161">
        <f t="shared" si="6"/>
        <v>0</v>
      </c>
      <c r="E95" s="161">
        <f t="shared" si="6"/>
        <v>0</v>
      </c>
      <c r="F95" s="161">
        <f t="shared" si="6"/>
        <v>0</v>
      </c>
      <c r="G95" s="161">
        <f t="shared" si="6"/>
        <v>8</v>
      </c>
      <c r="H95" s="161">
        <f t="shared" si="6"/>
        <v>12</v>
      </c>
      <c r="I95" s="161">
        <f t="shared" si="6"/>
        <v>12</v>
      </c>
      <c r="J95" s="161">
        <f t="shared" si="6"/>
        <v>12</v>
      </c>
      <c r="K95" s="161">
        <f t="shared" si="6"/>
        <v>12</v>
      </c>
      <c r="L95" s="1398">
        <f t="shared" si="2"/>
        <v>12</v>
      </c>
    </row>
    <row r="96" spans="1:12" ht="33" thickTop="1" thickBot="1" x14ac:dyDescent="0.3">
      <c r="A96" s="159" t="s">
        <v>552</v>
      </c>
      <c r="B96" s="160" t="s">
        <v>604</v>
      </c>
      <c r="C96" s="161">
        <f t="shared" si="4"/>
        <v>0</v>
      </c>
      <c r="D96" s="161">
        <f t="shared" si="6"/>
        <v>0</v>
      </c>
      <c r="E96" s="161">
        <f t="shared" si="6"/>
        <v>0</v>
      </c>
      <c r="F96" s="161">
        <f t="shared" si="6"/>
        <v>0</v>
      </c>
      <c r="G96" s="161">
        <f t="shared" si="6"/>
        <v>5</v>
      </c>
      <c r="H96" s="161">
        <f t="shared" si="6"/>
        <v>5</v>
      </c>
      <c r="I96" s="161">
        <f t="shared" si="6"/>
        <v>5</v>
      </c>
      <c r="J96" s="161">
        <f t="shared" si="6"/>
        <v>5</v>
      </c>
      <c r="K96" s="161">
        <f t="shared" si="6"/>
        <v>5</v>
      </c>
      <c r="L96" s="1398">
        <f t="shared" si="2"/>
        <v>5</v>
      </c>
    </row>
    <row r="97" spans="1:12" ht="17.25" thickTop="1" thickBot="1" x14ac:dyDescent="0.3">
      <c r="A97" s="159" t="s">
        <v>555</v>
      </c>
      <c r="B97" s="160" t="s">
        <v>605</v>
      </c>
      <c r="C97" s="161">
        <f t="shared" si="4"/>
        <v>0</v>
      </c>
      <c r="D97" s="161">
        <f t="shared" ref="D97:K105" si="7">SUM(C97+D44)</f>
        <v>0</v>
      </c>
      <c r="E97" s="161">
        <f t="shared" si="7"/>
        <v>0</v>
      </c>
      <c r="F97" s="161">
        <f t="shared" si="7"/>
        <v>66</v>
      </c>
      <c r="G97" s="161">
        <f t="shared" si="7"/>
        <v>106</v>
      </c>
      <c r="H97" s="161">
        <f t="shared" si="7"/>
        <v>106</v>
      </c>
      <c r="I97" s="161">
        <f t="shared" si="7"/>
        <v>106</v>
      </c>
      <c r="J97" s="161">
        <f t="shared" si="7"/>
        <v>106</v>
      </c>
      <c r="K97" s="161">
        <f t="shared" si="7"/>
        <v>106</v>
      </c>
      <c r="L97" s="1398">
        <f t="shared" si="2"/>
        <v>106</v>
      </c>
    </row>
    <row r="98" spans="1:12" ht="48.75" thickTop="1" thickBot="1" x14ac:dyDescent="0.3">
      <c r="A98" s="1434" t="s">
        <v>1741</v>
      </c>
      <c r="B98" s="1435" t="s">
        <v>1742</v>
      </c>
      <c r="C98" s="1436">
        <f t="shared" si="4"/>
        <v>0</v>
      </c>
      <c r="D98" s="1436">
        <f t="shared" si="7"/>
        <v>0</v>
      </c>
      <c r="E98" s="1436">
        <f t="shared" si="7"/>
        <v>0</v>
      </c>
      <c r="F98" s="1436">
        <f t="shared" si="7"/>
        <v>0</v>
      </c>
      <c r="G98" s="1436">
        <f t="shared" si="7"/>
        <v>3</v>
      </c>
      <c r="H98" s="1436">
        <f t="shared" si="7"/>
        <v>10</v>
      </c>
      <c r="I98" s="1436">
        <f t="shared" si="7"/>
        <v>17</v>
      </c>
      <c r="J98" s="1436">
        <f t="shared" si="7"/>
        <v>17</v>
      </c>
      <c r="K98" s="1436">
        <f t="shared" si="7"/>
        <v>17</v>
      </c>
      <c r="L98" s="1437">
        <f t="shared" si="2"/>
        <v>17</v>
      </c>
    </row>
    <row r="99" spans="1:12" ht="34.5" thickTop="1" thickBot="1" x14ac:dyDescent="0.3">
      <c r="A99" s="159" t="s">
        <v>409</v>
      </c>
      <c r="B99" s="160" t="s">
        <v>631</v>
      </c>
      <c r="C99" s="161">
        <f t="shared" si="4"/>
        <v>0</v>
      </c>
      <c r="D99" s="161">
        <f t="shared" si="7"/>
        <v>0</v>
      </c>
      <c r="E99" s="161">
        <f t="shared" si="7"/>
        <v>0</v>
      </c>
      <c r="F99" s="161">
        <f t="shared" si="7"/>
        <v>0</v>
      </c>
      <c r="G99" s="161">
        <f t="shared" si="7"/>
        <v>8195</v>
      </c>
      <c r="H99" s="161">
        <f t="shared" si="7"/>
        <v>54456</v>
      </c>
      <c r="I99" s="161">
        <f t="shared" si="7"/>
        <v>54456</v>
      </c>
      <c r="J99" s="161">
        <f t="shared" si="7"/>
        <v>54456</v>
      </c>
      <c r="K99" s="161">
        <f t="shared" si="7"/>
        <v>54456</v>
      </c>
      <c r="L99" s="1398">
        <f t="shared" si="2"/>
        <v>54456</v>
      </c>
    </row>
    <row r="100" spans="1:12" ht="48.75" thickTop="1" thickBot="1" x14ac:dyDescent="0.3">
      <c r="A100" s="159" t="s">
        <v>410</v>
      </c>
      <c r="B100" s="160" t="s">
        <v>411</v>
      </c>
      <c r="C100" s="161">
        <f t="shared" si="4"/>
        <v>0</v>
      </c>
      <c r="D100" s="161">
        <f t="shared" si="7"/>
        <v>0</v>
      </c>
      <c r="E100" s="161">
        <f t="shared" si="7"/>
        <v>0</v>
      </c>
      <c r="F100" s="161">
        <f t="shared" si="7"/>
        <v>0</v>
      </c>
      <c r="G100" s="161">
        <f t="shared" si="7"/>
        <v>0</v>
      </c>
      <c r="H100" s="161">
        <f t="shared" si="7"/>
        <v>200</v>
      </c>
      <c r="I100" s="161">
        <f t="shared" si="7"/>
        <v>200</v>
      </c>
      <c r="J100" s="161">
        <f t="shared" si="7"/>
        <v>200</v>
      </c>
      <c r="K100" s="161">
        <f t="shared" si="7"/>
        <v>200</v>
      </c>
      <c r="L100" s="1398">
        <f t="shared" si="2"/>
        <v>200</v>
      </c>
    </row>
    <row r="101" spans="1:12" ht="48.75" thickTop="1" thickBot="1" x14ac:dyDescent="0.3">
      <c r="A101" s="159" t="str">
        <f>CONCATENATE(A48)</f>
        <v>P.S.372</v>
      </c>
      <c r="B101" s="159" t="str">
        <f>CONCATENATE(B48)</f>
        <v>Tikslinių grupių asmenys, kurie dalyvavo informavimo, švietimo ir mokymo renginiuose bei sveikatos raštingumą didinančiose veiklose</v>
      </c>
      <c r="C101" s="161">
        <f t="shared" si="4"/>
        <v>0</v>
      </c>
      <c r="D101" s="161">
        <f t="shared" si="7"/>
        <v>0</v>
      </c>
      <c r="E101" s="161">
        <f t="shared" si="7"/>
        <v>0</v>
      </c>
      <c r="F101" s="161">
        <f t="shared" si="7"/>
        <v>2270</v>
      </c>
      <c r="G101" s="161">
        <f t="shared" si="7"/>
        <v>5096</v>
      </c>
      <c r="H101" s="161">
        <f t="shared" si="7"/>
        <v>7924</v>
      </c>
      <c r="I101" s="161">
        <f t="shared" si="7"/>
        <v>8937</v>
      </c>
      <c r="J101" s="161">
        <f t="shared" si="7"/>
        <v>8937</v>
      </c>
      <c r="K101" s="161">
        <f t="shared" si="7"/>
        <v>8937</v>
      </c>
      <c r="L101" s="1398">
        <f t="shared" si="2"/>
        <v>8937</v>
      </c>
    </row>
    <row r="102" spans="1:12" ht="33" thickTop="1" thickBot="1" x14ac:dyDescent="0.3">
      <c r="A102" s="159" t="s">
        <v>837</v>
      </c>
      <c r="B102" s="160" t="s">
        <v>838</v>
      </c>
      <c r="C102" s="161">
        <f t="shared" si="4"/>
        <v>0</v>
      </c>
      <c r="D102" s="161">
        <f t="shared" si="7"/>
        <v>0</v>
      </c>
      <c r="E102" s="161">
        <f t="shared" si="7"/>
        <v>0</v>
      </c>
      <c r="F102" s="161">
        <f t="shared" si="7"/>
        <v>0</v>
      </c>
      <c r="G102" s="161">
        <f t="shared" si="7"/>
        <v>79</v>
      </c>
      <c r="H102" s="161">
        <f t="shared" si="7"/>
        <v>140</v>
      </c>
      <c r="I102" s="161">
        <f t="shared" si="7"/>
        <v>140</v>
      </c>
      <c r="J102" s="161">
        <f t="shared" si="7"/>
        <v>140</v>
      </c>
      <c r="K102" s="161">
        <f t="shared" si="7"/>
        <v>140</v>
      </c>
      <c r="L102" s="1398">
        <f t="shared" si="2"/>
        <v>140</v>
      </c>
    </row>
    <row r="103" spans="1:12" ht="48.75" thickTop="1" thickBot="1" x14ac:dyDescent="0.3">
      <c r="A103" s="159" t="s">
        <v>557</v>
      </c>
      <c r="B103" s="160" t="s">
        <v>606</v>
      </c>
      <c r="C103" s="161">
        <f t="shared" si="4"/>
        <v>0</v>
      </c>
      <c r="D103" s="161">
        <f t="shared" si="7"/>
        <v>0</v>
      </c>
      <c r="E103" s="161">
        <f t="shared" si="7"/>
        <v>0</v>
      </c>
      <c r="F103" s="161">
        <f t="shared" si="7"/>
        <v>0</v>
      </c>
      <c r="G103" s="161">
        <f t="shared" si="7"/>
        <v>39</v>
      </c>
      <c r="H103" s="161">
        <f t="shared" si="7"/>
        <v>81</v>
      </c>
      <c r="I103" s="161">
        <f t="shared" si="7"/>
        <v>83</v>
      </c>
      <c r="J103" s="161">
        <f t="shared" si="7"/>
        <v>83</v>
      </c>
      <c r="K103" s="161">
        <f t="shared" si="7"/>
        <v>83</v>
      </c>
      <c r="L103" s="1398">
        <f t="shared" si="2"/>
        <v>83</v>
      </c>
    </row>
    <row r="104" spans="1:12" ht="64.5" thickTop="1" thickBot="1" x14ac:dyDescent="0.3">
      <c r="A104" s="159" t="s">
        <v>559</v>
      </c>
      <c r="B104" s="160" t="s">
        <v>607</v>
      </c>
      <c r="C104" s="161">
        <f t="shared" si="4"/>
        <v>0</v>
      </c>
      <c r="D104" s="161">
        <f t="shared" si="7"/>
        <v>0</v>
      </c>
      <c r="E104" s="161">
        <f t="shared" si="7"/>
        <v>0</v>
      </c>
      <c r="F104" s="161">
        <f t="shared" si="7"/>
        <v>0</v>
      </c>
      <c r="G104" s="161">
        <f t="shared" si="7"/>
        <v>178</v>
      </c>
      <c r="H104" s="161">
        <f t="shared" si="7"/>
        <v>385</v>
      </c>
      <c r="I104" s="161">
        <f t="shared" si="7"/>
        <v>405</v>
      </c>
      <c r="J104" s="161">
        <f t="shared" si="7"/>
        <v>405</v>
      </c>
      <c r="K104" s="161">
        <f t="shared" si="7"/>
        <v>405</v>
      </c>
      <c r="L104" s="1398">
        <f t="shared" si="2"/>
        <v>405</v>
      </c>
    </row>
    <row r="105" spans="1:12" ht="33" thickTop="1" thickBot="1" x14ac:dyDescent="0.3">
      <c r="A105" s="159" t="s">
        <v>566</v>
      </c>
      <c r="B105" s="163" t="s">
        <v>608</v>
      </c>
      <c r="C105" s="161">
        <f t="shared" si="4"/>
        <v>0</v>
      </c>
      <c r="D105" s="161">
        <f t="shared" si="7"/>
        <v>0</v>
      </c>
      <c r="E105" s="161">
        <f t="shared" si="7"/>
        <v>0</v>
      </c>
      <c r="F105" s="486">
        <f t="shared" si="7"/>
        <v>4.8900000000000006</v>
      </c>
      <c r="G105" s="486">
        <f t="shared" si="7"/>
        <v>42.491500000000002</v>
      </c>
      <c r="H105" s="486">
        <f t="shared" si="7"/>
        <v>42.491500000000002</v>
      </c>
      <c r="I105" s="486">
        <f t="shared" si="7"/>
        <v>42.491500000000002</v>
      </c>
      <c r="J105" s="486">
        <f t="shared" si="7"/>
        <v>42.491500000000002</v>
      </c>
      <c r="K105" s="486">
        <f t="shared" si="7"/>
        <v>44.491500000000002</v>
      </c>
      <c r="L105" s="1398">
        <f t="shared" ref="L105" si="8">SUM(L52)</f>
        <v>44.491500000000002</v>
      </c>
    </row>
    <row r="106" spans="1:12" ht="15.75" thickTop="1" x14ac:dyDescent="0.25"/>
  </sheetData>
  <mergeCells count="1">
    <mergeCell ref="A55:L55"/>
  </mergeCells>
  <pageMargins left="0.25" right="0.25" top="0.75" bottom="0.75" header="0.3" footer="0.3"/>
  <pageSetup paperSize="9" scale="88" fitToHeight="0" orientation="landscape" r:id="rId1"/>
  <headerFooter>
    <oddHeader>&amp;C&amp;"Times New Roman,Paprastas"&amp;12Alytaus regiono 2014 – 2020 metų plėtros planas</odd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H89"/>
  <sheetViews>
    <sheetView showGridLines="0" showRuler="0" topLeftCell="A19" zoomScaleNormal="100" workbookViewId="0">
      <selection activeCell="N40" sqref="N40"/>
    </sheetView>
  </sheetViews>
  <sheetFormatPr defaultRowHeight="15" x14ac:dyDescent="0.25"/>
  <cols>
    <col min="1" max="1" width="8.28515625" style="157" customWidth="1"/>
    <col min="2" max="2" width="16.5703125" style="157" customWidth="1"/>
    <col min="3" max="3" width="24.28515625" style="157" customWidth="1"/>
    <col min="4" max="4" width="16.28515625" style="157" customWidth="1"/>
    <col min="5" max="5" width="16.42578125" style="157" customWidth="1"/>
    <col min="6" max="6" width="22.5703125" style="157" customWidth="1"/>
    <col min="7" max="7" width="20.28515625" style="157" customWidth="1"/>
    <col min="8" max="8" width="17" style="157" customWidth="1"/>
    <col min="9" max="16384" width="9.140625" style="157"/>
  </cols>
  <sheetData>
    <row r="2" spans="1:8" x14ac:dyDescent="0.25">
      <c r="A2" s="527" t="s">
        <v>1681</v>
      </c>
    </row>
    <row r="3" spans="1:8" x14ac:dyDescent="0.25">
      <c r="A3" s="527"/>
    </row>
    <row r="4" spans="1:8" ht="15.75" x14ac:dyDescent="0.25">
      <c r="A4" s="541" t="s">
        <v>1369</v>
      </c>
    </row>
    <row r="6" spans="1:8" x14ac:dyDescent="0.25">
      <c r="A6" s="527" t="s">
        <v>1269</v>
      </c>
    </row>
    <row r="7" spans="1:8" ht="15.75" thickBot="1" x14ac:dyDescent="0.3"/>
    <row r="8" spans="1:8" ht="143.25" thickTop="1" thickBot="1" x14ac:dyDescent="0.3">
      <c r="A8" s="381" t="s">
        <v>1270</v>
      </c>
      <c r="B8" s="539" t="s">
        <v>788</v>
      </c>
      <c r="C8" s="539" t="s">
        <v>1271</v>
      </c>
      <c r="D8" s="539" t="s">
        <v>1272</v>
      </c>
      <c r="E8" s="539" t="s">
        <v>1273</v>
      </c>
      <c r="F8" s="539" t="s">
        <v>1274</v>
      </c>
      <c r="G8" s="539" t="s">
        <v>1275</v>
      </c>
      <c r="H8" s="539" t="s">
        <v>1276</v>
      </c>
    </row>
    <row r="9" spans="1:8" ht="80.25" thickTop="1" thickBot="1" x14ac:dyDescent="0.3">
      <c r="A9" s="530" t="s">
        <v>1277</v>
      </c>
      <c r="B9" s="542" t="s">
        <v>918</v>
      </c>
      <c r="C9" s="531" t="s">
        <v>1278</v>
      </c>
      <c r="D9" s="531" t="s">
        <v>66</v>
      </c>
      <c r="E9" s="531" t="s">
        <v>1279</v>
      </c>
      <c r="F9" s="531" t="s">
        <v>1280</v>
      </c>
      <c r="G9" s="531" t="s">
        <v>1281</v>
      </c>
      <c r="H9" s="531" t="s">
        <v>715</v>
      </c>
    </row>
    <row r="10" spans="1:8" ht="16.5" thickTop="1" x14ac:dyDescent="0.25">
      <c r="A10" s="1750" t="s">
        <v>1282</v>
      </c>
      <c r="B10" s="1750" t="s">
        <v>939</v>
      </c>
      <c r="C10" s="1750" t="s">
        <v>1283</v>
      </c>
      <c r="D10" s="1750" t="s">
        <v>1284</v>
      </c>
      <c r="E10" s="1750" t="s">
        <v>1285</v>
      </c>
      <c r="F10" s="543" t="s">
        <v>1286</v>
      </c>
      <c r="G10" s="1750" t="s">
        <v>75</v>
      </c>
      <c r="H10" s="1750" t="s">
        <v>1290</v>
      </c>
    </row>
    <row r="11" spans="1:8" ht="78.75" x14ac:dyDescent="0.25">
      <c r="A11" s="1751"/>
      <c r="B11" s="1751"/>
      <c r="C11" s="1751"/>
      <c r="D11" s="1751"/>
      <c r="E11" s="1751"/>
      <c r="F11" s="532" t="s">
        <v>1287</v>
      </c>
      <c r="G11" s="1751"/>
      <c r="H11" s="1751"/>
    </row>
    <row r="12" spans="1:8" ht="15.75" x14ac:dyDescent="0.25">
      <c r="A12" s="1751"/>
      <c r="B12" s="1751"/>
      <c r="C12" s="1751"/>
      <c r="D12" s="1751"/>
      <c r="E12" s="1751"/>
      <c r="F12" s="532"/>
      <c r="G12" s="1751"/>
      <c r="H12" s="1751"/>
    </row>
    <row r="13" spans="1:8" ht="63" x14ac:dyDescent="0.25">
      <c r="A13" s="1751"/>
      <c r="B13" s="1751"/>
      <c r="C13" s="1751"/>
      <c r="D13" s="1751"/>
      <c r="E13" s="1751"/>
      <c r="F13" s="543" t="s">
        <v>1288</v>
      </c>
      <c r="G13" s="1751"/>
      <c r="H13" s="1751"/>
    </row>
    <row r="14" spans="1:8" ht="79.5" thickBot="1" x14ac:dyDescent="0.3">
      <c r="A14" s="1752"/>
      <c r="B14" s="1752"/>
      <c r="C14" s="1752"/>
      <c r="D14" s="1752"/>
      <c r="E14" s="1752"/>
      <c r="F14" s="531" t="s">
        <v>1289</v>
      </c>
      <c r="G14" s="1752"/>
      <c r="H14" s="1752"/>
    </row>
    <row r="15" spans="1:8" ht="72.75" customHeight="1" thickTop="1" x14ac:dyDescent="0.25">
      <c r="A15" s="1750">
        <v>3</v>
      </c>
      <c r="B15" s="1750" t="s">
        <v>941</v>
      </c>
      <c r="C15" s="1750" t="s">
        <v>1291</v>
      </c>
      <c r="D15" s="1750" t="s">
        <v>66</v>
      </c>
      <c r="E15" s="1750" t="s">
        <v>1292</v>
      </c>
      <c r="F15" s="543" t="s">
        <v>1286</v>
      </c>
      <c r="G15" s="1750" t="s">
        <v>75</v>
      </c>
      <c r="H15" s="1750" t="s">
        <v>1295</v>
      </c>
    </row>
    <row r="16" spans="1:8" ht="63" x14ac:dyDescent="0.25">
      <c r="A16" s="1751"/>
      <c r="B16" s="1751"/>
      <c r="C16" s="1751"/>
      <c r="D16" s="1751"/>
      <c r="E16" s="1751"/>
      <c r="F16" s="532" t="s">
        <v>1293</v>
      </c>
      <c r="G16" s="1751"/>
      <c r="H16" s="1751"/>
    </row>
    <row r="17" spans="1:8" ht="31.5" x14ac:dyDescent="0.25">
      <c r="A17" s="1751"/>
      <c r="B17" s="1751"/>
      <c r="C17" s="1751"/>
      <c r="D17" s="1751"/>
      <c r="E17" s="1751"/>
      <c r="F17" s="532" t="s">
        <v>1294</v>
      </c>
      <c r="G17" s="1751"/>
      <c r="H17" s="1751"/>
    </row>
    <row r="18" spans="1:8" ht="15.75" x14ac:dyDescent="0.25">
      <c r="A18" s="1751"/>
      <c r="B18" s="1751"/>
      <c r="C18" s="1751"/>
      <c r="D18" s="1751"/>
      <c r="E18" s="1751"/>
      <c r="F18" s="532"/>
      <c r="G18" s="1751"/>
      <c r="H18" s="1751"/>
    </row>
    <row r="19" spans="1:8" ht="63" x14ac:dyDescent="0.25">
      <c r="A19" s="1751"/>
      <c r="B19" s="1751"/>
      <c r="C19" s="1751"/>
      <c r="D19" s="1751"/>
      <c r="E19" s="1751"/>
      <c r="F19" s="543" t="s">
        <v>1288</v>
      </c>
      <c r="G19" s="1751"/>
      <c r="H19" s="1751"/>
    </row>
    <row r="20" spans="1:8" ht="79.5" thickBot="1" x14ac:dyDescent="0.3">
      <c r="A20" s="1752"/>
      <c r="B20" s="1752"/>
      <c r="C20" s="1752"/>
      <c r="D20" s="1752"/>
      <c r="E20" s="1752"/>
      <c r="F20" s="531" t="s">
        <v>1289</v>
      </c>
      <c r="G20" s="1752"/>
      <c r="H20" s="1752"/>
    </row>
    <row r="21" spans="1:8" ht="111.75" thickTop="1" thickBot="1" x14ac:dyDescent="0.3">
      <c r="A21" s="530" t="s">
        <v>907</v>
      </c>
      <c r="B21" s="542" t="s">
        <v>949</v>
      </c>
      <c r="C21" s="531" t="s">
        <v>1296</v>
      </c>
      <c r="D21" s="531"/>
      <c r="E21" s="531" t="s">
        <v>1297</v>
      </c>
      <c r="F21" s="531" t="s">
        <v>1280</v>
      </c>
      <c r="G21" s="531" t="s">
        <v>1281</v>
      </c>
      <c r="H21" s="531" t="s">
        <v>715</v>
      </c>
    </row>
    <row r="22" spans="1:8" ht="64.5" thickTop="1" thickBot="1" x14ac:dyDescent="0.3">
      <c r="A22" s="530" t="s">
        <v>1298</v>
      </c>
      <c r="B22" s="542" t="s">
        <v>1299</v>
      </c>
      <c r="C22" s="531" t="s">
        <v>1300</v>
      </c>
      <c r="D22" s="531"/>
      <c r="E22" s="531" t="s">
        <v>1301</v>
      </c>
      <c r="F22" s="531" t="s">
        <v>1302</v>
      </c>
      <c r="G22" s="531" t="s">
        <v>1281</v>
      </c>
      <c r="H22" s="531" t="s">
        <v>715</v>
      </c>
    </row>
    <row r="23" spans="1:8" ht="15.75" thickTop="1" x14ac:dyDescent="0.25"/>
    <row r="25" spans="1:8" x14ac:dyDescent="0.25">
      <c r="A25" s="527" t="s">
        <v>1303</v>
      </c>
    </row>
    <row r="26" spans="1:8" ht="16.5" thickBot="1" x14ac:dyDescent="0.3">
      <c r="A26" s="528"/>
    </row>
    <row r="27" spans="1:8" ht="143.25" thickTop="1" thickBot="1" x14ac:dyDescent="0.3">
      <c r="A27" s="381" t="s">
        <v>1270</v>
      </c>
      <c r="B27" s="539" t="s">
        <v>788</v>
      </c>
      <c r="C27" s="539" t="s">
        <v>1271</v>
      </c>
      <c r="D27" s="539" t="s">
        <v>1272</v>
      </c>
      <c r="E27" s="539" t="s">
        <v>1273</v>
      </c>
      <c r="F27" s="539" t="s">
        <v>1274</v>
      </c>
      <c r="G27" s="539" t="s">
        <v>1275</v>
      </c>
      <c r="H27" s="539" t="s">
        <v>1276</v>
      </c>
    </row>
    <row r="28" spans="1:8" ht="96" thickTop="1" thickBot="1" x14ac:dyDescent="0.3">
      <c r="A28" s="530" t="s">
        <v>1277</v>
      </c>
      <c r="B28" s="531" t="s">
        <v>923</v>
      </c>
      <c r="C28" s="531" t="s">
        <v>1304</v>
      </c>
      <c r="D28" s="531" t="s">
        <v>1305</v>
      </c>
      <c r="E28" s="531" t="s">
        <v>1306</v>
      </c>
      <c r="F28" s="544" t="s">
        <v>1307</v>
      </c>
      <c r="G28" s="531" t="s">
        <v>1281</v>
      </c>
      <c r="H28" s="531" t="s">
        <v>715</v>
      </c>
    </row>
    <row r="29" spans="1:8" ht="16.5" thickTop="1" x14ac:dyDescent="0.25">
      <c r="A29" s="1750" t="s">
        <v>1282</v>
      </c>
      <c r="B29" s="1750" t="s">
        <v>961</v>
      </c>
      <c r="C29" s="1750" t="s">
        <v>1308</v>
      </c>
      <c r="D29" s="1750" t="s">
        <v>66</v>
      </c>
      <c r="E29" s="1750" t="s">
        <v>1309</v>
      </c>
      <c r="F29" s="543" t="s">
        <v>1310</v>
      </c>
      <c r="G29" s="1750" t="s">
        <v>97</v>
      </c>
      <c r="H29" s="1750" t="s">
        <v>715</v>
      </c>
    </row>
    <row r="30" spans="1:8" ht="189" x14ac:dyDescent="0.25">
      <c r="A30" s="1751"/>
      <c r="B30" s="1751"/>
      <c r="C30" s="1751"/>
      <c r="D30" s="1751"/>
      <c r="E30" s="1751"/>
      <c r="F30" s="532" t="s">
        <v>1311</v>
      </c>
      <c r="G30" s="1751"/>
      <c r="H30" s="1751"/>
    </row>
    <row r="31" spans="1:8" ht="94.5" x14ac:dyDescent="0.25">
      <c r="A31" s="1751"/>
      <c r="B31" s="1751"/>
      <c r="C31" s="1751"/>
      <c r="D31" s="1751"/>
      <c r="E31" s="1751"/>
      <c r="F31" s="532" t="s">
        <v>1312</v>
      </c>
      <c r="G31" s="1751"/>
      <c r="H31" s="1751"/>
    </row>
    <row r="32" spans="1:8" ht="15.75" x14ac:dyDescent="0.25">
      <c r="A32" s="1751"/>
      <c r="B32" s="1751"/>
      <c r="C32" s="1751"/>
      <c r="D32" s="1751"/>
      <c r="E32" s="1751"/>
      <c r="F32" s="532"/>
      <c r="G32" s="1751"/>
      <c r="H32" s="1751"/>
    </row>
    <row r="33" spans="1:8" ht="15.75" x14ac:dyDescent="0.25">
      <c r="A33" s="1751"/>
      <c r="B33" s="1751"/>
      <c r="C33" s="1751"/>
      <c r="D33" s="1751"/>
      <c r="E33" s="1751"/>
      <c r="F33" s="543" t="s">
        <v>1313</v>
      </c>
      <c r="G33" s="1751"/>
      <c r="H33" s="1751"/>
    </row>
    <row r="34" spans="1:8" ht="47.25" x14ac:dyDescent="0.25">
      <c r="A34" s="1751"/>
      <c r="B34" s="1751"/>
      <c r="C34" s="1751"/>
      <c r="D34" s="1751"/>
      <c r="E34" s="1751"/>
      <c r="F34" s="532" t="s">
        <v>1314</v>
      </c>
      <c r="G34" s="1751"/>
      <c r="H34" s="1751"/>
    </row>
    <row r="35" spans="1:8" ht="79.5" thickBot="1" x14ac:dyDescent="0.3">
      <c r="A35" s="1752"/>
      <c r="B35" s="1752"/>
      <c r="C35" s="1752"/>
      <c r="D35" s="1752"/>
      <c r="E35" s="1752"/>
      <c r="F35" s="531" t="s">
        <v>1289</v>
      </c>
      <c r="G35" s="1752"/>
      <c r="H35" s="1752"/>
    </row>
    <row r="36" spans="1:8" ht="16.5" thickTop="1" x14ac:dyDescent="0.25">
      <c r="A36" s="1750" t="s">
        <v>1315</v>
      </c>
      <c r="B36" s="1750" t="s">
        <v>966</v>
      </c>
      <c r="C36" s="1750" t="s">
        <v>1316</v>
      </c>
      <c r="D36" s="1750" t="s">
        <v>66</v>
      </c>
      <c r="E36" s="1750" t="s">
        <v>1309</v>
      </c>
      <c r="F36" s="543" t="s">
        <v>1310</v>
      </c>
      <c r="G36" s="1750" t="s">
        <v>97</v>
      </c>
      <c r="H36" s="1750" t="s">
        <v>715</v>
      </c>
    </row>
    <row r="37" spans="1:8" ht="126" x14ac:dyDescent="0.25">
      <c r="A37" s="1751"/>
      <c r="B37" s="1751"/>
      <c r="C37" s="1751"/>
      <c r="D37" s="1751"/>
      <c r="E37" s="1751"/>
      <c r="F37" s="532" t="s">
        <v>1317</v>
      </c>
      <c r="G37" s="1751"/>
      <c r="H37" s="1751"/>
    </row>
    <row r="38" spans="1:8" ht="94.5" x14ac:dyDescent="0.25">
      <c r="A38" s="1751"/>
      <c r="B38" s="1751"/>
      <c r="C38" s="1751"/>
      <c r="D38" s="1751"/>
      <c r="E38" s="1751"/>
      <c r="F38" s="532" t="s">
        <v>1312</v>
      </c>
      <c r="G38" s="1751"/>
      <c r="H38" s="1751"/>
    </row>
    <row r="39" spans="1:8" ht="15.75" x14ac:dyDescent="0.25">
      <c r="A39" s="1751"/>
      <c r="B39" s="1751"/>
      <c r="C39" s="1751"/>
      <c r="D39" s="1751"/>
      <c r="E39" s="1751"/>
      <c r="F39" s="532"/>
      <c r="G39" s="1751"/>
      <c r="H39" s="1751"/>
    </row>
    <row r="40" spans="1:8" ht="15.75" x14ac:dyDescent="0.25">
      <c r="A40" s="1751"/>
      <c r="B40" s="1751"/>
      <c r="C40" s="1751"/>
      <c r="D40" s="1751"/>
      <c r="E40" s="1751"/>
      <c r="F40" s="543" t="s">
        <v>1313</v>
      </c>
      <c r="G40" s="1751"/>
      <c r="H40" s="1751"/>
    </row>
    <row r="41" spans="1:8" ht="47.25" x14ac:dyDescent="0.25">
      <c r="A41" s="1751"/>
      <c r="B41" s="1751"/>
      <c r="C41" s="1751"/>
      <c r="D41" s="1751"/>
      <c r="E41" s="1751"/>
      <c r="F41" s="532" t="s">
        <v>1314</v>
      </c>
      <c r="G41" s="1751"/>
      <c r="H41" s="1751"/>
    </row>
    <row r="42" spans="1:8" ht="79.5" thickBot="1" x14ac:dyDescent="0.3">
      <c r="A42" s="1752"/>
      <c r="B42" s="1752"/>
      <c r="C42" s="1752"/>
      <c r="D42" s="1752"/>
      <c r="E42" s="1752"/>
      <c r="F42" s="531" t="s">
        <v>1289</v>
      </c>
      <c r="G42" s="1752"/>
      <c r="H42" s="1752"/>
    </row>
    <row r="43" spans="1:8" ht="16.5" thickTop="1" x14ac:dyDescent="0.25">
      <c r="A43" s="1750" t="s">
        <v>907</v>
      </c>
      <c r="B43" s="1750" t="s">
        <v>972</v>
      </c>
      <c r="C43" s="1750" t="s">
        <v>1318</v>
      </c>
      <c r="D43" s="1750" t="s">
        <v>66</v>
      </c>
      <c r="E43" s="1750" t="s">
        <v>1309</v>
      </c>
      <c r="F43" s="543" t="s">
        <v>1310</v>
      </c>
      <c r="G43" s="1750" t="s">
        <v>97</v>
      </c>
      <c r="H43" s="1750" t="s">
        <v>715</v>
      </c>
    </row>
    <row r="44" spans="1:8" ht="126" x14ac:dyDescent="0.25">
      <c r="A44" s="1751"/>
      <c r="B44" s="1751"/>
      <c r="C44" s="1751"/>
      <c r="D44" s="1751"/>
      <c r="E44" s="1751"/>
      <c r="F44" s="532" t="s">
        <v>1317</v>
      </c>
      <c r="G44" s="1751"/>
      <c r="H44" s="1751"/>
    </row>
    <row r="45" spans="1:8" ht="94.5" x14ac:dyDescent="0.25">
      <c r="A45" s="1751"/>
      <c r="B45" s="1751"/>
      <c r="C45" s="1751"/>
      <c r="D45" s="1751"/>
      <c r="E45" s="1751"/>
      <c r="F45" s="532" t="s">
        <v>1312</v>
      </c>
      <c r="G45" s="1751"/>
      <c r="H45" s="1751"/>
    </row>
    <row r="46" spans="1:8" ht="15.75" x14ac:dyDescent="0.25">
      <c r="A46" s="1751"/>
      <c r="B46" s="1751"/>
      <c r="C46" s="1751"/>
      <c r="D46" s="1751"/>
      <c r="E46" s="1751"/>
      <c r="F46" s="532"/>
      <c r="G46" s="1751"/>
      <c r="H46" s="1751"/>
    </row>
    <row r="47" spans="1:8" ht="15.75" x14ac:dyDescent="0.25">
      <c r="A47" s="1751"/>
      <c r="B47" s="1751"/>
      <c r="C47" s="1751"/>
      <c r="D47" s="1751"/>
      <c r="E47" s="1751"/>
      <c r="F47" s="543" t="s">
        <v>1313</v>
      </c>
      <c r="G47" s="1751"/>
      <c r="H47" s="1751"/>
    </row>
    <row r="48" spans="1:8" ht="47.25" x14ac:dyDescent="0.25">
      <c r="A48" s="1751"/>
      <c r="B48" s="1751"/>
      <c r="C48" s="1751"/>
      <c r="D48" s="1751"/>
      <c r="E48" s="1751"/>
      <c r="F48" s="532" t="s">
        <v>1314</v>
      </c>
      <c r="G48" s="1751"/>
      <c r="H48" s="1751"/>
    </row>
    <row r="49" spans="1:8" ht="79.5" thickBot="1" x14ac:dyDescent="0.3">
      <c r="A49" s="1752"/>
      <c r="B49" s="1752"/>
      <c r="C49" s="1752"/>
      <c r="D49" s="1752"/>
      <c r="E49" s="1752"/>
      <c r="F49" s="531" t="s">
        <v>1289</v>
      </c>
      <c r="G49" s="1752"/>
      <c r="H49" s="1752"/>
    </row>
    <row r="50" spans="1:8" ht="174" thickTop="1" x14ac:dyDescent="0.25">
      <c r="A50" s="1750" t="s">
        <v>1319</v>
      </c>
      <c r="B50" s="1759" t="s">
        <v>1193</v>
      </c>
      <c r="C50" s="532" t="s">
        <v>1320</v>
      </c>
      <c r="D50" s="1750" t="s">
        <v>66</v>
      </c>
      <c r="E50" s="1750" t="s">
        <v>1321</v>
      </c>
      <c r="F50" s="543" t="s">
        <v>1322</v>
      </c>
      <c r="G50" s="1750" t="s">
        <v>1325</v>
      </c>
      <c r="H50" s="1750" t="s">
        <v>1326</v>
      </c>
    </row>
    <row r="51" spans="1:8" ht="78.75" x14ac:dyDescent="0.25">
      <c r="A51" s="1751"/>
      <c r="B51" s="1760"/>
      <c r="C51" s="532" t="s">
        <v>66</v>
      </c>
      <c r="D51" s="1751"/>
      <c r="E51" s="1751"/>
      <c r="F51" s="532" t="s">
        <v>1323</v>
      </c>
      <c r="G51" s="1751"/>
      <c r="H51" s="1751"/>
    </row>
    <row r="52" spans="1:8" ht="15.75" x14ac:dyDescent="0.25">
      <c r="A52" s="1751"/>
      <c r="B52" s="1760"/>
      <c r="C52" s="536"/>
      <c r="D52" s="1751"/>
      <c r="E52" s="1751"/>
      <c r="F52" s="532"/>
      <c r="G52" s="1751"/>
      <c r="H52" s="1751"/>
    </row>
    <row r="53" spans="1:8" ht="15.75" x14ac:dyDescent="0.25">
      <c r="A53" s="1751"/>
      <c r="B53" s="1760"/>
      <c r="C53" s="536"/>
      <c r="D53" s="1751"/>
      <c r="E53" s="1751"/>
      <c r="F53" s="543" t="s">
        <v>1324</v>
      </c>
      <c r="G53" s="1751"/>
      <c r="H53" s="1751"/>
    </row>
    <row r="54" spans="1:8" ht="47.25" x14ac:dyDescent="0.25">
      <c r="A54" s="1751"/>
      <c r="B54" s="1760"/>
      <c r="C54" s="536"/>
      <c r="D54" s="1751"/>
      <c r="E54" s="1751"/>
      <c r="F54" s="532" t="s">
        <v>1314</v>
      </c>
      <c r="G54" s="1751"/>
      <c r="H54" s="1751"/>
    </row>
    <row r="55" spans="1:8" ht="79.5" thickBot="1" x14ac:dyDescent="0.3">
      <c r="A55" s="1752"/>
      <c r="B55" s="1761"/>
      <c r="C55" s="537"/>
      <c r="D55" s="1752"/>
      <c r="E55" s="1752"/>
      <c r="F55" s="531" t="s">
        <v>1289</v>
      </c>
      <c r="G55" s="1752"/>
      <c r="H55" s="1752"/>
    </row>
    <row r="56" spans="1:8" ht="16.5" thickTop="1" x14ac:dyDescent="0.25">
      <c r="A56" s="1750" t="s">
        <v>1327</v>
      </c>
      <c r="B56" s="1765" t="s">
        <v>1207</v>
      </c>
      <c r="C56" s="1750" t="s">
        <v>1320</v>
      </c>
      <c r="D56" s="1750"/>
      <c r="E56" s="1750" t="s">
        <v>1321</v>
      </c>
      <c r="F56" s="543" t="s">
        <v>1322</v>
      </c>
      <c r="G56" s="1750" t="s">
        <v>1325</v>
      </c>
      <c r="H56" s="1750" t="s">
        <v>1326</v>
      </c>
    </row>
    <row r="57" spans="1:8" ht="78.75" x14ac:dyDescent="0.25">
      <c r="A57" s="1751"/>
      <c r="B57" s="1766"/>
      <c r="C57" s="1751"/>
      <c r="D57" s="1751"/>
      <c r="E57" s="1751"/>
      <c r="F57" s="532" t="s">
        <v>1323</v>
      </c>
      <c r="G57" s="1751"/>
      <c r="H57" s="1751"/>
    </row>
    <row r="58" spans="1:8" ht="15.75" x14ac:dyDescent="0.25">
      <c r="A58" s="1751"/>
      <c r="B58" s="1766"/>
      <c r="C58" s="1751"/>
      <c r="D58" s="1751"/>
      <c r="E58" s="1751"/>
      <c r="F58" s="532"/>
      <c r="G58" s="1751"/>
      <c r="H58" s="1751"/>
    </row>
    <row r="59" spans="1:8" ht="15.75" x14ac:dyDescent="0.25">
      <c r="A59" s="1751"/>
      <c r="B59" s="1766"/>
      <c r="C59" s="1751"/>
      <c r="D59" s="1751"/>
      <c r="E59" s="1751"/>
      <c r="F59" s="543" t="s">
        <v>1324</v>
      </c>
      <c r="G59" s="1751"/>
      <c r="H59" s="1751"/>
    </row>
    <row r="60" spans="1:8" ht="47.25" x14ac:dyDescent="0.25">
      <c r="A60" s="1751"/>
      <c r="B60" s="1766"/>
      <c r="C60" s="1751"/>
      <c r="D60" s="1751"/>
      <c r="E60" s="1751"/>
      <c r="F60" s="532" t="s">
        <v>1314</v>
      </c>
      <c r="G60" s="1751"/>
      <c r="H60" s="1751"/>
    </row>
    <row r="61" spans="1:8" ht="79.5" thickBot="1" x14ac:dyDescent="0.3">
      <c r="A61" s="1752"/>
      <c r="B61" s="1767"/>
      <c r="C61" s="1752"/>
      <c r="D61" s="1752"/>
      <c r="E61" s="1752"/>
      <c r="F61" s="531" t="s">
        <v>1289</v>
      </c>
      <c r="G61" s="1752"/>
      <c r="H61" s="1752"/>
    </row>
    <row r="62" spans="1:8" ht="111" thickTop="1" x14ac:dyDescent="0.25">
      <c r="A62" s="1750" t="s">
        <v>1328</v>
      </c>
      <c r="B62" s="1759" t="s">
        <v>1329</v>
      </c>
      <c r="C62" s="1750" t="s">
        <v>1330</v>
      </c>
      <c r="D62" s="1750"/>
      <c r="E62" s="1750" t="s">
        <v>1331</v>
      </c>
      <c r="F62" s="535" t="s">
        <v>1332</v>
      </c>
      <c r="G62" s="1750" t="s">
        <v>1331</v>
      </c>
      <c r="H62" s="1750" t="s">
        <v>1326</v>
      </c>
    </row>
    <row r="63" spans="1:8" ht="15.75" x14ac:dyDescent="0.25">
      <c r="A63" s="1751"/>
      <c r="B63" s="1760"/>
      <c r="C63" s="1751"/>
      <c r="D63" s="1751"/>
      <c r="E63" s="1751"/>
      <c r="F63" s="532"/>
      <c r="G63" s="1751"/>
      <c r="H63" s="1751"/>
    </row>
    <row r="64" spans="1:8" ht="48" thickBot="1" x14ac:dyDescent="0.3">
      <c r="A64" s="1752"/>
      <c r="B64" s="1761"/>
      <c r="C64" s="1752"/>
      <c r="D64" s="1752"/>
      <c r="E64" s="1752"/>
      <c r="F64" s="529" t="s">
        <v>1333</v>
      </c>
      <c r="G64" s="1752"/>
      <c r="H64" s="1752"/>
    </row>
    <row r="65" spans="1:8" ht="221.25" thickTop="1" x14ac:dyDescent="0.25">
      <c r="A65" s="1750" t="s">
        <v>1334</v>
      </c>
      <c r="B65" s="1759" t="s">
        <v>1001</v>
      </c>
      <c r="C65" s="1750" t="s">
        <v>1335</v>
      </c>
      <c r="D65" s="1750"/>
      <c r="E65" s="1750" t="s">
        <v>1336</v>
      </c>
      <c r="F65" s="543" t="s">
        <v>1337</v>
      </c>
      <c r="G65" s="1750" t="s">
        <v>1281</v>
      </c>
      <c r="H65" s="1750" t="s">
        <v>1326</v>
      </c>
    </row>
    <row r="66" spans="1:8" ht="15.75" x14ac:dyDescent="0.25">
      <c r="A66" s="1751"/>
      <c r="B66" s="1760"/>
      <c r="C66" s="1751"/>
      <c r="D66" s="1751"/>
      <c r="E66" s="1751"/>
      <c r="F66" s="545"/>
      <c r="G66" s="1751"/>
      <c r="H66" s="1751"/>
    </row>
    <row r="67" spans="1:8" ht="15.75" x14ac:dyDescent="0.25">
      <c r="A67" s="1751"/>
      <c r="B67" s="1760"/>
      <c r="C67" s="1751"/>
      <c r="D67" s="1751"/>
      <c r="E67" s="1751"/>
      <c r="F67" s="543" t="s">
        <v>1338</v>
      </c>
      <c r="G67" s="1751"/>
      <c r="H67" s="1751"/>
    </row>
    <row r="68" spans="1:8" ht="47.25" x14ac:dyDescent="0.25">
      <c r="A68" s="1751"/>
      <c r="B68" s="1760"/>
      <c r="C68" s="1751"/>
      <c r="D68" s="1751"/>
      <c r="E68" s="1751"/>
      <c r="F68" s="532" t="s">
        <v>1314</v>
      </c>
      <c r="G68" s="1751"/>
      <c r="H68" s="1751"/>
    </row>
    <row r="69" spans="1:8" ht="79.5" thickBot="1" x14ac:dyDescent="0.3">
      <c r="A69" s="1752"/>
      <c r="B69" s="1761"/>
      <c r="C69" s="1752"/>
      <c r="D69" s="1752"/>
      <c r="E69" s="1752"/>
      <c r="F69" s="531" t="s">
        <v>1289</v>
      </c>
      <c r="G69" s="1752"/>
      <c r="H69" s="1752"/>
    </row>
    <row r="70" spans="1:8" ht="16.5" thickTop="1" x14ac:dyDescent="0.25">
      <c r="A70" s="551"/>
      <c r="B70" s="552"/>
      <c r="C70" s="551"/>
      <c r="D70" s="551"/>
      <c r="E70" s="551"/>
      <c r="F70" s="551"/>
      <c r="G70" s="551"/>
      <c r="H70" s="551"/>
    </row>
    <row r="71" spans="1:8" ht="15.75" x14ac:dyDescent="0.25">
      <c r="A71" s="551"/>
      <c r="B71" s="552"/>
      <c r="C71" s="551"/>
      <c r="D71" s="551"/>
      <c r="E71" s="551"/>
      <c r="F71" s="551"/>
      <c r="G71" s="551"/>
      <c r="H71" s="551"/>
    </row>
    <row r="72" spans="1:8" ht="15.75" x14ac:dyDescent="0.25">
      <c r="A72" s="551"/>
      <c r="B72" s="552"/>
      <c r="C72" s="551"/>
      <c r="D72" s="551"/>
      <c r="E72" s="551"/>
      <c r="F72" s="551"/>
      <c r="G72" s="551"/>
      <c r="H72" s="551"/>
    </row>
    <row r="73" spans="1:8" ht="15.75" x14ac:dyDescent="0.25">
      <c r="A73" s="551"/>
      <c r="B73" s="552"/>
      <c r="C73" s="551"/>
      <c r="D73" s="551"/>
      <c r="E73" s="551"/>
      <c r="F73" s="551"/>
      <c r="G73" s="551"/>
      <c r="H73" s="551"/>
    </row>
    <row r="74" spans="1:8" ht="15.75" x14ac:dyDescent="0.25">
      <c r="A74" s="551"/>
      <c r="B74" s="552"/>
      <c r="C74" s="551"/>
      <c r="D74" s="551"/>
      <c r="E74" s="551"/>
      <c r="F74" s="551"/>
      <c r="G74" s="551"/>
      <c r="H74" s="551"/>
    </row>
    <row r="75" spans="1:8" ht="15.75" x14ac:dyDescent="0.25">
      <c r="A75" s="551"/>
      <c r="B75" s="552"/>
      <c r="C75" s="551"/>
      <c r="D75" s="551"/>
      <c r="E75" s="551"/>
      <c r="F75" s="551"/>
      <c r="G75" s="551"/>
      <c r="H75" s="551"/>
    </row>
    <row r="78" spans="1:8" ht="15.75" x14ac:dyDescent="0.25">
      <c r="A78" s="155" t="s">
        <v>1339</v>
      </c>
    </row>
    <row r="79" spans="1:8" ht="15.75" thickBot="1" x14ac:dyDescent="0.3"/>
    <row r="80" spans="1:8" ht="143.25" thickTop="1" thickBot="1" x14ac:dyDescent="0.3">
      <c r="A80" s="381" t="s">
        <v>1270</v>
      </c>
      <c r="B80" s="539" t="s">
        <v>788</v>
      </c>
      <c r="C80" s="539" t="s">
        <v>1271</v>
      </c>
      <c r="D80" s="539" t="s">
        <v>1272</v>
      </c>
      <c r="E80" s="539" t="s">
        <v>1273</v>
      </c>
      <c r="F80" s="539" t="s">
        <v>1274</v>
      </c>
      <c r="G80" s="539" t="s">
        <v>1275</v>
      </c>
      <c r="H80" s="539" t="s">
        <v>1276</v>
      </c>
    </row>
    <row r="81" spans="1:8" ht="143.25" thickTop="1" thickBot="1" x14ac:dyDescent="0.3">
      <c r="A81" s="530" t="s">
        <v>1277</v>
      </c>
      <c r="B81" s="531" t="s">
        <v>1340</v>
      </c>
      <c r="C81" s="531" t="s">
        <v>1341</v>
      </c>
      <c r="D81" s="531"/>
      <c r="E81" s="531" t="s">
        <v>1279</v>
      </c>
      <c r="F81" s="531" t="s">
        <v>1280</v>
      </c>
      <c r="G81" s="531" t="s">
        <v>1281</v>
      </c>
      <c r="H81" s="531" t="s">
        <v>715</v>
      </c>
    </row>
    <row r="82" spans="1:8" ht="96" thickTop="1" thickBot="1" x14ac:dyDescent="0.3">
      <c r="A82" s="530">
        <v>2</v>
      </c>
      <c r="B82" s="531" t="s">
        <v>1007</v>
      </c>
      <c r="C82" s="531"/>
      <c r="D82" s="531"/>
      <c r="E82" s="531" t="s">
        <v>1342</v>
      </c>
      <c r="F82" s="531" t="s">
        <v>1343</v>
      </c>
      <c r="G82" s="531" t="s">
        <v>1281</v>
      </c>
      <c r="H82" s="531" t="s">
        <v>715</v>
      </c>
    </row>
    <row r="83" spans="1:8" ht="16.5" thickTop="1" x14ac:dyDescent="0.25">
      <c r="A83" s="1750" t="s">
        <v>1315</v>
      </c>
      <c r="B83" s="1750" t="s">
        <v>1013</v>
      </c>
      <c r="C83" s="532" t="s">
        <v>1344</v>
      </c>
      <c r="D83" s="1750"/>
      <c r="E83" s="1750" t="s">
        <v>1342</v>
      </c>
      <c r="F83" s="546" t="s">
        <v>1286</v>
      </c>
      <c r="G83" s="1750" t="s">
        <v>1281</v>
      </c>
      <c r="H83" s="1750" t="s">
        <v>715</v>
      </c>
    </row>
    <row r="84" spans="1:8" ht="114.75" x14ac:dyDescent="0.25">
      <c r="A84" s="1751"/>
      <c r="B84" s="1751"/>
      <c r="C84" s="532" t="s">
        <v>1345</v>
      </c>
      <c r="D84" s="1751"/>
      <c r="E84" s="1751"/>
      <c r="F84" s="547" t="s">
        <v>1346</v>
      </c>
      <c r="G84" s="1751"/>
      <c r="H84" s="1751"/>
    </row>
    <row r="85" spans="1:8" x14ac:dyDescent="0.25">
      <c r="A85" s="1751"/>
      <c r="B85" s="1751"/>
      <c r="C85" s="536"/>
      <c r="D85" s="1751"/>
      <c r="E85" s="1751"/>
      <c r="F85" s="547"/>
      <c r="G85" s="1751"/>
      <c r="H85" s="1751"/>
    </row>
    <row r="86" spans="1:8" x14ac:dyDescent="0.25">
      <c r="A86" s="1751"/>
      <c r="B86" s="1751"/>
      <c r="C86" s="536"/>
      <c r="D86" s="1751"/>
      <c r="E86" s="1751"/>
      <c r="F86" s="546" t="s">
        <v>1324</v>
      </c>
      <c r="G86" s="1751"/>
      <c r="H86" s="1751"/>
    </row>
    <row r="87" spans="1:8" ht="25.5" x14ac:dyDescent="0.25">
      <c r="A87" s="1751"/>
      <c r="B87" s="1751"/>
      <c r="C87" s="536"/>
      <c r="D87" s="1751"/>
      <c r="E87" s="1751"/>
      <c r="F87" s="547" t="s">
        <v>1314</v>
      </c>
      <c r="G87" s="1751"/>
      <c r="H87" s="1751"/>
    </row>
    <row r="88" spans="1:8" ht="51.75" thickBot="1" x14ac:dyDescent="0.3">
      <c r="A88" s="1752"/>
      <c r="B88" s="1752"/>
      <c r="C88" s="537"/>
      <c r="D88" s="1752"/>
      <c r="E88" s="1752"/>
      <c r="F88" s="548" t="s">
        <v>1289</v>
      </c>
      <c r="G88" s="1752"/>
      <c r="H88" s="1752"/>
    </row>
    <row r="89" spans="1:8" ht="15.75" thickTop="1" x14ac:dyDescent="0.25"/>
  </sheetData>
  <mergeCells count="68">
    <mergeCell ref="H65:H69"/>
    <mergeCell ref="A83:A88"/>
    <mergeCell ref="B83:B88"/>
    <mergeCell ref="D83:D88"/>
    <mergeCell ref="E83:E88"/>
    <mergeCell ref="G83:G88"/>
    <mergeCell ref="H83:H88"/>
    <mergeCell ref="A65:A69"/>
    <mergeCell ref="B65:B69"/>
    <mergeCell ref="C65:C69"/>
    <mergeCell ref="D65:D69"/>
    <mergeCell ref="E65:E69"/>
    <mergeCell ref="G65:G69"/>
    <mergeCell ref="H62:H64"/>
    <mergeCell ref="A56:A61"/>
    <mergeCell ref="B56:B61"/>
    <mergeCell ref="C56:C61"/>
    <mergeCell ref="D56:D61"/>
    <mergeCell ref="E56:E61"/>
    <mergeCell ref="G56:G61"/>
    <mergeCell ref="B62:B64"/>
    <mergeCell ref="C62:C64"/>
    <mergeCell ref="D62:D64"/>
    <mergeCell ref="E62:E64"/>
    <mergeCell ref="G62:G64"/>
    <mergeCell ref="H56:H61"/>
    <mergeCell ref="A62:A64"/>
    <mergeCell ref="H43:H49"/>
    <mergeCell ref="A50:A55"/>
    <mergeCell ref="B50:B55"/>
    <mergeCell ref="D50:D55"/>
    <mergeCell ref="E50:E55"/>
    <mergeCell ref="G50:G55"/>
    <mergeCell ref="H50:H55"/>
    <mergeCell ref="A43:A49"/>
    <mergeCell ref="B43:B49"/>
    <mergeCell ref="C43:C49"/>
    <mergeCell ref="D43:D49"/>
    <mergeCell ref="E43:E49"/>
    <mergeCell ref="G43:G49"/>
    <mergeCell ref="H29:H35"/>
    <mergeCell ref="A36:A42"/>
    <mergeCell ref="B36:B42"/>
    <mergeCell ref="C36:C42"/>
    <mergeCell ref="D36:D42"/>
    <mergeCell ref="E36:E42"/>
    <mergeCell ref="G36:G42"/>
    <mergeCell ref="H36:H42"/>
    <mergeCell ref="A29:A35"/>
    <mergeCell ref="B29:B35"/>
    <mergeCell ref="C29:C35"/>
    <mergeCell ref="D29:D35"/>
    <mergeCell ref="E29:E35"/>
    <mergeCell ref="G29:G35"/>
    <mergeCell ref="H10:H14"/>
    <mergeCell ref="A15:A20"/>
    <mergeCell ref="B15:B20"/>
    <mergeCell ref="C15:C20"/>
    <mergeCell ref="D15:D20"/>
    <mergeCell ref="E15:E20"/>
    <mergeCell ref="G15:G20"/>
    <mergeCell ref="H15:H20"/>
    <mergeCell ref="A10:A14"/>
    <mergeCell ref="B10:B14"/>
    <mergeCell ref="C10:C14"/>
    <mergeCell ref="D10:D14"/>
    <mergeCell ref="E10:E14"/>
    <mergeCell ref="G10:G14"/>
  </mergeCells>
  <hyperlinks>
    <hyperlink ref="F28" r:id="rId1" display="http://www.llri.lt/"/>
  </hyperlinks>
  <pageMargins left="0.25" right="0.25" top="0.75" bottom="0.75" header="0.3" footer="0.3"/>
  <pageSetup paperSize="9" orientation="landscape" r:id="rId2"/>
  <headerFooter>
    <oddHeader>&amp;C&amp;"Times New Roman,Paprastas"&amp;12Alytaus regiono 2014 – 2020 metų plėtros planas</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9"/>
  <sheetViews>
    <sheetView showRuler="0" view="pageLayout" zoomScaleNormal="100" workbookViewId="0">
      <selection activeCell="H20" sqref="H20"/>
    </sheetView>
  </sheetViews>
  <sheetFormatPr defaultRowHeight="15" x14ac:dyDescent="0.25"/>
  <cols>
    <col min="1" max="1" width="19.42578125" style="157" customWidth="1"/>
    <col min="2" max="2" width="16.85546875" style="157" customWidth="1"/>
    <col min="3" max="3" width="11" style="157" customWidth="1"/>
    <col min="4" max="4" width="11.7109375" style="157" customWidth="1"/>
    <col min="5" max="6" width="12.42578125" style="157" customWidth="1"/>
    <col min="7" max="7" width="12.140625" style="157" customWidth="1"/>
    <col min="8" max="8" width="15.140625" style="157" customWidth="1"/>
    <col min="9" max="9" width="12.140625" style="157" customWidth="1"/>
    <col min="10" max="10" width="14.7109375" style="157" customWidth="1"/>
    <col min="11" max="16384" width="9.140625" style="157"/>
  </cols>
  <sheetData>
    <row r="1" spans="1:10" ht="15.75" x14ac:dyDescent="0.25">
      <c r="A1" s="541" t="s">
        <v>1368</v>
      </c>
    </row>
    <row r="3" spans="1:10" x14ac:dyDescent="0.25">
      <c r="A3" s="527" t="s">
        <v>1347</v>
      </c>
    </row>
    <row r="4" spans="1:10" ht="15.75" thickBot="1" x14ac:dyDescent="0.3"/>
    <row r="5" spans="1:10" ht="17.25" thickTop="1" thickBot="1" x14ac:dyDescent="0.3">
      <c r="A5" s="1756" t="s">
        <v>1348</v>
      </c>
      <c r="B5" s="1756" t="s">
        <v>1349</v>
      </c>
      <c r="C5" s="1753" t="s">
        <v>1350</v>
      </c>
      <c r="D5" s="1754"/>
      <c r="E5" s="1754"/>
      <c r="F5" s="1754"/>
      <c r="G5" s="1754"/>
      <c r="H5" s="1754"/>
      <c r="I5" s="1755"/>
      <c r="J5" s="1756" t="s">
        <v>1351</v>
      </c>
    </row>
    <row r="6" spans="1:10" ht="33" thickTop="1" thickBot="1" x14ac:dyDescent="0.3">
      <c r="A6" s="1758"/>
      <c r="B6" s="1758"/>
      <c r="C6" s="529" t="s">
        <v>1352</v>
      </c>
      <c r="D6" s="529" t="s">
        <v>1353</v>
      </c>
      <c r="E6" s="529" t="s">
        <v>1354</v>
      </c>
      <c r="F6" s="529" t="s">
        <v>1355</v>
      </c>
      <c r="G6" s="529" t="s">
        <v>1356</v>
      </c>
      <c r="H6" s="529" t="s">
        <v>1357</v>
      </c>
      <c r="I6" s="529" t="s">
        <v>1358</v>
      </c>
      <c r="J6" s="1758"/>
    </row>
    <row r="7" spans="1:10" ht="33" thickTop="1" thickBot="1" x14ac:dyDescent="0.3">
      <c r="A7" s="530" t="s">
        <v>1359</v>
      </c>
      <c r="B7" s="531" t="s">
        <v>1360</v>
      </c>
      <c r="C7" s="531" t="s">
        <v>1361</v>
      </c>
      <c r="D7" s="531" t="s">
        <v>66</v>
      </c>
      <c r="E7" s="531" t="s">
        <v>66</v>
      </c>
      <c r="F7" s="531" t="s">
        <v>66</v>
      </c>
      <c r="G7" s="531" t="s">
        <v>66</v>
      </c>
      <c r="H7" s="531" t="s">
        <v>1361</v>
      </c>
      <c r="I7" s="531" t="s">
        <v>66</v>
      </c>
      <c r="J7" s="531" t="s">
        <v>66</v>
      </c>
    </row>
    <row r="8" spans="1:10" ht="33" thickTop="1" thickBot="1" x14ac:dyDescent="0.3">
      <c r="A8" s="530" t="s">
        <v>1362</v>
      </c>
      <c r="B8" s="531" t="s">
        <v>1363</v>
      </c>
      <c r="C8" s="531" t="s">
        <v>1361</v>
      </c>
      <c r="D8" s="531" t="s">
        <v>66</v>
      </c>
      <c r="E8" s="531" t="s">
        <v>66</v>
      </c>
      <c r="F8" s="531" t="s">
        <v>66</v>
      </c>
      <c r="G8" s="531" t="s">
        <v>66</v>
      </c>
      <c r="H8" s="531" t="s">
        <v>66</v>
      </c>
      <c r="I8" s="531" t="s">
        <v>66</v>
      </c>
      <c r="J8" s="531" t="s">
        <v>66</v>
      </c>
    </row>
    <row r="9" spans="1:10" ht="48.75" thickTop="1" thickBot="1" x14ac:dyDescent="0.3">
      <c r="A9" s="530" t="s">
        <v>1364</v>
      </c>
      <c r="B9" s="531" t="s">
        <v>1360</v>
      </c>
      <c r="C9" s="531" t="s">
        <v>1361</v>
      </c>
      <c r="D9" s="531" t="s">
        <v>1361</v>
      </c>
      <c r="E9" s="531" t="s">
        <v>66</v>
      </c>
      <c r="F9" s="531" t="s">
        <v>66</v>
      </c>
      <c r="G9" s="531" t="s">
        <v>66</v>
      </c>
      <c r="H9" s="531" t="s">
        <v>66</v>
      </c>
      <c r="I9" s="531" t="s">
        <v>66</v>
      </c>
      <c r="J9" s="531" t="s">
        <v>66</v>
      </c>
    </row>
    <row r="10" spans="1:10" ht="80.25" thickTop="1" thickBot="1" x14ac:dyDescent="0.3">
      <c r="A10" s="530" t="s">
        <v>1365</v>
      </c>
      <c r="B10" s="531" t="s">
        <v>1366</v>
      </c>
      <c r="C10" s="531" t="s">
        <v>1361</v>
      </c>
      <c r="D10" s="531" t="s">
        <v>66</v>
      </c>
      <c r="E10" s="531" t="s">
        <v>66</v>
      </c>
      <c r="F10" s="531" t="s">
        <v>66</v>
      </c>
      <c r="G10" s="531" t="s">
        <v>66</v>
      </c>
      <c r="H10" s="531" t="s">
        <v>66</v>
      </c>
      <c r="I10" s="531" t="s">
        <v>66</v>
      </c>
      <c r="J10" s="531" t="s">
        <v>66</v>
      </c>
    </row>
    <row r="11" spans="1:10" ht="15.75" thickTop="1" x14ac:dyDescent="0.25"/>
    <row r="19" spans="1:1" x14ac:dyDescent="0.25">
      <c r="A19" s="157" t="s">
        <v>1367</v>
      </c>
    </row>
  </sheetData>
  <mergeCells count="4">
    <mergeCell ref="A5:A6"/>
    <mergeCell ref="B5:B6"/>
    <mergeCell ref="C5:I5"/>
    <mergeCell ref="J5:J6"/>
  </mergeCells>
  <pageMargins left="0.25" right="0.25" top="0.75" bottom="0.75" header="0.3" footer="0.3"/>
  <pageSetup paperSize="9" orientation="landscape" r:id="rId1"/>
  <headerFooter>
    <oddHeader>&amp;C&amp;"Times New Roman,Paprastas"&amp;12Alytaus regiono 2014 – 2020 metų plėtros planas</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U188"/>
  <sheetViews>
    <sheetView topLeftCell="W2" zoomScaleNormal="100" workbookViewId="0">
      <pane ySplit="2055" topLeftCell="A118" activePane="bottomLeft"/>
      <selection activeCell="CP1" sqref="CP1:CP1048576"/>
      <selection pane="bottomLeft" activeCell="C120" sqref="C120:P120"/>
    </sheetView>
  </sheetViews>
  <sheetFormatPr defaultRowHeight="29.25" customHeight="1" x14ac:dyDescent="0.25"/>
  <cols>
    <col min="1" max="1" width="8.28515625" style="190" bestFit="1" customWidth="1"/>
    <col min="2" max="2" width="29.140625" style="176" customWidth="1"/>
    <col min="3" max="3" width="5.85546875" bestFit="1" customWidth="1"/>
    <col min="4" max="4" width="7.5703125" bestFit="1" customWidth="1"/>
    <col min="5" max="5" width="7.85546875" bestFit="1" customWidth="1"/>
    <col min="6" max="6" width="10.7109375" bestFit="1" customWidth="1"/>
    <col min="7" max="7" width="8.5703125" bestFit="1" customWidth="1"/>
    <col min="8" max="8" width="8.28515625" bestFit="1" customWidth="1"/>
    <col min="9" max="9" width="9.7109375" customWidth="1"/>
    <col min="10" max="10" width="7.5703125" bestFit="1" customWidth="1"/>
    <col min="11" max="11" width="8.85546875" bestFit="1" customWidth="1"/>
    <col min="12" max="12" width="10.7109375" style="131" customWidth="1"/>
    <col min="13" max="13" width="8.5703125" style="131" customWidth="1"/>
    <col min="14" max="14" width="8.28515625" style="131" customWidth="1"/>
    <col min="15" max="15" width="9.28515625" style="131" customWidth="1"/>
    <col min="16" max="16" width="8.85546875" bestFit="1" customWidth="1"/>
    <col min="17" max="17" width="9.85546875" bestFit="1" customWidth="1"/>
    <col min="18" max="18" width="7.85546875" style="131" bestFit="1" customWidth="1"/>
    <col min="19" max="19" width="6.5703125" style="131" bestFit="1" customWidth="1"/>
    <col min="20" max="20" width="7.85546875" style="131" bestFit="1" customWidth="1"/>
    <col min="21" max="21" width="7.28515625" style="131" customWidth="1"/>
    <col min="22" max="22" width="9.85546875" bestFit="1" customWidth="1"/>
    <col min="23" max="23" width="8.85546875" bestFit="1" customWidth="1"/>
    <col min="24" max="25" width="6.5703125" style="131" bestFit="1" customWidth="1"/>
    <col min="26" max="26" width="7" style="131" bestFit="1" customWidth="1"/>
    <col min="27" max="27" width="6.42578125" style="131" customWidth="1"/>
    <col min="28" max="28" width="9.28515625" bestFit="1" customWidth="1"/>
    <col min="29" max="29" width="8.85546875" bestFit="1" customWidth="1"/>
    <col min="30" max="31" width="5.7109375" style="131" bestFit="1" customWidth="1"/>
    <col min="32" max="32" width="7" style="131" bestFit="1" customWidth="1"/>
    <col min="33" max="33" width="6.28515625" style="131" customWidth="1"/>
    <col min="34" max="34" width="11.42578125" customWidth="1"/>
    <col min="35" max="35" width="12.5703125" customWidth="1"/>
    <col min="36" max="36" width="7.85546875" bestFit="1" customWidth="1"/>
    <col min="37" max="37" width="10.7109375" bestFit="1" customWidth="1"/>
    <col min="38" max="38" width="6.5703125" bestFit="1" customWidth="1"/>
    <col min="39" max="39" width="8.5703125" bestFit="1" customWidth="1"/>
    <col min="40" max="40" width="6.5703125" bestFit="1" customWidth="1"/>
    <col min="41" max="41" width="8.28515625" bestFit="1" customWidth="1"/>
    <col min="42" max="42" width="7.85546875" bestFit="1" customWidth="1"/>
    <col min="43" max="43" width="8.5703125" customWidth="1"/>
    <col min="44" max="44" width="7.140625" customWidth="1"/>
    <col min="45" max="46" width="14.42578125" customWidth="1"/>
    <col min="47" max="47" width="7.85546875" hidden="1" customWidth="1"/>
    <col min="48" max="48" width="8.85546875" hidden="1" customWidth="1"/>
    <col min="49" max="49" width="4.85546875" hidden="1" customWidth="1"/>
    <col min="50" max="53" width="4.5703125" hidden="1" customWidth="1"/>
    <col min="54" max="54" width="3.7109375" hidden="1" customWidth="1"/>
    <col min="55" max="55" width="4.85546875" hidden="1" customWidth="1"/>
    <col min="56" max="59" width="4.5703125" hidden="1" customWidth="1"/>
    <col min="60" max="61" width="4" hidden="1" customWidth="1"/>
    <col min="62" max="65" width="4.5703125" hidden="1" customWidth="1"/>
    <col min="66" max="66" width="4" hidden="1" customWidth="1"/>
    <col min="67" max="67" width="3.7109375" hidden="1" customWidth="1"/>
    <col min="68" max="71" width="4.5703125" hidden="1" customWidth="1"/>
    <col min="72" max="72" width="3.5703125" hidden="1" customWidth="1"/>
    <col min="73" max="73" width="3.85546875" hidden="1" customWidth="1"/>
    <col min="74" max="77" width="4.5703125" hidden="1" customWidth="1"/>
    <col min="78" max="78" width="3" hidden="1" customWidth="1"/>
    <col min="79" max="79" width="3.5703125" hidden="1" customWidth="1"/>
    <col min="80" max="83" width="4.5703125" hidden="1" customWidth="1"/>
    <col min="84" max="84" width="3.5703125" hidden="1" customWidth="1"/>
    <col min="85" max="86" width="10.42578125" bestFit="1" customWidth="1"/>
    <col min="88" max="88" width="9.5703125" bestFit="1" customWidth="1"/>
    <col min="90" max="90" width="11.42578125" bestFit="1" customWidth="1"/>
    <col min="97" max="98" width="10.42578125" bestFit="1" customWidth="1"/>
  </cols>
  <sheetData>
    <row r="1" spans="1:96" ht="29.25" customHeight="1" thickBot="1" x14ac:dyDescent="0.3">
      <c r="I1" t="s">
        <v>61</v>
      </c>
      <c r="O1" s="131" t="s">
        <v>61</v>
      </c>
      <c r="U1" s="131" t="s">
        <v>61</v>
      </c>
      <c r="AA1" s="131" t="s">
        <v>61</v>
      </c>
      <c r="AG1" s="131" t="s">
        <v>61</v>
      </c>
      <c r="AQ1" t="s">
        <v>61</v>
      </c>
      <c r="AV1">
        <v>40</v>
      </c>
      <c r="AW1">
        <v>40</v>
      </c>
      <c r="BA1" t="s">
        <v>61</v>
      </c>
      <c r="BB1">
        <v>20</v>
      </c>
      <c r="BG1" t="s">
        <v>61</v>
      </c>
      <c r="BM1" t="s">
        <v>61</v>
      </c>
      <c r="BS1" t="s">
        <v>61</v>
      </c>
      <c r="BY1" t="s">
        <v>61</v>
      </c>
      <c r="CE1" t="s">
        <v>61</v>
      </c>
    </row>
    <row r="2" spans="1:96" ht="29.25" customHeight="1" thickTop="1" thickBot="1" x14ac:dyDescent="0.3">
      <c r="A2" s="191"/>
      <c r="B2" s="177"/>
      <c r="C2" s="1591">
        <v>42369</v>
      </c>
      <c r="D2" s="1592"/>
      <c r="E2" s="1593">
        <v>42370</v>
      </c>
      <c r="F2" s="1585"/>
      <c r="G2" s="1585"/>
      <c r="H2" s="1585"/>
      <c r="I2" s="1585"/>
      <c r="J2" s="1592"/>
      <c r="K2" s="1593">
        <v>42736</v>
      </c>
      <c r="L2" s="1585"/>
      <c r="M2" s="1585"/>
      <c r="N2" s="1585"/>
      <c r="O2" s="1585"/>
      <c r="P2" s="1592"/>
      <c r="Q2" s="1593">
        <v>43101</v>
      </c>
      <c r="R2" s="1585"/>
      <c r="S2" s="1585"/>
      <c r="T2" s="1585"/>
      <c r="U2" s="1585"/>
      <c r="V2" s="1592"/>
      <c r="W2" s="1593">
        <v>43466</v>
      </c>
      <c r="X2" s="1585"/>
      <c r="Y2" s="1585"/>
      <c r="Z2" s="1585"/>
      <c r="AA2" s="1585"/>
      <c r="AB2" s="1592"/>
      <c r="AC2" s="1593">
        <v>43831</v>
      </c>
      <c r="AD2" s="1585"/>
      <c r="AE2" s="1585"/>
      <c r="AF2" s="1585"/>
      <c r="AG2" s="1585"/>
      <c r="AH2" s="1592"/>
      <c r="AI2" s="1584" t="s">
        <v>6</v>
      </c>
      <c r="AJ2" s="1585"/>
      <c r="AK2" s="1585"/>
      <c r="AL2" s="1585"/>
      <c r="AM2" s="1585"/>
      <c r="AN2" s="1585"/>
      <c r="AO2" s="1585"/>
      <c r="AP2" s="1585"/>
      <c r="AQ2" s="1585"/>
      <c r="AR2" s="1585"/>
      <c r="AS2" s="1586"/>
      <c r="AT2" s="806"/>
      <c r="AX2" s="389"/>
      <c r="AY2" s="389"/>
      <c r="AZ2" s="389"/>
      <c r="BA2" s="389"/>
      <c r="BD2" s="389"/>
      <c r="BE2" s="389"/>
      <c r="BF2" s="389"/>
      <c r="BG2" s="389"/>
      <c r="BJ2" s="389"/>
      <c r="BK2" s="389"/>
      <c r="BL2" s="389"/>
      <c r="BM2" s="389"/>
      <c r="BP2" s="389"/>
      <c r="BQ2" s="389"/>
      <c r="BR2" s="389"/>
      <c r="BS2" s="389"/>
      <c r="BV2" s="389"/>
      <c r="BW2" s="389"/>
      <c r="BX2" s="389"/>
      <c r="BY2" s="389"/>
      <c r="CB2" s="389"/>
      <c r="CC2" s="389"/>
      <c r="CD2" s="389"/>
      <c r="CE2" s="389"/>
      <c r="CG2" s="565"/>
      <c r="CH2" s="565"/>
    </row>
    <row r="3" spans="1:96" ht="29.25" customHeight="1" thickTop="1" thickBot="1" x14ac:dyDescent="0.3">
      <c r="A3" s="191"/>
      <c r="B3" s="177"/>
      <c r="C3" s="1591">
        <v>42369</v>
      </c>
      <c r="D3" s="1592"/>
      <c r="E3" s="1593">
        <v>42735</v>
      </c>
      <c r="F3" s="1585"/>
      <c r="G3" s="1585"/>
      <c r="H3" s="1585"/>
      <c r="I3" s="1585"/>
      <c r="J3" s="1592"/>
      <c r="K3" s="1593">
        <v>43100</v>
      </c>
      <c r="L3" s="1585"/>
      <c r="M3" s="1585"/>
      <c r="N3" s="1585"/>
      <c r="O3" s="1585"/>
      <c r="P3" s="1592"/>
      <c r="Q3" s="1593">
        <v>43465</v>
      </c>
      <c r="R3" s="1585"/>
      <c r="S3" s="1585"/>
      <c r="T3" s="1585"/>
      <c r="U3" s="1585"/>
      <c r="V3" s="1592"/>
      <c r="W3" s="1593">
        <v>43830</v>
      </c>
      <c r="X3" s="1585"/>
      <c r="Y3" s="1585"/>
      <c r="Z3" s="1585"/>
      <c r="AA3" s="1585"/>
      <c r="AB3" s="1592"/>
      <c r="AC3" s="1593">
        <v>44196</v>
      </c>
      <c r="AD3" s="1585"/>
      <c r="AE3" s="1585"/>
      <c r="AF3" s="1585"/>
      <c r="AG3" s="1585"/>
      <c r="AH3" s="1592"/>
      <c r="AI3" s="1584" t="s">
        <v>6</v>
      </c>
      <c r="AJ3" s="1585"/>
      <c r="AK3" s="1585"/>
      <c r="AL3" s="1585"/>
      <c r="AM3" s="1585"/>
      <c r="AN3" s="1585"/>
      <c r="AO3" s="1585"/>
      <c r="AP3" s="1585"/>
      <c r="AQ3" s="1585"/>
      <c r="AR3" s="1585"/>
      <c r="AS3" s="1586"/>
      <c r="AT3" s="806"/>
      <c r="AX3" s="389"/>
      <c r="AY3" s="389"/>
      <c r="AZ3" s="389"/>
      <c r="BA3" s="389"/>
      <c r="BD3" s="389"/>
      <c r="BE3" s="389"/>
      <c r="BF3" s="389"/>
      <c r="BG3" s="389"/>
      <c r="BJ3" s="389"/>
      <c r="BK3" s="389"/>
      <c r="BL3" s="389"/>
      <c r="BM3" s="389"/>
      <c r="BP3" s="389"/>
      <c r="BQ3" s="389"/>
      <c r="BR3" s="389"/>
      <c r="BS3" s="389"/>
      <c r="BV3" s="389"/>
      <c r="BW3" s="389"/>
      <c r="BX3" s="389"/>
      <c r="BY3" s="389"/>
      <c r="CB3" s="389"/>
      <c r="CC3" s="389"/>
      <c r="CD3" s="389"/>
      <c r="CE3" s="389"/>
      <c r="CG3" s="565"/>
      <c r="CH3" s="565"/>
    </row>
    <row r="4" spans="1:96" ht="29.25" customHeight="1" thickBot="1" x14ac:dyDescent="0.3">
      <c r="A4" s="192" t="s">
        <v>7</v>
      </c>
      <c r="B4" s="178" t="s">
        <v>8</v>
      </c>
      <c r="C4" s="1" t="s">
        <v>9</v>
      </c>
      <c r="D4" s="1" t="s">
        <v>10</v>
      </c>
      <c r="E4" s="1" t="s">
        <v>9</v>
      </c>
      <c r="F4" s="397" t="s">
        <v>58</v>
      </c>
      <c r="G4" s="397" t="s">
        <v>59</v>
      </c>
      <c r="H4" s="397" t="s">
        <v>60</v>
      </c>
      <c r="I4" s="398" t="s">
        <v>61</v>
      </c>
      <c r="J4" s="1" t="s">
        <v>10</v>
      </c>
      <c r="K4" s="1" t="s">
        <v>9</v>
      </c>
      <c r="L4" s="399" t="s">
        <v>58</v>
      </c>
      <c r="M4" s="399" t="s">
        <v>59</v>
      </c>
      <c r="N4" s="399" t="s">
        <v>60</v>
      </c>
      <c r="O4" s="400" t="s">
        <v>61</v>
      </c>
      <c r="P4" s="1" t="s">
        <v>10</v>
      </c>
      <c r="Q4" s="1" t="s">
        <v>9</v>
      </c>
      <c r="R4" s="399" t="s">
        <v>1699</v>
      </c>
      <c r="S4" s="399" t="s">
        <v>1700</v>
      </c>
      <c r="T4" s="399" t="s">
        <v>1701</v>
      </c>
      <c r="U4" s="400" t="s">
        <v>1702</v>
      </c>
      <c r="V4" s="1" t="s">
        <v>10</v>
      </c>
      <c r="W4" s="1" t="s">
        <v>9</v>
      </c>
      <c r="X4" s="399" t="s">
        <v>1699</v>
      </c>
      <c r="Y4" s="399" t="s">
        <v>1700</v>
      </c>
      <c r="Z4" s="399" t="s">
        <v>1701</v>
      </c>
      <c r="AA4" s="400" t="s">
        <v>1702</v>
      </c>
      <c r="AB4" s="1" t="s">
        <v>10</v>
      </c>
      <c r="AC4" s="1" t="s">
        <v>9</v>
      </c>
      <c r="AD4" s="399" t="s">
        <v>1699</v>
      </c>
      <c r="AE4" s="399" t="s">
        <v>1700</v>
      </c>
      <c r="AF4" s="399" t="s">
        <v>1701</v>
      </c>
      <c r="AG4" s="400" t="s">
        <v>1702</v>
      </c>
      <c r="AH4" s="1" t="s">
        <v>10</v>
      </c>
      <c r="AI4" s="1164" t="s">
        <v>9</v>
      </c>
      <c r="AJ4" s="1"/>
      <c r="AK4" s="397" t="s">
        <v>58</v>
      </c>
      <c r="AL4" s="397"/>
      <c r="AM4" s="397" t="s">
        <v>59</v>
      </c>
      <c r="AN4" s="397"/>
      <c r="AO4" s="397" t="s">
        <v>60</v>
      </c>
      <c r="AP4" s="397"/>
      <c r="AQ4" s="398" t="s">
        <v>61</v>
      </c>
      <c r="AR4" s="398"/>
      <c r="AS4" s="449" t="s">
        <v>10</v>
      </c>
      <c r="AT4" s="807"/>
      <c r="AU4" s="1582">
        <v>42369</v>
      </c>
      <c r="AV4" s="1583"/>
      <c r="AW4" s="1597">
        <v>42735</v>
      </c>
      <c r="AX4" s="1583"/>
      <c r="AY4" s="1583"/>
      <c r="AZ4" s="1583"/>
      <c r="BA4" s="1583"/>
      <c r="BB4" s="1583"/>
      <c r="BC4" s="1598">
        <v>43100</v>
      </c>
      <c r="BD4" s="1598"/>
      <c r="BE4" s="1598"/>
      <c r="BF4" s="1598"/>
      <c r="BG4" s="1598"/>
      <c r="BH4" s="1598"/>
      <c r="BI4" s="1598">
        <v>43465</v>
      </c>
      <c r="BJ4" s="1598"/>
      <c r="BK4" s="1598"/>
      <c r="BL4" s="1598"/>
      <c r="BM4" s="1598"/>
      <c r="BN4" s="1598"/>
      <c r="BO4" s="1599">
        <v>43830</v>
      </c>
      <c r="BP4" s="1600"/>
      <c r="BQ4" s="1600"/>
      <c r="BR4" s="1600"/>
      <c r="BS4" s="1600"/>
      <c r="BT4" s="1600"/>
      <c r="BU4" s="1601">
        <v>44196</v>
      </c>
      <c r="BV4" s="1602"/>
      <c r="BW4" s="1602"/>
      <c r="BX4" s="1602"/>
      <c r="BY4" s="1602"/>
      <c r="BZ4" s="1603"/>
      <c r="CG4" s="565" t="s">
        <v>1376</v>
      </c>
      <c r="CH4" s="565" t="s">
        <v>1377</v>
      </c>
    </row>
    <row r="5" spans="1:96" ht="29.25" customHeight="1" thickBot="1" x14ac:dyDescent="0.3">
      <c r="A5" s="193"/>
      <c r="B5" s="179"/>
      <c r="C5" s="3"/>
      <c r="D5" s="3"/>
      <c r="E5" s="3"/>
      <c r="F5" s="3"/>
      <c r="G5" s="3"/>
      <c r="H5" s="3"/>
      <c r="I5" s="3"/>
      <c r="J5" s="3"/>
      <c r="K5" s="3"/>
      <c r="L5" s="401"/>
      <c r="M5" s="401"/>
      <c r="N5" s="401"/>
      <c r="O5" s="401"/>
      <c r="P5" s="3"/>
      <c r="Q5" s="3"/>
      <c r="R5" s="401"/>
      <c r="S5" s="401"/>
      <c r="T5" s="401"/>
      <c r="U5" s="401"/>
      <c r="V5" s="3"/>
      <c r="W5" s="3"/>
      <c r="X5" s="401"/>
      <c r="Y5" s="401"/>
      <c r="Z5" s="401"/>
      <c r="AA5" s="401"/>
      <c r="AB5" s="3"/>
      <c r="AC5" s="3"/>
      <c r="AD5" s="401"/>
      <c r="AE5" s="401"/>
      <c r="AF5" s="401"/>
      <c r="AG5" s="401"/>
      <c r="AH5" s="3"/>
      <c r="AI5" s="1165"/>
      <c r="AJ5" s="3"/>
      <c r="AK5" s="3"/>
      <c r="AL5" s="3"/>
      <c r="AM5" s="3"/>
      <c r="AN5" s="3"/>
      <c r="AO5" s="3"/>
      <c r="AP5" s="3"/>
      <c r="AQ5" s="3"/>
      <c r="AR5" s="887"/>
      <c r="AS5" s="4"/>
      <c r="AT5" s="808"/>
      <c r="AX5" s="3"/>
      <c r="AY5" s="3"/>
      <c r="AZ5" s="3"/>
      <c r="BA5" s="3"/>
      <c r="BD5" s="3"/>
      <c r="BE5" s="3"/>
      <c r="BF5" s="3"/>
      <c r="BG5" s="3"/>
      <c r="BJ5" s="3"/>
      <c r="BK5" s="3"/>
      <c r="BL5" s="3"/>
      <c r="BM5" s="3"/>
      <c r="BP5" s="3"/>
      <c r="BQ5" s="3"/>
      <c r="BR5" s="3"/>
      <c r="BS5" s="3"/>
      <c r="BV5" s="3"/>
      <c r="BW5" s="3"/>
      <c r="BX5" s="3"/>
      <c r="BY5" s="3"/>
      <c r="CB5" s="3"/>
      <c r="CC5" s="3"/>
      <c r="CD5" s="3"/>
      <c r="CE5" s="3"/>
      <c r="CG5" s="561"/>
      <c r="CH5" s="561"/>
    </row>
    <row r="6" spans="1:96" ht="75" customHeight="1" thickBot="1" x14ac:dyDescent="0.3">
      <c r="A6" s="194" t="str">
        <f>CONCATENATE('3 pr-2'!A7)</f>
        <v>1.1.</v>
      </c>
      <c r="B6" s="180" t="s">
        <v>875</v>
      </c>
      <c r="C6" s="146">
        <f>SUM(C7+C72)</f>
        <v>0</v>
      </c>
      <c r="D6" s="146">
        <f>SUM(D7+D72)</f>
        <v>0</v>
      </c>
      <c r="E6" s="146">
        <f>SUM(E7+E72)</f>
        <v>835238.47455074196</v>
      </c>
      <c r="F6" s="146"/>
      <c r="G6" s="146"/>
      <c r="H6" s="146"/>
      <c r="I6" s="146"/>
      <c r="J6" s="146">
        <f>SUM(J7+J72)</f>
        <v>368715.55</v>
      </c>
      <c r="K6" s="146">
        <f>SUM(K7+K72)</f>
        <v>5639058.8499999996</v>
      </c>
      <c r="L6" s="402"/>
      <c r="M6" s="402"/>
      <c r="N6" s="402"/>
      <c r="O6" s="402"/>
      <c r="P6" s="146">
        <f>SUM(P7+P72)</f>
        <v>4681721.07</v>
      </c>
      <c r="Q6" s="146">
        <f>SUM(Q7+Q72)</f>
        <v>17656575.403174091</v>
      </c>
      <c r="R6" s="402"/>
      <c r="S6" s="402"/>
      <c r="T6" s="402"/>
      <c r="U6" s="402"/>
      <c r="V6" s="146">
        <f>SUM(V7+V72)</f>
        <v>11500168.653302239</v>
      </c>
      <c r="W6" s="146">
        <f>SUM(W7+W72)</f>
        <v>14814417.973582553</v>
      </c>
      <c r="X6" s="402"/>
      <c r="Y6" s="402"/>
      <c r="Z6" s="402"/>
      <c r="AA6" s="402"/>
      <c r="AB6" s="146">
        <f>SUM(AB7+AB72)</f>
        <v>10281297.56349037</v>
      </c>
      <c r="AC6" s="146">
        <f>SUM(AC7+AC72)</f>
        <v>7996565.9239867311</v>
      </c>
      <c r="AD6" s="402"/>
      <c r="AE6" s="402"/>
      <c r="AF6" s="402"/>
      <c r="AG6" s="402"/>
      <c r="AH6" s="146">
        <f>SUM(AH7+AH72)</f>
        <v>5359556.8232073914</v>
      </c>
      <c r="AI6" s="1166">
        <f>SUM(AI7+AI72)</f>
        <v>46941856.625294112</v>
      </c>
      <c r="AJ6" s="146"/>
      <c r="AK6" s="146"/>
      <c r="AL6" s="146"/>
      <c r="AM6" s="146"/>
      <c r="AN6" s="146"/>
      <c r="AO6" s="146"/>
      <c r="AP6" s="146"/>
      <c r="AQ6" s="146"/>
      <c r="AR6" s="146"/>
      <c r="AS6" s="146">
        <f>SUM(AS7+AS72)</f>
        <v>32191459.659999996</v>
      </c>
      <c r="AT6" s="809"/>
      <c r="AU6" s="30">
        <f>SUM('3 pr-2'!AA7-'IV-1 su proj'!AS6)</f>
        <v>108833</v>
      </c>
      <c r="AX6" s="146"/>
      <c r="AY6" s="146"/>
      <c r="AZ6" s="146"/>
      <c r="BA6" s="146"/>
      <c r="BD6" s="146"/>
      <c r="BE6" s="146"/>
      <c r="BF6" s="146"/>
      <c r="BG6" s="146"/>
      <c r="BJ6" s="146"/>
      <c r="BK6" s="146"/>
      <c r="BL6" s="146"/>
      <c r="BM6" s="146"/>
      <c r="BP6" s="146"/>
      <c r="BQ6" s="146"/>
      <c r="BR6" s="146"/>
      <c r="BS6" s="146"/>
      <c r="BV6" s="146"/>
      <c r="BW6" s="146"/>
      <c r="BX6" s="146"/>
      <c r="BY6" s="146"/>
      <c r="CB6" s="146"/>
      <c r="CC6" s="146"/>
      <c r="CD6" s="146"/>
      <c r="CE6" s="146"/>
      <c r="CG6" s="561"/>
      <c r="CH6" s="561"/>
    </row>
    <row r="7" spans="1:96" ht="91.5" customHeight="1" thickBot="1" x14ac:dyDescent="0.3">
      <c r="A7" s="194" t="str">
        <f>CONCATENATE('3 pr-2'!A8)</f>
        <v>1.1.1.</v>
      </c>
      <c r="B7" s="181" t="str">
        <f>CONCATENATE('3 pr-2'!D8)</f>
        <v/>
      </c>
      <c r="C7" s="164">
        <f>SUM(C8+C32+C38+C45+C49+C55+C57+C61+C66)</f>
        <v>0</v>
      </c>
      <c r="D7" s="164">
        <f>SUM(D8+D32+D38+D45+D49+D55+D57+D61+D66)</f>
        <v>0</v>
      </c>
      <c r="E7" s="164">
        <f>SUM(E8+E32+E38+E45+E49+E55+E57+E61+E66)</f>
        <v>835238.47455074196</v>
      </c>
      <c r="F7" s="164"/>
      <c r="G7" s="164"/>
      <c r="H7" s="164"/>
      <c r="I7" s="164"/>
      <c r="J7" s="164">
        <f>SUM(J8+J32+J38+J45+J49+J55+J57+J61+J66)</f>
        <v>368715.55</v>
      </c>
      <c r="K7" s="164">
        <f>SUM(K8+K32+K38+K45+K49+K55+K57+K61+K66)</f>
        <v>4679389.67</v>
      </c>
      <c r="L7" s="403"/>
      <c r="M7" s="403"/>
      <c r="N7" s="403"/>
      <c r="O7" s="403"/>
      <c r="P7" s="164">
        <f>SUM(P8+P32+P38+P45+P49+P55+P57+P61+P66)</f>
        <v>3866002.47</v>
      </c>
      <c r="Q7" s="164">
        <f>SUM(Q8+Q32+Q38+Q45+Q49+Q55+Q57+Q61+Q66)</f>
        <v>14779021.225876257</v>
      </c>
      <c r="R7" s="403"/>
      <c r="S7" s="403"/>
      <c r="T7" s="403"/>
      <c r="U7" s="403"/>
      <c r="V7" s="164">
        <f>SUM(V8+V32+V38+V45+V49+V55+V57+V61+V66)</f>
        <v>9559781.9932665788</v>
      </c>
      <c r="W7" s="164">
        <f>SUM(W8+W32+W38+W45+W49+W55+W57+W61+W66)</f>
        <v>11295954.608989203</v>
      </c>
      <c r="X7" s="403"/>
      <c r="Y7" s="403"/>
      <c r="Z7" s="403"/>
      <c r="AA7" s="403"/>
      <c r="AB7" s="164">
        <f>SUM(AB8+AB32+AB38+AB45+AB49+AB55+AB57+AB61+AB66)</f>
        <v>7805487.1797990771</v>
      </c>
      <c r="AC7" s="164">
        <f>SUM(AC8+AC32+AC38+AC45+AC49+AC55+AC57+AC61+AC66)</f>
        <v>6689911.1976426216</v>
      </c>
      <c r="AD7" s="403"/>
      <c r="AE7" s="403"/>
      <c r="AF7" s="403"/>
      <c r="AG7" s="403"/>
      <c r="AH7" s="164">
        <f>SUM(AH8+AH32+AH38+AH45+AH49+AH55+AH57+AH61+AH66)</f>
        <v>4248967.6069343444</v>
      </c>
      <c r="AI7" s="1167">
        <f>SUM(AI8+AI32+AI38+AI45+AI49+AI55+AI57+AI61+AI66)</f>
        <v>38279515.177058816</v>
      </c>
      <c r="AJ7" s="164"/>
      <c r="AK7" s="164"/>
      <c r="AL7" s="164"/>
      <c r="AM7" s="164"/>
      <c r="AN7" s="164"/>
      <c r="AO7" s="164"/>
      <c r="AP7" s="164"/>
      <c r="AQ7" s="164"/>
      <c r="AR7" s="164"/>
      <c r="AS7" s="164">
        <f>SUM(AS8+AS32+AS38+AS45+AS49+AS55+AS57+AS61+AS66)</f>
        <v>25848954.799999997</v>
      </c>
      <c r="AT7" s="810"/>
      <c r="AX7" s="164"/>
      <c r="AY7" s="164"/>
      <c r="AZ7" s="164"/>
      <c r="BA7" s="164"/>
      <c r="BD7" s="164"/>
      <c r="BE7" s="164"/>
      <c r="BF7" s="164"/>
      <c r="BG7" s="164"/>
      <c r="BJ7" s="164"/>
      <c r="BK7" s="164"/>
      <c r="BL7" s="164"/>
      <c r="BM7" s="164"/>
      <c r="BP7" s="164"/>
      <c r="BQ7" s="164"/>
      <c r="BR7" s="164"/>
      <c r="BS7" s="164"/>
      <c r="BV7" s="164"/>
      <c r="BW7" s="164"/>
      <c r="BX7" s="164"/>
      <c r="BY7" s="164"/>
      <c r="CB7" s="164"/>
      <c r="CC7" s="164"/>
      <c r="CD7" s="164"/>
      <c r="CE7" s="164"/>
      <c r="CG7" s="561"/>
      <c r="CH7" s="561"/>
    </row>
    <row r="8" spans="1:96" ht="53.25" thickTop="1" thickBot="1" x14ac:dyDescent="0.3">
      <c r="A8" s="382" t="str">
        <f>CONCATENATE('3 pr-2'!A9)</f>
        <v>1.1.1.1</v>
      </c>
      <c r="B8" s="182" t="str">
        <f>CONCATENATE('3 pr-2'!D9)</f>
        <v/>
      </c>
      <c r="C8" s="129">
        <f>SUM(C9:C31)</f>
        <v>0</v>
      </c>
      <c r="D8" s="129">
        <f t="shared" ref="D8:AS8" si="0">SUM(D9:D31)</f>
        <v>0</v>
      </c>
      <c r="E8" s="129">
        <f t="shared" si="0"/>
        <v>0</v>
      </c>
      <c r="F8" s="129"/>
      <c r="G8" s="129"/>
      <c r="H8" s="129"/>
      <c r="I8" s="129"/>
      <c r="J8" s="129">
        <f t="shared" si="0"/>
        <v>0</v>
      </c>
      <c r="K8" s="129">
        <f>SUM(K9:K31)</f>
        <v>0</v>
      </c>
      <c r="L8" s="404"/>
      <c r="M8" s="404"/>
      <c r="N8" s="404"/>
      <c r="O8" s="404"/>
      <c r="P8" s="129">
        <f>SUM(P9:P31)</f>
        <v>0</v>
      </c>
      <c r="Q8" s="129">
        <f t="shared" si="0"/>
        <v>3630830.8983516484</v>
      </c>
      <c r="R8" s="404"/>
      <c r="S8" s="404"/>
      <c r="T8" s="404"/>
      <c r="U8" s="404"/>
      <c r="V8" s="129">
        <f t="shared" si="0"/>
        <v>2412248.3708791211</v>
      </c>
      <c r="W8" s="129">
        <f t="shared" si="0"/>
        <v>416867.10164835159</v>
      </c>
      <c r="X8" s="404"/>
      <c r="Y8" s="404"/>
      <c r="Z8" s="404"/>
      <c r="AA8" s="404"/>
      <c r="AB8" s="129">
        <f t="shared" si="0"/>
        <v>283469.62912087911</v>
      </c>
      <c r="AC8" s="129">
        <f t="shared" si="0"/>
        <v>0</v>
      </c>
      <c r="AD8" s="404"/>
      <c r="AE8" s="404"/>
      <c r="AF8" s="404"/>
      <c r="AG8" s="404"/>
      <c r="AH8" s="129">
        <f t="shared" si="0"/>
        <v>0</v>
      </c>
      <c r="AI8" s="1168">
        <f t="shared" si="0"/>
        <v>4047698</v>
      </c>
      <c r="AJ8" s="129"/>
      <c r="AK8" s="129"/>
      <c r="AL8" s="129"/>
      <c r="AM8" s="129"/>
      <c r="AN8" s="129"/>
      <c r="AO8" s="129"/>
      <c r="AP8" s="129"/>
      <c r="AQ8" s="129"/>
      <c r="AR8" s="129"/>
      <c r="AS8" s="129">
        <f t="shared" si="0"/>
        <v>2695718</v>
      </c>
      <c r="AT8" s="129"/>
      <c r="AU8" s="24">
        <v>0</v>
      </c>
      <c r="AV8" s="25">
        <v>0</v>
      </c>
      <c r="AW8" s="25">
        <v>0</v>
      </c>
      <c r="AX8" s="129">
        <v>0</v>
      </c>
      <c r="AY8" s="129">
        <v>0</v>
      </c>
      <c r="AZ8" s="129">
        <v>0</v>
      </c>
      <c r="BA8" s="129">
        <v>0</v>
      </c>
      <c r="BB8" s="25">
        <v>0</v>
      </c>
      <c r="BC8" s="25">
        <v>0</v>
      </c>
      <c r="BD8" s="129">
        <v>0</v>
      </c>
      <c r="BE8" s="129">
        <v>0</v>
      </c>
      <c r="BF8" s="129">
        <v>0</v>
      </c>
      <c r="BG8" s="129">
        <v>0</v>
      </c>
      <c r="BH8" s="25">
        <v>0</v>
      </c>
      <c r="BI8" s="25">
        <v>100</v>
      </c>
      <c r="BJ8" s="129">
        <v>100</v>
      </c>
      <c r="BK8" s="129">
        <v>100</v>
      </c>
      <c r="BL8" s="129">
        <v>100</v>
      </c>
      <c r="BM8" s="129">
        <v>100</v>
      </c>
      <c r="BN8" s="25">
        <v>100</v>
      </c>
      <c r="BO8" s="25">
        <v>0</v>
      </c>
      <c r="BP8" s="129">
        <v>0</v>
      </c>
      <c r="BQ8" s="129">
        <v>0</v>
      </c>
      <c r="BR8" s="129">
        <v>0</v>
      </c>
      <c r="BS8" s="129">
        <v>0</v>
      </c>
      <c r="BT8" s="25">
        <v>0</v>
      </c>
      <c r="BU8" s="25">
        <v>0</v>
      </c>
      <c r="BV8" s="129">
        <v>0</v>
      </c>
      <c r="BW8" s="129">
        <v>0</v>
      </c>
      <c r="BX8" s="129">
        <v>0</v>
      </c>
      <c r="BY8" s="129">
        <v>0</v>
      </c>
      <c r="BZ8" s="25">
        <v>0</v>
      </c>
      <c r="CA8" s="25">
        <v>100</v>
      </c>
      <c r="CB8" s="129">
        <v>100</v>
      </c>
      <c r="CC8" s="129">
        <v>100</v>
      </c>
      <c r="CD8" s="129">
        <v>100</v>
      </c>
      <c r="CE8" s="129">
        <v>100</v>
      </c>
      <c r="CF8" s="553">
        <v>100</v>
      </c>
      <c r="CG8" s="562"/>
      <c r="CH8" s="561"/>
    </row>
    <row r="9" spans="1:96" ht="37.5" thickTop="1" thickBot="1" x14ac:dyDescent="0.3">
      <c r="A9" s="183" t="str">
        <f>CONCATENATE('3 pr-2'!A10)</f>
        <v>1.1.1.1.1</v>
      </c>
      <c r="B9" s="183" t="str">
        <f>CONCATENATE('3 pr-2'!D10)</f>
        <v xml:space="preserve">Druskininkų savivaldybės Viečiūnų seniūnijos Ilgio ir Raigardo seniūnaitijų kelių būklės gerinimas  </v>
      </c>
      <c r="C9" s="140">
        <f>IF($E$2&gt;=$CG$9,($CG$9-$C$2)*AH9,0)</f>
        <v>0</v>
      </c>
      <c r="D9" s="140">
        <f>IF($E$2&gt;=$CG$9,($CG$9-$C$2)*AI9,0)</f>
        <v>0</v>
      </c>
      <c r="E9" s="140">
        <f>IF(YEAR($E$2)=YEAR($CG$9),($CG$9-$C$2)*$AJ$9,0)</f>
        <v>0</v>
      </c>
      <c r="F9" s="389">
        <f>IF(YEAR($E$2)=YEAR($CG$9),($CG$9-$C$2)*AL9,0)</f>
        <v>0</v>
      </c>
      <c r="G9" s="389">
        <f>IF(YEAR($E$2)=YEAR($CG$9),($CG$9-$C$2)*AN9,0)</f>
        <v>0</v>
      </c>
      <c r="H9" s="389">
        <f>IF(YEAR($E$2)=YEAR($CG$9),($CG$9-$C$2)*AP9,0)</f>
        <v>0</v>
      </c>
      <c r="I9" s="389">
        <f>IF(YEAR($E$2)=YEAR($CG$9),($CG$9-$C$2)*AR9,0)</f>
        <v>0</v>
      </c>
      <c r="J9" s="140">
        <f>IF(YEAR($E$2)=YEAR($CG$9),($CG$9-$C$2)*AT9,0)</f>
        <v>0</v>
      </c>
      <c r="K9" s="140">
        <f>IF(YEAR($K$3)=YEAR($CG$9),($CG$9-$E$3)*AJ9,0)</f>
        <v>0</v>
      </c>
      <c r="L9" s="389">
        <f>IF(YEAR($K$3)=YEAR($CG$9),($CG$9-$E$3)*AL9,0)</f>
        <v>0</v>
      </c>
      <c r="M9" s="389">
        <f>IF(YEAR($K$3)=YEAR($CG$9),($CG$9-$E$3)*AN9,0)</f>
        <v>0</v>
      </c>
      <c r="N9" s="389">
        <f>IF(YEAR($K$3)=YEAR($CG$9),($CG$9-$E$3)*AP9,0)</f>
        <v>0</v>
      </c>
      <c r="O9" s="389">
        <f>IF(YEAR($K$2)=YEAR($CG$9),($CG$9-$E$3)*AR9,0)</f>
        <v>0</v>
      </c>
      <c r="P9" s="140">
        <f>IF(YEAR($K$2)=YEAR($CG$9),($CG$9-$E$3)*AT9,0)</f>
        <v>0</v>
      </c>
      <c r="Q9" s="140">
        <f t="shared" ref="Q9:Q11" si="1">IF(YEAR($Q$2)=YEAR($CG$9),($CH$30-$CG$30)*AJ9,0)</f>
        <v>198893</v>
      </c>
      <c r="R9" s="389">
        <f t="shared" ref="R9:R11" si="2">IF(YEAR($Q$2)=YEAR($CG$9),($CH$30-$CG$30)*AL9,0)</f>
        <v>39779</v>
      </c>
      <c r="S9" s="389">
        <f t="shared" ref="S9:S11" si="3">IF(YEAR($Q$2)=YEAR($CG$9),($CH$30-$CG$30)*AN9,0)</f>
        <v>23867.000000000004</v>
      </c>
      <c r="T9" s="389">
        <f t="shared" ref="T9:T12" si="4">IF(YEAR($Q$2)=YEAR($CG$9),($CH$30-$CG$30)*AP9,0)</f>
        <v>0</v>
      </c>
      <c r="U9" s="389">
        <f t="shared" ref="U9:U12" si="5">IF(YEAR($Q$2)=YEAR($CG$9),($CH$30-$CG$30)*AR9,0)</f>
        <v>0</v>
      </c>
      <c r="V9" s="140">
        <f t="shared" ref="V9:V11" si="6">IF(YEAR($Q$2)=YEAR($CG$9),($CH$30-$CG$30)*AT9,0)</f>
        <v>135247</v>
      </c>
      <c r="W9" s="140">
        <f>IF(YEAR($W$2)=YEAR($CG$9),($CH$9-$CG$9)*AP9,0)</f>
        <v>0</v>
      </c>
      <c r="X9" s="389">
        <f t="shared" ref="X9:AB9" si="7">IF(YEAR($W$2)=YEAR($CG$9),($CH$9-$CG$9)*AQ9,0)</f>
        <v>0</v>
      </c>
      <c r="Y9" s="389">
        <f t="shared" si="7"/>
        <v>0</v>
      </c>
      <c r="Z9" s="389">
        <f t="shared" si="7"/>
        <v>0</v>
      </c>
      <c r="AA9" s="389">
        <f t="shared" si="7"/>
        <v>0</v>
      </c>
      <c r="AB9" s="140">
        <f t="shared" si="7"/>
        <v>0</v>
      </c>
      <c r="AC9" s="140">
        <f>IF(YEAR($W$2)=YEAR($CG$9),($CH$9-$CG$9)*AV9,0)</f>
        <v>0</v>
      </c>
      <c r="AD9" s="389">
        <f t="shared" ref="AD9" si="8">IF(YEAR($W$2)=YEAR($CG$9),($CH$9-$CG$9)*AW9,0)</f>
        <v>0</v>
      </c>
      <c r="AE9" s="389">
        <f t="shared" ref="AE9" si="9">IF(YEAR($W$2)=YEAR($CG$9),($CH$9-$CG$9)*AX9,0)</f>
        <v>0</v>
      </c>
      <c r="AF9" s="389">
        <f t="shared" ref="AF9" si="10">IF(YEAR($W$2)=YEAR($CG$9),($CH$9-$CG$9)*AY9,0)</f>
        <v>0</v>
      </c>
      <c r="AG9" s="389">
        <f t="shared" ref="AG9" si="11">IF(YEAR($W$2)=YEAR($CG$9),($CH$9-$CG$9)*AZ9,0)</f>
        <v>0</v>
      </c>
      <c r="AH9" s="140">
        <f t="shared" ref="AH9" si="12">IF(YEAR($W$2)=YEAR($CG$9),($CH$9-$CG$9)*BA9,0)</f>
        <v>0</v>
      </c>
      <c r="AI9" s="1169">
        <f>SUM('3 pr-2'!L10)</f>
        <v>198893</v>
      </c>
      <c r="AJ9" s="140">
        <f>SUM(AI9/(CH9-CG9))</f>
        <v>547.91460055096422</v>
      </c>
      <c r="AK9" s="389">
        <f>SUM('3 pr-2'!O10)</f>
        <v>39779</v>
      </c>
      <c r="AL9" s="389">
        <f>SUM(AK9/(CH9-CG9))</f>
        <v>109.5840220385675</v>
      </c>
      <c r="AM9" s="389">
        <f>SUM('3 pr-2'!R10)</f>
        <v>23867</v>
      </c>
      <c r="AN9" s="389">
        <f>SUM(AM9/(CH9-CG9))</f>
        <v>65.749311294765846</v>
      </c>
      <c r="AO9" s="389">
        <f>SUM('3 pr-2'!U10)</f>
        <v>0</v>
      </c>
      <c r="AP9" s="1199">
        <f>SUM(AO9/(CH9-CG9))</f>
        <v>0</v>
      </c>
      <c r="AQ9" s="389">
        <f>SUM('3 pr-2'!X10)</f>
        <v>0</v>
      </c>
      <c r="AR9" s="1163">
        <f>SUM(AQ9/(CH9-CG9))</f>
        <v>0</v>
      </c>
      <c r="AS9" s="38">
        <f>SUM('3 pr-2'!AA10)</f>
        <v>135247</v>
      </c>
      <c r="AT9" s="1162">
        <f>SUM(AS9/(CH9-CG9))</f>
        <v>372.58126721763085</v>
      </c>
      <c r="AU9" s="24">
        <v>0</v>
      </c>
      <c r="AV9" s="25">
        <v>0</v>
      </c>
      <c r="AW9" s="25">
        <v>0</v>
      </c>
      <c r="AX9" s="389">
        <v>0</v>
      </c>
      <c r="AY9" s="389">
        <v>0</v>
      </c>
      <c r="AZ9" s="389">
        <v>0</v>
      </c>
      <c r="BA9" s="389">
        <v>0</v>
      </c>
      <c r="BB9" s="25">
        <v>0</v>
      </c>
      <c r="BC9" s="25">
        <v>0</v>
      </c>
      <c r="BD9" s="389">
        <v>0</v>
      </c>
      <c r="BE9" s="389">
        <v>0</v>
      </c>
      <c r="BF9" s="389">
        <v>0</v>
      </c>
      <c r="BG9" s="389">
        <v>0</v>
      </c>
      <c r="BH9" s="25">
        <v>0</v>
      </c>
      <c r="BI9" s="25">
        <v>100</v>
      </c>
      <c r="BJ9" s="389">
        <v>100</v>
      </c>
      <c r="BK9" s="389">
        <v>100</v>
      </c>
      <c r="BL9" s="389">
        <v>100</v>
      </c>
      <c r="BM9" s="389">
        <v>100</v>
      </c>
      <c r="BN9" s="25">
        <v>100</v>
      </c>
      <c r="BO9" s="25">
        <v>0</v>
      </c>
      <c r="BP9" s="389">
        <v>0</v>
      </c>
      <c r="BQ9" s="389">
        <v>0</v>
      </c>
      <c r="BR9" s="389">
        <v>0</v>
      </c>
      <c r="BS9" s="389">
        <v>0</v>
      </c>
      <c r="BT9" s="25">
        <v>0</v>
      </c>
      <c r="BU9" s="25">
        <v>0</v>
      </c>
      <c r="BV9" s="389">
        <v>0</v>
      </c>
      <c r="BW9" s="389">
        <v>0</v>
      </c>
      <c r="BX9" s="389">
        <v>0</v>
      </c>
      <c r="BY9" s="389">
        <v>0</v>
      </c>
      <c r="BZ9" s="25">
        <v>0</v>
      </c>
      <c r="CA9" s="25">
        <v>100</v>
      </c>
      <c r="CB9" s="389">
        <v>100</v>
      </c>
      <c r="CC9" s="389">
        <v>100</v>
      </c>
      <c r="CD9" s="389">
        <v>100</v>
      </c>
      <c r="CE9" s="389">
        <v>100</v>
      </c>
      <c r="CF9" s="553">
        <v>100</v>
      </c>
      <c r="CG9" s="566">
        <f>SUM('3 pr-2'!AH10)</f>
        <v>43102</v>
      </c>
      <c r="CH9" s="566">
        <f>SUM('3 pr-2'!AJ10)</f>
        <v>43465</v>
      </c>
      <c r="CI9" s="30">
        <f>SUM(P9+V9+AB9)</f>
        <v>135247</v>
      </c>
      <c r="CJ9" s="30">
        <f>SUM(CI9-AS9)</f>
        <v>0</v>
      </c>
      <c r="CQ9" s="1520">
        <f t="shared" ref="CQ9:CQ12" si="13">SUM(E9+K9+Q9+W9+AC9)</f>
        <v>198893</v>
      </c>
      <c r="CR9" s="1521">
        <f t="shared" ref="CR9:CR24" si="14">SUM(J9+P9+V9+AB9+AH9)</f>
        <v>135247</v>
      </c>
    </row>
    <row r="10" spans="1:96" ht="37.5" thickTop="1" thickBot="1" x14ac:dyDescent="0.3">
      <c r="A10" s="183" t="str">
        <f>CONCATENATE('3 pr-2'!A11)</f>
        <v>1.1.1.1.2</v>
      </c>
      <c r="B10" s="183" t="str">
        <f>CONCATENATE('3 pr-2'!D11)</f>
        <v>Druskininkų savivaldybės Viečiūnų seniūnijos Ratnyčėlės seniūnaitijos kelių būklės gerinimas</v>
      </c>
      <c r="C10" s="140">
        <f>IF($E$2&gt;=$CG$9,($CG$9-$C$2)*AH10,0)</f>
        <v>0</v>
      </c>
      <c r="D10" s="140">
        <f>IF($E$2&gt;=$CG$9,($CG$9-$C$2)*AI10,0)</f>
        <v>0</v>
      </c>
      <c r="E10" s="140">
        <f>IF(YEAR($E$2)=YEAR($CG$9),($CG$9-$C$2)*$AJ$9,0)</f>
        <v>0</v>
      </c>
      <c r="F10" s="389">
        <f>IF(YEAR($E$2)=YEAR($CG$9),($CG$9-$C$2)*AL10,0)</f>
        <v>0</v>
      </c>
      <c r="G10" s="389">
        <f>IF(YEAR($E$2)=YEAR($CG$9),($CG$9-$C$2)*AN10,0)</f>
        <v>0</v>
      </c>
      <c r="H10" s="389">
        <f>IF(YEAR($E$2)=YEAR($CG$9),($CG$9-$C$2)*AP10,0)</f>
        <v>0</v>
      </c>
      <c r="I10" s="389">
        <f>IF(YEAR($E$2)=YEAR($CG$9),($CG$9-$C$2)*AR10,0)</f>
        <v>0</v>
      </c>
      <c r="J10" s="140">
        <f>IF(YEAR($E$2)=YEAR($CG$9),($CG$9-$C$2)*AT10,0)</f>
        <v>0</v>
      </c>
      <c r="K10" s="140">
        <f>IF(YEAR($K$3)=YEAR($CG$9),($CG$9-$E$3)*AJ10,0)</f>
        <v>0</v>
      </c>
      <c r="L10" s="389">
        <f>IF(YEAR($K$3)=YEAR($CG$9),($CG$9-$E$3)*AL10,0)</f>
        <v>0</v>
      </c>
      <c r="M10" s="389">
        <f>IF(YEAR($K$3)=YEAR($CG$9),($CG$9-$E$3)*AN10,0)</f>
        <v>0</v>
      </c>
      <c r="N10" s="389">
        <f>IF(YEAR($K$3)=YEAR($CG$9),($CG$9-$E$3)*AP10,0)</f>
        <v>0</v>
      </c>
      <c r="O10" s="389">
        <f>IF(YEAR($K$2)=YEAR($CG$9),($CG$9-$E$3)*AR10,0)</f>
        <v>0</v>
      </c>
      <c r="P10" s="140">
        <f>IF(YEAR($K$2)=YEAR($CG$9),($CG$9-$E$3)*AT10,0)</f>
        <v>0</v>
      </c>
      <c r="Q10" s="140">
        <f t="shared" si="1"/>
        <v>151340</v>
      </c>
      <c r="R10" s="389">
        <f t="shared" si="2"/>
        <v>30268</v>
      </c>
      <c r="S10" s="389">
        <f t="shared" si="3"/>
        <v>18161</v>
      </c>
      <c r="T10" s="389">
        <f t="shared" si="4"/>
        <v>0</v>
      </c>
      <c r="U10" s="389">
        <f t="shared" si="5"/>
        <v>0</v>
      </c>
      <c r="V10" s="140">
        <f t="shared" si="6"/>
        <v>102911</v>
      </c>
      <c r="W10" s="140">
        <f>IF(YEAR($W$2)=YEAR($CG$9),($CH$9-$CG$9)*AP10,0)</f>
        <v>0</v>
      </c>
      <c r="X10" s="389">
        <f t="shared" ref="X10" si="15">IF(YEAR($W$2)=YEAR($CG$9),($CH$9-$CG$9)*AQ10,0)</f>
        <v>0</v>
      </c>
      <c r="Y10" s="389">
        <f t="shared" ref="Y10" si="16">IF(YEAR($W$2)=YEAR($CG$9),($CH$9-$CG$9)*AR10,0)</f>
        <v>0</v>
      </c>
      <c r="Z10" s="389">
        <f t="shared" ref="Z10" si="17">IF(YEAR($W$2)=YEAR($CG$9),($CH$9-$CG$9)*AS10,0)</f>
        <v>0</v>
      </c>
      <c r="AA10" s="389">
        <f t="shared" ref="AA10" si="18">IF(YEAR($W$2)=YEAR($CG$9),($CH$9-$CG$9)*AT10,0)</f>
        <v>0</v>
      </c>
      <c r="AB10" s="140">
        <f t="shared" ref="AB10" si="19">IF(YEAR($W$2)=YEAR($CG$9),($CH$9-$CG$9)*AU10,0)</f>
        <v>0</v>
      </c>
      <c r="AC10" s="140">
        <f>IF(YEAR($W$2)=YEAR($CG$9),($CH$9-$CG$9)*AV10,0)</f>
        <v>0</v>
      </c>
      <c r="AD10" s="389">
        <f t="shared" ref="AD10" si="20">IF(YEAR($W$2)=YEAR($CG$9),($CH$9-$CG$9)*AW10,0)</f>
        <v>0</v>
      </c>
      <c r="AE10" s="389">
        <f t="shared" ref="AE10" si="21">IF(YEAR($W$2)=YEAR($CG$9),($CH$9-$CG$9)*AX10,0)</f>
        <v>0</v>
      </c>
      <c r="AF10" s="389">
        <f t="shared" ref="AF10" si="22">IF(YEAR($W$2)=YEAR($CG$9),($CH$9-$CG$9)*AY10,0)</f>
        <v>0</v>
      </c>
      <c r="AG10" s="389">
        <f t="shared" ref="AG10" si="23">IF(YEAR($W$2)=YEAR($CG$9),($CH$9-$CG$9)*AZ10,0)</f>
        <v>0</v>
      </c>
      <c r="AH10" s="140">
        <f t="shared" ref="AH10" si="24">IF(YEAR($W$2)=YEAR($CG$9),($CH$9-$CG$9)*BA10,0)</f>
        <v>0</v>
      </c>
      <c r="AI10" s="1169">
        <f>SUM('3 pr-2'!L11)</f>
        <v>151340</v>
      </c>
      <c r="AJ10" s="140">
        <f t="shared" ref="AJ10:AJ30" si="25">SUM(AI10/(CH10-CG10))</f>
        <v>416.91460055096417</v>
      </c>
      <c r="AK10" s="389">
        <f>SUM('3 pr-2'!O11)</f>
        <v>30268</v>
      </c>
      <c r="AL10" s="389">
        <f t="shared" ref="AL10:AL30" si="26">SUM(AK10/(CH10-CG10))</f>
        <v>83.382920110192842</v>
      </c>
      <c r="AM10" s="389">
        <f>SUM('3 pr-2'!R11)</f>
        <v>18161</v>
      </c>
      <c r="AN10" s="389">
        <f t="shared" ref="AN10:AN30" si="27">SUM(AM10/(CH10-CG10))</f>
        <v>50.030303030303031</v>
      </c>
      <c r="AO10" s="389">
        <f>SUM('3 pr-2'!U11)</f>
        <v>0</v>
      </c>
      <c r="AP10" s="1199">
        <f t="shared" ref="AP10:AP30" si="28">SUM(AO10/(CH10-CG10))</f>
        <v>0</v>
      </c>
      <c r="AQ10" s="389">
        <f>SUM('3 pr-2'!X11)</f>
        <v>0</v>
      </c>
      <c r="AR10" s="1163">
        <f t="shared" ref="AR10:AR30" si="29">SUM(AQ10/(CH10-CG10))</f>
        <v>0</v>
      </c>
      <c r="AS10" s="38">
        <f>SUM('3 pr-2'!AA11)</f>
        <v>102911</v>
      </c>
      <c r="AT10" s="1162">
        <f t="shared" ref="AT10:AT30" si="30">SUM(AS10/(CH10-CG10))</f>
        <v>283.50137741046831</v>
      </c>
      <c r="AU10" s="24">
        <v>0</v>
      </c>
      <c r="AV10" s="25">
        <v>0</v>
      </c>
      <c r="AW10" s="25">
        <v>0</v>
      </c>
      <c r="AX10" s="389">
        <v>0</v>
      </c>
      <c r="AY10" s="389">
        <v>0</v>
      </c>
      <c r="AZ10" s="389">
        <v>0</v>
      </c>
      <c r="BA10" s="389">
        <v>0</v>
      </c>
      <c r="BB10" s="25">
        <v>0</v>
      </c>
      <c r="BC10" s="25">
        <v>0</v>
      </c>
      <c r="BD10" s="389">
        <v>0</v>
      </c>
      <c r="BE10" s="389">
        <v>0</v>
      </c>
      <c r="BF10" s="389">
        <v>0</v>
      </c>
      <c r="BG10" s="389">
        <v>0</v>
      </c>
      <c r="BH10" s="25">
        <v>0</v>
      </c>
      <c r="BI10" s="25">
        <v>100</v>
      </c>
      <c r="BJ10" s="389">
        <v>100</v>
      </c>
      <c r="BK10" s="389">
        <v>100</v>
      </c>
      <c r="BL10" s="389">
        <v>100</v>
      </c>
      <c r="BM10" s="389">
        <v>100</v>
      </c>
      <c r="BN10" s="25">
        <v>100</v>
      </c>
      <c r="BO10" s="25">
        <v>0</v>
      </c>
      <c r="BP10" s="389">
        <v>0</v>
      </c>
      <c r="BQ10" s="389">
        <v>0</v>
      </c>
      <c r="BR10" s="389">
        <v>0</v>
      </c>
      <c r="BS10" s="389">
        <v>0</v>
      </c>
      <c r="BT10" s="25">
        <v>0</v>
      </c>
      <c r="BU10" s="25">
        <v>0</v>
      </c>
      <c r="BV10" s="389">
        <v>0</v>
      </c>
      <c r="BW10" s="389">
        <v>0</v>
      </c>
      <c r="BX10" s="389">
        <v>0</v>
      </c>
      <c r="BY10" s="389">
        <v>0</v>
      </c>
      <c r="BZ10" s="25">
        <v>0</v>
      </c>
      <c r="CA10" s="25">
        <v>100</v>
      </c>
      <c r="CB10" s="389">
        <v>100</v>
      </c>
      <c r="CC10" s="389">
        <v>100</v>
      </c>
      <c r="CD10" s="389">
        <v>100</v>
      </c>
      <c r="CE10" s="389">
        <v>100</v>
      </c>
      <c r="CF10" s="553">
        <v>100</v>
      </c>
      <c r="CG10" s="566">
        <f>SUM('3 pr-2'!AH11)</f>
        <v>43102</v>
      </c>
      <c r="CH10" s="566">
        <f>SUM('3 pr-2'!AJ11)</f>
        <v>43465</v>
      </c>
      <c r="CI10" s="30">
        <f>SUM(P10+V10+AB10)</f>
        <v>102911</v>
      </c>
      <c r="CJ10" s="30">
        <f>SUM(CI10-AS10)</f>
        <v>0</v>
      </c>
      <c r="CQ10" s="1520">
        <f t="shared" si="13"/>
        <v>151340</v>
      </c>
      <c r="CR10" s="1521">
        <f t="shared" si="14"/>
        <v>102911</v>
      </c>
    </row>
    <row r="11" spans="1:96" ht="37.5" thickTop="1" thickBot="1" x14ac:dyDescent="0.3">
      <c r="A11" s="183" t="str">
        <f>CONCATENATE('3 pr-2'!A12)</f>
        <v>1.1.1.1.3</v>
      </c>
      <c r="B11" s="183" t="str">
        <f>CONCATENATE('3 pr-2'!D12)</f>
        <v>Druskininkų savivaldybės Leipalingio seniūnijos Klonio seniūnaitijos kelių būklės gerinimas</v>
      </c>
      <c r="C11" s="140">
        <f t="shared" ref="C11:C21" si="31">IF($E$2&gt;=$CG$9,($CG$9-$C$2)*AH11,0)</f>
        <v>0</v>
      </c>
      <c r="D11" s="140">
        <f t="shared" ref="D11:D21" si="32">IF($E$2&gt;=$CG$9,($CG$9-$C$2)*AI11,0)</f>
        <v>0</v>
      </c>
      <c r="E11" s="140">
        <f t="shared" ref="E11:E21" si="33">IF(YEAR($E$2)=YEAR($CG$9),($CG$9-$C$2)*$AJ$9,0)</f>
        <v>0</v>
      </c>
      <c r="F11" s="389">
        <f t="shared" ref="F11:F21" si="34">IF(YEAR($E$2)=YEAR($CG$9),($CG$9-$C$2)*AL11,0)</f>
        <v>0</v>
      </c>
      <c r="G11" s="389">
        <f t="shared" ref="G11:G21" si="35">IF(YEAR($E$2)=YEAR($CG$9),($CG$9-$C$2)*AN11,0)</f>
        <v>0</v>
      </c>
      <c r="H11" s="389">
        <f t="shared" ref="H11:H21" si="36">IF(YEAR($E$2)=YEAR($CG$9),($CG$9-$C$2)*AP11,0)</f>
        <v>0</v>
      </c>
      <c r="I11" s="389">
        <f t="shared" ref="I11:I21" si="37">IF(YEAR($E$2)=YEAR($CG$9),($CG$9-$C$2)*AR11,0)</f>
        <v>0</v>
      </c>
      <c r="J11" s="140">
        <f t="shared" ref="J11:J21" si="38">IF(YEAR($E$2)=YEAR($CG$9),($CG$9-$C$2)*AT11,0)</f>
        <v>0</v>
      </c>
      <c r="K11" s="140">
        <f t="shared" ref="K11:K21" si="39">IF(YEAR($K$3)=YEAR($CG$9),($CG$9-$E$3)*AJ11,0)</f>
        <v>0</v>
      </c>
      <c r="L11" s="389">
        <f t="shared" ref="L11:L21" si="40">IF(YEAR($K$3)=YEAR($CG$9),($CG$9-$E$3)*AL11,0)</f>
        <v>0</v>
      </c>
      <c r="M11" s="389">
        <f t="shared" ref="M11:M21" si="41">IF(YEAR($K$3)=YEAR($CG$9),($CG$9-$E$3)*AN11,0)</f>
        <v>0</v>
      </c>
      <c r="N11" s="389">
        <f t="shared" ref="N11:N21" si="42">IF(YEAR($K$3)=YEAR($CG$9),($CG$9-$E$3)*AP11,0)</f>
        <v>0</v>
      </c>
      <c r="O11" s="389">
        <f t="shared" ref="O11:O21" si="43">IF(YEAR($K$2)=YEAR($CG$9),($CG$9-$E$3)*AR11,0)</f>
        <v>0</v>
      </c>
      <c r="P11" s="140">
        <f t="shared" ref="P11:P21" si="44">IF(YEAR($K$2)=YEAR($CG$9),($CG$9-$E$3)*AT11,0)</f>
        <v>0</v>
      </c>
      <c r="Q11" s="140">
        <f t="shared" si="1"/>
        <v>193058.99999999997</v>
      </c>
      <c r="R11" s="389">
        <f t="shared" si="2"/>
        <v>38612</v>
      </c>
      <c r="S11" s="389">
        <f t="shared" si="3"/>
        <v>23167</v>
      </c>
      <c r="T11" s="389">
        <f t="shared" si="4"/>
        <v>0</v>
      </c>
      <c r="U11" s="389">
        <f t="shared" si="5"/>
        <v>0</v>
      </c>
      <c r="V11" s="140">
        <f t="shared" si="6"/>
        <v>131280</v>
      </c>
      <c r="W11" s="140">
        <f t="shared" ref="W11:W21" si="45">IF(YEAR($W$2)=YEAR($CG$9),($CH$9-$CG$9)*AP11,0)</f>
        <v>0</v>
      </c>
      <c r="X11" s="389">
        <f t="shared" ref="X11:X21" si="46">IF(YEAR($W$2)=YEAR($CG$9),($CH$9-$CG$9)*AQ11,0)</f>
        <v>0</v>
      </c>
      <c r="Y11" s="389">
        <f t="shared" ref="Y11:Y21" si="47">IF(YEAR($W$2)=YEAR($CG$9),($CH$9-$CG$9)*AR11,0)</f>
        <v>0</v>
      </c>
      <c r="Z11" s="389">
        <f t="shared" ref="Z11:Z21" si="48">IF(YEAR($W$2)=YEAR($CG$9),($CH$9-$CG$9)*AS11,0)</f>
        <v>0</v>
      </c>
      <c r="AA11" s="389">
        <f t="shared" ref="AA11:AA21" si="49">IF(YEAR($W$2)=YEAR($CG$9),($CH$9-$CG$9)*AT11,0)</f>
        <v>0</v>
      </c>
      <c r="AB11" s="140">
        <f t="shared" ref="AB11:AB21" si="50">IF(YEAR($W$2)=YEAR($CG$9),($CH$9-$CG$9)*AU11,0)</f>
        <v>0</v>
      </c>
      <c r="AC11" s="140">
        <f t="shared" ref="AC11:AC21" si="51">IF(YEAR($W$2)=YEAR($CG$9),($CH$9-$CG$9)*AV11,0)</f>
        <v>0</v>
      </c>
      <c r="AD11" s="389">
        <f t="shared" ref="AD11:AD21" si="52">IF(YEAR($W$2)=YEAR($CG$9),($CH$9-$CG$9)*AW11,0)</f>
        <v>0</v>
      </c>
      <c r="AE11" s="389">
        <f t="shared" ref="AE11:AE21" si="53">IF(YEAR($W$2)=YEAR($CG$9),($CH$9-$CG$9)*AX11,0)</f>
        <v>0</v>
      </c>
      <c r="AF11" s="389">
        <f t="shared" ref="AF11:AF21" si="54">IF(YEAR($W$2)=YEAR($CG$9),($CH$9-$CG$9)*AY11,0)</f>
        <v>0</v>
      </c>
      <c r="AG11" s="389">
        <f t="shared" ref="AG11:AG21" si="55">IF(YEAR($W$2)=YEAR($CG$9),($CH$9-$CG$9)*AZ11,0)</f>
        <v>0</v>
      </c>
      <c r="AH11" s="140">
        <f t="shared" ref="AH11:AH21" si="56">IF(YEAR($W$2)=YEAR($CG$9),($CH$9-$CG$9)*BA11,0)</f>
        <v>0</v>
      </c>
      <c r="AI11" s="1169">
        <f>SUM('3 pr-2'!L12)</f>
        <v>193059</v>
      </c>
      <c r="AJ11" s="140">
        <f t="shared" si="25"/>
        <v>531.84297520661153</v>
      </c>
      <c r="AK11" s="389">
        <f>SUM('3 pr-2'!O12)</f>
        <v>38612</v>
      </c>
      <c r="AL11" s="389">
        <f t="shared" si="26"/>
        <v>106.36914600550965</v>
      </c>
      <c r="AM11" s="389">
        <f>SUM('3 pr-2'!R12)</f>
        <v>23167</v>
      </c>
      <c r="AN11" s="389">
        <f t="shared" si="27"/>
        <v>63.820936639118457</v>
      </c>
      <c r="AO11" s="389">
        <f>SUM('3 pr-2'!U12)</f>
        <v>0</v>
      </c>
      <c r="AP11" s="1199">
        <f t="shared" si="28"/>
        <v>0</v>
      </c>
      <c r="AQ11" s="389">
        <f>SUM('3 pr-2'!X12)</f>
        <v>0</v>
      </c>
      <c r="AR11" s="1163">
        <f t="shared" si="29"/>
        <v>0</v>
      </c>
      <c r="AS11" s="38">
        <f>SUM('3 pr-2'!AA12)</f>
        <v>131280</v>
      </c>
      <c r="AT11" s="1162">
        <f t="shared" si="30"/>
        <v>361.65289256198349</v>
      </c>
      <c r="AU11" s="24">
        <v>0</v>
      </c>
      <c r="AV11" s="25">
        <v>0</v>
      </c>
      <c r="AW11" s="25">
        <v>0</v>
      </c>
      <c r="AX11" s="389">
        <v>0</v>
      </c>
      <c r="AY11" s="389">
        <v>0</v>
      </c>
      <c r="AZ11" s="389">
        <v>0</v>
      </c>
      <c r="BA11" s="389">
        <v>0</v>
      </c>
      <c r="BB11" s="25">
        <v>0</v>
      </c>
      <c r="BC11" s="25">
        <v>0</v>
      </c>
      <c r="BD11" s="389">
        <v>0</v>
      </c>
      <c r="BE11" s="389">
        <v>0</v>
      </c>
      <c r="BF11" s="389">
        <v>0</v>
      </c>
      <c r="BG11" s="389">
        <v>0</v>
      </c>
      <c r="BH11" s="25">
        <v>0</v>
      </c>
      <c r="BI11" s="25">
        <v>100</v>
      </c>
      <c r="BJ11" s="389">
        <v>100</v>
      </c>
      <c r="BK11" s="389">
        <v>100</v>
      </c>
      <c r="BL11" s="389">
        <v>100</v>
      </c>
      <c r="BM11" s="389">
        <v>100</v>
      </c>
      <c r="BN11" s="25">
        <v>100</v>
      </c>
      <c r="BO11" s="25">
        <v>0</v>
      </c>
      <c r="BP11" s="389">
        <v>0</v>
      </c>
      <c r="BQ11" s="389">
        <v>0</v>
      </c>
      <c r="BR11" s="389">
        <v>0</v>
      </c>
      <c r="BS11" s="389">
        <v>0</v>
      </c>
      <c r="BT11" s="25">
        <v>0</v>
      </c>
      <c r="BU11" s="25">
        <v>0</v>
      </c>
      <c r="BV11" s="389">
        <v>0</v>
      </c>
      <c r="BW11" s="389">
        <v>0</v>
      </c>
      <c r="BX11" s="389">
        <v>0</v>
      </c>
      <c r="BY11" s="389">
        <v>0</v>
      </c>
      <c r="BZ11" s="25">
        <v>0</v>
      </c>
      <c r="CA11" s="25">
        <v>100</v>
      </c>
      <c r="CB11" s="389">
        <v>100</v>
      </c>
      <c r="CC11" s="389">
        <v>100</v>
      </c>
      <c r="CD11" s="389">
        <v>100</v>
      </c>
      <c r="CE11" s="389">
        <v>100</v>
      </c>
      <c r="CF11" s="553">
        <v>100</v>
      </c>
      <c r="CG11" s="566">
        <f>SUM('3 pr-2'!AH12)</f>
        <v>43102</v>
      </c>
      <c r="CH11" s="566">
        <f>SUM('3 pr-2'!AJ12)</f>
        <v>43465</v>
      </c>
      <c r="CI11" s="30">
        <f t="shared" ref="CI11:CI30" si="57">SUM(P11+V11+AB11)</f>
        <v>131280</v>
      </c>
      <c r="CJ11" s="30">
        <f t="shared" ref="CJ11:CJ30" si="58">SUM(CI11-AS11)</f>
        <v>0</v>
      </c>
      <c r="CQ11" s="1520">
        <f t="shared" si="13"/>
        <v>193058.99999999997</v>
      </c>
      <c r="CR11" s="1521">
        <f t="shared" si="14"/>
        <v>131280</v>
      </c>
    </row>
    <row r="12" spans="1:96" ht="37.5" thickTop="1" thickBot="1" x14ac:dyDescent="0.3">
      <c r="A12" s="183" t="str">
        <f>CONCATENATE('3 pr-2'!A13)</f>
        <v>1.1.1.1.4</v>
      </c>
      <c r="B12" s="183" t="str">
        <f>CONCATENATE('3 pr-2'!D13)</f>
        <v>Rudaminos laisvalaikio salės pritaikymas bendruomenės poreikiams ir liaudies amatų plėtrai</v>
      </c>
      <c r="C12" s="140">
        <f t="shared" si="31"/>
        <v>0</v>
      </c>
      <c r="D12" s="140">
        <f t="shared" si="32"/>
        <v>0</v>
      </c>
      <c r="E12" s="140">
        <f t="shared" si="33"/>
        <v>0</v>
      </c>
      <c r="F12" s="389">
        <f t="shared" si="34"/>
        <v>0</v>
      </c>
      <c r="G12" s="389">
        <f t="shared" si="35"/>
        <v>0</v>
      </c>
      <c r="H12" s="389">
        <f t="shared" si="36"/>
        <v>0</v>
      </c>
      <c r="I12" s="389">
        <f t="shared" si="37"/>
        <v>0</v>
      </c>
      <c r="J12" s="140">
        <f t="shared" si="38"/>
        <v>0</v>
      </c>
      <c r="K12" s="140">
        <f t="shared" si="39"/>
        <v>0</v>
      </c>
      <c r="L12" s="389">
        <f t="shared" si="40"/>
        <v>0</v>
      </c>
      <c r="M12" s="389">
        <f t="shared" si="41"/>
        <v>0</v>
      </c>
      <c r="N12" s="389">
        <f t="shared" si="42"/>
        <v>0</v>
      </c>
      <c r="O12" s="389">
        <f t="shared" si="43"/>
        <v>0</v>
      </c>
      <c r="P12" s="140">
        <f t="shared" si="44"/>
        <v>0</v>
      </c>
      <c r="Q12" s="140">
        <f>SUM(R12:V12)</f>
        <v>125000</v>
      </c>
      <c r="R12" s="389">
        <f>SUM(AK12)</f>
        <v>25000</v>
      </c>
      <c r="S12" s="389">
        <f>SUM(AM12)</f>
        <v>15000</v>
      </c>
      <c r="T12" s="389">
        <f t="shared" si="4"/>
        <v>0</v>
      </c>
      <c r="U12" s="389">
        <f t="shared" si="5"/>
        <v>0</v>
      </c>
      <c r="V12" s="140">
        <f>SUM(AS12)</f>
        <v>85000</v>
      </c>
      <c r="W12" s="140">
        <f t="shared" si="45"/>
        <v>0</v>
      </c>
      <c r="X12" s="389">
        <f t="shared" si="46"/>
        <v>0</v>
      </c>
      <c r="Y12" s="389">
        <f t="shared" si="47"/>
        <v>0</v>
      </c>
      <c r="Z12" s="389">
        <f t="shared" si="48"/>
        <v>0</v>
      </c>
      <c r="AA12" s="389">
        <f t="shared" si="49"/>
        <v>0</v>
      </c>
      <c r="AB12" s="140">
        <f t="shared" si="50"/>
        <v>0</v>
      </c>
      <c r="AC12" s="140">
        <f t="shared" si="51"/>
        <v>0</v>
      </c>
      <c r="AD12" s="389">
        <f t="shared" si="52"/>
        <v>0</v>
      </c>
      <c r="AE12" s="389">
        <f t="shared" si="53"/>
        <v>0</v>
      </c>
      <c r="AF12" s="389">
        <f t="shared" si="54"/>
        <v>0</v>
      </c>
      <c r="AG12" s="389">
        <f t="shared" si="55"/>
        <v>0</v>
      </c>
      <c r="AH12" s="140">
        <f t="shared" si="56"/>
        <v>0</v>
      </c>
      <c r="AI12" s="1169">
        <f>SUM('3 pr-2'!L13)</f>
        <v>125000</v>
      </c>
      <c r="AJ12" s="140">
        <f t="shared" si="25"/>
        <v>461.25461254612549</v>
      </c>
      <c r="AK12" s="389">
        <f>SUM('3 pr-2'!O13)</f>
        <v>25000</v>
      </c>
      <c r="AL12" s="389">
        <f t="shared" si="26"/>
        <v>92.250922509225092</v>
      </c>
      <c r="AM12" s="389">
        <f>SUM('3 pr-2'!R13)</f>
        <v>15000</v>
      </c>
      <c r="AN12" s="389">
        <f t="shared" si="27"/>
        <v>55.350553505535053</v>
      </c>
      <c r="AO12" s="389">
        <f>SUM('3 pr-2'!U13)</f>
        <v>0</v>
      </c>
      <c r="AP12" s="1199">
        <f t="shared" si="28"/>
        <v>0</v>
      </c>
      <c r="AQ12" s="389">
        <f>SUM('3 pr-2'!X13)</f>
        <v>0</v>
      </c>
      <c r="AR12" s="1163">
        <f t="shared" si="29"/>
        <v>0</v>
      </c>
      <c r="AS12" s="38">
        <f>SUM('3 pr-2'!AA13)</f>
        <v>85000</v>
      </c>
      <c r="AT12" s="1162">
        <f t="shared" si="30"/>
        <v>313.65313653136531</v>
      </c>
      <c r="AU12" s="24"/>
      <c r="AV12" s="25"/>
      <c r="AW12" s="25"/>
      <c r="AX12" s="389"/>
      <c r="AY12" s="389"/>
      <c r="AZ12" s="389"/>
      <c r="BA12" s="389"/>
      <c r="BB12" s="25"/>
      <c r="BC12" s="25"/>
      <c r="BD12" s="389"/>
      <c r="BE12" s="389"/>
      <c r="BF12" s="389"/>
      <c r="BG12" s="389"/>
      <c r="BH12" s="25"/>
      <c r="BI12" s="25"/>
      <c r="BJ12" s="389"/>
      <c r="BK12" s="389"/>
      <c r="BL12" s="389"/>
      <c r="BM12" s="389"/>
      <c r="BN12" s="25"/>
      <c r="BO12" s="25"/>
      <c r="BP12" s="389"/>
      <c r="BQ12" s="389"/>
      <c r="BR12" s="389"/>
      <c r="BS12" s="389"/>
      <c r="BT12" s="25"/>
      <c r="BU12" s="25"/>
      <c r="BV12" s="389"/>
      <c r="BW12" s="389"/>
      <c r="BX12" s="389"/>
      <c r="BY12" s="389"/>
      <c r="BZ12" s="25"/>
      <c r="CA12" s="25"/>
      <c r="CB12" s="389"/>
      <c r="CC12" s="389"/>
      <c r="CD12" s="389"/>
      <c r="CE12" s="389"/>
      <c r="CF12" s="553"/>
      <c r="CG12" s="566">
        <f>SUM('3 pr-2'!AH13)</f>
        <v>43102</v>
      </c>
      <c r="CH12" s="566">
        <f>SUM('3 pr-2'!AJ13)</f>
        <v>43373</v>
      </c>
      <c r="CI12" s="30">
        <f t="shared" si="57"/>
        <v>85000</v>
      </c>
      <c r="CJ12" s="30">
        <f t="shared" si="58"/>
        <v>0</v>
      </c>
      <c r="CQ12" s="1520">
        <f t="shared" si="13"/>
        <v>125000</v>
      </c>
      <c r="CR12" s="1521">
        <f t="shared" si="14"/>
        <v>85000</v>
      </c>
    </row>
    <row r="13" spans="1:96" ht="37.5" thickTop="1" thickBot="1" x14ac:dyDescent="0.3">
      <c r="A13" s="183" t="str">
        <f>CONCATENATE('3 pr-2'!A14)</f>
        <v>1.1.1.1.5</v>
      </c>
      <c r="B13" s="183" t="str">
        <f>CONCATENATE('3 pr-2'!D14)</f>
        <v>Druskininkų savivaldybės Leipalingio seniūnijos Bilso seniūnaitijos kelių būklės gerinimas</v>
      </c>
      <c r="C13" s="140">
        <f t="shared" si="31"/>
        <v>0</v>
      </c>
      <c r="D13" s="140">
        <f t="shared" si="32"/>
        <v>0</v>
      </c>
      <c r="E13" s="140">
        <f t="shared" si="33"/>
        <v>0</v>
      </c>
      <c r="F13" s="389">
        <f t="shared" si="34"/>
        <v>0</v>
      </c>
      <c r="G13" s="389">
        <f t="shared" si="35"/>
        <v>0</v>
      </c>
      <c r="H13" s="389">
        <f t="shared" si="36"/>
        <v>0</v>
      </c>
      <c r="I13" s="389">
        <f t="shared" si="37"/>
        <v>0</v>
      </c>
      <c r="J13" s="140">
        <f t="shared" si="38"/>
        <v>0</v>
      </c>
      <c r="K13" s="140">
        <f t="shared" si="39"/>
        <v>0</v>
      </c>
      <c r="L13" s="389">
        <f t="shared" si="40"/>
        <v>0</v>
      </c>
      <c r="M13" s="389">
        <f t="shared" si="41"/>
        <v>0</v>
      </c>
      <c r="N13" s="389">
        <f t="shared" si="42"/>
        <v>0</v>
      </c>
      <c r="O13" s="389">
        <f t="shared" si="43"/>
        <v>0</v>
      </c>
      <c r="P13" s="140">
        <f t="shared" si="44"/>
        <v>0</v>
      </c>
      <c r="Q13" s="140">
        <f t="shared" ref="Q13:Q20" si="59">IF(YEAR($Q$2)=YEAR($CG$9),($CH$30-$CG$30)*AJ13,0)</f>
        <v>240940</v>
      </c>
      <c r="R13" s="389">
        <f t="shared" ref="R13:R20" si="60">IF(YEAR($Q$2)=YEAR($CG$9),($CH$30-$CG$30)*AL13,0)</f>
        <v>112896</v>
      </c>
      <c r="S13" s="389">
        <f t="shared" ref="S13:S20" si="61">IF(YEAR($Q$2)=YEAR($CG$9),($CH$30-$CG$30)*AN13,0)</f>
        <v>19207</v>
      </c>
      <c r="T13" s="389">
        <f t="shared" ref="T13:T20" si="62">IF(YEAR($Q$2)=YEAR($CG$9),($CH$30-$CG$30)*AP13,0)</f>
        <v>0</v>
      </c>
      <c r="U13" s="389">
        <f t="shared" ref="U13:U20" si="63">IF(YEAR($Q$2)=YEAR($CG$9),($CH$30-$CG$30)*AR13,0)</f>
        <v>0</v>
      </c>
      <c r="V13" s="140">
        <f t="shared" ref="V13:V20" si="64">IF(YEAR($Q$2)=YEAR($CG$9),($CH$30-$CG$30)*AT13,0)</f>
        <v>108837</v>
      </c>
      <c r="W13" s="140">
        <f t="shared" si="45"/>
        <v>0</v>
      </c>
      <c r="X13" s="389">
        <f t="shared" si="46"/>
        <v>0</v>
      </c>
      <c r="Y13" s="389">
        <f t="shared" si="47"/>
        <v>0</v>
      </c>
      <c r="Z13" s="389">
        <f t="shared" si="48"/>
        <v>0</v>
      </c>
      <c r="AA13" s="389">
        <f t="shared" si="49"/>
        <v>0</v>
      </c>
      <c r="AB13" s="140">
        <f t="shared" si="50"/>
        <v>0</v>
      </c>
      <c r="AC13" s="140">
        <f t="shared" si="51"/>
        <v>0</v>
      </c>
      <c r="AD13" s="389">
        <f t="shared" si="52"/>
        <v>0</v>
      </c>
      <c r="AE13" s="389">
        <f t="shared" si="53"/>
        <v>0</v>
      </c>
      <c r="AF13" s="389">
        <f t="shared" si="54"/>
        <v>0</v>
      </c>
      <c r="AG13" s="389">
        <f t="shared" si="55"/>
        <v>0</v>
      </c>
      <c r="AH13" s="140">
        <f t="shared" si="56"/>
        <v>0</v>
      </c>
      <c r="AI13" s="1169">
        <f>SUM('3 pr-2'!L14)</f>
        <v>240940</v>
      </c>
      <c r="AJ13" s="140">
        <f t="shared" si="25"/>
        <v>663.74655647382917</v>
      </c>
      <c r="AK13" s="389">
        <f>SUM('3 pr-2'!O14)</f>
        <v>112896</v>
      </c>
      <c r="AL13" s="389">
        <f t="shared" si="26"/>
        <v>311.0082644628099</v>
      </c>
      <c r="AM13" s="389">
        <f>SUM('3 pr-2'!R14)</f>
        <v>19207</v>
      </c>
      <c r="AN13" s="389">
        <f t="shared" si="27"/>
        <v>52.911845730027551</v>
      </c>
      <c r="AO13" s="389">
        <f>SUM('3 pr-2'!U14)</f>
        <v>0</v>
      </c>
      <c r="AP13" s="1199">
        <f t="shared" si="28"/>
        <v>0</v>
      </c>
      <c r="AQ13" s="389">
        <f>SUM('3 pr-2'!X14)</f>
        <v>0</v>
      </c>
      <c r="AR13" s="1163">
        <f t="shared" si="29"/>
        <v>0</v>
      </c>
      <c r="AS13" s="38">
        <f>SUM('3 pr-2'!AA14)</f>
        <v>108837</v>
      </c>
      <c r="AT13" s="1162">
        <f t="shared" si="30"/>
        <v>299.82644628099172</v>
      </c>
      <c r="AU13" s="24">
        <v>0</v>
      </c>
      <c r="AV13" s="25">
        <v>0</v>
      </c>
      <c r="AW13" s="25">
        <v>0</v>
      </c>
      <c r="AX13" s="389">
        <v>0</v>
      </c>
      <c r="AY13" s="389">
        <v>0</v>
      </c>
      <c r="AZ13" s="389">
        <v>0</v>
      </c>
      <c r="BA13" s="389">
        <v>0</v>
      </c>
      <c r="BB13" s="25">
        <v>0</v>
      </c>
      <c r="BC13" s="25">
        <v>0</v>
      </c>
      <c r="BD13" s="389">
        <v>0</v>
      </c>
      <c r="BE13" s="389">
        <v>0</v>
      </c>
      <c r="BF13" s="389">
        <v>0</v>
      </c>
      <c r="BG13" s="389">
        <v>0</v>
      </c>
      <c r="BH13" s="25">
        <v>0</v>
      </c>
      <c r="BI13" s="25">
        <v>100</v>
      </c>
      <c r="BJ13" s="389">
        <v>100</v>
      </c>
      <c r="BK13" s="389">
        <v>100</v>
      </c>
      <c r="BL13" s="389">
        <v>100</v>
      </c>
      <c r="BM13" s="389">
        <v>100</v>
      </c>
      <c r="BN13" s="25">
        <v>100</v>
      </c>
      <c r="BO13" s="25">
        <v>0</v>
      </c>
      <c r="BP13" s="389">
        <v>0</v>
      </c>
      <c r="BQ13" s="389">
        <v>0</v>
      </c>
      <c r="BR13" s="389">
        <v>0</v>
      </c>
      <c r="BS13" s="389">
        <v>0</v>
      </c>
      <c r="BT13" s="25">
        <v>0</v>
      </c>
      <c r="BU13" s="25">
        <v>0</v>
      </c>
      <c r="BV13" s="389">
        <v>0</v>
      </c>
      <c r="BW13" s="389">
        <v>0</v>
      </c>
      <c r="BX13" s="389">
        <v>0</v>
      </c>
      <c r="BY13" s="389">
        <v>0</v>
      </c>
      <c r="BZ13" s="25">
        <v>0</v>
      </c>
      <c r="CA13" s="25">
        <v>100</v>
      </c>
      <c r="CB13" s="389">
        <v>100</v>
      </c>
      <c r="CC13" s="389">
        <v>100</v>
      </c>
      <c r="CD13" s="389">
        <v>100</v>
      </c>
      <c r="CE13" s="389">
        <v>100</v>
      </c>
      <c r="CF13" s="553">
        <v>100</v>
      </c>
      <c r="CG13" s="566">
        <f>SUM('3 pr-2'!AH14)</f>
        <v>43102</v>
      </c>
      <c r="CH13" s="566">
        <f>SUM('3 pr-2'!AJ14)</f>
        <v>43465</v>
      </c>
      <c r="CI13" s="30">
        <f t="shared" si="57"/>
        <v>108837</v>
      </c>
      <c r="CJ13" s="30">
        <f t="shared" si="58"/>
        <v>0</v>
      </c>
      <c r="CQ13" s="1520">
        <f t="shared" ref="CQ13:CQ14" si="65">SUM(E13+K13+Q13+W13+AC13)</f>
        <v>240940</v>
      </c>
      <c r="CR13" s="1521">
        <f t="shared" si="14"/>
        <v>108837</v>
      </c>
    </row>
    <row r="14" spans="1:96" ht="25.5" thickTop="1" thickBot="1" x14ac:dyDescent="0.3">
      <c r="A14" s="183" t="str">
        <f>CONCATENATE('3 pr-2'!A15)</f>
        <v>1.1.1.1.6</v>
      </c>
      <c r="B14" s="183" t="str">
        <f>CONCATENATE('3 pr-2'!D15)</f>
        <v>Lazdijų rajono kaimų patrauklumo didinimas atnaujinant bibliotekas</v>
      </c>
      <c r="C14" s="140">
        <f t="shared" si="31"/>
        <v>0</v>
      </c>
      <c r="D14" s="140">
        <f t="shared" si="32"/>
        <v>0</v>
      </c>
      <c r="E14" s="140">
        <f t="shared" si="33"/>
        <v>0</v>
      </c>
      <c r="F14" s="389">
        <f t="shared" si="34"/>
        <v>0</v>
      </c>
      <c r="G14" s="389">
        <f t="shared" si="35"/>
        <v>0</v>
      </c>
      <c r="H14" s="389">
        <f t="shared" si="36"/>
        <v>0</v>
      </c>
      <c r="I14" s="389">
        <f t="shared" si="37"/>
        <v>0</v>
      </c>
      <c r="J14" s="140">
        <f t="shared" si="38"/>
        <v>0</v>
      </c>
      <c r="K14" s="140">
        <f t="shared" si="39"/>
        <v>0</v>
      </c>
      <c r="L14" s="389">
        <f t="shared" si="40"/>
        <v>0</v>
      </c>
      <c r="M14" s="389">
        <f t="shared" si="41"/>
        <v>0</v>
      </c>
      <c r="N14" s="389">
        <f t="shared" si="42"/>
        <v>0</v>
      </c>
      <c r="O14" s="389">
        <f t="shared" si="43"/>
        <v>0</v>
      </c>
      <c r="P14" s="140">
        <f t="shared" si="44"/>
        <v>0</v>
      </c>
      <c r="Q14" s="140">
        <f>SUM(R14:V14)</f>
        <v>201000</v>
      </c>
      <c r="R14" s="389">
        <f>SUM(AK14)</f>
        <v>40200</v>
      </c>
      <c r="S14" s="389">
        <f>SUM(AM14)</f>
        <v>24120</v>
      </c>
      <c r="T14" s="389">
        <v>0</v>
      </c>
      <c r="U14" s="389">
        <v>0</v>
      </c>
      <c r="V14" s="140">
        <f>SUM(AS14)</f>
        <v>136680</v>
      </c>
      <c r="W14" s="140">
        <f t="shared" si="45"/>
        <v>0</v>
      </c>
      <c r="X14" s="389">
        <f t="shared" si="46"/>
        <v>0</v>
      </c>
      <c r="Y14" s="389">
        <f t="shared" si="47"/>
        <v>0</v>
      </c>
      <c r="Z14" s="389">
        <f t="shared" si="48"/>
        <v>0</v>
      </c>
      <c r="AA14" s="389">
        <f t="shared" si="49"/>
        <v>0</v>
      </c>
      <c r="AB14" s="140">
        <f t="shared" si="50"/>
        <v>0</v>
      </c>
      <c r="AC14" s="140">
        <f t="shared" si="51"/>
        <v>0</v>
      </c>
      <c r="AD14" s="389">
        <f t="shared" si="52"/>
        <v>0</v>
      </c>
      <c r="AE14" s="389">
        <f t="shared" si="53"/>
        <v>0</v>
      </c>
      <c r="AF14" s="389">
        <f t="shared" si="54"/>
        <v>0</v>
      </c>
      <c r="AG14" s="389">
        <f t="shared" si="55"/>
        <v>0</v>
      </c>
      <c r="AH14" s="140">
        <f t="shared" si="56"/>
        <v>0</v>
      </c>
      <c r="AI14" s="1169">
        <f>SUM('3 pr-2'!L15)</f>
        <v>201000</v>
      </c>
      <c r="AJ14" s="140">
        <f t="shared" si="25"/>
        <v>741.69741697416976</v>
      </c>
      <c r="AK14" s="389">
        <f>SUM('3 pr-2'!O15)</f>
        <v>40200</v>
      </c>
      <c r="AL14" s="389">
        <f t="shared" si="26"/>
        <v>148.33948339483396</v>
      </c>
      <c r="AM14" s="389">
        <f>SUM('3 pr-2'!R15)</f>
        <v>24120</v>
      </c>
      <c r="AN14" s="389">
        <f t="shared" si="27"/>
        <v>89.003690036900366</v>
      </c>
      <c r="AO14" s="389">
        <f>SUM('3 pr-2'!U15)</f>
        <v>0</v>
      </c>
      <c r="AP14" s="1199">
        <f t="shared" si="28"/>
        <v>0</v>
      </c>
      <c r="AQ14" s="389">
        <f>SUM('3 pr-2'!X15)</f>
        <v>0</v>
      </c>
      <c r="AR14" s="1163">
        <f t="shared" si="29"/>
        <v>0</v>
      </c>
      <c r="AS14" s="38">
        <f>SUM('3 pr-2'!AA15)</f>
        <v>136680</v>
      </c>
      <c r="AT14" s="1162">
        <f t="shared" si="30"/>
        <v>504.35424354243543</v>
      </c>
      <c r="AU14" s="24"/>
      <c r="AV14" s="25"/>
      <c r="AW14" s="25"/>
      <c r="AX14" s="389"/>
      <c r="AY14" s="389"/>
      <c r="AZ14" s="389"/>
      <c r="BA14" s="389"/>
      <c r="BB14" s="25"/>
      <c r="BC14" s="25"/>
      <c r="BD14" s="389"/>
      <c r="BE14" s="389"/>
      <c r="BF14" s="389"/>
      <c r="BG14" s="389"/>
      <c r="BH14" s="25"/>
      <c r="BI14" s="25"/>
      <c r="BJ14" s="389"/>
      <c r="BK14" s="389"/>
      <c r="BL14" s="389"/>
      <c r="BM14" s="389"/>
      <c r="BN14" s="25"/>
      <c r="BO14" s="25"/>
      <c r="BP14" s="389"/>
      <c r="BQ14" s="389"/>
      <c r="BR14" s="389"/>
      <c r="BS14" s="389"/>
      <c r="BT14" s="25"/>
      <c r="BU14" s="25"/>
      <c r="BV14" s="389"/>
      <c r="BW14" s="389"/>
      <c r="BX14" s="389"/>
      <c r="BY14" s="389"/>
      <c r="BZ14" s="25"/>
      <c r="CA14" s="25"/>
      <c r="CB14" s="389"/>
      <c r="CC14" s="389"/>
      <c r="CD14" s="389"/>
      <c r="CE14" s="389"/>
      <c r="CF14" s="553"/>
      <c r="CG14" s="566">
        <f>SUM('3 pr-2'!AH15)</f>
        <v>43102</v>
      </c>
      <c r="CH14" s="566">
        <f>SUM('3 pr-2'!AJ15)</f>
        <v>43373</v>
      </c>
      <c r="CI14" s="30">
        <f t="shared" si="57"/>
        <v>136680</v>
      </c>
      <c r="CJ14" s="30">
        <f t="shared" si="58"/>
        <v>0</v>
      </c>
      <c r="CQ14" s="1520">
        <f t="shared" si="65"/>
        <v>201000</v>
      </c>
      <c r="CR14" s="1521">
        <f t="shared" si="14"/>
        <v>136680</v>
      </c>
    </row>
    <row r="15" spans="1:96" ht="37.5" thickTop="1" thickBot="1" x14ac:dyDescent="0.3">
      <c r="A15" s="183" t="str">
        <f>CONCATENATE('3 pr-2'!A16)</f>
        <v>1.1.1.1.7</v>
      </c>
      <c r="B15" s="183" t="str">
        <f>CONCATENATE('3 pr-2'!D16)</f>
        <v>Alytaus rajono Miroslavo kaimo multifunkcinės sporto aikštės įrengimas ir gatvių bei šaligatvių rekonstrukcija</v>
      </c>
      <c r="C15" s="140">
        <f t="shared" si="31"/>
        <v>0</v>
      </c>
      <c r="D15" s="140">
        <f t="shared" si="32"/>
        <v>0</v>
      </c>
      <c r="E15" s="140">
        <f t="shared" si="33"/>
        <v>0</v>
      </c>
      <c r="F15" s="389">
        <f t="shared" si="34"/>
        <v>0</v>
      </c>
      <c r="G15" s="389">
        <f t="shared" si="35"/>
        <v>0</v>
      </c>
      <c r="H15" s="389">
        <f t="shared" si="36"/>
        <v>0</v>
      </c>
      <c r="I15" s="389">
        <f t="shared" si="37"/>
        <v>0</v>
      </c>
      <c r="J15" s="140">
        <f t="shared" si="38"/>
        <v>0</v>
      </c>
      <c r="K15" s="140">
        <f t="shared" si="39"/>
        <v>0</v>
      </c>
      <c r="L15" s="389">
        <f t="shared" si="40"/>
        <v>0</v>
      </c>
      <c r="M15" s="389">
        <f t="shared" si="41"/>
        <v>0</v>
      </c>
      <c r="N15" s="389">
        <f t="shared" si="42"/>
        <v>0</v>
      </c>
      <c r="O15" s="389">
        <f t="shared" si="43"/>
        <v>0</v>
      </c>
      <c r="P15" s="140">
        <f t="shared" si="44"/>
        <v>0</v>
      </c>
      <c r="Q15" s="140">
        <f>SUM(R15:V15)</f>
        <v>252212</v>
      </c>
      <c r="R15" s="389">
        <f>SUM(AK15)</f>
        <v>52212</v>
      </c>
      <c r="S15" s="389">
        <f>SUM(AM15)</f>
        <v>30000</v>
      </c>
      <c r="T15" s="389">
        <v>0</v>
      </c>
      <c r="U15" s="389">
        <v>0</v>
      </c>
      <c r="V15" s="140">
        <f>SUM(AS15)</f>
        <v>170000</v>
      </c>
      <c r="W15" s="140">
        <f t="shared" si="45"/>
        <v>0</v>
      </c>
      <c r="X15" s="389">
        <f t="shared" si="46"/>
        <v>0</v>
      </c>
      <c r="Y15" s="389">
        <f t="shared" si="47"/>
        <v>0</v>
      </c>
      <c r="Z15" s="389">
        <f t="shared" si="48"/>
        <v>0</v>
      </c>
      <c r="AA15" s="389">
        <f t="shared" si="49"/>
        <v>0</v>
      </c>
      <c r="AB15" s="140">
        <f t="shared" si="50"/>
        <v>0</v>
      </c>
      <c r="AC15" s="140">
        <f t="shared" si="51"/>
        <v>0</v>
      </c>
      <c r="AD15" s="389">
        <f t="shared" si="52"/>
        <v>0</v>
      </c>
      <c r="AE15" s="389">
        <f t="shared" si="53"/>
        <v>0</v>
      </c>
      <c r="AF15" s="389">
        <f t="shared" si="54"/>
        <v>0</v>
      </c>
      <c r="AG15" s="389">
        <f t="shared" si="55"/>
        <v>0</v>
      </c>
      <c r="AH15" s="140">
        <f t="shared" si="56"/>
        <v>0</v>
      </c>
      <c r="AI15" s="1169">
        <f>SUM('3 pr-2'!L16)</f>
        <v>252212</v>
      </c>
      <c r="AJ15" s="140">
        <f t="shared" si="25"/>
        <v>694.79889807162533</v>
      </c>
      <c r="AK15" s="389">
        <f>SUM('3 pr-2'!O16)</f>
        <v>52212</v>
      </c>
      <c r="AL15" s="389">
        <f t="shared" si="26"/>
        <v>143.83471074380165</v>
      </c>
      <c r="AM15" s="389">
        <f>SUM('3 pr-2'!R16)</f>
        <v>30000</v>
      </c>
      <c r="AN15" s="389">
        <f t="shared" si="27"/>
        <v>82.644628099173559</v>
      </c>
      <c r="AO15" s="389">
        <f>SUM('3 pr-2'!U16)</f>
        <v>0</v>
      </c>
      <c r="AP15" s="1199">
        <f t="shared" si="28"/>
        <v>0</v>
      </c>
      <c r="AQ15" s="389">
        <f>SUM('3 pr-2'!X16)</f>
        <v>0</v>
      </c>
      <c r="AR15" s="1163">
        <f t="shared" si="29"/>
        <v>0</v>
      </c>
      <c r="AS15" s="38">
        <f>SUM('3 pr-2'!AA16)</f>
        <v>170000</v>
      </c>
      <c r="AT15" s="1162">
        <f t="shared" si="30"/>
        <v>468.31955922865012</v>
      </c>
      <c r="AU15" s="24">
        <v>0</v>
      </c>
      <c r="AV15" s="25">
        <v>0</v>
      </c>
      <c r="AW15" s="25">
        <v>0</v>
      </c>
      <c r="AX15" s="389">
        <v>0</v>
      </c>
      <c r="AY15" s="389">
        <v>0</v>
      </c>
      <c r="AZ15" s="389">
        <v>0</v>
      </c>
      <c r="BA15" s="389">
        <v>0</v>
      </c>
      <c r="BB15" s="25">
        <v>0</v>
      </c>
      <c r="BC15" s="25">
        <v>100</v>
      </c>
      <c r="BD15" s="389">
        <v>100</v>
      </c>
      <c r="BE15" s="389">
        <v>100</v>
      </c>
      <c r="BF15" s="389">
        <v>100</v>
      </c>
      <c r="BG15" s="389">
        <v>100</v>
      </c>
      <c r="BH15" s="25">
        <v>100</v>
      </c>
      <c r="BI15" s="25">
        <v>0</v>
      </c>
      <c r="BJ15" s="389">
        <v>0</v>
      </c>
      <c r="BK15" s="389">
        <v>0</v>
      </c>
      <c r="BL15" s="389">
        <v>0</v>
      </c>
      <c r="BM15" s="389">
        <v>0</v>
      </c>
      <c r="BN15" s="25">
        <v>0</v>
      </c>
      <c r="BO15" s="25">
        <v>0</v>
      </c>
      <c r="BP15" s="389">
        <v>0</v>
      </c>
      <c r="BQ15" s="389">
        <v>0</v>
      </c>
      <c r="BR15" s="389">
        <v>0</v>
      </c>
      <c r="BS15" s="389">
        <v>0</v>
      </c>
      <c r="BT15" s="25">
        <v>0</v>
      </c>
      <c r="BU15" s="25">
        <v>0</v>
      </c>
      <c r="BV15" s="389">
        <v>0</v>
      </c>
      <c r="BW15" s="389">
        <v>0</v>
      </c>
      <c r="BX15" s="389">
        <v>0</v>
      </c>
      <c r="BY15" s="389">
        <v>0</v>
      </c>
      <c r="BZ15" s="25">
        <v>0</v>
      </c>
      <c r="CA15" s="25">
        <v>100</v>
      </c>
      <c r="CB15" s="389">
        <v>100</v>
      </c>
      <c r="CC15" s="389">
        <v>100</v>
      </c>
      <c r="CD15" s="389">
        <v>100</v>
      </c>
      <c r="CE15" s="389">
        <v>100</v>
      </c>
      <c r="CF15" s="553">
        <v>100</v>
      </c>
      <c r="CG15" s="566">
        <f>SUM('3 pr-2'!AH16)</f>
        <v>43102</v>
      </c>
      <c r="CH15" s="566">
        <f>SUM('3 pr-2'!AJ16)</f>
        <v>43465</v>
      </c>
      <c r="CI15" s="30">
        <f t="shared" si="57"/>
        <v>170000</v>
      </c>
      <c r="CJ15" s="30">
        <f t="shared" si="58"/>
        <v>0</v>
      </c>
      <c r="CQ15" s="1520">
        <f t="shared" ref="CQ15:CQ17" si="66">SUM(E15+K15+Q15+W15+AC15)</f>
        <v>252212</v>
      </c>
      <c r="CR15" s="1521">
        <f t="shared" si="14"/>
        <v>170000</v>
      </c>
    </row>
    <row r="16" spans="1:96" ht="37.5" thickTop="1" thickBot="1" x14ac:dyDescent="0.3">
      <c r="A16" s="183" t="str">
        <f>CONCATENATE('3 pr-2'!A17)</f>
        <v>1.1.1.1.8</v>
      </c>
      <c r="B16" s="183" t="str">
        <f>CONCATENATE('3 pr-2'!D17)</f>
        <v>Alytaus rajono Luksnėnų kaimo multifunkcinės sporto aikštės įrengimas ir gatvių rekonstrukcija</v>
      </c>
      <c r="C16" s="140">
        <f t="shared" si="31"/>
        <v>0</v>
      </c>
      <c r="D16" s="140">
        <f t="shared" si="32"/>
        <v>0</v>
      </c>
      <c r="E16" s="140">
        <f t="shared" si="33"/>
        <v>0</v>
      </c>
      <c r="F16" s="389">
        <f t="shared" si="34"/>
        <v>0</v>
      </c>
      <c r="G16" s="389">
        <f t="shared" si="35"/>
        <v>0</v>
      </c>
      <c r="H16" s="389">
        <f t="shared" si="36"/>
        <v>0</v>
      </c>
      <c r="I16" s="389">
        <f t="shared" si="37"/>
        <v>0</v>
      </c>
      <c r="J16" s="140">
        <f t="shared" si="38"/>
        <v>0</v>
      </c>
      <c r="K16" s="140">
        <f t="shared" si="39"/>
        <v>0</v>
      </c>
      <c r="L16" s="389">
        <f t="shared" si="40"/>
        <v>0</v>
      </c>
      <c r="M16" s="389">
        <f t="shared" si="41"/>
        <v>0</v>
      </c>
      <c r="N16" s="389">
        <f t="shared" si="42"/>
        <v>0</v>
      </c>
      <c r="O16" s="389">
        <f t="shared" si="43"/>
        <v>0</v>
      </c>
      <c r="P16" s="140">
        <f t="shared" si="44"/>
        <v>0</v>
      </c>
      <c r="Q16" s="140">
        <f t="shared" si="59"/>
        <v>250309</v>
      </c>
      <c r="R16" s="389">
        <f t="shared" si="60"/>
        <v>50309</v>
      </c>
      <c r="S16" s="389">
        <f t="shared" si="61"/>
        <v>30000.000000000004</v>
      </c>
      <c r="T16" s="389">
        <f t="shared" si="62"/>
        <v>0</v>
      </c>
      <c r="U16" s="389">
        <f t="shared" si="63"/>
        <v>0</v>
      </c>
      <c r="V16" s="140">
        <f t="shared" si="64"/>
        <v>170000</v>
      </c>
      <c r="W16" s="140">
        <f t="shared" si="45"/>
        <v>0</v>
      </c>
      <c r="X16" s="389">
        <f t="shared" si="46"/>
        <v>0</v>
      </c>
      <c r="Y16" s="389">
        <f t="shared" si="47"/>
        <v>0</v>
      </c>
      <c r="Z16" s="389">
        <f t="shared" si="48"/>
        <v>0</v>
      </c>
      <c r="AA16" s="389">
        <f t="shared" si="49"/>
        <v>0</v>
      </c>
      <c r="AB16" s="140">
        <f t="shared" si="50"/>
        <v>0</v>
      </c>
      <c r="AC16" s="140">
        <f t="shared" si="51"/>
        <v>0</v>
      </c>
      <c r="AD16" s="389">
        <f t="shared" si="52"/>
        <v>0</v>
      </c>
      <c r="AE16" s="389">
        <f t="shared" si="53"/>
        <v>0</v>
      </c>
      <c r="AF16" s="389">
        <f t="shared" si="54"/>
        <v>0</v>
      </c>
      <c r="AG16" s="389">
        <f t="shared" si="55"/>
        <v>0</v>
      </c>
      <c r="AH16" s="140">
        <f t="shared" si="56"/>
        <v>0</v>
      </c>
      <c r="AI16" s="1169">
        <f>SUM('3 pr-2'!L17)</f>
        <v>250309</v>
      </c>
      <c r="AJ16" s="140">
        <f t="shared" si="25"/>
        <v>689.55647382920108</v>
      </c>
      <c r="AK16" s="389">
        <f>SUM('3 pr-2'!O17)</f>
        <v>50309</v>
      </c>
      <c r="AL16" s="389">
        <f t="shared" si="26"/>
        <v>138.5922865013774</v>
      </c>
      <c r="AM16" s="389">
        <f>SUM('3 pr-2'!R17)</f>
        <v>30000</v>
      </c>
      <c r="AN16" s="389">
        <f t="shared" si="27"/>
        <v>82.644628099173559</v>
      </c>
      <c r="AO16" s="389">
        <f>SUM('3 pr-2'!U17)</f>
        <v>0</v>
      </c>
      <c r="AP16" s="1199">
        <f t="shared" si="28"/>
        <v>0</v>
      </c>
      <c r="AQ16" s="389">
        <f>SUM('3 pr-2'!X17)</f>
        <v>0</v>
      </c>
      <c r="AR16" s="1163">
        <f t="shared" si="29"/>
        <v>0</v>
      </c>
      <c r="AS16" s="38">
        <f>SUM('3 pr-2'!AA17)</f>
        <v>170000</v>
      </c>
      <c r="AT16" s="1162">
        <f t="shared" si="30"/>
        <v>468.31955922865012</v>
      </c>
      <c r="AU16" s="24"/>
      <c r="AV16" s="25"/>
      <c r="AW16" s="25"/>
      <c r="AX16" s="389"/>
      <c r="AY16" s="389"/>
      <c r="AZ16" s="389"/>
      <c r="BA16" s="389"/>
      <c r="BB16" s="25"/>
      <c r="BC16" s="25"/>
      <c r="BD16" s="389"/>
      <c r="BE16" s="389"/>
      <c r="BF16" s="389"/>
      <c r="BG16" s="389"/>
      <c r="BH16" s="25"/>
      <c r="BI16" s="25"/>
      <c r="BJ16" s="389"/>
      <c r="BK16" s="389"/>
      <c r="BL16" s="389"/>
      <c r="BM16" s="389"/>
      <c r="BN16" s="25"/>
      <c r="BO16" s="25"/>
      <c r="BP16" s="389"/>
      <c r="BQ16" s="389"/>
      <c r="BR16" s="389"/>
      <c r="BS16" s="389"/>
      <c r="BT16" s="25"/>
      <c r="BU16" s="25"/>
      <c r="BV16" s="389"/>
      <c r="BW16" s="389"/>
      <c r="BX16" s="389"/>
      <c r="BY16" s="389"/>
      <c r="BZ16" s="25"/>
      <c r="CA16" s="25"/>
      <c r="CB16" s="389"/>
      <c r="CC16" s="389"/>
      <c r="CD16" s="389"/>
      <c r="CE16" s="389"/>
      <c r="CF16" s="553"/>
      <c r="CG16" s="566">
        <f>SUM('3 pr-2'!AH17)</f>
        <v>43102</v>
      </c>
      <c r="CH16" s="566">
        <f>SUM('3 pr-2'!AJ17)</f>
        <v>43465</v>
      </c>
      <c r="CI16" s="30">
        <f t="shared" si="57"/>
        <v>170000</v>
      </c>
      <c r="CJ16" s="30">
        <f t="shared" si="58"/>
        <v>0</v>
      </c>
      <c r="CQ16" s="1520">
        <f t="shared" si="66"/>
        <v>250309</v>
      </c>
      <c r="CR16" s="1521">
        <f t="shared" si="14"/>
        <v>170000</v>
      </c>
    </row>
    <row r="17" spans="1:96" ht="25.5" thickTop="1" thickBot="1" x14ac:dyDescent="0.3">
      <c r="A17" s="183" t="str">
        <f>CONCATENATE('3 pr-2'!A18)</f>
        <v>1.1.1.1.9</v>
      </c>
      <c r="B17" s="183" t="str">
        <f>CONCATENATE('3 pr-2'!D18)</f>
        <v>Krikštonių laisvalaikio salės pritaikymas bendruomenės poreikiams</v>
      </c>
      <c r="C17" s="140">
        <f t="shared" si="31"/>
        <v>0</v>
      </c>
      <c r="D17" s="140">
        <f t="shared" si="32"/>
        <v>0</v>
      </c>
      <c r="E17" s="140">
        <f t="shared" si="33"/>
        <v>0</v>
      </c>
      <c r="F17" s="389">
        <f t="shared" si="34"/>
        <v>0</v>
      </c>
      <c r="G17" s="389">
        <f t="shared" si="35"/>
        <v>0</v>
      </c>
      <c r="H17" s="389">
        <f t="shared" si="36"/>
        <v>0</v>
      </c>
      <c r="I17" s="389">
        <f t="shared" si="37"/>
        <v>0</v>
      </c>
      <c r="J17" s="140">
        <f t="shared" si="38"/>
        <v>0</v>
      </c>
      <c r="K17" s="140">
        <f t="shared" si="39"/>
        <v>0</v>
      </c>
      <c r="L17" s="389">
        <f t="shared" si="40"/>
        <v>0</v>
      </c>
      <c r="M17" s="389">
        <f t="shared" si="41"/>
        <v>0</v>
      </c>
      <c r="N17" s="389">
        <f t="shared" si="42"/>
        <v>0</v>
      </c>
      <c r="O17" s="389">
        <f t="shared" si="43"/>
        <v>0</v>
      </c>
      <c r="P17" s="140">
        <f t="shared" si="44"/>
        <v>0</v>
      </c>
      <c r="Q17" s="140">
        <f>SUM(R17:V17)</f>
        <v>250000</v>
      </c>
      <c r="R17" s="389">
        <f>SUM(AK17)</f>
        <v>50000</v>
      </c>
      <c r="S17" s="389">
        <f>SUM(AM17)</f>
        <v>30000</v>
      </c>
      <c r="T17" s="389">
        <v>0</v>
      </c>
      <c r="U17" s="389">
        <v>0</v>
      </c>
      <c r="V17" s="140">
        <f>SUM(AS17)</f>
        <v>170000</v>
      </c>
      <c r="W17" s="140">
        <f t="shared" si="45"/>
        <v>0</v>
      </c>
      <c r="X17" s="389">
        <f t="shared" si="46"/>
        <v>0</v>
      </c>
      <c r="Y17" s="389">
        <f t="shared" si="47"/>
        <v>0</v>
      </c>
      <c r="Z17" s="389">
        <f t="shared" si="48"/>
        <v>0</v>
      </c>
      <c r="AA17" s="389">
        <f t="shared" si="49"/>
        <v>0</v>
      </c>
      <c r="AB17" s="140">
        <f t="shared" si="50"/>
        <v>0</v>
      </c>
      <c r="AC17" s="140">
        <f t="shared" si="51"/>
        <v>0</v>
      </c>
      <c r="AD17" s="389">
        <f t="shared" si="52"/>
        <v>0</v>
      </c>
      <c r="AE17" s="389">
        <f t="shared" si="53"/>
        <v>0</v>
      </c>
      <c r="AF17" s="389">
        <f t="shared" si="54"/>
        <v>0</v>
      </c>
      <c r="AG17" s="389">
        <f t="shared" si="55"/>
        <v>0</v>
      </c>
      <c r="AH17" s="140">
        <f t="shared" si="56"/>
        <v>0</v>
      </c>
      <c r="AI17" s="1169">
        <f>SUM('3 pr-2'!L18)</f>
        <v>250000</v>
      </c>
      <c r="AJ17" s="140">
        <f t="shared" si="25"/>
        <v>922.50922509225097</v>
      </c>
      <c r="AK17" s="389">
        <f>SUM('3 pr-2'!O18)</f>
        <v>50000</v>
      </c>
      <c r="AL17" s="389">
        <f t="shared" si="26"/>
        <v>184.50184501845018</v>
      </c>
      <c r="AM17" s="389">
        <f>SUM('3 pr-2'!R18)</f>
        <v>30000</v>
      </c>
      <c r="AN17" s="389">
        <f t="shared" si="27"/>
        <v>110.70110701107011</v>
      </c>
      <c r="AO17" s="389">
        <f>SUM('3 pr-2'!U18)</f>
        <v>0</v>
      </c>
      <c r="AP17" s="1199">
        <f t="shared" si="28"/>
        <v>0</v>
      </c>
      <c r="AQ17" s="389">
        <f>SUM('3 pr-2'!X18)</f>
        <v>0</v>
      </c>
      <c r="AR17" s="1163">
        <f t="shared" si="29"/>
        <v>0</v>
      </c>
      <c r="AS17" s="38">
        <f>SUM('3 pr-2'!AA18)</f>
        <v>170000</v>
      </c>
      <c r="AT17" s="1162">
        <f t="shared" si="30"/>
        <v>627.30627306273061</v>
      </c>
      <c r="AU17" s="24"/>
      <c r="AV17" s="25"/>
      <c r="AW17" s="25"/>
      <c r="AX17" s="389"/>
      <c r="AY17" s="389"/>
      <c r="AZ17" s="389"/>
      <c r="BA17" s="389"/>
      <c r="BB17" s="25"/>
      <c r="BC17" s="25"/>
      <c r="BD17" s="389"/>
      <c r="BE17" s="389"/>
      <c r="BF17" s="389"/>
      <c r="BG17" s="389"/>
      <c r="BH17" s="25"/>
      <c r="BI17" s="25"/>
      <c r="BJ17" s="389"/>
      <c r="BK17" s="389"/>
      <c r="BL17" s="389"/>
      <c r="BM17" s="389"/>
      <c r="BN17" s="25"/>
      <c r="BO17" s="25"/>
      <c r="BP17" s="389"/>
      <c r="BQ17" s="389"/>
      <c r="BR17" s="389"/>
      <c r="BS17" s="389"/>
      <c r="BT17" s="25"/>
      <c r="BU17" s="25"/>
      <c r="BV17" s="389"/>
      <c r="BW17" s="389"/>
      <c r="BX17" s="389"/>
      <c r="BY17" s="389"/>
      <c r="BZ17" s="25"/>
      <c r="CA17" s="25"/>
      <c r="CB17" s="389"/>
      <c r="CC17" s="389"/>
      <c r="CD17" s="389"/>
      <c r="CE17" s="389"/>
      <c r="CF17" s="553"/>
      <c r="CG17" s="566">
        <f>SUM('3 pr-2'!AH18)</f>
        <v>43102</v>
      </c>
      <c r="CH17" s="566">
        <f>SUM('3 pr-2'!AJ18)</f>
        <v>43373</v>
      </c>
      <c r="CI17" s="30">
        <f t="shared" si="57"/>
        <v>170000</v>
      </c>
      <c r="CJ17" s="30">
        <f t="shared" si="58"/>
        <v>0</v>
      </c>
      <c r="CQ17" s="1520">
        <f t="shared" si="66"/>
        <v>250000</v>
      </c>
      <c r="CR17" s="1521">
        <f t="shared" si="14"/>
        <v>170000</v>
      </c>
    </row>
    <row r="18" spans="1:96" ht="25.5" thickTop="1" thickBot="1" x14ac:dyDescent="0.3">
      <c r="A18" s="183" t="str">
        <f>CONCATENATE('3 pr-2'!A19)</f>
        <v>1.1.1.1.10</v>
      </c>
      <c r="B18" s="183" t="str">
        <f>CONCATENATE('3 pr-2'!D19)</f>
        <v>Kučiūnų laisvalaikio salės pritaikymas bendruomenės poreikiams</v>
      </c>
      <c r="C18" s="140">
        <f t="shared" si="31"/>
        <v>0</v>
      </c>
      <c r="D18" s="140">
        <f t="shared" si="32"/>
        <v>0</v>
      </c>
      <c r="E18" s="140">
        <f t="shared" si="33"/>
        <v>0</v>
      </c>
      <c r="F18" s="389">
        <f t="shared" si="34"/>
        <v>0</v>
      </c>
      <c r="G18" s="389">
        <f t="shared" si="35"/>
        <v>0</v>
      </c>
      <c r="H18" s="389">
        <f t="shared" si="36"/>
        <v>0</v>
      </c>
      <c r="I18" s="389">
        <f t="shared" si="37"/>
        <v>0</v>
      </c>
      <c r="J18" s="140">
        <f t="shared" si="38"/>
        <v>0</v>
      </c>
      <c r="K18" s="140">
        <f t="shared" si="39"/>
        <v>0</v>
      </c>
      <c r="L18" s="389">
        <f t="shared" si="40"/>
        <v>0</v>
      </c>
      <c r="M18" s="389">
        <f t="shared" si="41"/>
        <v>0</v>
      </c>
      <c r="N18" s="389">
        <f t="shared" si="42"/>
        <v>0</v>
      </c>
      <c r="O18" s="389">
        <f t="shared" si="43"/>
        <v>0</v>
      </c>
      <c r="P18" s="140">
        <f t="shared" si="44"/>
        <v>0</v>
      </c>
      <c r="Q18" s="140">
        <f>SUM(R18:V18)</f>
        <v>250000</v>
      </c>
      <c r="R18" s="389">
        <f>SUM(AK18)</f>
        <v>50000</v>
      </c>
      <c r="S18" s="389">
        <f>SUM(AM18)</f>
        <v>30000</v>
      </c>
      <c r="T18" s="389">
        <v>0</v>
      </c>
      <c r="U18" s="389">
        <v>0</v>
      </c>
      <c r="V18" s="140">
        <f>SUM(AS18)</f>
        <v>170000</v>
      </c>
      <c r="W18" s="140">
        <f t="shared" si="45"/>
        <v>0</v>
      </c>
      <c r="X18" s="389">
        <f t="shared" si="46"/>
        <v>0</v>
      </c>
      <c r="Y18" s="389">
        <f t="shared" si="47"/>
        <v>0</v>
      </c>
      <c r="Z18" s="389">
        <f t="shared" si="48"/>
        <v>0</v>
      </c>
      <c r="AA18" s="389">
        <f t="shared" si="49"/>
        <v>0</v>
      </c>
      <c r="AB18" s="140">
        <f t="shared" si="50"/>
        <v>0</v>
      </c>
      <c r="AC18" s="140">
        <f t="shared" si="51"/>
        <v>0</v>
      </c>
      <c r="AD18" s="389">
        <f t="shared" si="52"/>
        <v>0</v>
      </c>
      <c r="AE18" s="389">
        <f t="shared" si="53"/>
        <v>0</v>
      </c>
      <c r="AF18" s="389">
        <f t="shared" si="54"/>
        <v>0</v>
      </c>
      <c r="AG18" s="389">
        <f t="shared" si="55"/>
        <v>0</v>
      </c>
      <c r="AH18" s="140">
        <f t="shared" si="56"/>
        <v>0</v>
      </c>
      <c r="AI18" s="1169">
        <f>SUM('3 pr-2'!L19)</f>
        <v>250000</v>
      </c>
      <c r="AJ18" s="140">
        <f t="shared" si="25"/>
        <v>1322.7513227513227</v>
      </c>
      <c r="AK18" s="389">
        <f>SUM('3 pr-2'!O19)</f>
        <v>50000</v>
      </c>
      <c r="AL18" s="389">
        <f t="shared" si="26"/>
        <v>264.55026455026456</v>
      </c>
      <c r="AM18" s="389">
        <f>SUM('3 pr-2'!R19)</f>
        <v>30000</v>
      </c>
      <c r="AN18" s="389">
        <f t="shared" si="27"/>
        <v>158.73015873015873</v>
      </c>
      <c r="AO18" s="389">
        <f>SUM('3 pr-2'!U19)</f>
        <v>0</v>
      </c>
      <c r="AP18" s="1199">
        <f t="shared" si="28"/>
        <v>0</v>
      </c>
      <c r="AQ18" s="389">
        <f>SUM('3 pr-2'!X19)</f>
        <v>0</v>
      </c>
      <c r="AR18" s="1163">
        <f t="shared" si="29"/>
        <v>0</v>
      </c>
      <c r="AS18" s="38">
        <f>SUM('3 pr-2'!AA19)</f>
        <v>170000</v>
      </c>
      <c r="AT18" s="1162">
        <f t="shared" si="30"/>
        <v>899.47089947089944</v>
      </c>
      <c r="AU18" s="24"/>
      <c r="AV18" s="25"/>
      <c r="AW18" s="25"/>
      <c r="AX18" s="389"/>
      <c r="AY18" s="389"/>
      <c r="AZ18" s="389"/>
      <c r="BA18" s="389"/>
      <c r="BB18" s="25"/>
      <c r="BC18" s="25"/>
      <c r="BD18" s="389"/>
      <c r="BE18" s="389"/>
      <c r="BF18" s="389"/>
      <c r="BG18" s="389"/>
      <c r="BH18" s="25"/>
      <c r="BI18" s="25"/>
      <c r="BJ18" s="389"/>
      <c r="BK18" s="389"/>
      <c r="BL18" s="389"/>
      <c r="BM18" s="389"/>
      <c r="BN18" s="25"/>
      <c r="BO18" s="25"/>
      <c r="BP18" s="389"/>
      <c r="BQ18" s="389"/>
      <c r="BR18" s="389"/>
      <c r="BS18" s="389"/>
      <c r="BT18" s="25"/>
      <c r="BU18" s="25"/>
      <c r="BV18" s="389"/>
      <c r="BW18" s="389"/>
      <c r="BX18" s="389"/>
      <c r="BY18" s="389"/>
      <c r="BZ18" s="25"/>
      <c r="CA18" s="25"/>
      <c r="CB18" s="389"/>
      <c r="CC18" s="389"/>
      <c r="CD18" s="389"/>
      <c r="CE18" s="389"/>
      <c r="CF18" s="553"/>
      <c r="CG18" s="566">
        <f>SUM('3 pr-2'!AH19)</f>
        <v>43102</v>
      </c>
      <c r="CH18" s="566">
        <f>SUM('3 pr-2'!AJ19)</f>
        <v>43291</v>
      </c>
      <c r="CI18" s="30">
        <f t="shared" si="57"/>
        <v>170000</v>
      </c>
      <c r="CJ18" s="30">
        <f t="shared" si="58"/>
        <v>0</v>
      </c>
      <c r="CQ18" s="1520">
        <f t="shared" ref="CQ18:CQ20" si="67">SUM(E18+K18+Q18+W18+AC18)</f>
        <v>250000</v>
      </c>
      <c r="CR18" s="1521">
        <f t="shared" si="14"/>
        <v>170000</v>
      </c>
    </row>
    <row r="19" spans="1:96" ht="37.5" thickTop="1" thickBot="1" x14ac:dyDescent="0.3">
      <c r="A19" s="183" t="str">
        <f>CONCATENATE('3 pr-2'!A20)</f>
        <v>1.1.1.1.11</v>
      </c>
      <c r="B19" s="183" t="str">
        <f>CONCATENATE('3 pr-2'!D20)</f>
        <v>Laisvalaikio infrastruktūros sukūrimas Lazdijų rajono kaimo gyvenamosiose vietovėse</v>
      </c>
      <c r="C19" s="140">
        <f t="shared" si="31"/>
        <v>0</v>
      </c>
      <c r="D19" s="140">
        <f t="shared" si="32"/>
        <v>0</v>
      </c>
      <c r="E19" s="140">
        <f t="shared" si="33"/>
        <v>0</v>
      </c>
      <c r="F19" s="389">
        <f t="shared" si="34"/>
        <v>0</v>
      </c>
      <c r="G19" s="389">
        <f t="shared" si="35"/>
        <v>0</v>
      </c>
      <c r="H19" s="389">
        <f t="shared" si="36"/>
        <v>0</v>
      </c>
      <c r="I19" s="389">
        <f t="shared" si="37"/>
        <v>0</v>
      </c>
      <c r="J19" s="140">
        <f t="shared" si="38"/>
        <v>0</v>
      </c>
      <c r="K19" s="140">
        <f t="shared" si="39"/>
        <v>0</v>
      </c>
      <c r="L19" s="389">
        <f t="shared" si="40"/>
        <v>0</v>
      </c>
      <c r="M19" s="389">
        <f t="shared" si="41"/>
        <v>0</v>
      </c>
      <c r="N19" s="389">
        <f t="shared" si="42"/>
        <v>0</v>
      </c>
      <c r="O19" s="389">
        <f t="shared" si="43"/>
        <v>0</v>
      </c>
      <c r="P19" s="140">
        <f t="shared" si="44"/>
        <v>0</v>
      </c>
      <c r="Q19" s="140">
        <f>SUM(R19:V19)</f>
        <v>125000</v>
      </c>
      <c r="R19" s="389">
        <f>SUM(AK19)</f>
        <v>25000</v>
      </c>
      <c r="S19" s="389">
        <f>SUM(AM19)</f>
        <v>15000</v>
      </c>
      <c r="T19" s="389">
        <v>0</v>
      </c>
      <c r="U19" s="389">
        <v>0</v>
      </c>
      <c r="V19" s="140">
        <f>SUM(AS19)</f>
        <v>85000</v>
      </c>
      <c r="W19" s="140">
        <f t="shared" si="45"/>
        <v>0</v>
      </c>
      <c r="X19" s="389">
        <f t="shared" si="46"/>
        <v>0</v>
      </c>
      <c r="Y19" s="389">
        <f t="shared" si="47"/>
        <v>0</v>
      </c>
      <c r="Z19" s="389">
        <f t="shared" si="48"/>
        <v>0</v>
      </c>
      <c r="AA19" s="389">
        <f t="shared" si="49"/>
        <v>0</v>
      </c>
      <c r="AB19" s="140">
        <f t="shared" si="50"/>
        <v>0</v>
      </c>
      <c r="AC19" s="140">
        <f t="shared" si="51"/>
        <v>0</v>
      </c>
      <c r="AD19" s="389">
        <f t="shared" si="52"/>
        <v>0</v>
      </c>
      <c r="AE19" s="389">
        <f t="shared" si="53"/>
        <v>0</v>
      </c>
      <c r="AF19" s="389">
        <f t="shared" si="54"/>
        <v>0</v>
      </c>
      <c r="AG19" s="389">
        <f t="shared" si="55"/>
        <v>0</v>
      </c>
      <c r="AH19" s="140">
        <f t="shared" si="56"/>
        <v>0</v>
      </c>
      <c r="AI19" s="1169">
        <f>SUM('3 pr-2'!L20)</f>
        <v>125000</v>
      </c>
      <c r="AJ19" s="140">
        <f t="shared" si="25"/>
        <v>657.89473684210532</v>
      </c>
      <c r="AK19" s="389">
        <f>SUM('3 pr-2'!O20)</f>
        <v>25000</v>
      </c>
      <c r="AL19" s="389">
        <f t="shared" si="26"/>
        <v>131.57894736842104</v>
      </c>
      <c r="AM19" s="389">
        <f>SUM('3 pr-2'!R20)</f>
        <v>15000</v>
      </c>
      <c r="AN19" s="389">
        <f t="shared" si="27"/>
        <v>78.94736842105263</v>
      </c>
      <c r="AO19" s="389">
        <f>SUM('3 pr-2'!U20)</f>
        <v>0</v>
      </c>
      <c r="AP19" s="1199">
        <f t="shared" si="28"/>
        <v>0</v>
      </c>
      <c r="AQ19" s="389">
        <f>SUM('3 pr-2'!X20)</f>
        <v>0</v>
      </c>
      <c r="AR19" s="1163">
        <f t="shared" si="29"/>
        <v>0</v>
      </c>
      <c r="AS19" s="38">
        <f>SUM('3 pr-2'!AA20)</f>
        <v>85000</v>
      </c>
      <c r="AT19" s="1162">
        <f t="shared" si="30"/>
        <v>447.36842105263156</v>
      </c>
      <c r="AU19" s="24"/>
      <c r="AV19" s="24"/>
      <c r="AW19" s="24"/>
      <c r="AX19" s="389"/>
      <c r="AY19" s="389"/>
      <c r="AZ19" s="389"/>
      <c r="BA19" s="389"/>
      <c r="BB19" s="24"/>
      <c r="BC19" s="25"/>
      <c r="BD19" s="389"/>
      <c r="BE19" s="389"/>
      <c r="BF19" s="389"/>
      <c r="BG19" s="389"/>
      <c r="BH19" s="25"/>
      <c r="BI19" s="25"/>
      <c r="BJ19" s="389"/>
      <c r="BK19" s="389"/>
      <c r="BL19" s="389"/>
      <c r="BM19" s="389"/>
      <c r="BN19" s="25"/>
      <c r="BO19" s="25"/>
      <c r="BP19" s="389"/>
      <c r="BQ19" s="389"/>
      <c r="BR19" s="389"/>
      <c r="BS19" s="389"/>
      <c r="BT19" s="25"/>
      <c r="BU19" s="24"/>
      <c r="BV19" s="389"/>
      <c r="BW19" s="389"/>
      <c r="BX19" s="389"/>
      <c r="BY19" s="389"/>
      <c r="BZ19" s="24"/>
      <c r="CA19" s="25"/>
      <c r="CB19" s="389"/>
      <c r="CC19" s="389"/>
      <c r="CD19" s="389"/>
      <c r="CE19" s="389"/>
      <c r="CF19" s="553"/>
      <c r="CG19" s="566">
        <f>SUM('3 pr-2'!AH20)</f>
        <v>43102</v>
      </c>
      <c r="CH19" s="566">
        <f>SUM('3 pr-2'!AJ20)</f>
        <v>43292</v>
      </c>
      <c r="CI19" s="30">
        <f t="shared" si="57"/>
        <v>85000</v>
      </c>
      <c r="CJ19" s="30">
        <f t="shared" si="58"/>
        <v>0</v>
      </c>
      <c r="CQ19" s="1520">
        <f t="shared" si="67"/>
        <v>125000</v>
      </c>
      <c r="CR19" s="1521">
        <f t="shared" si="14"/>
        <v>85000</v>
      </c>
    </row>
    <row r="20" spans="1:96" ht="37.5" thickTop="1" thickBot="1" x14ac:dyDescent="0.3">
      <c r="A20" s="183" t="str">
        <f>CONCATENATE('3 pr-2'!A21)</f>
        <v>1.1.1.1.12</v>
      </c>
      <c r="B20" s="183" t="str">
        <f>CONCATENATE('3 pr-2'!D21)</f>
        <v>Alytaus rajono Butrimonių miestelio šaligatvių kapitalinis remontas ir gyvenvietės apšvietimo įrengimas</v>
      </c>
      <c r="C20" s="140">
        <f t="shared" si="31"/>
        <v>0</v>
      </c>
      <c r="D20" s="140">
        <f t="shared" si="32"/>
        <v>0</v>
      </c>
      <c r="E20" s="140">
        <f t="shared" si="33"/>
        <v>0</v>
      </c>
      <c r="F20" s="389">
        <f t="shared" si="34"/>
        <v>0</v>
      </c>
      <c r="G20" s="389">
        <f t="shared" si="35"/>
        <v>0</v>
      </c>
      <c r="H20" s="389">
        <f t="shared" si="36"/>
        <v>0</v>
      </c>
      <c r="I20" s="389">
        <f t="shared" si="37"/>
        <v>0</v>
      </c>
      <c r="J20" s="140">
        <f t="shared" si="38"/>
        <v>0</v>
      </c>
      <c r="K20" s="140">
        <f t="shared" si="39"/>
        <v>0</v>
      </c>
      <c r="L20" s="389">
        <f t="shared" si="40"/>
        <v>0</v>
      </c>
      <c r="M20" s="389">
        <f t="shared" si="41"/>
        <v>0</v>
      </c>
      <c r="N20" s="389">
        <f t="shared" si="42"/>
        <v>0</v>
      </c>
      <c r="O20" s="389">
        <f t="shared" si="43"/>
        <v>0</v>
      </c>
      <c r="P20" s="140">
        <f t="shared" si="44"/>
        <v>0</v>
      </c>
      <c r="Q20" s="140">
        <f t="shared" si="59"/>
        <v>153566</v>
      </c>
      <c r="R20" s="389">
        <f t="shared" si="60"/>
        <v>30712.999999999996</v>
      </c>
      <c r="S20" s="389">
        <f t="shared" si="61"/>
        <v>18428</v>
      </c>
      <c r="T20" s="389">
        <f t="shared" si="62"/>
        <v>0</v>
      </c>
      <c r="U20" s="389">
        <f t="shared" si="63"/>
        <v>0</v>
      </c>
      <c r="V20" s="140">
        <f t="shared" si="64"/>
        <v>104424.99999999999</v>
      </c>
      <c r="W20" s="140">
        <f t="shared" si="45"/>
        <v>0</v>
      </c>
      <c r="X20" s="389">
        <f t="shared" si="46"/>
        <v>0</v>
      </c>
      <c r="Y20" s="389">
        <f t="shared" si="47"/>
        <v>0</v>
      </c>
      <c r="Z20" s="389">
        <f t="shared" si="48"/>
        <v>0</v>
      </c>
      <c r="AA20" s="389">
        <f t="shared" si="49"/>
        <v>0</v>
      </c>
      <c r="AB20" s="140">
        <f t="shared" si="50"/>
        <v>0</v>
      </c>
      <c r="AC20" s="140">
        <f t="shared" si="51"/>
        <v>0</v>
      </c>
      <c r="AD20" s="389">
        <f t="shared" si="52"/>
        <v>0</v>
      </c>
      <c r="AE20" s="389">
        <f t="shared" si="53"/>
        <v>0</v>
      </c>
      <c r="AF20" s="389">
        <f t="shared" si="54"/>
        <v>0</v>
      </c>
      <c r="AG20" s="389">
        <f t="shared" si="55"/>
        <v>0</v>
      </c>
      <c r="AH20" s="140">
        <f t="shared" si="56"/>
        <v>0</v>
      </c>
      <c r="AI20" s="1169">
        <f>SUM('3 pr-2'!L21)</f>
        <v>153566</v>
      </c>
      <c r="AJ20" s="140">
        <f t="shared" si="25"/>
        <v>423.04683195592287</v>
      </c>
      <c r="AK20" s="389">
        <f>SUM('3 pr-2'!O21)</f>
        <v>30713</v>
      </c>
      <c r="AL20" s="389">
        <f t="shared" si="26"/>
        <v>84.608815426997239</v>
      </c>
      <c r="AM20" s="389">
        <f>SUM('3 pr-2'!R21)</f>
        <v>18428</v>
      </c>
      <c r="AN20" s="389">
        <f t="shared" si="27"/>
        <v>50.765840220385677</v>
      </c>
      <c r="AO20" s="389">
        <f>SUM('3 pr-2'!U21)</f>
        <v>0</v>
      </c>
      <c r="AP20" s="1199">
        <f t="shared" si="28"/>
        <v>0</v>
      </c>
      <c r="AQ20" s="389">
        <f>SUM('3 pr-2'!X21)</f>
        <v>0</v>
      </c>
      <c r="AR20" s="1163">
        <f t="shared" si="29"/>
        <v>0</v>
      </c>
      <c r="AS20" s="38">
        <f>SUM('3 pr-2'!AA21)</f>
        <v>104425</v>
      </c>
      <c r="AT20" s="1162">
        <f t="shared" si="30"/>
        <v>287.67217630853992</v>
      </c>
      <c r="AU20" s="24"/>
      <c r="AV20" s="25"/>
      <c r="AW20" s="25"/>
      <c r="AX20" s="389"/>
      <c r="AY20" s="389"/>
      <c r="AZ20" s="389"/>
      <c r="BA20" s="389"/>
      <c r="BB20" s="25"/>
      <c r="BC20" s="25"/>
      <c r="BD20" s="389"/>
      <c r="BE20" s="389"/>
      <c r="BF20" s="389"/>
      <c r="BG20" s="389"/>
      <c r="BH20" s="25"/>
      <c r="BI20" s="25"/>
      <c r="BJ20" s="389"/>
      <c r="BK20" s="389"/>
      <c r="BL20" s="389"/>
      <c r="BM20" s="389"/>
      <c r="BN20" s="25"/>
      <c r="BO20" s="25"/>
      <c r="BP20" s="389"/>
      <c r="BQ20" s="389"/>
      <c r="BR20" s="389"/>
      <c r="BS20" s="389"/>
      <c r="BT20" s="25"/>
      <c r="BU20" s="25"/>
      <c r="BV20" s="389"/>
      <c r="BW20" s="389"/>
      <c r="BX20" s="389"/>
      <c r="BY20" s="389"/>
      <c r="BZ20" s="25"/>
      <c r="CA20" s="25"/>
      <c r="CB20" s="389"/>
      <c r="CC20" s="389"/>
      <c r="CD20" s="389"/>
      <c r="CE20" s="389"/>
      <c r="CF20" s="553"/>
      <c r="CG20" s="566">
        <f>SUM('3 pr-2'!AH21)</f>
        <v>43102</v>
      </c>
      <c r="CH20" s="566">
        <f>SUM('3 pr-2'!AJ21)</f>
        <v>43465</v>
      </c>
      <c r="CI20" s="30">
        <f t="shared" si="57"/>
        <v>104424.99999999999</v>
      </c>
      <c r="CJ20" s="30">
        <f t="shared" si="58"/>
        <v>-1.4551915228366852E-11</v>
      </c>
      <c r="CQ20" s="1520">
        <f t="shared" si="67"/>
        <v>153566</v>
      </c>
      <c r="CR20" s="1521">
        <f t="shared" si="14"/>
        <v>104424.99999999999</v>
      </c>
    </row>
    <row r="21" spans="1:96" ht="37.5" thickTop="1" thickBot="1" x14ac:dyDescent="0.3">
      <c r="A21" s="183" t="str">
        <f>CONCATENATE('3 pr-2'!A22)</f>
        <v>1.1.1.1.13</v>
      </c>
      <c r="B21" s="183" t="str">
        <f>CONCATENATE('3 pr-2'!D22)</f>
        <v>Alytaus rajono Genių kaimo sporto aikštės įrengimas ir gatvių rekonstrukcija</v>
      </c>
      <c r="C21" s="140">
        <f t="shared" si="31"/>
        <v>0</v>
      </c>
      <c r="D21" s="140">
        <f t="shared" si="32"/>
        <v>0</v>
      </c>
      <c r="E21" s="140">
        <f t="shared" si="33"/>
        <v>0</v>
      </c>
      <c r="F21" s="389">
        <f t="shared" si="34"/>
        <v>0</v>
      </c>
      <c r="G21" s="389">
        <f t="shared" si="35"/>
        <v>0</v>
      </c>
      <c r="H21" s="389">
        <f t="shared" si="36"/>
        <v>0</v>
      </c>
      <c r="I21" s="389">
        <f t="shared" si="37"/>
        <v>0</v>
      </c>
      <c r="J21" s="140">
        <f t="shared" si="38"/>
        <v>0</v>
      </c>
      <c r="K21" s="140">
        <f t="shared" si="39"/>
        <v>0</v>
      </c>
      <c r="L21" s="389">
        <f t="shared" si="40"/>
        <v>0</v>
      </c>
      <c r="M21" s="389">
        <f t="shared" si="41"/>
        <v>0</v>
      </c>
      <c r="N21" s="389">
        <f t="shared" si="42"/>
        <v>0</v>
      </c>
      <c r="O21" s="389">
        <f t="shared" si="43"/>
        <v>0</v>
      </c>
      <c r="P21" s="140">
        <f t="shared" si="44"/>
        <v>0</v>
      </c>
      <c r="Q21" s="140">
        <f>SUM(R21:V21)</f>
        <v>250000</v>
      </c>
      <c r="R21" s="389">
        <f>SUM(AK21)</f>
        <v>50000</v>
      </c>
      <c r="S21" s="389">
        <f>SUM(AM21)</f>
        <v>30000</v>
      </c>
      <c r="T21" s="389">
        <v>0</v>
      </c>
      <c r="U21" s="389">
        <v>0</v>
      </c>
      <c r="V21" s="140">
        <f>SUM(AS21)</f>
        <v>170000</v>
      </c>
      <c r="W21" s="140">
        <f t="shared" si="45"/>
        <v>0</v>
      </c>
      <c r="X21" s="389">
        <f t="shared" si="46"/>
        <v>0</v>
      </c>
      <c r="Y21" s="389">
        <f t="shared" si="47"/>
        <v>0</v>
      </c>
      <c r="Z21" s="389">
        <f t="shared" si="48"/>
        <v>0</v>
      </c>
      <c r="AA21" s="389">
        <f t="shared" si="49"/>
        <v>0</v>
      </c>
      <c r="AB21" s="140">
        <f t="shared" si="50"/>
        <v>0</v>
      </c>
      <c r="AC21" s="140">
        <f t="shared" si="51"/>
        <v>0</v>
      </c>
      <c r="AD21" s="389">
        <f t="shared" si="52"/>
        <v>0</v>
      </c>
      <c r="AE21" s="389">
        <f t="shared" si="53"/>
        <v>0</v>
      </c>
      <c r="AF21" s="389">
        <f t="shared" si="54"/>
        <v>0</v>
      </c>
      <c r="AG21" s="389">
        <f t="shared" si="55"/>
        <v>0</v>
      </c>
      <c r="AH21" s="140">
        <f t="shared" si="56"/>
        <v>0</v>
      </c>
      <c r="AI21" s="1169">
        <f>SUM('3 pr-2'!L22)</f>
        <v>250000</v>
      </c>
      <c r="AJ21" s="140">
        <f t="shared" si="25"/>
        <v>688.70523415977959</v>
      </c>
      <c r="AK21" s="389">
        <f>SUM('3 pr-2'!O22)</f>
        <v>50000</v>
      </c>
      <c r="AL21" s="389">
        <f t="shared" si="26"/>
        <v>137.74104683195591</v>
      </c>
      <c r="AM21" s="389">
        <f>SUM('3 pr-2'!R22)</f>
        <v>30000</v>
      </c>
      <c r="AN21" s="389">
        <f t="shared" si="27"/>
        <v>82.644628099173559</v>
      </c>
      <c r="AO21" s="389">
        <f>SUM('3 pr-2'!U22)</f>
        <v>0</v>
      </c>
      <c r="AP21" s="1199">
        <f t="shared" si="28"/>
        <v>0</v>
      </c>
      <c r="AQ21" s="389">
        <f>SUM('3 pr-2'!X22)</f>
        <v>0</v>
      </c>
      <c r="AR21" s="1163">
        <f t="shared" si="29"/>
        <v>0</v>
      </c>
      <c r="AS21" s="38">
        <f>SUM('3 pr-2'!AA22)</f>
        <v>170000</v>
      </c>
      <c r="AT21" s="1162">
        <f t="shared" si="30"/>
        <v>468.31955922865012</v>
      </c>
      <c r="AU21" s="24"/>
      <c r="AV21" s="25"/>
      <c r="AW21" s="25"/>
      <c r="AX21" s="389"/>
      <c r="AY21" s="389"/>
      <c r="AZ21" s="389"/>
      <c r="BA21" s="389"/>
      <c r="BB21" s="25"/>
      <c r="BC21" s="25"/>
      <c r="BD21" s="389"/>
      <c r="BE21" s="389"/>
      <c r="BF21" s="389"/>
      <c r="BG21" s="389"/>
      <c r="BH21" s="25"/>
      <c r="BI21" s="25"/>
      <c r="BJ21" s="389"/>
      <c r="BK21" s="389"/>
      <c r="BL21" s="389"/>
      <c r="BM21" s="389"/>
      <c r="BN21" s="25"/>
      <c r="BO21" s="25"/>
      <c r="BP21" s="389"/>
      <c r="BQ21" s="389"/>
      <c r="BR21" s="389"/>
      <c r="BS21" s="389"/>
      <c r="BT21" s="25"/>
      <c r="BU21" s="25"/>
      <c r="BV21" s="389"/>
      <c r="BW21" s="389"/>
      <c r="BX21" s="389"/>
      <c r="BY21" s="389"/>
      <c r="BZ21" s="25"/>
      <c r="CA21" s="25"/>
      <c r="CB21" s="389"/>
      <c r="CC21" s="389"/>
      <c r="CD21" s="389"/>
      <c r="CE21" s="389"/>
      <c r="CF21" s="553"/>
      <c r="CG21" s="566">
        <f>SUM('3 pr-2'!AH22)</f>
        <v>43102</v>
      </c>
      <c r="CH21" s="566">
        <f>SUM('3 pr-2'!AJ22)</f>
        <v>43465</v>
      </c>
      <c r="CI21" s="30">
        <f t="shared" si="57"/>
        <v>170000</v>
      </c>
      <c r="CJ21" s="30">
        <f t="shared" si="58"/>
        <v>0</v>
      </c>
      <c r="CQ21" s="1520">
        <f t="shared" ref="CQ21:CQ22" si="68">SUM(E21+K21+Q21+W21+AC21)</f>
        <v>250000</v>
      </c>
      <c r="CR21" s="1521">
        <f t="shared" si="14"/>
        <v>170000</v>
      </c>
    </row>
    <row r="22" spans="1:96" ht="25.5" thickTop="1" thickBot="1" x14ac:dyDescent="0.3">
      <c r="A22" s="183" t="str">
        <f>CONCATENATE('3 pr-2'!A23)</f>
        <v>1.1.1.1.14</v>
      </c>
      <c r="B22" s="1198" t="str">
        <f>CONCATENATE('3 pr-2'!D23)</f>
        <v>Varėnos r. Dargužių kaimo Liepų gatvės ir viešosios erdvės įrengimas</v>
      </c>
      <c r="C22" s="140">
        <f t="shared" ref="C22:C30" si="69">IF($E$2&gt;=$CG$9,($CG$9-$C$2)*AH22,0)</f>
        <v>0</v>
      </c>
      <c r="D22" s="140">
        <f t="shared" ref="D22:D30" si="70">IF($E$2&gt;=$CG$9,($CG$9-$C$2)*AI22,0)</f>
        <v>0</v>
      </c>
      <c r="E22" s="140">
        <f t="shared" ref="E22:E30" si="71">IF(YEAR($E$2)=YEAR($CG$9),($CG$9-$C$2)*$AJ$9,0)</f>
        <v>0</v>
      </c>
      <c r="F22" s="389">
        <f t="shared" ref="F22:F30" si="72">IF(YEAR($E$2)=YEAR($CG$9),($CG$9-$C$2)*AL22,0)</f>
        <v>0</v>
      </c>
      <c r="G22" s="389">
        <f t="shared" ref="G22:G30" si="73">IF(YEAR($E$2)=YEAR($CG$9),($CG$9-$C$2)*AN22,0)</f>
        <v>0</v>
      </c>
      <c r="H22" s="389">
        <f t="shared" ref="H22:H30" si="74">IF(YEAR($E$2)=YEAR($CG$9),($CG$9-$C$2)*AP22,0)</f>
        <v>0</v>
      </c>
      <c r="I22" s="389">
        <f t="shared" ref="I22:I30" si="75">IF(YEAR($E$2)=YEAR($CG$9),($CG$9-$C$2)*AR22,0)</f>
        <v>0</v>
      </c>
      <c r="J22" s="140">
        <f t="shared" ref="J22:J30" si="76">IF(YEAR($E$2)=YEAR($CG$9),($CG$9-$C$2)*AT22,0)</f>
        <v>0</v>
      </c>
      <c r="K22" s="140">
        <f t="shared" ref="K22:K30" si="77">IF(YEAR($K$3)=YEAR($CG$9),($CG$9-$E$3)*AJ22,0)</f>
        <v>0</v>
      </c>
      <c r="L22" s="389">
        <f t="shared" ref="L22:L30" si="78">IF(YEAR($K$3)=YEAR($CG$9),($CG$9-$E$3)*AL22,0)</f>
        <v>0</v>
      </c>
      <c r="M22" s="389">
        <f t="shared" ref="M22:M30" si="79">IF(YEAR($K$3)=YEAR($CG$9),($CG$9-$E$3)*AN22,0)</f>
        <v>0</v>
      </c>
      <c r="N22" s="389">
        <f t="shared" ref="N22:N30" si="80">IF(YEAR($K$3)=YEAR($CG$9),($CG$9-$E$3)*AP22,0)</f>
        <v>0</v>
      </c>
      <c r="O22" s="389">
        <f t="shared" ref="O22:O30" si="81">IF(YEAR($K$2)=YEAR($CG$9),($CG$9-$E$3)*AR22,0)</f>
        <v>0</v>
      </c>
      <c r="P22" s="140">
        <f t="shared" ref="P22:P30" si="82">IF(YEAR($K$2)=YEAR($CG$9),($CG$9-$E$3)*AT22,0)</f>
        <v>0</v>
      </c>
      <c r="Q22" s="140">
        <f>IF(YEAR($Q$2)=YEAR($CG$9),($Q$3-$CG$22)*AJ22,0)</f>
        <v>107516.81043956045</v>
      </c>
      <c r="R22" s="389">
        <f>IF(YEAR($Q$2)=YEAR($CG$9),($Q$3-$CG$22)*AL22,0)</f>
        <v>21503.262362637364</v>
      </c>
      <c r="S22" s="389">
        <f>IF(YEAR($Q$2)=YEAR($CG$9),($Q$3-$CG$22)*AN22,0)</f>
        <v>12901.957417582416</v>
      </c>
      <c r="T22" s="389">
        <f>IF(YEAR($Q$2)=YEAR($CG$9),($Q$3-$CG$22)*AP22,0)</f>
        <v>0</v>
      </c>
      <c r="U22" s="389">
        <f>IF(YEAR($Q$2)=YEAR($CG$9),($Q$3-$CG$22)*AR22,0)</f>
        <v>0</v>
      </c>
      <c r="V22" s="140">
        <f>IF(YEAR($Q$2)=YEAR($CG$9),($Q$3-$CG$22)*AT22,0)</f>
        <v>73111.590659340669</v>
      </c>
      <c r="W22" s="111">
        <f>IF(YEAR($CH$22)=2019,($CH$22-$BI$4)*AI$22/($CH$22-$CG$22),0)</f>
        <v>108109.18956043955</v>
      </c>
      <c r="X22" s="405">
        <f>IF(YEAR($CH$22)=2019,($CH$22-$BI$4)*AK$22/($CH$22-$CG$22),0)</f>
        <v>21621.737637362636</v>
      </c>
      <c r="Y22" s="405">
        <f>IF(YEAR($CH$22)=2019,($CH$22-$BI$4)*AM$22/($CH$22-$CG$22),0)</f>
        <v>12973.042582417582</v>
      </c>
      <c r="Z22" s="405">
        <f>IF(YEAR($CH$22)=2019,($CH$22-$BI$4)*AO$22/($CH$22-$CG$22),0)</f>
        <v>0</v>
      </c>
      <c r="AA22" s="405">
        <f>IF(YEAR($CH$22)=2019,($CH$22-$BI$4)*AQ$22/($CH$22-$CG$22),0)</f>
        <v>0</v>
      </c>
      <c r="AB22" s="140">
        <f>IF(YEAR($CH$22)=2019,($CH$22-$BI$4)*AS$22/($CH$22-$CG$22),0)</f>
        <v>73514.409340659346</v>
      </c>
      <c r="AC22" s="140">
        <v>0</v>
      </c>
      <c r="AD22" s="405">
        <v>0</v>
      </c>
      <c r="AE22" s="405">
        <v>0</v>
      </c>
      <c r="AF22" s="405">
        <v>0</v>
      </c>
      <c r="AG22" s="405">
        <v>0</v>
      </c>
      <c r="AH22" s="140">
        <v>0</v>
      </c>
      <c r="AI22" s="1197">
        <f>SUM('3 pr-2'!L23)</f>
        <v>215626</v>
      </c>
      <c r="AJ22" s="140">
        <f t="shared" si="25"/>
        <v>296.18956043956047</v>
      </c>
      <c r="AK22" s="389">
        <f>SUM('3 pr-2'!O23)</f>
        <v>43125</v>
      </c>
      <c r="AL22" s="389">
        <f t="shared" si="26"/>
        <v>59.237637362637365</v>
      </c>
      <c r="AM22" s="389">
        <f>SUM('3 pr-2'!R23)</f>
        <v>25875</v>
      </c>
      <c r="AN22" s="389">
        <f t="shared" si="27"/>
        <v>35.542582417582416</v>
      </c>
      <c r="AO22" s="389">
        <f>SUM('3 pr-2'!U23)</f>
        <v>0</v>
      </c>
      <c r="AP22" s="1199">
        <f t="shared" si="28"/>
        <v>0</v>
      </c>
      <c r="AQ22" s="389">
        <f>SUM('3 pr-2'!X23)</f>
        <v>0</v>
      </c>
      <c r="AR22" s="1163">
        <f t="shared" si="29"/>
        <v>0</v>
      </c>
      <c r="AS22" s="1196">
        <f>SUM('3 pr-2'!AA23)</f>
        <v>146626</v>
      </c>
      <c r="AT22" s="1162">
        <f t="shared" si="30"/>
        <v>201.40934065934067</v>
      </c>
      <c r="AU22" s="1195"/>
      <c r="AV22" s="24"/>
      <c r="AW22" s="24"/>
      <c r="AX22" s="389"/>
      <c r="AY22" s="389"/>
      <c r="AZ22" s="389"/>
      <c r="BA22" s="389"/>
      <c r="BB22" s="24"/>
      <c r="BC22" s="24"/>
      <c r="BD22" s="389"/>
      <c r="BE22" s="389"/>
      <c r="BF22" s="389"/>
      <c r="BG22" s="389"/>
      <c r="BH22" s="24"/>
      <c r="BI22" s="24"/>
      <c r="BJ22" s="389"/>
      <c r="BK22" s="389"/>
      <c r="BL22" s="389"/>
      <c r="BM22" s="389"/>
      <c r="BN22" s="24"/>
      <c r="BO22" s="25"/>
      <c r="BP22" s="389"/>
      <c r="BQ22" s="389"/>
      <c r="BR22" s="389"/>
      <c r="BS22" s="389"/>
      <c r="BT22" s="25"/>
      <c r="BU22" s="24"/>
      <c r="BV22" s="389"/>
      <c r="BW22" s="389"/>
      <c r="BX22" s="389"/>
      <c r="BY22" s="389"/>
      <c r="BZ22" s="24"/>
      <c r="CA22" s="25"/>
      <c r="CB22" s="389"/>
      <c r="CC22" s="389"/>
      <c r="CD22" s="389"/>
      <c r="CE22" s="389"/>
      <c r="CF22" s="553"/>
      <c r="CG22" s="566">
        <f>SUM('3 pr-2'!AH23)</f>
        <v>43102</v>
      </c>
      <c r="CH22" s="566">
        <f>SUM('3 pr-2'!AJ23)</f>
        <v>43830</v>
      </c>
      <c r="CI22" s="1194">
        <f t="shared" si="57"/>
        <v>146626</v>
      </c>
      <c r="CJ22" s="30">
        <f t="shared" si="58"/>
        <v>0</v>
      </c>
      <c r="CQ22" s="1520">
        <f t="shared" si="68"/>
        <v>215626</v>
      </c>
      <c r="CR22" s="1521">
        <f t="shared" si="14"/>
        <v>146626</v>
      </c>
    </row>
    <row r="23" spans="1:96" ht="37.5" thickTop="1" thickBot="1" x14ac:dyDescent="0.3">
      <c r="A23" s="183" t="str">
        <f>CONCATENATE('3 pr-2'!A24)</f>
        <v>1.1.1.1.15</v>
      </c>
      <c r="B23" s="183" t="str">
        <f>CONCATENATE('3 pr-2'!D24)</f>
        <v>Alytaus rajono Vaisodžių kaimo sporto aikštės įrengimas ir gatvių apšvietimo atnaujinimas bei plėtra</v>
      </c>
      <c r="C23" s="140">
        <f>IF($E$2&gt;=$CG$9,($CG$9-$C$2)*AH23,0)</f>
        <v>0</v>
      </c>
      <c r="D23" s="140">
        <f>IF($E$2&gt;=$CG$9,($CG$9-$C$2)*AI23,0)</f>
        <v>0</v>
      </c>
      <c r="E23" s="140">
        <f>IF(YEAR($E$2)=YEAR($CG$9),($CG$9-$C$2)*$AJ$9,0)</f>
        <v>0</v>
      </c>
      <c r="F23" s="389">
        <f>IF(YEAR($E$2)=YEAR($CG$9),($CG$9-$C$2)*AL23,0)</f>
        <v>0</v>
      </c>
      <c r="G23" s="389">
        <f>IF(YEAR($E$2)=YEAR($CG$9),($CG$9-$C$2)*AN23,0)</f>
        <v>0</v>
      </c>
      <c r="H23" s="389">
        <f>IF(YEAR($E$2)=YEAR($CG$9),($CG$9-$C$2)*AP23,0)</f>
        <v>0</v>
      </c>
      <c r="I23" s="389">
        <f>IF(YEAR($E$2)=YEAR($CG$9),($CG$9-$C$2)*AR23,0)</f>
        <v>0</v>
      </c>
      <c r="J23" s="140">
        <f>IF(YEAR($E$2)=YEAR($CG$9),($CG$9-$C$2)*AT23,0)</f>
        <v>0</v>
      </c>
      <c r="K23" s="140">
        <f>IF(YEAR($K$3)=YEAR($CG$9),($CG$9-$E$3)*AJ23,0)</f>
        <v>0</v>
      </c>
      <c r="L23" s="389">
        <f>IF(YEAR($K$3)=YEAR($CG$9),($CG$9-$E$3)*AL23,0)</f>
        <v>0</v>
      </c>
      <c r="M23" s="389">
        <f>IF(YEAR($K$3)=YEAR($CG$9),($CG$9-$E$3)*AN23,0)</f>
        <v>0</v>
      </c>
      <c r="N23" s="389">
        <f>IF(YEAR($K$3)=YEAR($CG$9),($CG$9-$E$3)*AP23,0)</f>
        <v>0</v>
      </c>
      <c r="O23" s="389">
        <f>IF(YEAR($K$2)=YEAR($CG$9),($CG$9-$E$3)*AR23,0)</f>
        <v>0</v>
      </c>
      <c r="P23" s="140">
        <f>IF(YEAR($K$2)=YEAR($CG$9),($CG$9-$E$3)*AT23,0)</f>
        <v>0</v>
      </c>
      <c r="Q23" s="140">
        <f>IF(YEAR($Q$2)=YEAR($CG$9),($CH$30-$CG$30)*AJ23,0)</f>
        <v>76480</v>
      </c>
      <c r="R23" s="389">
        <f>IF(YEAR($Q$2)=YEAR($CG$9),($CH$30-$CG$30)*AL23,0)</f>
        <v>15296</v>
      </c>
      <c r="S23" s="389">
        <f>IF(YEAR($Q$2)=YEAR($CG$9),($CH$30-$CG$30)*AN23,0)</f>
        <v>9178</v>
      </c>
      <c r="T23" s="389">
        <f>IF(YEAR($Q$2)=YEAR($CG$9),($CH$30-$CG$30)*AP23,0)</f>
        <v>0</v>
      </c>
      <c r="U23" s="389">
        <f>IF(YEAR($Q$2)=YEAR($CG$9),($CH$30-$CG$30)*AR23,0)</f>
        <v>0</v>
      </c>
      <c r="V23" s="140">
        <f>IF(YEAR($Q$2)=YEAR($CG$9),($CH$30-$CG$30)*AT23,0)</f>
        <v>52006</v>
      </c>
      <c r="W23" s="140">
        <f>IF(YEAR($W$2)=YEAR($CG$9),($CH$9-$CG$9)*AP23,0)</f>
        <v>0</v>
      </c>
      <c r="X23" s="389">
        <f t="shared" ref="X23:X24" si="83">IF(YEAR($W$2)=YEAR($CG$9),($CH$9-$CG$9)*AQ23,0)</f>
        <v>0</v>
      </c>
      <c r="Y23" s="389">
        <f t="shared" ref="Y23:Y24" si="84">IF(YEAR($W$2)=YEAR($CG$9),($CH$9-$CG$9)*AR23,0)</f>
        <v>0</v>
      </c>
      <c r="Z23" s="389">
        <f t="shared" ref="Z23:Z24" si="85">IF(YEAR($W$2)=YEAR($CG$9),($CH$9-$CG$9)*AS23,0)</f>
        <v>0</v>
      </c>
      <c r="AA23" s="389">
        <f t="shared" ref="AA23:AA24" si="86">IF(YEAR($W$2)=YEAR($CG$9),($CH$9-$CG$9)*AT23,0)</f>
        <v>0</v>
      </c>
      <c r="AB23" s="140">
        <f t="shared" ref="AB23:AB24" si="87">IF(YEAR($W$2)=YEAR($CG$9),($CH$9-$CG$9)*AU23,0)</f>
        <v>0</v>
      </c>
      <c r="AC23" s="140">
        <f>IF(YEAR($W$2)=YEAR($CG$9),($CH$9-$CG$9)*AV23,0)</f>
        <v>0</v>
      </c>
      <c r="AD23" s="389">
        <f t="shared" ref="AD23:AD24" si="88">IF(YEAR($W$2)=YEAR($CG$9),($CH$9-$CG$9)*AW23,0)</f>
        <v>0</v>
      </c>
      <c r="AE23" s="389">
        <f t="shared" ref="AE23:AE24" si="89">IF(YEAR($W$2)=YEAR($CG$9),($CH$9-$CG$9)*AX23,0)</f>
        <v>0</v>
      </c>
      <c r="AF23" s="389">
        <f t="shared" ref="AF23:AF24" si="90">IF(YEAR($W$2)=YEAR($CG$9),($CH$9-$CG$9)*AY23,0)</f>
        <v>0</v>
      </c>
      <c r="AG23" s="389">
        <f t="shared" ref="AG23:AG24" si="91">IF(YEAR($W$2)=YEAR($CG$9),($CH$9-$CG$9)*AZ23,0)</f>
        <v>0</v>
      </c>
      <c r="AH23" s="140">
        <f t="shared" ref="AH23:AH24" si="92">IF(YEAR($W$2)=YEAR($CG$9),($CH$9-$CG$9)*BA23,0)</f>
        <v>0</v>
      </c>
      <c r="AI23" s="1169">
        <f>SUM('3 pr-2'!L24)</f>
        <v>76480</v>
      </c>
      <c r="AJ23" s="140">
        <f t="shared" si="25"/>
        <v>210.68870523415978</v>
      </c>
      <c r="AK23" s="389">
        <f>SUM('3 pr-2'!O24)</f>
        <v>15296</v>
      </c>
      <c r="AL23" s="389">
        <f t="shared" si="26"/>
        <v>42.137741046831955</v>
      </c>
      <c r="AM23" s="389">
        <f>SUM('3 pr-2'!R24)</f>
        <v>9178</v>
      </c>
      <c r="AN23" s="389">
        <f t="shared" si="27"/>
        <v>25.28374655647383</v>
      </c>
      <c r="AO23" s="389">
        <f>SUM('3 pr-2'!U24)</f>
        <v>0</v>
      </c>
      <c r="AP23" s="1199">
        <f t="shared" si="28"/>
        <v>0</v>
      </c>
      <c r="AQ23" s="389">
        <f>SUM('3 pr-2'!X24)</f>
        <v>0</v>
      </c>
      <c r="AR23" s="1163">
        <f t="shared" si="29"/>
        <v>0</v>
      </c>
      <c r="AS23" s="38">
        <f>SUM('3 pr-2'!AA24)</f>
        <v>52006</v>
      </c>
      <c r="AT23" s="1162">
        <f t="shared" si="30"/>
        <v>143.26721763085399</v>
      </c>
      <c r="AU23" s="24"/>
      <c r="AV23" s="25"/>
      <c r="AW23" s="25"/>
      <c r="AX23" s="389"/>
      <c r="AY23" s="389"/>
      <c r="AZ23" s="389"/>
      <c r="BA23" s="389"/>
      <c r="BB23" s="25"/>
      <c r="BC23" s="25"/>
      <c r="BD23" s="389"/>
      <c r="BE23" s="389"/>
      <c r="BF23" s="389"/>
      <c r="BG23" s="389"/>
      <c r="BH23" s="25"/>
      <c r="BI23" s="25"/>
      <c r="BJ23" s="389"/>
      <c r="BK23" s="389"/>
      <c r="BL23" s="389"/>
      <c r="BM23" s="389"/>
      <c r="BN23" s="25"/>
      <c r="BO23" s="25"/>
      <c r="BP23" s="389"/>
      <c r="BQ23" s="389"/>
      <c r="BR23" s="389"/>
      <c r="BS23" s="389"/>
      <c r="BT23" s="25"/>
      <c r="BU23" s="25"/>
      <c r="BV23" s="389"/>
      <c r="BW23" s="389"/>
      <c r="BX23" s="389"/>
      <c r="BY23" s="389"/>
      <c r="BZ23" s="25"/>
      <c r="CA23" s="25"/>
      <c r="CB23" s="389"/>
      <c r="CC23" s="389"/>
      <c r="CD23" s="389"/>
      <c r="CE23" s="389"/>
      <c r="CF23" s="553"/>
      <c r="CG23" s="566">
        <f>SUM('3 pr-2'!AH24)</f>
        <v>43102</v>
      </c>
      <c r="CH23" s="566">
        <f>SUM('3 pr-2'!AJ24)</f>
        <v>43465</v>
      </c>
      <c r="CI23" s="30">
        <f t="shared" si="57"/>
        <v>52006</v>
      </c>
      <c r="CJ23" s="30">
        <f t="shared" si="58"/>
        <v>0</v>
      </c>
      <c r="CQ23" s="1520">
        <f t="shared" ref="CQ23:CQ30" si="93">SUM(E23+K23+Q23+W23+AC23)</f>
        <v>76480</v>
      </c>
      <c r="CR23" s="1521">
        <f t="shared" si="14"/>
        <v>52006</v>
      </c>
    </row>
    <row r="24" spans="1:96" ht="37.5" thickTop="1" thickBot="1" x14ac:dyDescent="0.3">
      <c r="A24" s="183" t="str">
        <f>CONCATENATE('3 pr-2'!A25)</f>
        <v>1.1.1.1.16</v>
      </c>
      <c r="B24" s="183" t="str">
        <f>CONCATENATE('3 pr-2'!D25)</f>
        <v>Alytaus rajono Talokių kaimo sporto aikštės įrengimas ir Plytinės gatvės apšvietimas</v>
      </c>
      <c r="C24" s="140">
        <f>IF($E$2&gt;=$CG$9,($CG$9-$C$2)*AH24,0)</f>
        <v>0</v>
      </c>
      <c r="D24" s="140">
        <f>IF($E$2&gt;=$CG$9,($CG$9-$C$2)*AI24,0)</f>
        <v>0</v>
      </c>
      <c r="E24" s="140">
        <f>IF(YEAR($E$2)=YEAR($CG$9),($CG$9-$C$2)*$AJ$9,0)</f>
        <v>0</v>
      </c>
      <c r="F24" s="389">
        <f>IF(YEAR($E$2)=YEAR($CG$9),($CG$9-$C$2)*AL24,0)</f>
        <v>0</v>
      </c>
      <c r="G24" s="389">
        <f>IF(YEAR($E$2)=YEAR($CG$9),($CG$9-$C$2)*AN24,0)</f>
        <v>0</v>
      </c>
      <c r="H24" s="389">
        <f>IF(YEAR($E$2)=YEAR($CG$9),($CG$9-$C$2)*AP24,0)</f>
        <v>0</v>
      </c>
      <c r="I24" s="389">
        <f>IF(YEAR($E$2)=YEAR($CG$9),($CG$9-$C$2)*AR24,0)</f>
        <v>0</v>
      </c>
      <c r="J24" s="140">
        <f>IF(YEAR($E$2)=YEAR($CG$9),($CG$9-$C$2)*AT24,0)</f>
        <v>0</v>
      </c>
      <c r="K24" s="140">
        <f>IF(YEAR($K$3)=YEAR($CG$9),($CG$9-$E$3)*AJ24,0)</f>
        <v>0</v>
      </c>
      <c r="L24" s="389">
        <f>IF(YEAR($K$3)=YEAR($CG$9),($CG$9-$E$3)*AL24,0)</f>
        <v>0</v>
      </c>
      <c r="M24" s="389">
        <f>IF(YEAR($K$3)=YEAR($CG$9),($CG$9-$E$3)*AN24,0)</f>
        <v>0</v>
      </c>
      <c r="N24" s="389">
        <f>IF(YEAR($K$3)=YEAR($CG$9),($CG$9-$E$3)*AP24,0)</f>
        <v>0</v>
      </c>
      <c r="O24" s="389">
        <f>IF(YEAR($K$2)=YEAR($CG$9),($CG$9-$E$3)*AR24,0)</f>
        <v>0</v>
      </c>
      <c r="P24" s="140">
        <f>IF(YEAR($K$2)=YEAR($CG$9),($CG$9-$E$3)*AT24,0)</f>
        <v>0</v>
      </c>
      <c r="Q24" s="140">
        <f>IF(YEAR($Q$2)=YEAR($CG$9),($CH$30-$CG$30)*AJ24,0)</f>
        <v>139472</v>
      </c>
      <c r="R24" s="389">
        <f>IF(YEAR($Q$2)=YEAR($CG$9),($CH$30-$CG$30)*AL24,0)</f>
        <v>27894</v>
      </c>
      <c r="S24" s="389">
        <f>IF(YEAR($Q$2)=YEAR($CG$9),($CH$30-$CG$30)*AN24,0)</f>
        <v>16737</v>
      </c>
      <c r="T24" s="389">
        <f>IF(YEAR($Q$2)=YEAR($CG$9),($CH$30-$CG$30)*AP24,0)</f>
        <v>0</v>
      </c>
      <c r="U24" s="389">
        <f>IF(YEAR($Q$2)=YEAR($CG$9),($CH$30-$CG$30)*AR24,0)</f>
        <v>0</v>
      </c>
      <c r="V24" s="140">
        <f>IF(YEAR($Q$2)=YEAR($CG$9),($CH$30-$CG$30)*AT24,0)</f>
        <v>94841</v>
      </c>
      <c r="W24" s="140">
        <f>IF(YEAR($W$2)=YEAR($CG$9),($CH$9-$CG$9)*AP24,0)</f>
        <v>0</v>
      </c>
      <c r="X24" s="389">
        <f t="shared" si="83"/>
        <v>0</v>
      </c>
      <c r="Y24" s="389">
        <f t="shared" si="84"/>
        <v>0</v>
      </c>
      <c r="Z24" s="389">
        <f t="shared" si="85"/>
        <v>0</v>
      </c>
      <c r="AA24" s="389">
        <f t="shared" si="86"/>
        <v>0</v>
      </c>
      <c r="AB24" s="140">
        <f t="shared" si="87"/>
        <v>0</v>
      </c>
      <c r="AC24" s="140">
        <f>IF(YEAR($W$2)=YEAR($CG$9),($CH$9-$CG$9)*AV24,0)</f>
        <v>0</v>
      </c>
      <c r="AD24" s="389">
        <f t="shared" si="88"/>
        <v>0</v>
      </c>
      <c r="AE24" s="389">
        <f t="shared" si="89"/>
        <v>0</v>
      </c>
      <c r="AF24" s="389">
        <f t="shared" si="90"/>
        <v>0</v>
      </c>
      <c r="AG24" s="389">
        <f t="shared" si="91"/>
        <v>0</v>
      </c>
      <c r="AH24" s="140">
        <f t="shared" si="92"/>
        <v>0</v>
      </c>
      <c r="AI24" s="1169">
        <f>SUM('3 pr-2'!L25)</f>
        <v>139472</v>
      </c>
      <c r="AJ24" s="140">
        <f t="shared" si="25"/>
        <v>384.22038567493115</v>
      </c>
      <c r="AK24" s="389">
        <f>SUM('3 pr-2'!O25)</f>
        <v>27894</v>
      </c>
      <c r="AL24" s="389">
        <f t="shared" si="26"/>
        <v>76.84297520661157</v>
      </c>
      <c r="AM24" s="389">
        <f>SUM('3 pr-2'!R25)</f>
        <v>16737</v>
      </c>
      <c r="AN24" s="389">
        <f t="shared" si="27"/>
        <v>46.107438016528924</v>
      </c>
      <c r="AO24" s="389">
        <f>SUM('3 pr-2'!U25)</f>
        <v>0</v>
      </c>
      <c r="AP24" s="1199">
        <f t="shared" si="28"/>
        <v>0</v>
      </c>
      <c r="AQ24" s="389">
        <f>SUM('3 pr-2'!X25)</f>
        <v>0</v>
      </c>
      <c r="AR24" s="1163">
        <f t="shared" si="29"/>
        <v>0</v>
      </c>
      <c r="AS24" s="38">
        <f>SUM('3 pr-2'!AA25)</f>
        <v>94841</v>
      </c>
      <c r="AT24" s="1162">
        <f t="shared" si="30"/>
        <v>261.26997245179064</v>
      </c>
      <c r="AU24" s="24"/>
      <c r="AV24" s="25"/>
      <c r="AW24" s="25"/>
      <c r="AX24" s="389"/>
      <c r="AY24" s="389"/>
      <c r="AZ24" s="389"/>
      <c r="BA24" s="389"/>
      <c r="BB24" s="25"/>
      <c r="BC24" s="25"/>
      <c r="BD24" s="389"/>
      <c r="BE24" s="389"/>
      <c r="BF24" s="389"/>
      <c r="BG24" s="389"/>
      <c r="BH24" s="25"/>
      <c r="BI24" s="25"/>
      <c r="BJ24" s="389"/>
      <c r="BK24" s="389"/>
      <c r="BL24" s="389"/>
      <c r="BM24" s="389"/>
      <c r="BN24" s="25"/>
      <c r="BO24" s="25"/>
      <c r="BP24" s="389"/>
      <c r="BQ24" s="389"/>
      <c r="BR24" s="389"/>
      <c r="BS24" s="389"/>
      <c r="BT24" s="25"/>
      <c r="BU24" s="25"/>
      <c r="BV24" s="389"/>
      <c r="BW24" s="389"/>
      <c r="BX24" s="389"/>
      <c r="BY24" s="389"/>
      <c r="BZ24" s="25"/>
      <c r="CA24" s="25"/>
      <c r="CB24" s="389"/>
      <c r="CC24" s="389"/>
      <c r="CD24" s="389"/>
      <c r="CE24" s="389"/>
      <c r="CF24" s="553"/>
      <c r="CG24" s="566">
        <f>SUM('3 pr-2'!AH25)</f>
        <v>43102</v>
      </c>
      <c r="CH24" s="566">
        <f>SUM('3 pr-2'!AJ25)</f>
        <v>43465</v>
      </c>
      <c r="CI24" s="30">
        <f t="shared" si="57"/>
        <v>94841</v>
      </c>
      <c r="CJ24" s="30">
        <f t="shared" si="58"/>
        <v>0</v>
      </c>
      <c r="CQ24" s="1520">
        <f t="shared" si="93"/>
        <v>139472</v>
      </c>
      <c r="CR24" s="1521">
        <f t="shared" si="14"/>
        <v>94841</v>
      </c>
    </row>
    <row r="25" spans="1:96" ht="25.5" thickTop="1" thickBot="1" x14ac:dyDescent="0.3">
      <c r="A25" s="183" t="str">
        <f>CONCATENATE('3 pr-2'!A26)</f>
        <v>1.1.1.1.17</v>
      </c>
      <c r="B25" s="1198" t="str">
        <f>CONCATENATE('3 pr-2'!D26)</f>
        <v>Varėnos r. Rudnios kaimo Pušyno gatvės įrengimas</v>
      </c>
      <c r="C25" s="140">
        <f t="shared" si="69"/>
        <v>0</v>
      </c>
      <c r="D25" s="140">
        <f t="shared" si="70"/>
        <v>0</v>
      </c>
      <c r="E25" s="140">
        <f t="shared" si="71"/>
        <v>0</v>
      </c>
      <c r="F25" s="389">
        <f t="shared" si="72"/>
        <v>0</v>
      </c>
      <c r="G25" s="389">
        <f t="shared" si="73"/>
        <v>0</v>
      </c>
      <c r="H25" s="389">
        <f t="shared" si="74"/>
        <v>0</v>
      </c>
      <c r="I25" s="389">
        <f t="shared" si="75"/>
        <v>0</v>
      </c>
      <c r="J25" s="140">
        <f t="shared" si="76"/>
        <v>0</v>
      </c>
      <c r="K25" s="140">
        <f t="shared" si="77"/>
        <v>0</v>
      </c>
      <c r="L25" s="389">
        <f t="shared" si="78"/>
        <v>0</v>
      </c>
      <c r="M25" s="389">
        <f t="shared" si="79"/>
        <v>0</v>
      </c>
      <c r="N25" s="389">
        <f t="shared" si="80"/>
        <v>0</v>
      </c>
      <c r="O25" s="389">
        <f t="shared" si="81"/>
        <v>0</v>
      </c>
      <c r="P25" s="140">
        <f t="shared" si="82"/>
        <v>0</v>
      </c>
      <c r="Q25" s="140">
        <f>IF(YEAR($Q$2)=YEAR($CG$9),($Q$3-$CG$22)*AJ25,0)</f>
        <v>57752.9010989011</v>
      </c>
      <c r="R25" s="389">
        <f>IF(YEAR($Q$2)=YEAR($CG$9),($Q$3-$CG$22)*AL25,0)</f>
        <v>11550.679945054944</v>
      </c>
      <c r="S25" s="389">
        <f>IF(YEAR($Q$2)=YEAR($CG$9),($Q$3-$CG$22)*AN25,0)</f>
        <v>6930.4079670329675</v>
      </c>
      <c r="T25" s="389">
        <f>IF(YEAR($Q$2)=YEAR($CG$9),($Q$3-$CG$22)*AP25,0)</f>
        <v>0</v>
      </c>
      <c r="U25" s="389">
        <f>IF(YEAR($Q$2)=YEAR($CG$9),($Q$3-$CG$22)*AR25,0)</f>
        <v>0</v>
      </c>
      <c r="V25" s="140">
        <f>IF(YEAR($Q$2)=YEAR($CG$9),($Q$3-$CG$22)*AT25,0)</f>
        <v>39271.813186813182</v>
      </c>
      <c r="W25" s="111">
        <f>IF(YEAR($CH$25)=2019,($CH$25-$BI$4)*AI$25/($CH$25-$CG$25),0)</f>
        <v>58071.0989010989</v>
      </c>
      <c r="X25" s="405">
        <f>IF(YEAR($CH$25)=2019,($CH$25-$BI$4)*AK$25/($CH$25-$CG$25),0)</f>
        <v>11614.320054945056</v>
      </c>
      <c r="Y25" s="405">
        <f>IF(YEAR($CH$25)=2019,($CH$25-$BI$4)*AM$25/($CH$25-$CG$25),0)</f>
        <v>6968.5920329670325</v>
      </c>
      <c r="Z25" s="405">
        <f>IF(YEAR($CH$25)=2019,($CH$25-$BI$4)*AO$25/($CH$25-$CG$25),0)</f>
        <v>0</v>
      </c>
      <c r="AA25" s="405">
        <f>IF(YEAR($CH$25)=2019,($CH$25-$BI$4)*AQ$25/($CH$25-$CG$25),0)</f>
        <v>0</v>
      </c>
      <c r="AB25" s="140">
        <f>IF(YEAR($CH$25)=2019,($CH$25-$BI$4)*AS$25/($CH$25-$CG$25),0)</f>
        <v>39488.18681318681</v>
      </c>
      <c r="AC25" s="140">
        <v>0</v>
      </c>
      <c r="AD25" s="405">
        <v>0</v>
      </c>
      <c r="AE25" s="405">
        <v>0</v>
      </c>
      <c r="AF25" s="405">
        <v>0</v>
      </c>
      <c r="AG25" s="405">
        <v>0</v>
      </c>
      <c r="AH25" s="140">
        <v>0</v>
      </c>
      <c r="AI25" s="1197">
        <f>SUM('3 pr-2'!L26)</f>
        <v>115824</v>
      </c>
      <c r="AJ25" s="140">
        <f t="shared" si="25"/>
        <v>159.09890109890111</v>
      </c>
      <c r="AK25" s="389">
        <f>SUM('3 pr-2'!O26)</f>
        <v>23165</v>
      </c>
      <c r="AL25" s="389">
        <f t="shared" si="26"/>
        <v>31.820054945054945</v>
      </c>
      <c r="AM25" s="389">
        <f>SUM('3 pr-2'!R26)</f>
        <v>13899</v>
      </c>
      <c r="AN25" s="389">
        <f t="shared" si="27"/>
        <v>19.092032967032967</v>
      </c>
      <c r="AO25" s="389">
        <f>SUM('3 pr-2'!U26)</f>
        <v>0</v>
      </c>
      <c r="AP25" s="1199">
        <f t="shared" si="28"/>
        <v>0</v>
      </c>
      <c r="AQ25" s="389">
        <f>SUM('3 pr-2'!X26)</f>
        <v>0</v>
      </c>
      <c r="AR25" s="1163">
        <f t="shared" si="29"/>
        <v>0</v>
      </c>
      <c r="AS25" s="38">
        <f>SUM('3 pr-2'!AA26)</f>
        <v>78760</v>
      </c>
      <c r="AT25" s="1162">
        <f t="shared" si="30"/>
        <v>108.18681318681318</v>
      </c>
      <c r="AU25" s="1195"/>
      <c r="AV25" s="24"/>
      <c r="AW25" s="24"/>
      <c r="AX25" s="389"/>
      <c r="AY25" s="389"/>
      <c r="AZ25" s="389"/>
      <c r="BA25" s="389"/>
      <c r="BB25" s="24"/>
      <c r="BC25" s="24"/>
      <c r="BD25" s="389"/>
      <c r="BE25" s="389"/>
      <c r="BF25" s="389"/>
      <c r="BG25" s="389"/>
      <c r="BH25" s="24"/>
      <c r="BI25" s="24"/>
      <c r="BJ25" s="389"/>
      <c r="BK25" s="389"/>
      <c r="BL25" s="389"/>
      <c r="BM25" s="389"/>
      <c r="BN25" s="24"/>
      <c r="BO25" s="25"/>
      <c r="BP25" s="389"/>
      <c r="BQ25" s="389"/>
      <c r="BR25" s="389"/>
      <c r="BS25" s="389"/>
      <c r="BT25" s="25"/>
      <c r="BU25" s="24"/>
      <c r="BV25" s="389"/>
      <c r="BW25" s="389"/>
      <c r="BX25" s="389"/>
      <c r="BY25" s="389"/>
      <c r="BZ25" s="24"/>
      <c r="CA25" s="25"/>
      <c r="CB25" s="389"/>
      <c r="CC25" s="389"/>
      <c r="CD25" s="389"/>
      <c r="CE25" s="389"/>
      <c r="CF25" s="553"/>
      <c r="CG25" s="566">
        <f>SUM('3 pr-2'!AH26)</f>
        <v>43102</v>
      </c>
      <c r="CH25" s="566">
        <f>SUM('3 pr-2'!AJ26)</f>
        <v>43830</v>
      </c>
      <c r="CI25" s="1194">
        <f t="shared" si="57"/>
        <v>78760</v>
      </c>
      <c r="CJ25" s="30">
        <f t="shared" si="58"/>
        <v>0</v>
      </c>
      <c r="CQ25" s="1520">
        <f t="shared" si="93"/>
        <v>115824</v>
      </c>
      <c r="CR25" s="1521">
        <f t="shared" ref="CR25:CR30" si="94">SUM(J25+P25+V25+AB25+AH25)</f>
        <v>78760</v>
      </c>
    </row>
    <row r="26" spans="1:96" ht="37.5" thickTop="1" thickBot="1" x14ac:dyDescent="0.3">
      <c r="A26" s="183" t="str">
        <f>CONCATENATE('3 pr-2'!A27)</f>
        <v>1.1.1.1.18</v>
      </c>
      <c r="B26" s="1198" t="str">
        <f>CONCATENATE('3 pr-2'!D27)</f>
        <v>Varėnos kultūros centro Žilinų filialo pastato atnaujinimas ir pritaikymas bendruomenės poreikiams</v>
      </c>
      <c r="C26" s="140">
        <f t="shared" si="69"/>
        <v>0</v>
      </c>
      <c r="D26" s="140">
        <f t="shared" si="70"/>
        <v>0</v>
      </c>
      <c r="E26" s="140">
        <f t="shared" si="71"/>
        <v>0</v>
      </c>
      <c r="F26" s="389">
        <f t="shared" si="72"/>
        <v>0</v>
      </c>
      <c r="G26" s="389">
        <f t="shared" si="73"/>
        <v>0</v>
      </c>
      <c r="H26" s="389">
        <f t="shared" si="74"/>
        <v>0</v>
      </c>
      <c r="I26" s="389">
        <f t="shared" si="75"/>
        <v>0</v>
      </c>
      <c r="J26" s="140">
        <f t="shared" si="76"/>
        <v>0</v>
      </c>
      <c r="K26" s="140">
        <f t="shared" si="77"/>
        <v>0</v>
      </c>
      <c r="L26" s="389">
        <f t="shared" si="78"/>
        <v>0</v>
      </c>
      <c r="M26" s="389">
        <f t="shared" si="79"/>
        <v>0</v>
      </c>
      <c r="N26" s="389">
        <f t="shared" si="80"/>
        <v>0</v>
      </c>
      <c r="O26" s="389">
        <f t="shared" si="81"/>
        <v>0</v>
      </c>
      <c r="P26" s="140">
        <f t="shared" si="82"/>
        <v>0</v>
      </c>
      <c r="Q26" s="140">
        <f>IF(YEAR($Q$2)=YEAR($CG$9),($Q$3-$CG$22)*AJ26,0)</f>
        <v>124656.5934065934</v>
      </c>
      <c r="R26" s="389">
        <f>IF(YEAR($Q$2)=YEAR($CG$9),($Q$3-$CG$22)*AL26,0)</f>
        <v>24931.318681318684</v>
      </c>
      <c r="S26" s="389">
        <f>IF(YEAR($Q$2)=YEAR($CG$9),($Q$3-$CG$22)*AN26,0)</f>
        <v>14958.79120879121</v>
      </c>
      <c r="T26" s="389">
        <f>IF(YEAR($Q$2)=YEAR($CG$9),($Q$3-$CG$22)*AP26,0)</f>
        <v>0</v>
      </c>
      <c r="U26" s="389">
        <f>IF(YEAR($Q$2)=YEAR($CG$9),($Q$3-$CG$22)*AR26,0)</f>
        <v>0</v>
      </c>
      <c r="V26" s="140">
        <f>IF(YEAR($Q$2)=YEAR($CG$9),($Q$3-$CG$22)*AT26,0)</f>
        <v>84766.483516483509</v>
      </c>
      <c r="W26" s="111">
        <f>IF(YEAR($CH$26)=2019,($CH$26-$BI$4)*AI$26/($CH$26-$CG$26),0)</f>
        <v>125343.40659340659</v>
      </c>
      <c r="X26" s="405">
        <f>IF(YEAR($CH$26)=2019,($CH$26-$BI$4)*AK$26/($CH$26-$CG$26),0)</f>
        <v>25068.68131868132</v>
      </c>
      <c r="Y26" s="405">
        <f>IF(YEAR($CH$26)=2019,($CH$26-$BI$4)*AM$26/($CH$26-$CG$26),0)</f>
        <v>15041.208791208792</v>
      </c>
      <c r="Z26" s="405">
        <f>IF(YEAR($CH$26)=2019,($CH$26-$BI$4)*AO$26/($CH$26-$CG$26),0)</f>
        <v>0</v>
      </c>
      <c r="AA26" s="405">
        <f>IF(YEAR($CH$26)=2019,($CH$26-$BI$4)*AQ$26/($CH$26-$CG$26),0)</f>
        <v>0</v>
      </c>
      <c r="AB26" s="140">
        <f>IF(YEAR($CH$26)=2019,($CH$26-$BI$4)*AS$26/($CH$26-$CG$26),0)</f>
        <v>85233.516483516491</v>
      </c>
      <c r="AC26" s="140">
        <v>0</v>
      </c>
      <c r="AD26" s="405">
        <v>0</v>
      </c>
      <c r="AE26" s="405">
        <v>0</v>
      </c>
      <c r="AF26" s="405">
        <v>0</v>
      </c>
      <c r="AG26" s="405">
        <v>0</v>
      </c>
      <c r="AH26" s="140">
        <v>0</v>
      </c>
      <c r="AI26" s="1197">
        <f>SUM('3 pr-2'!L27)</f>
        <v>250000</v>
      </c>
      <c r="AJ26" s="140">
        <f t="shared" si="25"/>
        <v>343.4065934065934</v>
      </c>
      <c r="AK26" s="389">
        <f>SUM('3 pr-2'!O27)</f>
        <v>50000</v>
      </c>
      <c r="AL26" s="389">
        <f t="shared" si="26"/>
        <v>68.681318681318686</v>
      </c>
      <c r="AM26" s="389">
        <f>SUM('3 pr-2'!R27)</f>
        <v>30000</v>
      </c>
      <c r="AN26" s="389">
        <f t="shared" si="27"/>
        <v>41.208791208791212</v>
      </c>
      <c r="AO26" s="389">
        <f>SUM('3 pr-2'!U27)</f>
        <v>0</v>
      </c>
      <c r="AP26" s="1199">
        <f t="shared" si="28"/>
        <v>0</v>
      </c>
      <c r="AQ26" s="389">
        <f>SUM('3 pr-2'!X27)</f>
        <v>0</v>
      </c>
      <c r="AR26" s="1163">
        <f t="shared" si="29"/>
        <v>0</v>
      </c>
      <c r="AS26" s="38">
        <f>SUM('3 pr-2'!AA27)</f>
        <v>170000</v>
      </c>
      <c r="AT26" s="1162">
        <f t="shared" si="30"/>
        <v>233.5164835164835</v>
      </c>
      <c r="AU26" s="1195"/>
      <c r="AV26" s="24"/>
      <c r="AW26" s="24"/>
      <c r="AX26" s="389"/>
      <c r="AY26" s="389"/>
      <c r="AZ26" s="389"/>
      <c r="BA26" s="389"/>
      <c r="BB26" s="24"/>
      <c r="BC26" s="24"/>
      <c r="BD26" s="389"/>
      <c r="BE26" s="389"/>
      <c r="BF26" s="389"/>
      <c r="BG26" s="389"/>
      <c r="BH26" s="24"/>
      <c r="BI26" s="24"/>
      <c r="BJ26" s="389"/>
      <c r="BK26" s="389"/>
      <c r="BL26" s="389"/>
      <c r="BM26" s="389"/>
      <c r="BN26" s="24"/>
      <c r="BO26" s="25"/>
      <c r="BP26" s="389"/>
      <c r="BQ26" s="389"/>
      <c r="BR26" s="389"/>
      <c r="BS26" s="389"/>
      <c r="BT26" s="25"/>
      <c r="BU26" s="24"/>
      <c r="BV26" s="389"/>
      <c r="BW26" s="389"/>
      <c r="BX26" s="389"/>
      <c r="BY26" s="389"/>
      <c r="BZ26" s="24"/>
      <c r="CA26" s="25"/>
      <c r="CB26" s="389"/>
      <c r="CC26" s="389"/>
      <c r="CD26" s="389"/>
      <c r="CE26" s="389"/>
      <c r="CF26" s="553"/>
      <c r="CG26" s="566">
        <f>SUM('3 pr-2'!AH27)</f>
        <v>43102</v>
      </c>
      <c r="CH26" s="566">
        <f>SUM('3 pr-2'!AJ27)</f>
        <v>43830</v>
      </c>
      <c r="CI26" s="1194">
        <f t="shared" si="57"/>
        <v>170000</v>
      </c>
      <c r="CJ26" s="30">
        <f t="shared" si="58"/>
        <v>0</v>
      </c>
      <c r="CQ26" s="1520">
        <f t="shared" si="93"/>
        <v>250000</v>
      </c>
      <c r="CR26" s="1521">
        <f t="shared" si="94"/>
        <v>170000</v>
      </c>
    </row>
    <row r="27" spans="1:96" ht="37.5" thickTop="1" thickBot="1" x14ac:dyDescent="0.3">
      <c r="A27" s="183" t="str">
        <f>CONCATENATE('3 pr-2'!A28)</f>
        <v>1.1.1.1.19</v>
      </c>
      <c r="B27" s="183" t="str">
        <f>CONCATENATE('3 pr-2'!D28)</f>
        <v>Alytaus rajono Pivašiūnų kaimo šaligatvių, laiptų kapitalinis remontas ir gyvenvietės apšvietimo įrengimas</v>
      </c>
      <c r="C27" s="140">
        <f>IF($E$2&gt;=$CG$9,($CG$9-$C$2)*AH27,0)</f>
        <v>0</v>
      </c>
      <c r="D27" s="140">
        <f>IF($E$2&gt;=$CG$9,($CG$9-$C$2)*AI27,0)</f>
        <v>0</v>
      </c>
      <c r="E27" s="140">
        <f>IF(YEAR($E$2)=YEAR($CG$9),($CG$9-$C$2)*$AJ$9,0)</f>
        <v>0</v>
      </c>
      <c r="F27" s="389">
        <f>IF(YEAR($E$2)=YEAR($CG$9),($CG$9-$C$2)*AL27,0)</f>
        <v>0</v>
      </c>
      <c r="G27" s="389">
        <f>IF(YEAR($E$2)=YEAR($CG$9),($CG$9-$C$2)*AN27,0)</f>
        <v>0</v>
      </c>
      <c r="H27" s="389">
        <f>IF(YEAR($E$2)=YEAR($CG$9),($CG$9-$C$2)*AP27,0)</f>
        <v>0</v>
      </c>
      <c r="I27" s="389">
        <f>IF(YEAR($E$2)=YEAR($CG$9),($CG$9-$C$2)*AR27,0)</f>
        <v>0</v>
      </c>
      <c r="J27" s="140">
        <f>IF(YEAR($E$2)=YEAR($CG$9),($CG$9-$C$2)*AT27,0)</f>
        <v>0</v>
      </c>
      <c r="K27" s="140">
        <f>IF(YEAR($K$3)=YEAR($CG$9),($CG$9-$E$3)*AJ27,0)</f>
        <v>0</v>
      </c>
      <c r="L27" s="389">
        <f>IF(YEAR($K$3)=YEAR($CG$9),($CG$9-$E$3)*AL27,0)</f>
        <v>0</v>
      </c>
      <c r="M27" s="389">
        <f>IF(YEAR($K$3)=YEAR($CG$9),($CG$9-$E$3)*AN27,0)</f>
        <v>0</v>
      </c>
      <c r="N27" s="389">
        <f>IF(YEAR($K$3)=YEAR($CG$9),($CG$9-$E$3)*AP27,0)</f>
        <v>0</v>
      </c>
      <c r="O27" s="389">
        <f>IF(YEAR($K$2)=YEAR($CG$9),($CG$9-$E$3)*AR27,0)</f>
        <v>0</v>
      </c>
      <c r="P27" s="140">
        <f>IF(YEAR($K$2)=YEAR($CG$9),($CG$9-$E$3)*AT27,0)</f>
        <v>0</v>
      </c>
      <c r="Q27" s="140">
        <f>IF(YEAR($Q$2)=YEAR($CG$9),($CH$30-$CG$30)*AJ27,0)</f>
        <v>117985.99999999999</v>
      </c>
      <c r="R27" s="389">
        <f>IF(YEAR($Q$2)=YEAR($CG$9),($CH$30-$CG$30)*AL27,0)</f>
        <v>23597</v>
      </c>
      <c r="S27" s="389">
        <f>IF(YEAR($Q$2)=YEAR($CG$9),($CH$30-$CG$30)*AN27,0)</f>
        <v>14158</v>
      </c>
      <c r="T27" s="389">
        <f>IF(YEAR($Q$2)=YEAR($CG$9),($CH$30-$CG$30)*AP27,0)</f>
        <v>0</v>
      </c>
      <c r="U27" s="389">
        <f>IF(YEAR($Q$2)=YEAR($CG$9),($CH$30-$CG$30)*AR27,0)</f>
        <v>0</v>
      </c>
      <c r="V27" s="140">
        <f>IF(YEAR($Q$2)=YEAR($CG$9),($CH$30-$CG$30)*AT27,0)</f>
        <v>80231</v>
      </c>
      <c r="W27" s="140">
        <f>IF(YEAR($W$2)=YEAR($CG$9),($CH$9-$CG$9)*AP27,0)</f>
        <v>0</v>
      </c>
      <c r="X27" s="389">
        <f t="shared" ref="X27" si="95">IF(YEAR($W$2)=YEAR($CG$9),($CH$9-$CG$9)*AQ27,0)</f>
        <v>0</v>
      </c>
      <c r="Y27" s="389">
        <f t="shared" ref="Y27" si="96">IF(YEAR($W$2)=YEAR($CG$9),($CH$9-$CG$9)*AR27,0)</f>
        <v>0</v>
      </c>
      <c r="Z27" s="389">
        <f t="shared" ref="Z27" si="97">IF(YEAR($W$2)=YEAR($CG$9),($CH$9-$CG$9)*AS27,0)</f>
        <v>0</v>
      </c>
      <c r="AA27" s="389">
        <f t="shared" ref="AA27" si="98">IF(YEAR($W$2)=YEAR($CG$9),($CH$9-$CG$9)*AT27,0)</f>
        <v>0</v>
      </c>
      <c r="AB27" s="140">
        <f t="shared" ref="AB27" si="99">IF(YEAR($W$2)=YEAR($CG$9),($CH$9-$CG$9)*AU27,0)</f>
        <v>0</v>
      </c>
      <c r="AC27" s="140">
        <f>IF(YEAR($W$2)=YEAR($CG$9),($CH$9-$CG$9)*AV27,0)</f>
        <v>0</v>
      </c>
      <c r="AD27" s="389">
        <f t="shared" ref="AD27" si="100">IF(YEAR($W$2)=YEAR($CG$9),($CH$9-$CG$9)*AW27,0)</f>
        <v>0</v>
      </c>
      <c r="AE27" s="389">
        <f t="shared" ref="AE27" si="101">IF(YEAR($W$2)=YEAR($CG$9),($CH$9-$CG$9)*AX27,0)</f>
        <v>0</v>
      </c>
      <c r="AF27" s="389">
        <f t="shared" ref="AF27" si="102">IF(YEAR($W$2)=YEAR($CG$9),($CH$9-$CG$9)*AY27,0)</f>
        <v>0</v>
      </c>
      <c r="AG27" s="389">
        <f t="shared" ref="AG27" si="103">IF(YEAR($W$2)=YEAR($CG$9),($CH$9-$CG$9)*AZ27,0)</f>
        <v>0</v>
      </c>
      <c r="AH27" s="140">
        <f t="shared" ref="AH27" si="104">IF(YEAR($W$2)=YEAR($CG$9),($CH$9-$CG$9)*BA27,0)</f>
        <v>0</v>
      </c>
      <c r="AI27" s="1169">
        <f>SUM('3 pr-2'!L28)</f>
        <v>117986</v>
      </c>
      <c r="AJ27" s="140">
        <f t="shared" si="25"/>
        <v>325.030303030303</v>
      </c>
      <c r="AK27" s="389">
        <f>SUM('3 pr-2'!O28)</f>
        <v>23597</v>
      </c>
      <c r="AL27" s="389">
        <f t="shared" si="26"/>
        <v>65.005509641873275</v>
      </c>
      <c r="AM27" s="389">
        <f>SUM('3 pr-2'!R28)</f>
        <v>14158</v>
      </c>
      <c r="AN27" s="389">
        <f t="shared" si="27"/>
        <v>39.002754820936637</v>
      </c>
      <c r="AO27" s="389">
        <f>SUM('3 pr-2'!U28)</f>
        <v>0</v>
      </c>
      <c r="AP27" s="1199">
        <f t="shared" si="28"/>
        <v>0</v>
      </c>
      <c r="AQ27" s="389">
        <f>SUM('3 pr-2'!X28)</f>
        <v>0</v>
      </c>
      <c r="AR27" s="1163">
        <f t="shared" si="29"/>
        <v>0</v>
      </c>
      <c r="AS27" s="38">
        <f>SUM('3 pr-2'!AA28)</f>
        <v>80231</v>
      </c>
      <c r="AT27" s="1162">
        <f t="shared" si="30"/>
        <v>221.02203856749313</v>
      </c>
      <c r="AU27" s="24"/>
      <c r="AV27" s="25"/>
      <c r="AW27" s="25"/>
      <c r="AX27" s="389"/>
      <c r="AY27" s="389"/>
      <c r="AZ27" s="389"/>
      <c r="BA27" s="389"/>
      <c r="BB27" s="25"/>
      <c r="BC27" s="25"/>
      <c r="BD27" s="389"/>
      <c r="BE27" s="389"/>
      <c r="BF27" s="389"/>
      <c r="BG27" s="389"/>
      <c r="BH27" s="25"/>
      <c r="BI27" s="25"/>
      <c r="BJ27" s="389"/>
      <c r="BK27" s="389"/>
      <c r="BL27" s="389"/>
      <c r="BM27" s="389"/>
      <c r="BN27" s="25"/>
      <c r="BO27" s="25"/>
      <c r="BP27" s="389"/>
      <c r="BQ27" s="389"/>
      <c r="BR27" s="389"/>
      <c r="BS27" s="389"/>
      <c r="BT27" s="25"/>
      <c r="BU27" s="25"/>
      <c r="BV27" s="389"/>
      <c r="BW27" s="389"/>
      <c r="BX27" s="389"/>
      <c r="BY27" s="389"/>
      <c r="BZ27" s="25"/>
      <c r="CA27" s="25"/>
      <c r="CB27" s="389"/>
      <c r="CC27" s="389"/>
      <c r="CD27" s="389"/>
      <c r="CE27" s="389"/>
      <c r="CF27" s="553"/>
      <c r="CG27" s="566">
        <f>SUM('3 pr-2'!AH28)</f>
        <v>43102</v>
      </c>
      <c r="CH27" s="566">
        <f>SUM('3 pr-2'!AJ28)</f>
        <v>43465</v>
      </c>
      <c r="CI27" s="30">
        <f t="shared" si="57"/>
        <v>80231</v>
      </c>
      <c r="CJ27" s="30">
        <f t="shared" si="58"/>
        <v>0</v>
      </c>
      <c r="CQ27" s="1520">
        <f t="shared" si="93"/>
        <v>117985.99999999999</v>
      </c>
      <c r="CR27" s="1521">
        <f t="shared" si="94"/>
        <v>80231</v>
      </c>
    </row>
    <row r="28" spans="1:96" ht="49.5" thickTop="1" thickBot="1" x14ac:dyDescent="0.3">
      <c r="A28" s="183" t="str">
        <f>CONCATENATE('3 pr-2'!A29)</f>
        <v>1.1.1.1.20</v>
      </c>
      <c r="B28" s="1198" t="str">
        <f>CONCATENATE('3 pr-2'!D29)</f>
        <v>Pastato, esančio Pušelės g. 11, Naujųjų Valkininkų k., Varėnos r., atnaujinimas ir pritaikymas bendruomenės poreikiams</v>
      </c>
      <c r="C28" s="140">
        <f t="shared" si="69"/>
        <v>0</v>
      </c>
      <c r="D28" s="140">
        <f t="shared" si="70"/>
        <v>0</v>
      </c>
      <c r="E28" s="140">
        <f t="shared" si="71"/>
        <v>0</v>
      </c>
      <c r="F28" s="389">
        <f t="shared" si="72"/>
        <v>0</v>
      </c>
      <c r="G28" s="389">
        <f t="shared" si="73"/>
        <v>0</v>
      </c>
      <c r="H28" s="389">
        <f t="shared" si="74"/>
        <v>0</v>
      </c>
      <c r="I28" s="389">
        <f t="shared" si="75"/>
        <v>0</v>
      </c>
      <c r="J28" s="140">
        <f t="shared" si="76"/>
        <v>0</v>
      </c>
      <c r="K28" s="140">
        <f t="shared" si="77"/>
        <v>0</v>
      </c>
      <c r="L28" s="389">
        <f t="shared" si="78"/>
        <v>0</v>
      </c>
      <c r="M28" s="389">
        <f t="shared" si="79"/>
        <v>0</v>
      </c>
      <c r="N28" s="389">
        <f t="shared" si="80"/>
        <v>0</v>
      </c>
      <c r="O28" s="389">
        <f t="shared" si="81"/>
        <v>0</v>
      </c>
      <c r="P28" s="140">
        <f t="shared" si="82"/>
        <v>0</v>
      </c>
      <c r="Q28" s="140">
        <f>IF(YEAR($Q$2)=YEAR($CG$9),($Q$3-$CG$22)*AJ28,0)</f>
        <v>124656.5934065934</v>
      </c>
      <c r="R28" s="389">
        <f>IF(YEAR($Q$2)=YEAR($CG$9),($Q$3-$CG$22)*AL28,0)</f>
        <v>24931.318681318684</v>
      </c>
      <c r="S28" s="389">
        <f>IF(YEAR($Q$2)=YEAR($CG$9),($Q$3-$CG$22)*AN28,0)</f>
        <v>14958.79120879121</v>
      </c>
      <c r="T28" s="389">
        <f>IF(YEAR($Q$2)=YEAR($CG$9),($Q$3-$CG$22)*AP28,0)</f>
        <v>0</v>
      </c>
      <c r="U28" s="389">
        <f>IF(YEAR($Q$2)=YEAR($CG$9),($Q$3-$CG$22)*AR28,0)</f>
        <v>0</v>
      </c>
      <c r="V28" s="140">
        <f>IF(YEAR($Q$2)=YEAR($CG$9),($Q$3-$CG$22)*AT28,0)</f>
        <v>84766.483516483509</v>
      </c>
      <c r="W28" s="111">
        <f>IF(YEAR($CH$28)=2019,($CH$28-$BI$4)*AI$28/($CH$28-$CG$28),0)</f>
        <v>125343.40659340659</v>
      </c>
      <c r="X28" s="405">
        <f>IF(YEAR($CH$28)=2019,($CH$28-$BI$4)*AK$28/($CH$28-$CG$28),0)</f>
        <v>25068.68131868132</v>
      </c>
      <c r="Y28" s="405">
        <f>IF(YEAR($CH$28)=2019,($CH$28-$BI$4)*AM$28/($CH$28-$CG$28),0)</f>
        <v>15041.208791208792</v>
      </c>
      <c r="Z28" s="405">
        <f>IF(YEAR($CH$28)=2019,($CH$28-$BI$4)*AO$28/($CH$28-$CG$28),0)</f>
        <v>0</v>
      </c>
      <c r="AA28" s="405">
        <f>IF(YEAR($CH$28)=2019,($CH$28-$BI$4)*AQ$28/($CH$28-$CG$28),0)</f>
        <v>0</v>
      </c>
      <c r="AB28" s="140">
        <f>IF(YEAR($CH$28)=2019,($CH$28-$BI$4)*AS$28/($CH$28-$CG$28),0)</f>
        <v>85233.516483516491</v>
      </c>
      <c r="AC28" s="140">
        <v>0</v>
      </c>
      <c r="AD28" s="405">
        <v>0</v>
      </c>
      <c r="AE28" s="405">
        <v>0</v>
      </c>
      <c r="AF28" s="405">
        <v>0</v>
      </c>
      <c r="AG28" s="405">
        <v>0</v>
      </c>
      <c r="AH28" s="140">
        <v>0</v>
      </c>
      <c r="AI28" s="1197">
        <f>SUM('3 pr-2'!L29)</f>
        <v>250000</v>
      </c>
      <c r="AJ28" s="140">
        <f t="shared" si="25"/>
        <v>343.4065934065934</v>
      </c>
      <c r="AK28" s="389">
        <f>SUM('3 pr-2'!O29)</f>
        <v>50000</v>
      </c>
      <c r="AL28" s="389">
        <f t="shared" si="26"/>
        <v>68.681318681318686</v>
      </c>
      <c r="AM28" s="389">
        <f>SUM('3 pr-2'!R29)</f>
        <v>30000</v>
      </c>
      <c r="AN28" s="389">
        <f t="shared" si="27"/>
        <v>41.208791208791212</v>
      </c>
      <c r="AO28" s="389">
        <f>SUM('3 pr-2'!U29)</f>
        <v>0</v>
      </c>
      <c r="AP28" s="1199">
        <f t="shared" si="28"/>
        <v>0</v>
      </c>
      <c r="AQ28" s="389">
        <f>SUM('3 pr-2'!X29)</f>
        <v>0</v>
      </c>
      <c r="AR28" s="1163">
        <f t="shared" si="29"/>
        <v>0</v>
      </c>
      <c r="AS28" s="38">
        <f>SUM('3 pr-2'!AA29)</f>
        <v>170000</v>
      </c>
      <c r="AT28" s="1162">
        <f t="shared" si="30"/>
        <v>233.5164835164835</v>
      </c>
      <c r="AU28" s="1195"/>
      <c r="AV28" s="24"/>
      <c r="AW28" s="24"/>
      <c r="AX28" s="389"/>
      <c r="AY28" s="389"/>
      <c r="AZ28" s="389"/>
      <c r="BA28" s="389"/>
      <c r="BB28" s="24"/>
      <c r="BC28" s="24"/>
      <c r="BD28" s="389"/>
      <c r="BE28" s="389"/>
      <c r="BF28" s="389"/>
      <c r="BG28" s="389"/>
      <c r="BH28" s="24"/>
      <c r="BI28" s="24"/>
      <c r="BJ28" s="389"/>
      <c r="BK28" s="389"/>
      <c r="BL28" s="389"/>
      <c r="BM28" s="389"/>
      <c r="BN28" s="24"/>
      <c r="BO28" s="25"/>
      <c r="BP28" s="389"/>
      <c r="BQ28" s="389"/>
      <c r="BR28" s="389"/>
      <c r="BS28" s="389"/>
      <c r="BT28" s="25"/>
      <c r="BU28" s="24"/>
      <c r="BV28" s="389"/>
      <c r="BW28" s="389"/>
      <c r="BX28" s="389"/>
      <c r="BY28" s="389"/>
      <c r="BZ28" s="24"/>
      <c r="CA28" s="25"/>
      <c r="CB28" s="389"/>
      <c r="CC28" s="389"/>
      <c r="CD28" s="389"/>
      <c r="CE28" s="389"/>
      <c r="CF28" s="553"/>
      <c r="CG28" s="566">
        <f>SUM('3 pr-2'!AH29)</f>
        <v>43102</v>
      </c>
      <c r="CH28" s="566">
        <f>SUM('3 pr-2'!AJ29)</f>
        <v>43830</v>
      </c>
      <c r="CI28" s="1194">
        <f t="shared" si="57"/>
        <v>170000</v>
      </c>
      <c r="CJ28" s="30">
        <f t="shared" si="58"/>
        <v>0</v>
      </c>
      <c r="CQ28" s="1520">
        <f t="shared" si="93"/>
        <v>250000</v>
      </c>
      <c r="CR28" s="1521">
        <f t="shared" si="94"/>
        <v>170000</v>
      </c>
    </row>
    <row r="29" spans="1:96" ht="37.5" thickTop="1" thickBot="1" x14ac:dyDescent="0.3">
      <c r="A29" s="183" t="str">
        <f>CONCATENATE('3 pr-2'!A30)</f>
        <v>1.1.1.1.21</v>
      </c>
      <c r="B29" s="183" t="str">
        <f>CONCATENATE('3 pr-2'!D30)</f>
        <v>Kaimo gyvenamųjų vietovių Lazdijų rajono savivaldybėje patrauklumo gerinimas</v>
      </c>
      <c r="C29" s="140">
        <f t="shared" si="69"/>
        <v>0</v>
      </c>
      <c r="D29" s="140">
        <f t="shared" si="70"/>
        <v>0</v>
      </c>
      <c r="E29" s="140">
        <f t="shared" si="71"/>
        <v>0</v>
      </c>
      <c r="F29" s="389">
        <f t="shared" si="72"/>
        <v>0</v>
      </c>
      <c r="G29" s="389">
        <f t="shared" si="73"/>
        <v>0</v>
      </c>
      <c r="H29" s="389">
        <f t="shared" si="74"/>
        <v>0</v>
      </c>
      <c r="I29" s="389">
        <f t="shared" si="75"/>
        <v>0</v>
      </c>
      <c r="J29" s="140">
        <f t="shared" si="76"/>
        <v>0</v>
      </c>
      <c r="K29" s="140">
        <f t="shared" si="77"/>
        <v>0</v>
      </c>
      <c r="L29" s="389">
        <f t="shared" si="78"/>
        <v>0</v>
      </c>
      <c r="M29" s="389">
        <f t="shared" si="79"/>
        <v>0</v>
      </c>
      <c r="N29" s="389">
        <f t="shared" si="80"/>
        <v>0</v>
      </c>
      <c r="O29" s="389">
        <f t="shared" si="81"/>
        <v>0</v>
      </c>
      <c r="P29" s="140">
        <f t="shared" si="82"/>
        <v>0</v>
      </c>
      <c r="Q29" s="140">
        <f>IF(YEAR($Q$2)=YEAR($CG$9),($CH$29-$CG$29)*AJ29,0)</f>
        <v>170000</v>
      </c>
      <c r="R29" s="389">
        <f>IF(YEAR($Q$2)=YEAR($CG$9),($CH$29-$CG$29)*AL29,0)</f>
        <v>34000</v>
      </c>
      <c r="S29" s="389">
        <f>IF(YEAR($Q$2)=YEAR($CG$9),($CH$29-$CG$29)*AN29,0)</f>
        <v>20400</v>
      </c>
      <c r="T29" s="389">
        <f>IF(YEAR($Q$2)=YEAR($CG$9),($CH$29-$CG$29)*AP29,0)</f>
        <v>0</v>
      </c>
      <c r="U29" s="389">
        <f>IF(YEAR($Q$2)=YEAR($CG$9),($CH$29-$CG$29)*AR29,0)</f>
        <v>0</v>
      </c>
      <c r="V29" s="140">
        <f>IF(YEAR($Q$2)=YEAR($CG$9),(CH29-CG29)*AT29,0)</f>
        <v>115600</v>
      </c>
      <c r="W29" s="140">
        <f t="shared" ref="W29:W30" si="105">IF(YEAR($W$2)=YEAR($CG$9),($CH$9-$CG$9)*AP29,0)</f>
        <v>0</v>
      </c>
      <c r="X29" s="389">
        <f t="shared" ref="X29:X30" si="106">IF(YEAR($W$2)=YEAR($CG$9),($CH$9-$CG$9)*AQ29,0)</f>
        <v>0</v>
      </c>
      <c r="Y29" s="389">
        <f t="shared" ref="Y29:Y30" si="107">IF(YEAR($W$2)=YEAR($CG$9),($CH$9-$CG$9)*AR29,0)</f>
        <v>0</v>
      </c>
      <c r="Z29" s="389">
        <f t="shared" ref="Z29:Z30" si="108">IF(YEAR($W$2)=YEAR($CG$9),($CH$9-$CG$9)*AS29,0)</f>
        <v>0</v>
      </c>
      <c r="AA29" s="389">
        <f t="shared" ref="AA29:AA30" si="109">IF(YEAR($W$2)=YEAR($CG$9),($CH$9-$CG$9)*AT29,0)</f>
        <v>0</v>
      </c>
      <c r="AB29" s="140">
        <f t="shared" ref="AB29:AB30" si="110">IF(YEAR($W$2)=YEAR($CG$9),($CH$9-$CG$9)*AU29,0)</f>
        <v>0</v>
      </c>
      <c r="AC29" s="140">
        <f t="shared" ref="AC29:AC30" si="111">IF(YEAR($W$2)=YEAR($CG$9),($CH$9-$CG$9)*AV29,0)</f>
        <v>0</v>
      </c>
      <c r="AD29" s="389">
        <f t="shared" ref="AD29:AD30" si="112">IF(YEAR($W$2)=YEAR($CG$9),($CH$9-$CG$9)*AW29,0)</f>
        <v>0</v>
      </c>
      <c r="AE29" s="389">
        <f t="shared" ref="AE29:AE30" si="113">IF(YEAR($W$2)=YEAR($CG$9),($CH$9-$CG$9)*AX29,0)</f>
        <v>0</v>
      </c>
      <c r="AF29" s="389">
        <f t="shared" ref="AF29:AF30" si="114">IF(YEAR($W$2)=YEAR($CG$9),($CH$9-$CG$9)*AY29,0)</f>
        <v>0</v>
      </c>
      <c r="AG29" s="389">
        <f t="shared" ref="AG29:AG30" si="115">IF(YEAR($W$2)=YEAR($CG$9),($CH$9-$CG$9)*AZ29,0)</f>
        <v>0</v>
      </c>
      <c r="AH29" s="140">
        <f t="shared" ref="AH29:AH30" si="116">IF(YEAR($W$2)=YEAR($CG$9),($CH$9-$CG$9)*BA29,0)</f>
        <v>0</v>
      </c>
      <c r="AI29" s="1169">
        <f>SUM('3 pr-2'!L30)</f>
        <v>170000</v>
      </c>
      <c r="AJ29" s="140">
        <f t="shared" si="25"/>
        <v>899.47089947089944</v>
      </c>
      <c r="AK29" s="389">
        <f>SUM('3 pr-2'!O30)</f>
        <v>34000</v>
      </c>
      <c r="AL29" s="389">
        <f t="shared" si="26"/>
        <v>179.8941798941799</v>
      </c>
      <c r="AM29" s="389">
        <f>SUM('3 pr-2'!R30)</f>
        <v>20400</v>
      </c>
      <c r="AN29" s="389">
        <f t="shared" si="27"/>
        <v>107.93650793650794</v>
      </c>
      <c r="AO29" s="389">
        <f>SUM('3 pr-2'!U30)</f>
        <v>0</v>
      </c>
      <c r="AP29" s="1199">
        <f t="shared" si="28"/>
        <v>0</v>
      </c>
      <c r="AQ29" s="389">
        <f>SUM('3 pr-2'!X30)</f>
        <v>0</v>
      </c>
      <c r="AR29" s="1163">
        <f t="shared" si="29"/>
        <v>0</v>
      </c>
      <c r="AS29" s="38">
        <f>SUM('3 pr-2'!AA30)</f>
        <v>115600</v>
      </c>
      <c r="AT29" s="1162">
        <f t="shared" si="30"/>
        <v>611.64021164021165</v>
      </c>
      <c r="AU29" s="24"/>
      <c r="AV29" s="25"/>
      <c r="AW29" s="25"/>
      <c r="AX29" s="389"/>
      <c r="AY29" s="389"/>
      <c r="AZ29" s="389"/>
      <c r="BA29" s="389"/>
      <c r="BB29" s="25"/>
      <c r="BC29" s="25"/>
      <c r="BD29" s="389"/>
      <c r="BE29" s="389"/>
      <c r="BF29" s="389"/>
      <c r="BG29" s="389"/>
      <c r="BH29" s="25"/>
      <c r="BI29" s="25"/>
      <c r="BJ29" s="389"/>
      <c r="BK29" s="389"/>
      <c r="BL29" s="389"/>
      <c r="BM29" s="389"/>
      <c r="BN29" s="25"/>
      <c r="BO29" s="25"/>
      <c r="BP29" s="389"/>
      <c r="BQ29" s="389"/>
      <c r="BR29" s="389"/>
      <c r="BS29" s="389"/>
      <c r="BT29" s="25"/>
      <c r="BU29" s="25"/>
      <c r="BV29" s="389"/>
      <c r="BW29" s="389"/>
      <c r="BX29" s="389"/>
      <c r="BY29" s="389"/>
      <c r="BZ29" s="25"/>
      <c r="CA29" s="25"/>
      <c r="CB29" s="389"/>
      <c r="CC29" s="389"/>
      <c r="CD29" s="389"/>
      <c r="CE29" s="389"/>
      <c r="CF29" s="553"/>
      <c r="CG29" s="566">
        <f>SUM('3 pr-2'!AH30)</f>
        <v>43102</v>
      </c>
      <c r="CH29" s="566">
        <f>SUM('3 pr-2'!AJ30)</f>
        <v>43291</v>
      </c>
      <c r="CI29" s="30">
        <f t="shared" si="57"/>
        <v>115600</v>
      </c>
      <c r="CJ29" s="30">
        <f t="shared" si="58"/>
        <v>0</v>
      </c>
      <c r="CQ29" s="1520">
        <f t="shared" si="93"/>
        <v>170000</v>
      </c>
      <c r="CR29" s="1521">
        <f t="shared" si="94"/>
        <v>115600</v>
      </c>
    </row>
    <row r="30" spans="1:96" ht="25.5" thickTop="1" thickBot="1" x14ac:dyDescent="0.3">
      <c r="A30" s="183" t="str">
        <f>CONCATENATE('3 pr-2'!A31)</f>
        <v>1.1.1.1.22</v>
      </c>
      <c r="B30" s="183" t="str">
        <f>CONCATENATE('3 pr-2'!D31)</f>
        <v>Alytaus rajono Makniūnų kaimo šaligatvių atnaujinimas ir plėtra</v>
      </c>
      <c r="C30" s="140">
        <f t="shared" si="69"/>
        <v>0</v>
      </c>
      <c r="D30" s="140">
        <f t="shared" si="70"/>
        <v>0</v>
      </c>
      <c r="E30" s="140">
        <f t="shared" si="71"/>
        <v>0</v>
      </c>
      <c r="F30" s="389">
        <f t="shared" si="72"/>
        <v>0</v>
      </c>
      <c r="G30" s="389">
        <f t="shared" si="73"/>
        <v>0</v>
      </c>
      <c r="H30" s="389">
        <f t="shared" si="74"/>
        <v>0</v>
      </c>
      <c r="I30" s="389">
        <f t="shared" si="75"/>
        <v>0</v>
      </c>
      <c r="J30" s="140">
        <f t="shared" si="76"/>
        <v>0</v>
      </c>
      <c r="K30" s="140">
        <f t="shared" si="77"/>
        <v>0</v>
      </c>
      <c r="L30" s="389">
        <f t="shared" si="78"/>
        <v>0</v>
      </c>
      <c r="M30" s="389">
        <f t="shared" si="79"/>
        <v>0</v>
      </c>
      <c r="N30" s="389">
        <f t="shared" si="80"/>
        <v>0</v>
      </c>
      <c r="O30" s="389">
        <f t="shared" si="81"/>
        <v>0</v>
      </c>
      <c r="P30" s="140">
        <f t="shared" si="82"/>
        <v>0</v>
      </c>
      <c r="Q30" s="140">
        <f>IF(YEAR($Q$2)=YEAR($CG$9),($CH$30-$CG$30)*AJ30,0)</f>
        <v>70991</v>
      </c>
      <c r="R30" s="389">
        <f>IF(YEAR($Q$2)=YEAR($CG$9),($CH$30-$CG$30)*AL30,0)</f>
        <v>14198</v>
      </c>
      <c r="S30" s="389">
        <f>IF(YEAR($Q$2)=YEAR($CG$9),($CH$30-$CG$30)*AN30,0)</f>
        <v>8519</v>
      </c>
      <c r="T30" s="389">
        <f>IF(YEAR($Q$2)=YEAR($CG$9),($CH$30-$CG$30)*AP30,0)</f>
        <v>0</v>
      </c>
      <c r="U30" s="389">
        <f>IF(YEAR($Q$2)=YEAR($CG$9),($CH$30-$CG$30)*AR30,0)</f>
        <v>0</v>
      </c>
      <c r="V30" s="140">
        <f>IF(YEAR($Q$2)=YEAR($CG$9),($CH$30-$CG$30)*AT30,0)</f>
        <v>48274</v>
      </c>
      <c r="W30" s="140">
        <f t="shared" si="105"/>
        <v>0</v>
      </c>
      <c r="X30" s="389">
        <f t="shared" si="106"/>
        <v>0</v>
      </c>
      <c r="Y30" s="389">
        <f t="shared" si="107"/>
        <v>0</v>
      </c>
      <c r="Z30" s="389">
        <f t="shared" si="108"/>
        <v>0</v>
      </c>
      <c r="AA30" s="389">
        <f t="shared" si="109"/>
        <v>0</v>
      </c>
      <c r="AB30" s="140">
        <f t="shared" si="110"/>
        <v>0</v>
      </c>
      <c r="AC30" s="140">
        <f t="shared" si="111"/>
        <v>0</v>
      </c>
      <c r="AD30" s="389">
        <f t="shared" si="112"/>
        <v>0</v>
      </c>
      <c r="AE30" s="389">
        <f t="shared" si="113"/>
        <v>0</v>
      </c>
      <c r="AF30" s="389">
        <f t="shared" si="114"/>
        <v>0</v>
      </c>
      <c r="AG30" s="389">
        <f t="shared" si="115"/>
        <v>0</v>
      </c>
      <c r="AH30" s="140">
        <f t="shared" si="116"/>
        <v>0</v>
      </c>
      <c r="AI30" s="1169">
        <f>SUM('3 pr-2'!L31)</f>
        <v>70991</v>
      </c>
      <c r="AJ30" s="140">
        <f t="shared" si="25"/>
        <v>195.56749311294766</v>
      </c>
      <c r="AK30" s="389">
        <f>SUM('3 pr-2'!O31)</f>
        <v>14198</v>
      </c>
      <c r="AL30" s="389">
        <f t="shared" si="26"/>
        <v>39.112947658402206</v>
      </c>
      <c r="AM30" s="389">
        <f>SUM('3 pr-2'!R31)</f>
        <v>8519</v>
      </c>
      <c r="AN30" s="389">
        <f t="shared" si="27"/>
        <v>23.46831955922865</v>
      </c>
      <c r="AO30" s="389">
        <f>SUM('3 pr-2'!U31)</f>
        <v>0</v>
      </c>
      <c r="AP30" s="1199">
        <f t="shared" si="28"/>
        <v>0</v>
      </c>
      <c r="AQ30" s="389">
        <f>SUM('3 pr-2'!X31)</f>
        <v>0</v>
      </c>
      <c r="AR30" s="1163">
        <f t="shared" si="29"/>
        <v>0</v>
      </c>
      <c r="AS30" s="38">
        <f>SUM('3 pr-2'!AA31)</f>
        <v>48274</v>
      </c>
      <c r="AT30" s="1162">
        <f t="shared" si="30"/>
        <v>132.98622589531681</v>
      </c>
      <c r="AU30" s="24"/>
      <c r="AV30" s="25"/>
      <c r="AW30" s="25"/>
      <c r="AX30" s="389"/>
      <c r="AY30" s="389"/>
      <c r="AZ30" s="389"/>
      <c r="BA30" s="389"/>
      <c r="BB30" s="25"/>
      <c r="BC30" s="25"/>
      <c r="BD30" s="389"/>
      <c r="BE30" s="389"/>
      <c r="BF30" s="389"/>
      <c r="BG30" s="389"/>
      <c r="BH30" s="25"/>
      <c r="BI30" s="25"/>
      <c r="BJ30" s="389"/>
      <c r="BK30" s="389"/>
      <c r="BL30" s="389"/>
      <c r="BM30" s="389"/>
      <c r="BN30" s="25"/>
      <c r="BO30" s="25"/>
      <c r="BP30" s="389"/>
      <c r="BQ30" s="389"/>
      <c r="BR30" s="389"/>
      <c r="BS30" s="389"/>
      <c r="BT30" s="25"/>
      <c r="BU30" s="25"/>
      <c r="BV30" s="389"/>
      <c r="BW30" s="389"/>
      <c r="BX30" s="389"/>
      <c r="BY30" s="389"/>
      <c r="BZ30" s="25"/>
      <c r="CA30" s="25"/>
      <c r="CB30" s="389"/>
      <c r="CC30" s="389"/>
      <c r="CD30" s="389"/>
      <c r="CE30" s="389"/>
      <c r="CF30" s="553"/>
      <c r="CG30" s="566">
        <f>SUM('3 pr-2'!AH31)</f>
        <v>43102</v>
      </c>
      <c r="CH30" s="566">
        <f>SUM('3 pr-2'!AJ31)</f>
        <v>43465</v>
      </c>
      <c r="CI30" s="30">
        <f t="shared" si="57"/>
        <v>48274</v>
      </c>
      <c r="CJ30" s="30">
        <f t="shared" si="58"/>
        <v>0</v>
      </c>
      <c r="CQ30" s="1520">
        <f t="shared" si="93"/>
        <v>70991</v>
      </c>
      <c r="CR30" s="1521">
        <f t="shared" si="94"/>
        <v>48274</v>
      </c>
    </row>
    <row r="31" spans="1:96" ht="17.25" thickTop="1" thickBot="1" x14ac:dyDescent="0.3">
      <c r="A31" s="189"/>
      <c r="B31" s="184"/>
      <c r="C31" s="111"/>
      <c r="D31" s="111"/>
      <c r="E31" s="111"/>
      <c r="F31" s="111"/>
      <c r="G31" s="111"/>
      <c r="H31" s="111"/>
      <c r="I31" s="111"/>
      <c r="J31" s="111"/>
      <c r="K31" s="111"/>
      <c r="L31" s="406"/>
      <c r="M31" s="406"/>
      <c r="N31" s="406"/>
      <c r="O31" s="406"/>
      <c r="P31" s="111"/>
      <c r="Q31" s="111"/>
      <c r="R31" s="406"/>
      <c r="S31" s="406"/>
      <c r="T31" s="406"/>
      <c r="U31" s="406"/>
      <c r="V31" s="111"/>
      <c r="W31" s="111"/>
      <c r="X31" s="406"/>
      <c r="Y31" s="406"/>
      <c r="Z31" s="406"/>
      <c r="AA31" s="406"/>
      <c r="AB31" s="111"/>
      <c r="AC31" s="111"/>
      <c r="AD31" s="406"/>
      <c r="AE31" s="406"/>
      <c r="AF31" s="406"/>
      <c r="AG31" s="406"/>
      <c r="AH31" s="111"/>
      <c r="AI31" s="1170"/>
      <c r="AJ31" s="111"/>
      <c r="AK31" s="111"/>
      <c r="AL31" s="111"/>
      <c r="AM31" s="111"/>
      <c r="AN31" s="111"/>
      <c r="AO31" s="111"/>
      <c r="AP31" s="111"/>
      <c r="AQ31" s="111"/>
      <c r="AR31" s="111"/>
      <c r="AS31" s="13"/>
      <c r="AT31" s="13"/>
      <c r="AU31" s="6"/>
      <c r="AV31" s="7"/>
      <c r="AW31" s="7"/>
      <c r="AX31" s="111"/>
      <c r="AY31" s="111"/>
      <c r="AZ31" s="111"/>
      <c r="BA31" s="111"/>
      <c r="BB31" s="7"/>
      <c r="BC31" s="7"/>
      <c r="BD31" s="111"/>
      <c r="BE31" s="111"/>
      <c r="BF31" s="111"/>
      <c r="BG31" s="111"/>
      <c r="BH31" s="7"/>
      <c r="BI31" s="7"/>
      <c r="BJ31" s="111"/>
      <c r="BK31" s="111"/>
      <c r="BL31" s="111"/>
      <c r="BM31" s="111"/>
      <c r="BN31" s="7"/>
      <c r="BO31" s="7"/>
      <c r="BP31" s="111"/>
      <c r="BQ31" s="111"/>
      <c r="BR31" s="111"/>
      <c r="BS31" s="111"/>
      <c r="BT31" s="7"/>
      <c r="BU31" s="7"/>
      <c r="BV31" s="111"/>
      <c r="BW31" s="111"/>
      <c r="BX31" s="111"/>
      <c r="BY31" s="111"/>
      <c r="BZ31" s="7"/>
      <c r="CA31" s="7"/>
      <c r="CB31" s="111"/>
      <c r="CC31" s="111"/>
      <c r="CD31" s="111"/>
      <c r="CE31" s="111"/>
      <c r="CF31" s="554"/>
      <c r="CG31" s="562"/>
      <c r="CH31" s="561"/>
    </row>
    <row r="32" spans="1:96" ht="52.5" thickBot="1" x14ac:dyDescent="0.3">
      <c r="A32" s="383" t="str">
        <f>CONCATENATE('3 pr-2'!A33)</f>
        <v>1.1.1.2</v>
      </c>
      <c r="B32" s="182" t="str">
        <f>CONCATENATE('3 pr-2'!D33)</f>
        <v/>
      </c>
      <c r="C32" s="129">
        <f>SUM(C33:C37)</f>
        <v>0</v>
      </c>
      <c r="D32" s="129">
        <f t="shared" ref="D32:AS32" si="117">SUM(D33:D37)</f>
        <v>0</v>
      </c>
      <c r="E32" s="129">
        <f t="shared" si="117"/>
        <v>0</v>
      </c>
      <c r="F32" s="129"/>
      <c r="G32" s="129"/>
      <c r="H32" s="129"/>
      <c r="I32" s="129"/>
      <c r="J32" s="129">
        <f t="shared" si="117"/>
        <v>0</v>
      </c>
      <c r="K32" s="129">
        <f t="shared" si="117"/>
        <v>0</v>
      </c>
      <c r="L32" s="404">
        <f t="shared" ref="L32:O32" si="118">SUM(L33:L37)</f>
        <v>0</v>
      </c>
      <c r="M32" s="404">
        <f t="shared" si="118"/>
        <v>0</v>
      </c>
      <c r="N32" s="404">
        <f t="shared" si="118"/>
        <v>0</v>
      </c>
      <c r="O32" s="404">
        <f t="shared" si="118"/>
        <v>0</v>
      </c>
      <c r="P32" s="129">
        <f t="shared" si="117"/>
        <v>0</v>
      </c>
      <c r="Q32" s="129">
        <f t="shared" si="117"/>
        <v>657887.79646711727</v>
      </c>
      <c r="R32" s="404"/>
      <c r="S32" s="404"/>
      <c r="T32" s="404"/>
      <c r="U32" s="404"/>
      <c r="V32" s="129">
        <f t="shared" si="117"/>
        <v>546751.59655886737</v>
      </c>
      <c r="W32" s="129">
        <f t="shared" si="117"/>
        <v>1519120.627530206</v>
      </c>
      <c r="X32" s="404"/>
      <c r="Y32" s="404"/>
      <c r="Z32" s="404"/>
      <c r="AA32" s="404"/>
      <c r="AB32" s="129">
        <f t="shared" si="117"/>
        <v>1266549.6195934576</v>
      </c>
      <c r="AC32" s="129">
        <f t="shared" si="117"/>
        <v>1209320.5760026765</v>
      </c>
      <c r="AD32" s="404"/>
      <c r="AE32" s="404"/>
      <c r="AF32" s="404"/>
      <c r="AG32" s="404"/>
      <c r="AH32" s="129">
        <f t="shared" si="117"/>
        <v>1003151.7838476752</v>
      </c>
      <c r="AI32" s="1168">
        <f t="shared" si="117"/>
        <v>3386329</v>
      </c>
      <c r="AJ32" s="129"/>
      <c r="AK32" s="129"/>
      <c r="AL32" s="129"/>
      <c r="AM32" s="129"/>
      <c r="AN32" s="129"/>
      <c r="AO32" s="129"/>
      <c r="AP32" s="129"/>
      <c r="AQ32" s="129"/>
      <c r="AR32" s="129"/>
      <c r="AS32" s="129">
        <f t="shared" si="117"/>
        <v>2816453</v>
      </c>
      <c r="AT32" s="129"/>
      <c r="AU32" s="22">
        <v>0</v>
      </c>
      <c r="AV32" s="23">
        <v>0</v>
      </c>
      <c r="AW32" s="23">
        <v>0</v>
      </c>
      <c r="AX32" s="129">
        <v>0</v>
      </c>
      <c r="AY32" s="129">
        <v>0</v>
      </c>
      <c r="AZ32" s="129">
        <v>0</v>
      </c>
      <c r="BA32" s="129">
        <v>0</v>
      </c>
      <c r="BB32" s="23">
        <v>0</v>
      </c>
      <c r="BC32" s="23">
        <v>0</v>
      </c>
      <c r="BD32" s="129">
        <v>0</v>
      </c>
      <c r="BE32" s="129">
        <v>0</v>
      </c>
      <c r="BF32" s="129">
        <v>0</v>
      </c>
      <c r="BG32" s="129">
        <v>0</v>
      </c>
      <c r="BH32" s="396">
        <v>0</v>
      </c>
      <c r="BI32" s="396">
        <v>0</v>
      </c>
      <c r="BJ32" s="129">
        <v>0</v>
      </c>
      <c r="BK32" s="129">
        <v>0</v>
      </c>
      <c r="BL32" s="129">
        <v>0</v>
      </c>
      <c r="BM32" s="129">
        <v>0</v>
      </c>
      <c r="BN32" s="23">
        <v>0</v>
      </c>
      <c r="BO32" s="23">
        <v>0</v>
      </c>
      <c r="BP32" s="129">
        <v>0</v>
      </c>
      <c r="BQ32" s="129">
        <v>0</v>
      </c>
      <c r="BR32" s="129">
        <v>0</v>
      </c>
      <c r="BS32" s="129">
        <v>0</v>
      </c>
      <c r="BT32" s="396">
        <v>0</v>
      </c>
      <c r="BU32" s="396">
        <v>0</v>
      </c>
      <c r="BV32" s="129">
        <v>0</v>
      </c>
      <c r="BW32" s="129">
        <v>0</v>
      </c>
      <c r="BX32" s="129">
        <v>0</v>
      </c>
      <c r="BY32" s="129">
        <v>0</v>
      </c>
      <c r="BZ32" s="396">
        <v>0</v>
      </c>
      <c r="CA32" s="396">
        <v>100</v>
      </c>
      <c r="CB32" s="129">
        <v>100</v>
      </c>
      <c r="CC32" s="129">
        <v>100</v>
      </c>
      <c r="CD32" s="129">
        <v>100</v>
      </c>
      <c r="CE32" s="129">
        <v>100</v>
      </c>
      <c r="CF32" s="555">
        <v>100</v>
      </c>
      <c r="CG32" s="562"/>
      <c r="CH32" s="561"/>
    </row>
    <row r="33" spans="1:99" s="8" customFormat="1" ht="37.5" thickTop="1" thickBot="1" x14ac:dyDescent="0.3">
      <c r="A33" s="185" t="str">
        <f>CONCATENATE('3 pr-2'!A34:J34)</f>
        <v>1.1.1.2.1</v>
      </c>
      <c r="B33" s="185" t="str">
        <f>CONCATENATE('3 pr-2'!D34)</f>
        <v>Matuizų kaimo viešosios infrastruktūros atnaujinimas ir pritaikymas bendruomenės poreikiams</v>
      </c>
      <c r="C33" s="51">
        <v>0</v>
      </c>
      <c r="D33" s="51">
        <v>0</v>
      </c>
      <c r="E33" s="51">
        <v>0</v>
      </c>
      <c r="F33" s="389">
        <v>0</v>
      </c>
      <c r="G33" s="389">
        <v>0</v>
      </c>
      <c r="H33" s="389">
        <v>0</v>
      </c>
      <c r="I33" s="389">
        <v>0</v>
      </c>
      <c r="J33" s="51">
        <v>0</v>
      </c>
      <c r="K33" s="51">
        <v>0</v>
      </c>
      <c r="L33" s="405">
        <v>0</v>
      </c>
      <c r="M33" s="405">
        <v>0</v>
      </c>
      <c r="N33" s="405">
        <v>0</v>
      </c>
      <c r="O33" s="405">
        <v>0</v>
      </c>
      <c r="P33" s="51">
        <v>0</v>
      </c>
      <c r="Q33" s="111">
        <f>IF(YEAR($CG$33)=2018,($BI$4-$CG$33)*AI$33/($CH$33-$CG$33),0)</f>
        <v>129945.6262295082</v>
      </c>
      <c r="R33" s="405">
        <f>IF(YEAR($CG$33)=2018,($BI$4-$CG$33)*AK$33/($CH$33-$CG$33),0)</f>
        <v>23297.617486338797</v>
      </c>
      <c r="S33" s="405">
        <f>IF(YEAR($CG$33)=2018,($BI$4-$CG$33)*AM$33/($CH$33-$CG$33),0)</f>
        <v>8647.1956284153002</v>
      </c>
      <c r="T33" s="405">
        <f>IF(YEAR($CG$33)=2018,($BI$4-$CG$33)*AO$33/($CH$33-$CG$33),0)</f>
        <v>0</v>
      </c>
      <c r="U33" s="405">
        <f>IF(YEAR($CG$33)=2018,($BI$4-$CG$33)*AQ$33/($CH$33-$CG$33),0)</f>
        <v>0</v>
      </c>
      <c r="V33" s="111">
        <f>IF(YEAR($CG$33)=2018,($BI$4-$CG$33)*AS$33/($CH$33-$CG$33),0)</f>
        <v>98000.813114754099</v>
      </c>
      <c r="W33" s="111">
        <f>IF(YEAR($CH$33)=2020,($BO$4-$BI$4)*AI$33/($CH$33-$CG$33),0)</f>
        <v>257772.57377049181</v>
      </c>
      <c r="X33" s="422">
        <f>IF(YEAR($CH$33)=2020,($BO$4-$BI$4)*AK$33/($CH$33-$CG$33),0)</f>
        <v>46215.382513661199</v>
      </c>
      <c r="Y33" s="422">
        <f>IF(YEAR($CH$33)=2020,($BO$4-$BI$4)*AM$33/($CH$33-$CG$33),0)</f>
        <v>17153.4043715847</v>
      </c>
      <c r="Z33" s="422">
        <f>IF(YEAR($CH$33)=2020,($BO$4-$BI$4)*AO$33/($CH$33-$CG$33),0)</f>
        <v>0</v>
      </c>
      <c r="AA33" s="422">
        <f>IF(YEAR($CH$33)=2020,($BO$4-$BI$4)*AQ$33/($CH$33-$CG$33),0)</f>
        <v>0</v>
      </c>
      <c r="AB33" s="111">
        <f>IF(YEAR($CH$33)=2020,($BO$4-$BI$4)*AS$33/($CH$33-$CG$33),0)</f>
        <v>194403.78688524591</v>
      </c>
      <c r="AC33" s="111">
        <f>IF(YEAR($CH$33)=2020,($CH$33-$BO$4)*AI$33/($CH$33-$CG$33),0)</f>
        <v>258478.8</v>
      </c>
      <c r="AD33" s="422">
        <f>IF(YEAR($CH$33)=2020,($CH$33-$BO$4)*AK$33/($CH$33-$CG$33),0)</f>
        <v>46342</v>
      </c>
      <c r="AE33" s="422">
        <f>IF(YEAR($CH$33)=2020,($CH$33-$BO$4)*AM$33/($CH$33-$CG$33),0)</f>
        <v>17200.400000000001</v>
      </c>
      <c r="AF33" s="422">
        <f>IF(YEAR($CH$33)=2020,($CH$33-$BO$4)*AO$33/($CH$33-$CG$33),0)</f>
        <v>0</v>
      </c>
      <c r="AG33" s="422">
        <f>IF(YEAR($CH$33)=2020,($CH$33-$BO$4)*AQ$33/($CH$33-$CG$33),0)</f>
        <v>0</v>
      </c>
      <c r="AH33" s="111">
        <f>IF(YEAR($CH$33)=2020,($CH$33-$BO$4)*AS$33/($CH$33-$CG$33),0)</f>
        <v>194936.4</v>
      </c>
      <c r="AI33" s="1171">
        <f>SUM('3 pr-2'!L34)</f>
        <v>646197</v>
      </c>
      <c r="AJ33" s="797"/>
      <c r="AK33" s="389">
        <f>SUM('3 pr-2'!O34)</f>
        <v>115855</v>
      </c>
      <c r="AL33" s="389"/>
      <c r="AM33" s="389">
        <f>SUM('3 pr-2'!R34)</f>
        <v>43001</v>
      </c>
      <c r="AN33" s="389"/>
      <c r="AO33" s="389">
        <f>SUM('3 pr-2'!U34)</f>
        <v>0</v>
      </c>
      <c r="AP33" s="389"/>
      <c r="AQ33" s="389">
        <f>SUM('3 pr-2'!X34)</f>
        <v>0</v>
      </c>
      <c r="AR33" s="888"/>
      <c r="AS33" s="798">
        <f>SUM('3 pr-2'!AA34)</f>
        <v>487341</v>
      </c>
      <c r="AT33" s="811"/>
      <c r="AU33" s="22"/>
      <c r="AV33" s="23"/>
      <c r="AW33" s="23"/>
      <c r="AX33" s="389"/>
      <c r="AY33" s="389"/>
      <c r="AZ33" s="389"/>
      <c r="BA33" s="389"/>
      <c r="BB33" s="23"/>
      <c r="BC33" s="23"/>
      <c r="BD33" s="389"/>
      <c r="BE33" s="389"/>
      <c r="BF33" s="389"/>
      <c r="BG33" s="389"/>
      <c r="BH33" s="396"/>
      <c r="BI33" s="396"/>
      <c r="BJ33" s="389"/>
      <c r="BK33" s="389"/>
      <c r="BL33" s="389"/>
      <c r="BM33" s="389"/>
      <c r="BN33" s="396"/>
      <c r="BO33" s="396"/>
      <c r="BP33" s="389"/>
      <c r="BQ33" s="389"/>
      <c r="BR33" s="389"/>
      <c r="BS33" s="389"/>
      <c r="BT33" s="396"/>
      <c r="BU33" s="396"/>
      <c r="BV33" s="389"/>
      <c r="BW33" s="389"/>
      <c r="BX33" s="389"/>
      <c r="BY33" s="389"/>
      <c r="BZ33" s="396"/>
      <c r="CA33" s="396"/>
      <c r="CB33" s="389"/>
      <c r="CC33" s="389"/>
      <c r="CD33" s="389"/>
      <c r="CE33" s="389"/>
      <c r="CF33" s="555"/>
      <c r="CG33" s="566">
        <f>SUM('3 pr-2'!AH34)</f>
        <v>43281</v>
      </c>
      <c r="CH33" s="566">
        <f>SUM('3 pr-2'!AJ34)</f>
        <v>44196</v>
      </c>
      <c r="CI33" s="30">
        <f>SUM(P33+V33+AB33+AH33)</f>
        <v>487341</v>
      </c>
      <c r="CJ33" s="30">
        <f t="shared" ref="CJ33:CJ42" si="119">SUM(CI33-AS33)</f>
        <v>0</v>
      </c>
      <c r="CQ33" s="1520">
        <f t="shared" ref="CQ33:CQ37" si="120">SUM(E33+K33+Q33+W33+AC33)</f>
        <v>646197</v>
      </c>
      <c r="CR33" s="1521">
        <f t="shared" ref="CR33:CR37" si="121">SUM(J33+P33+V33+AB33+AH33)</f>
        <v>487341</v>
      </c>
    </row>
    <row r="34" spans="1:99" s="8" customFormat="1" ht="37.5" thickTop="1" thickBot="1" x14ac:dyDescent="0.3">
      <c r="A34" s="185" t="str">
        <f>CONCATENATE('3 pr-2'!A35:J35)</f>
        <v>1.1.1.2.2</v>
      </c>
      <c r="B34" s="186" t="str">
        <f>CONCATENATE('3 pr-2'!D35)</f>
        <v>Senosios Varėnos kaimo viešosios infrastruktūros atnaujinimas ir pritaikymas bendruomenės poreikiams</v>
      </c>
      <c r="C34" s="51">
        <v>0</v>
      </c>
      <c r="D34" s="51">
        <v>0</v>
      </c>
      <c r="E34" s="51">
        <v>0</v>
      </c>
      <c r="F34" s="389">
        <v>0</v>
      </c>
      <c r="G34" s="389">
        <v>0</v>
      </c>
      <c r="H34" s="389">
        <v>0</v>
      </c>
      <c r="I34" s="389">
        <v>0</v>
      </c>
      <c r="J34" s="51">
        <v>0</v>
      </c>
      <c r="K34" s="51">
        <v>0</v>
      </c>
      <c r="L34" s="405">
        <v>0</v>
      </c>
      <c r="M34" s="405">
        <v>0</v>
      </c>
      <c r="N34" s="405">
        <v>0</v>
      </c>
      <c r="O34" s="405">
        <v>0</v>
      </c>
      <c r="P34" s="51">
        <v>0</v>
      </c>
      <c r="Q34" s="111">
        <f>IF(YEAR($CG$34)=2018,($BI$4-$CG$34)*AI$34/($CH$34-$CG$34),0)</f>
        <v>189744.92957746479</v>
      </c>
      <c r="R34" s="405">
        <f>IF(YEAR($CG$34)=2018,($BI$4-$CG$34)*AK$34/($CH$34-$CG$34),0)</f>
        <v>14230.908920187794</v>
      </c>
      <c r="S34" s="405">
        <f>IF(YEAR($CG$34)=2018,($BI$4-$CG$34)*AM$34/($CH$34-$CG$34),0)</f>
        <v>14230.908920187794</v>
      </c>
      <c r="T34" s="405">
        <f>IF(YEAR($CG$34)=2018,($BI$4-$CG$34)*AO$34/($CH$34-$CG$34),0)</f>
        <v>0</v>
      </c>
      <c r="U34" s="405">
        <f>IF(YEAR($CG$34)=2018,($BI$4-$CG$34)*AQ$34/($CH$34-$CG$34),0)</f>
        <v>0</v>
      </c>
      <c r="V34" s="111">
        <f>IF(YEAR($CG$34)=2018,($BI$4-$CG$34)*AS$34/($CH$34-$CG$34),0)</f>
        <v>161283.1117370892</v>
      </c>
      <c r="W34" s="111">
        <f>IF(YEAR($CH$34)=2020,($BO$4-$BI$4)*AI$34/($CH$34-$CG$34),0)</f>
        <v>207355.98591549296</v>
      </c>
      <c r="X34" s="422">
        <f>IF(YEAR($CH$34)=2020,($BO$4-$BI$4)*AK$34/($CH$34-$CG$34),0)</f>
        <v>15551.741784037558</v>
      </c>
      <c r="Y34" s="422">
        <f>IF(YEAR($CH$34)=2020,($BO$4-$BI$4)*AM$34/($CH$34-$CG$34),0)</f>
        <v>15551.741784037558</v>
      </c>
      <c r="Z34" s="422">
        <f>IF(YEAR($CH$34)=2020,($BO$4-$BI$4)*AO$34/($CH$34-$CG$34),0)</f>
        <v>0</v>
      </c>
      <c r="AA34" s="422">
        <f>IF(YEAR($CH$34)=2020,($BO$4-$BI$4)*AQ$34/($CH$34-$CG$34),0)</f>
        <v>0</v>
      </c>
      <c r="AB34" s="111">
        <f>IF(YEAR($CH$34)=2020,($BO$4-$BI$4)*AS$34/($CH$34-$CG$34),0)</f>
        <v>176252.50234741785</v>
      </c>
      <c r="AC34" s="111">
        <f>IF(YEAR($CH$34)=2020,($CH$34-$BO$4)*AI$34/($CH$34-$CG$34),0)</f>
        <v>207924.08450704225</v>
      </c>
      <c r="AD34" s="422">
        <f>IF(YEAR($CH$34)=2020,($CH$34-$BO$4)*AK$34/($CH$34-$CG$34),0)</f>
        <v>15594.349295774648</v>
      </c>
      <c r="AE34" s="422">
        <f>IF(YEAR($CH$34)=2020,($CH$34-$BO$4)*AM$34/($CH$34-$CG$34),0)</f>
        <v>15594.349295774648</v>
      </c>
      <c r="AF34" s="422">
        <f>IF(YEAR($CH$34)=2020,($CH$34-$BO$4)*AO$34/($CH$34-$CG$34),0)</f>
        <v>0</v>
      </c>
      <c r="AG34" s="422">
        <f>IF(YEAR($CH$34)=2020,($CH$34-$BO$4)*AQ$34/($CH$34-$CG$34),0)</f>
        <v>0</v>
      </c>
      <c r="AH34" s="111">
        <f>IF(YEAR($CH$34)=2020,($CH$34-$BO$4)*AS$34/($CH$34-$CG$34),0)</f>
        <v>176735.38591549295</v>
      </c>
      <c r="AI34" s="1171">
        <f>SUM('3 pr-2'!L35)</f>
        <v>605025</v>
      </c>
      <c r="AJ34" s="797"/>
      <c r="AK34" s="389">
        <f>SUM('3 pr-2'!O35)</f>
        <v>45377</v>
      </c>
      <c r="AL34" s="389"/>
      <c r="AM34" s="389">
        <f>SUM('3 pr-2'!R35)</f>
        <v>45377</v>
      </c>
      <c r="AN34" s="389"/>
      <c r="AO34" s="389">
        <f>SUM('3 pr-2'!U35)</f>
        <v>0</v>
      </c>
      <c r="AP34" s="389"/>
      <c r="AQ34" s="389">
        <f>SUM('3 pr-2'!X35)</f>
        <v>0</v>
      </c>
      <c r="AR34" s="888"/>
      <c r="AS34" s="798">
        <f>SUM('3 pr-2'!AA35)</f>
        <v>514271</v>
      </c>
      <c r="AT34" s="811"/>
      <c r="AU34" s="22"/>
      <c r="AV34" s="23"/>
      <c r="AW34" s="23"/>
      <c r="AX34" s="389"/>
      <c r="AY34" s="389"/>
      <c r="AZ34" s="389"/>
      <c r="BA34" s="389"/>
      <c r="BB34" s="23"/>
      <c r="BC34" s="23"/>
      <c r="BD34" s="389"/>
      <c r="BE34" s="389"/>
      <c r="BF34" s="389"/>
      <c r="BG34" s="389"/>
      <c r="BH34" s="396"/>
      <c r="BI34" s="396"/>
      <c r="BJ34" s="389"/>
      <c r="BK34" s="389"/>
      <c r="BL34" s="389"/>
      <c r="BM34" s="389"/>
      <c r="BN34" s="396"/>
      <c r="BO34" s="396"/>
      <c r="BP34" s="389"/>
      <c r="BQ34" s="389"/>
      <c r="BR34" s="389"/>
      <c r="BS34" s="389"/>
      <c r="BT34" s="396"/>
      <c r="BU34" s="396"/>
      <c r="BV34" s="389"/>
      <c r="BW34" s="389"/>
      <c r="BX34" s="389"/>
      <c r="BY34" s="389"/>
      <c r="BZ34" s="396"/>
      <c r="CA34" s="396"/>
      <c r="CB34" s="389"/>
      <c r="CC34" s="389"/>
      <c r="CD34" s="389"/>
      <c r="CE34" s="389"/>
      <c r="CF34" s="555"/>
      <c r="CG34" s="566">
        <f>SUM('3 pr-2'!AH35)</f>
        <v>43131</v>
      </c>
      <c r="CH34" s="566">
        <f>SUM('3 pr-2'!AJ35)</f>
        <v>44196</v>
      </c>
      <c r="CI34" s="30">
        <f>SUM(P34+V34+AB34+AH34)</f>
        <v>514271</v>
      </c>
      <c r="CJ34" s="30">
        <f t="shared" si="119"/>
        <v>0</v>
      </c>
      <c r="CK34" s="8">
        <v>24</v>
      </c>
      <c r="CL34" s="8">
        <v>365</v>
      </c>
      <c r="CM34" s="8">
        <v>12</v>
      </c>
      <c r="CQ34" s="1520">
        <f t="shared" si="120"/>
        <v>605025</v>
      </c>
      <c r="CR34" s="1521">
        <f t="shared" si="121"/>
        <v>514271</v>
      </c>
      <c r="CT34" s="8">
        <f>SUM(CL34/CM34)</f>
        <v>30.416666666666668</v>
      </c>
      <c r="CU34" s="8">
        <f>SUM(CK34*CT34)</f>
        <v>730</v>
      </c>
    </row>
    <row r="35" spans="1:99" s="8" customFormat="1" ht="25.5" thickTop="1" thickBot="1" x14ac:dyDescent="0.3">
      <c r="A35" s="185" t="str">
        <f>CONCATENATE('3 pr-2'!A36:J36)</f>
        <v>1.1.1.2.3</v>
      </c>
      <c r="B35" s="186" t="str">
        <f>CONCATENATE('3 pr-2'!D36)</f>
        <v>Kompleksinė Miklusėnų gyvenvietės plėtra</v>
      </c>
      <c r="C35" s="51">
        <v>0</v>
      </c>
      <c r="D35" s="51">
        <v>0</v>
      </c>
      <c r="E35" s="51">
        <v>0</v>
      </c>
      <c r="F35" s="389">
        <v>0</v>
      </c>
      <c r="G35" s="389">
        <v>0</v>
      </c>
      <c r="H35" s="389">
        <v>0</v>
      </c>
      <c r="I35" s="389">
        <v>0</v>
      </c>
      <c r="J35" s="51">
        <v>0</v>
      </c>
      <c r="K35" s="51">
        <v>0</v>
      </c>
      <c r="L35" s="405">
        <v>0</v>
      </c>
      <c r="M35" s="405">
        <v>0</v>
      </c>
      <c r="N35" s="405">
        <v>0</v>
      </c>
      <c r="O35" s="405">
        <v>0</v>
      </c>
      <c r="P35" s="51">
        <v>0</v>
      </c>
      <c r="Q35" s="111">
        <f>IF(YEAR($CG$35)=2018,($BI$4-$CG$35)*AI$35/($CH$35-$CG$35),0)</f>
        <v>116645.1567436209</v>
      </c>
      <c r="R35" s="405">
        <f>IF(YEAR($CG$35)=2018,($BI$4-$CG$35)*AK$35/($CH$35-$CG$35),0)</f>
        <v>8748.383961117861</v>
      </c>
      <c r="S35" s="405">
        <f>IF(YEAR($CG$35)=2018,($BI$4-$CG$35)*AM$35/($CH$35-$CG$35),0)</f>
        <v>8748.383961117861</v>
      </c>
      <c r="T35" s="405">
        <f>IF(YEAR($CG$35)=2018,($BI$4-$CG$35)*AO$35/($CH$35-$CG$35),0)</f>
        <v>0</v>
      </c>
      <c r="U35" s="405">
        <f>IF(YEAR($CG$35)=2018,($BI$4-$CG$35)*AQ$35/($CH$35-$CG$35),0)</f>
        <v>0</v>
      </c>
      <c r="V35" s="111">
        <f>IF(YEAR($CG$35)=2018,($BI$4-$CG$35)*AS$35/($CH$35-$CG$35),0)</f>
        <v>99148.388821385175</v>
      </c>
      <c r="W35" s="111">
        <f>IF(YEAR($CH$35)=2020,($BO$4-$BI$4)*AI$35/($CH$35-$CG$35),0)</f>
        <v>462776.98055893072</v>
      </c>
      <c r="X35" s="422">
        <f>IF(YEAR($CH$35)=2020,($BO$4-$BI$4)*AK$35/($CH$35-$CG$35),0)</f>
        <v>34708.262454434996</v>
      </c>
      <c r="Y35" s="422">
        <f>IF(YEAR($CH$35)=2020,($BO$4-$BI$4)*AM$35/($CH$35-$CG$35),0)</f>
        <v>34708.262454434996</v>
      </c>
      <c r="Z35" s="422">
        <f>IF(YEAR($CH$35)=2020,($BO$4-$BI$4)*AO$35/($CH$35-$CG$35),0)</f>
        <v>0</v>
      </c>
      <c r="AA35" s="422">
        <f>IF(YEAR($CH$35)=2020,($BO$4-$BI$4)*AQ$35/($CH$35-$CG$35),0)</f>
        <v>0</v>
      </c>
      <c r="AB35" s="111">
        <f>IF(YEAR($CH$35)=2020,($BO$4-$BI$4)*AS$35/($CH$35-$CG$35),0)</f>
        <v>393360.45565006073</v>
      </c>
      <c r="AC35" s="111">
        <f>IF(YEAR($CH$35)=2020,($CH$35-$BO$4)*AI$35/($CH$35-$CG$35),0)</f>
        <v>464044.86269744835</v>
      </c>
      <c r="AD35" s="422">
        <f>IF(YEAR($CH$35)=2020,($CH$35-$BO$4)*AK$35/($CH$35-$CG$35),0)</f>
        <v>34803.353584447148</v>
      </c>
      <c r="AE35" s="422">
        <f>IF(YEAR($CH$35)=2020,($CH$35-$BO$4)*AM$35/($CH$35-$CG$35),0)</f>
        <v>34803.353584447148</v>
      </c>
      <c r="AF35" s="422">
        <f>IF(YEAR($CH$35)=2020,($CH$35-$BO$4)*AO$35/($CH$35-$CG$35),0)</f>
        <v>0</v>
      </c>
      <c r="AG35" s="422">
        <f>IF(YEAR($CH$35)=2020,($CH$35-$BO$4)*AQ$35/($CH$35-$CG$35),0)</f>
        <v>0</v>
      </c>
      <c r="AH35" s="111">
        <f>IF(YEAR($CH$35)=2020,($CH$35-$BO$4)*AS$35/($CH$35-$CG$35),0)</f>
        <v>394438.15552855405</v>
      </c>
      <c r="AI35" s="1171">
        <f>SUM('3 pr-2'!L36)</f>
        <v>1043467</v>
      </c>
      <c r="AJ35" s="797"/>
      <c r="AK35" s="389">
        <f>SUM('3 pr-2'!O36)</f>
        <v>78260</v>
      </c>
      <c r="AL35" s="389"/>
      <c r="AM35" s="389">
        <f>SUM('3 pr-2'!R36)</f>
        <v>78260</v>
      </c>
      <c r="AN35" s="389"/>
      <c r="AO35" s="389">
        <f>SUM('3 pr-2'!U36)</f>
        <v>0</v>
      </c>
      <c r="AP35" s="389"/>
      <c r="AQ35" s="389">
        <f>SUM('3 pr-2'!X36)</f>
        <v>0</v>
      </c>
      <c r="AR35" s="888"/>
      <c r="AS35" s="798">
        <f>SUM('3 pr-2'!AA36)</f>
        <v>886947</v>
      </c>
      <c r="AT35" s="811"/>
      <c r="AU35" s="22"/>
      <c r="AV35" s="23"/>
      <c r="AW35" s="23"/>
      <c r="AX35" s="389"/>
      <c r="AY35" s="389"/>
      <c r="AZ35" s="389"/>
      <c r="BA35" s="389"/>
      <c r="BB35" s="23"/>
      <c r="BC35" s="23"/>
      <c r="BD35" s="389"/>
      <c r="BE35" s="389"/>
      <c r="BF35" s="389"/>
      <c r="BG35" s="389"/>
      <c r="BH35" s="396"/>
      <c r="BI35" s="396"/>
      <c r="BJ35" s="389"/>
      <c r="BK35" s="389"/>
      <c r="BL35" s="389"/>
      <c r="BM35" s="389"/>
      <c r="BN35" s="396"/>
      <c r="BO35" s="396"/>
      <c r="BP35" s="389"/>
      <c r="BQ35" s="389"/>
      <c r="BR35" s="389"/>
      <c r="BS35" s="389"/>
      <c r="BT35" s="396"/>
      <c r="BU35" s="396"/>
      <c r="BV35" s="389"/>
      <c r="BW35" s="389"/>
      <c r="BX35" s="389"/>
      <c r="BY35" s="389"/>
      <c r="BZ35" s="396"/>
      <c r="CA35" s="396"/>
      <c r="CB35" s="389"/>
      <c r="CC35" s="389"/>
      <c r="CD35" s="389"/>
      <c r="CE35" s="389"/>
      <c r="CF35" s="555"/>
      <c r="CG35" s="566">
        <f>SUM('3 pr-2'!AH36)</f>
        <v>43373</v>
      </c>
      <c r="CH35" s="566">
        <f>SUM('3 pr-2'!AJ36)</f>
        <v>44196</v>
      </c>
      <c r="CI35" s="30">
        <f>SUM(P35+V35+AB35+AH35)</f>
        <v>886947</v>
      </c>
      <c r="CJ35" s="30">
        <f t="shared" si="119"/>
        <v>0</v>
      </c>
      <c r="CK35" s="8">
        <v>24</v>
      </c>
      <c r="CL35" s="8">
        <v>365</v>
      </c>
      <c r="CM35" s="8">
        <v>12</v>
      </c>
      <c r="CQ35" s="1520">
        <f t="shared" si="120"/>
        <v>1043467</v>
      </c>
      <c r="CR35" s="1521">
        <f t="shared" si="121"/>
        <v>886947</v>
      </c>
      <c r="CT35" s="8">
        <f>SUM(CL35/CM35)</f>
        <v>30.416666666666668</v>
      </c>
      <c r="CU35" s="8">
        <f>SUM(CK35*CT35)</f>
        <v>730</v>
      </c>
    </row>
    <row r="36" spans="1:99" s="8" customFormat="1" ht="25.5" thickTop="1" thickBot="1" x14ac:dyDescent="0.3">
      <c r="A36" s="185" t="str">
        <f>CONCATENATE('3 pr-2'!A37:J37)</f>
        <v>1.1.1.2.4</v>
      </c>
      <c r="B36" s="149" t="str">
        <f>CONCATENATE('3 pr-2'!D37)</f>
        <v>Leipalingio viešosios erdvės pritaikymas bendruomenės poreikiams</v>
      </c>
      <c r="C36" s="114">
        <v>0</v>
      </c>
      <c r="D36" s="114">
        <v>0</v>
      </c>
      <c r="E36" s="114">
        <v>0</v>
      </c>
      <c r="F36" s="389">
        <v>0</v>
      </c>
      <c r="G36" s="389">
        <v>0</v>
      </c>
      <c r="H36" s="389">
        <v>0</v>
      </c>
      <c r="I36" s="389">
        <v>0</v>
      </c>
      <c r="J36" s="114">
        <v>0</v>
      </c>
      <c r="K36" s="114">
        <v>0</v>
      </c>
      <c r="L36" s="405">
        <v>0</v>
      </c>
      <c r="M36" s="405">
        <v>0</v>
      </c>
      <c r="N36" s="405">
        <v>0</v>
      </c>
      <c r="O36" s="405">
        <v>0</v>
      </c>
      <c r="P36" s="114">
        <v>0</v>
      </c>
      <c r="Q36" s="111">
        <f>IF(YEAR($CG$36)=2018,($BI$4-$CG$36)*AI$36/($CH$36-$CG$36),0)</f>
        <v>104654.70636550308</v>
      </c>
      <c r="R36" s="405">
        <f>IF(YEAR($CG$36)=2018,($BI$4-$CG$36)*AK$36/($CH$36-$CG$36),0)</f>
        <v>7849.0841889117046</v>
      </c>
      <c r="S36" s="405">
        <f>IF(YEAR($CG$36)=2018,($BI$4-$CG$36)*AM$36/($CH$36-$CG$36),0)</f>
        <v>7849.0841889117046</v>
      </c>
      <c r="T36" s="405">
        <f>IF(YEAR($CG$36)=2018,($BI$4-$CG$36)*AO$36/($CH$36-$CG$36),0)</f>
        <v>0</v>
      </c>
      <c r="U36" s="405">
        <f>IF(YEAR($CG$36)=2018,($BI$4-$CG$36)*AQ$36/($CH$36-$CG$36),0)</f>
        <v>0</v>
      </c>
      <c r="V36" s="114">
        <f>IF(YEAR($CG$36)=2018,($BI$4-$CG$36)*AS$36/($CH$36-$CG$36),0)</f>
        <v>88956.537987679665</v>
      </c>
      <c r="W36" s="111">
        <f>IF(YEAR($CH$36)=2019,($CH$36-$BI$4)*AI$36/($CH$36-$CG$36),0)</f>
        <v>313106.29363449692</v>
      </c>
      <c r="X36" s="415">
        <f>IF(YEAR($CH$36)=2019,($CH$36-$BI$4)*AK$36/($CH$36-$CG$36),0)</f>
        <v>23482.915811088296</v>
      </c>
      <c r="Y36" s="415">
        <f>IF(YEAR($CH$36)=2019,($CH$36-$BI$4)*AM$36/($CH$36-$CG$36),0)</f>
        <v>23482.915811088296</v>
      </c>
      <c r="Z36" s="415">
        <f>IF(YEAR($CH$36)=2019,($CH$36-$BI$4)*AO$36/($CH$36-$CG$36),0)</f>
        <v>0</v>
      </c>
      <c r="AA36" s="415">
        <f>IF(YEAR($CH$36)=2019,($CH$36-$BI$4)*AQ$36/($CH$36-$CG$36),0)</f>
        <v>0</v>
      </c>
      <c r="AB36" s="114">
        <f>IF(YEAR($CH$36)=2019,($CH$36-$BI$4)*AS$36/($CH$36-$CG$36),0)</f>
        <v>266140.46201232035</v>
      </c>
      <c r="AC36" s="114">
        <v>0</v>
      </c>
      <c r="AD36" s="415">
        <v>0</v>
      </c>
      <c r="AE36" s="415">
        <v>0</v>
      </c>
      <c r="AF36" s="415">
        <v>0</v>
      </c>
      <c r="AG36" s="415">
        <v>0</v>
      </c>
      <c r="AH36" s="114">
        <v>0</v>
      </c>
      <c r="AI36" s="1172">
        <f>SUM('3 pr-2'!L37)</f>
        <v>417761</v>
      </c>
      <c r="AJ36" s="165"/>
      <c r="AK36" s="389">
        <f>SUM('3 pr-2'!O37)</f>
        <v>31332</v>
      </c>
      <c r="AL36" s="389"/>
      <c r="AM36" s="389">
        <f>SUM('3 pr-2'!R37)</f>
        <v>31332</v>
      </c>
      <c r="AN36" s="389"/>
      <c r="AO36" s="389">
        <f>SUM('3 pr-2'!U37)</f>
        <v>0</v>
      </c>
      <c r="AP36" s="389"/>
      <c r="AQ36" s="389">
        <f>SUM('3 pr-2'!X37)</f>
        <v>0</v>
      </c>
      <c r="AR36" s="888"/>
      <c r="AS36" s="166">
        <f>SUM('3 pr-2'!AA37)</f>
        <v>355097</v>
      </c>
      <c r="AT36" s="812"/>
      <c r="AU36" s="22"/>
      <c r="AV36" s="23"/>
      <c r="AW36" s="23"/>
      <c r="AX36" s="389"/>
      <c r="AY36" s="389"/>
      <c r="AZ36" s="389"/>
      <c r="BA36" s="389"/>
      <c r="BB36" s="23"/>
      <c r="BC36" s="23"/>
      <c r="BD36" s="389"/>
      <c r="BE36" s="389"/>
      <c r="BF36" s="389"/>
      <c r="BG36" s="389"/>
      <c r="BH36" s="396"/>
      <c r="BI36" s="396"/>
      <c r="BJ36" s="389"/>
      <c r="BK36" s="389"/>
      <c r="BL36" s="389"/>
      <c r="BM36" s="389"/>
      <c r="BN36" s="396"/>
      <c r="BO36" s="396"/>
      <c r="BP36" s="389"/>
      <c r="BQ36" s="389"/>
      <c r="BR36" s="389"/>
      <c r="BS36" s="389"/>
      <c r="BT36" s="396"/>
      <c r="BU36" s="396"/>
      <c r="BV36" s="389"/>
      <c r="BW36" s="389"/>
      <c r="BX36" s="389"/>
      <c r="BY36" s="389"/>
      <c r="BZ36" s="396"/>
      <c r="CA36" s="396"/>
      <c r="CB36" s="389"/>
      <c r="CC36" s="389"/>
      <c r="CD36" s="389"/>
      <c r="CE36" s="389"/>
      <c r="CF36" s="555"/>
      <c r="CG36" s="566">
        <f>SUM('3 pr-2'!AH37)</f>
        <v>43343</v>
      </c>
      <c r="CH36" s="566">
        <f>SUM('3 pr-2'!AJ37)</f>
        <v>43830</v>
      </c>
      <c r="CI36" s="30">
        <f>SUM(P36+V36+AB36+AH36)</f>
        <v>355097</v>
      </c>
      <c r="CJ36" s="30">
        <f t="shared" si="119"/>
        <v>0</v>
      </c>
      <c r="CK36" s="8">
        <v>21</v>
      </c>
      <c r="CL36" s="8">
        <v>365</v>
      </c>
      <c r="CM36" s="8">
        <v>12</v>
      </c>
      <c r="CQ36" s="1520">
        <f t="shared" si="120"/>
        <v>417761</v>
      </c>
      <c r="CR36" s="1521">
        <f t="shared" si="121"/>
        <v>355097</v>
      </c>
      <c r="CT36" s="8">
        <f>SUM(CL36/CM36)</f>
        <v>30.416666666666668</v>
      </c>
      <c r="CU36" s="8">
        <f>SUM(CK36*CT36)</f>
        <v>638.75</v>
      </c>
    </row>
    <row r="37" spans="1:99" s="8" customFormat="1" ht="29.25" customHeight="1" thickTop="1" thickBot="1" x14ac:dyDescent="0.3">
      <c r="A37" s="185" t="str">
        <f>CONCATENATE('3 pr-2'!A38:J38)</f>
        <v>1.1.1.2.5</v>
      </c>
      <c r="B37" s="150" t="str">
        <f>CONCATENATE('3 pr-2'!D38)</f>
        <v>Viečiūnų viešosios erdvės pritaikymas bendruomenės poreikiams</v>
      </c>
      <c r="C37" s="114">
        <v>0</v>
      </c>
      <c r="D37" s="114">
        <v>0</v>
      </c>
      <c r="E37" s="114">
        <v>0</v>
      </c>
      <c r="F37" s="389">
        <v>0</v>
      </c>
      <c r="G37" s="389">
        <v>0</v>
      </c>
      <c r="H37" s="389">
        <v>0</v>
      </c>
      <c r="I37" s="389">
        <v>0</v>
      </c>
      <c r="J37" s="114">
        <v>0</v>
      </c>
      <c r="K37" s="114">
        <v>0</v>
      </c>
      <c r="L37" s="405">
        <v>0</v>
      </c>
      <c r="M37" s="405">
        <v>0</v>
      </c>
      <c r="N37" s="405">
        <v>0</v>
      </c>
      <c r="O37" s="405">
        <v>0</v>
      </c>
      <c r="P37" s="119">
        <f>SUM('ketv. 7 lent'!Z36)</f>
        <v>0</v>
      </c>
      <c r="Q37" s="111">
        <f>SUM(CK37*CN37)</f>
        <v>116897.37755102041</v>
      </c>
      <c r="R37" s="405">
        <f>SUM(CK37*CO37)</f>
        <v>8767.3163265306121</v>
      </c>
      <c r="S37" s="405">
        <f>SUM(CK37*CO37)</f>
        <v>8767.3163265306121</v>
      </c>
      <c r="T37" s="405">
        <v>0</v>
      </c>
      <c r="U37" s="405">
        <v>0</v>
      </c>
      <c r="V37" s="140">
        <f>SUM(CK37*CP37)</f>
        <v>99362.744897959186</v>
      </c>
      <c r="W37" s="111">
        <f>SUM(CL37*CN37)</f>
        <v>278108.79365079367</v>
      </c>
      <c r="X37" s="405">
        <f>SUM(CL37*CO37)</f>
        <v>20858.190476190477</v>
      </c>
      <c r="Y37" s="405">
        <f>SUM(X37)</f>
        <v>20858.190476190477</v>
      </c>
      <c r="Z37" s="405">
        <v>0</v>
      </c>
      <c r="AA37" s="405">
        <v>0</v>
      </c>
      <c r="AB37" s="140">
        <f>SUM(CL37*CP37)</f>
        <v>236392.41269841269</v>
      </c>
      <c r="AC37" s="114">
        <f>SUM(CM37*CN37)</f>
        <v>278872.82879818592</v>
      </c>
      <c r="AD37" s="415">
        <f>SUM(CM37*CO37)</f>
        <v>20915.493197278913</v>
      </c>
      <c r="AE37" s="415">
        <f>SUM(AD37)</f>
        <v>20915.493197278913</v>
      </c>
      <c r="AF37" s="415">
        <v>0</v>
      </c>
      <c r="AG37" s="415">
        <v>0</v>
      </c>
      <c r="AH37" s="114">
        <f>SUM(CM37*CP37)</f>
        <v>237041.84240362814</v>
      </c>
      <c r="AI37" s="1172">
        <f>SUM('3 pr-2'!L38)</f>
        <v>673879</v>
      </c>
      <c r="AJ37" s="165"/>
      <c r="AK37" s="389">
        <f>SUM('3 pr-2'!O38)</f>
        <v>50541</v>
      </c>
      <c r="AL37" s="389"/>
      <c r="AM37" s="389">
        <f>SUM('3 pr-2'!R38)</f>
        <v>50541</v>
      </c>
      <c r="AN37" s="389"/>
      <c r="AO37" s="389">
        <f>SUM('3 pr-2'!U38)</f>
        <v>0</v>
      </c>
      <c r="AP37" s="389"/>
      <c r="AQ37" s="389">
        <f>SUM('3 pr-2'!X38)</f>
        <v>0</v>
      </c>
      <c r="AR37" s="888"/>
      <c r="AS37" s="166">
        <f>SUM('3 pr-2'!AA38)</f>
        <v>572797</v>
      </c>
      <c r="AT37" s="812"/>
      <c r="AU37" s="22"/>
      <c r="AV37" s="23"/>
      <c r="AW37" s="23"/>
      <c r="AX37" s="389"/>
      <c r="AY37" s="389"/>
      <c r="AZ37" s="389"/>
      <c r="BA37" s="389"/>
      <c r="BB37" s="23"/>
      <c r="BC37" s="23"/>
      <c r="BD37" s="389"/>
      <c r="BE37" s="389"/>
      <c r="BF37" s="389"/>
      <c r="BG37" s="389"/>
      <c r="BH37" s="396"/>
      <c r="BI37" s="396"/>
      <c r="BJ37" s="389"/>
      <c r="BK37" s="389"/>
      <c r="BL37" s="389"/>
      <c r="BM37" s="389"/>
      <c r="BN37" s="396"/>
      <c r="BO37" s="396"/>
      <c r="BP37" s="389"/>
      <c r="BQ37" s="389"/>
      <c r="BR37" s="389"/>
      <c r="BS37" s="389"/>
      <c r="BT37" s="396"/>
      <c r="BU37" s="396"/>
      <c r="BV37" s="389"/>
      <c r="BW37" s="389"/>
      <c r="BX37" s="389"/>
      <c r="BY37" s="389"/>
      <c r="BZ37" s="396"/>
      <c r="CA37" s="396"/>
      <c r="CB37" s="389"/>
      <c r="CC37" s="389"/>
      <c r="CD37" s="389"/>
      <c r="CE37" s="389"/>
      <c r="CF37" s="555"/>
      <c r="CG37" s="566">
        <f>SUM('3 pr-2'!AH38)</f>
        <v>43312</v>
      </c>
      <c r="CH37" s="566">
        <f>SUM('3 pr-2'!AJ38)</f>
        <v>44044</v>
      </c>
      <c r="CI37" s="30">
        <f>SUM(P37+V37+AB37+AH37)</f>
        <v>572797</v>
      </c>
      <c r="CJ37" s="30">
        <f t="shared" si="119"/>
        <v>0</v>
      </c>
      <c r="CK37" s="8">
        <f>SUM(Q3-CG37)</f>
        <v>153</v>
      </c>
      <c r="CL37" s="8">
        <f>SUM(W3-W2)</f>
        <v>364</v>
      </c>
      <c r="CM37" s="8">
        <f>SUM(AC3-AC2)</f>
        <v>365</v>
      </c>
      <c r="CN37" s="8">
        <f>SUM(AI37/(CK37+CL37+CM37))</f>
        <v>764.03514739229024</v>
      </c>
      <c r="CO37" s="8">
        <f>SUM(AK37/(CK37+CL37+CM37))</f>
        <v>57.302721088435376</v>
      </c>
      <c r="CP37" s="8">
        <f>SUM(AS37/(CK37+CL37+CM37))</f>
        <v>649.42970521541952</v>
      </c>
      <c r="CQ37" s="1520">
        <f t="shared" si="120"/>
        <v>673879</v>
      </c>
      <c r="CR37" s="1521">
        <f t="shared" si="121"/>
        <v>572797</v>
      </c>
      <c r="CT37" s="8">
        <f>SUM(CL37/CM37)</f>
        <v>0.99726027397260275</v>
      </c>
      <c r="CU37" s="8">
        <f>SUM(CK37*CT37)</f>
        <v>152.58082191780821</v>
      </c>
    </row>
    <row r="38" spans="1:99" ht="27" thickBot="1" x14ac:dyDescent="0.3">
      <c r="A38" s="383" t="str">
        <f>CONCATENATE('3 pr-2'!A39)</f>
        <v>1.1.1.3</v>
      </c>
      <c r="B38" s="182" t="str">
        <f>CONCATENATE('3 pr-2'!D39)</f>
        <v/>
      </c>
      <c r="C38" s="113">
        <f t="shared" ref="C38:J38" si="122">SUM(C39:C43)</f>
        <v>0</v>
      </c>
      <c r="D38" s="113">
        <f t="shared" si="122"/>
        <v>0</v>
      </c>
      <c r="E38" s="113">
        <f t="shared" si="122"/>
        <v>0</v>
      </c>
      <c r="F38" s="113"/>
      <c r="G38" s="113"/>
      <c r="H38" s="113"/>
      <c r="I38" s="113"/>
      <c r="J38" s="113">
        <f t="shared" si="122"/>
        <v>0</v>
      </c>
      <c r="K38" s="113">
        <f t="shared" ref="K38:P38" si="123">SUM(K39:K44)</f>
        <v>1186280.8599999999</v>
      </c>
      <c r="L38" s="113">
        <f t="shared" si="123"/>
        <v>38985.35</v>
      </c>
      <c r="M38" s="113">
        <f t="shared" si="123"/>
        <v>117616.09999999999</v>
      </c>
      <c r="N38" s="113">
        <f t="shared" si="123"/>
        <v>0</v>
      </c>
      <c r="O38" s="113">
        <f t="shared" si="123"/>
        <v>0</v>
      </c>
      <c r="P38" s="113">
        <f t="shared" si="123"/>
        <v>1029679.4099999999</v>
      </c>
      <c r="Q38" s="113">
        <f>SUM(Q39:Q44)</f>
        <v>1445599.0359360029</v>
      </c>
      <c r="R38" s="113">
        <f t="shared" ref="R38:AS38" si="124">SUM(R39:R44)</f>
        <v>189405.56444759594</v>
      </c>
      <c r="S38" s="113">
        <f t="shared" si="124"/>
        <v>112109.76357386426</v>
      </c>
      <c r="T38" s="113">
        <f t="shared" si="124"/>
        <v>0</v>
      </c>
      <c r="U38" s="113">
        <f t="shared" si="124"/>
        <v>0</v>
      </c>
      <c r="V38" s="113">
        <f t="shared" si="124"/>
        <v>1144083.7079145426</v>
      </c>
      <c r="W38" s="113">
        <f t="shared" si="124"/>
        <v>1288310.8622480971</v>
      </c>
      <c r="X38" s="113">
        <f t="shared" si="124"/>
        <v>169296.67040578317</v>
      </c>
      <c r="Y38" s="113">
        <f t="shared" si="124"/>
        <v>90730.723906346859</v>
      </c>
      <c r="Z38" s="113">
        <f t="shared" si="124"/>
        <v>0</v>
      </c>
      <c r="AA38" s="113">
        <f t="shared" si="124"/>
        <v>0</v>
      </c>
      <c r="AB38" s="113">
        <f t="shared" si="124"/>
        <v>1028283.4679359671</v>
      </c>
      <c r="AC38" s="113">
        <f t="shared" si="124"/>
        <v>481822.37181590009</v>
      </c>
      <c r="AD38" s="113">
        <f t="shared" si="124"/>
        <v>36136.915146620915</v>
      </c>
      <c r="AE38" s="113">
        <f t="shared" si="124"/>
        <v>36136.502519788897</v>
      </c>
      <c r="AF38" s="113">
        <f t="shared" si="124"/>
        <v>0</v>
      </c>
      <c r="AG38" s="113">
        <f t="shared" si="124"/>
        <v>0</v>
      </c>
      <c r="AH38" s="113">
        <f t="shared" si="124"/>
        <v>409548.95414949028</v>
      </c>
      <c r="AI38" s="1173">
        <f t="shared" si="124"/>
        <v>4402013.13</v>
      </c>
      <c r="AJ38" s="113"/>
      <c r="AK38" s="113">
        <f t="shared" si="124"/>
        <v>433824.5</v>
      </c>
      <c r="AL38" s="113"/>
      <c r="AM38" s="113">
        <f t="shared" si="124"/>
        <v>356593.09</v>
      </c>
      <c r="AN38" s="113"/>
      <c r="AO38" s="113">
        <f t="shared" si="124"/>
        <v>0</v>
      </c>
      <c r="AP38" s="113"/>
      <c r="AQ38" s="113">
        <f t="shared" si="124"/>
        <v>0</v>
      </c>
      <c r="AR38" s="113"/>
      <c r="AS38" s="113">
        <f t="shared" si="124"/>
        <v>3611595.5399999996</v>
      </c>
      <c r="AT38" s="113"/>
      <c r="AU38" s="22">
        <v>0</v>
      </c>
      <c r="AV38" s="23">
        <v>0</v>
      </c>
      <c r="AW38" s="23">
        <v>0</v>
      </c>
      <c r="AX38" s="113">
        <v>0</v>
      </c>
      <c r="AY38" s="113">
        <v>0</v>
      </c>
      <c r="AZ38" s="113">
        <v>0</v>
      </c>
      <c r="BA38" s="113">
        <v>0</v>
      </c>
      <c r="BB38" s="23">
        <v>0</v>
      </c>
      <c r="BC38" s="23">
        <v>50</v>
      </c>
      <c r="BD38" s="113">
        <v>50</v>
      </c>
      <c r="BE38" s="113">
        <v>50</v>
      </c>
      <c r="BF38" s="113">
        <v>50</v>
      </c>
      <c r="BG38" s="113">
        <v>50</v>
      </c>
      <c r="BH38" s="23">
        <v>50</v>
      </c>
      <c r="BI38" s="23">
        <v>25</v>
      </c>
      <c r="BJ38" s="113">
        <v>25</v>
      </c>
      <c r="BK38" s="113">
        <v>25</v>
      </c>
      <c r="BL38" s="113">
        <v>25</v>
      </c>
      <c r="BM38" s="113">
        <v>25</v>
      </c>
      <c r="BN38" s="23">
        <v>25</v>
      </c>
      <c r="BO38" s="23">
        <v>25</v>
      </c>
      <c r="BP38" s="113">
        <v>25</v>
      </c>
      <c r="BQ38" s="113">
        <v>25</v>
      </c>
      <c r="BR38" s="113">
        <v>25</v>
      </c>
      <c r="BS38" s="113">
        <v>25</v>
      </c>
      <c r="BT38" s="23">
        <v>25</v>
      </c>
      <c r="BU38" s="23">
        <v>0</v>
      </c>
      <c r="BV38" s="113">
        <v>0</v>
      </c>
      <c r="BW38" s="113">
        <v>0</v>
      </c>
      <c r="BX38" s="113">
        <v>0</v>
      </c>
      <c r="BY38" s="113">
        <v>0</v>
      </c>
      <c r="BZ38" s="23">
        <v>0</v>
      </c>
      <c r="CA38" s="23">
        <v>100</v>
      </c>
      <c r="CB38" s="113">
        <v>100</v>
      </c>
      <c r="CC38" s="113">
        <v>100</v>
      </c>
      <c r="CD38" s="113">
        <v>100</v>
      </c>
      <c r="CE38" s="113">
        <v>100</v>
      </c>
      <c r="CF38" s="555">
        <v>100</v>
      </c>
      <c r="CG38" s="562"/>
      <c r="CH38" s="561"/>
    </row>
    <row r="39" spans="1:99" ht="37.5" thickTop="1" thickBot="1" x14ac:dyDescent="0.3">
      <c r="A39" s="185" t="str">
        <f>CONCATENATE('3 pr-2'!A40:J40)</f>
        <v>1.1.1.3.1</v>
      </c>
      <c r="B39" s="150" t="str">
        <f>CONCATENATE('3 pr-2'!D40)</f>
        <v>Varėnos miesto centrinės dalies modernizavimas ir pritaikymas visuomenės poreikiams (I etapas)</v>
      </c>
      <c r="C39" s="111">
        <v>0</v>
      </c>
      <c r="D39" s="111">
        <v>0</v>
      </c>
      <c r="E39" s="119">
        <v>0</v>
      </c>
      <c r="F39" s="389">
        <v>0</v>
      </c>
      <c r="G39" s="389">
        <v>0</v>
      </c>
      <c r="H39" s="389">
        <f>IF(YEAR($CG$39)=2016,($AW$4-$CG$39)*AO$39/($CH$39-$CG$39),0)</f>
        <v>0</v>
      </c>
      <c r="I39" s="389">
        <f>IF(YEAR($CG$39)=2016,($AW$4-$CG$39)*AQ$39/($CH$39-$CG$39),0)</f>
        <v>0</v>
      </c>
      <c r="J39" s="119">
        <v>0</v>
      </c>
      <c r="K39" s="119">
        <v>1049428.6299999999</v>
      </c>
      <c r="L39" s="405">
        <v>32471.439999999999</v>
      </c>
      <c r="M39" s="405">
        <v>107048.12</v>
      </c>
      <c r="N39" s="405">
        <v>0</v>
      </c>
      <c r="O39" s="405">
        <v>0</v>
      </c>
      <c r="P39" s="119">
        <v>909909.07</v>
      </c>
      <c r="Q39" s="119">
        <f>SUM(V39+S39+R39)</f>
        <v>467503.38</v>
      </c>
      <c r="R39" s="405">
        <f>SUM(AK39-L39)</f>
        <v>43375.17</v>
      </c>
      <c r="S39" s="405">
        <f>SUM(AM39-M39)</f>
        <v>44645.080000000016</v>
      </c>
      <c r="T39" s="405">
        <v>0</v>
      </c>
      <c r="U39" s="405">
        <v>0</v>
      </c>
      <c r="V39" s="119">
        <f>SUM(AS39-P39)</f>
        <v>379483.13</v>
      </c>
      <c r="W39" s="111">
        <v>0</v>
      </c>
      <c r="X39" s="422">
        <v>0</v>
      </c>
      <c r="Y39" s="422">
        <v>0</v>
      </c>
      <c r="Z39" s="422">
        <v>0</v>
      </c>
      <c r="AA39" s="422">
        <v>0</v>
      </c>
      <c r="AB39" s="111">
        <v>0</v>
      </c>
      <c r="AC39" s="111">
        <v>0</v>
      </c>
      <c r="AD39" s="422">
        <v>0</v>
      </c>
      <c r="AE39" s="422">
        <v>0</v>
      </c>
      <c r="AF39" s="422">
        <v>0</v>
      </c>
      <c r="AG39" s="422">
        <v>0</v>
      </c>
      <c r="AH39" s="111">
        <v>0</v>
      </c>
      <c r="AI39" s="1174">
        <f>SUM('3 pr-2'!L40)</f>
        <v>1516932.01</v>
      </c>
      <c r="AJ39" s="834"/>
      <c r="AK39" s="389">
        <f>SUM('3 pr-2'!O40)</f>
        <v>75846.61</v>
      </c>
      <c r="AL39" s="839"/>
      <c r="AM39" s="389">
        <f>SUM('3 pr-2'!R40)</f>
        <v>151693.20000000001</v>
      </c>
      <c r="AN39" s="839"/>
      <c r="AO39" s="389">
        <f>SUM('3 pr-2'!U40)</f>
        <v>0</v>
      </c>
      <c r="AP39" s="389"/>
      <c r="AQ39" s="389">
        <f>SUM('3 pr-2'!X40)</f>
        <v>0</v>
      </c>
      <c r="AR39" s="389"/>
      <c r="AS39" s="11">
        <f>SUM('3 pr-2'!AA40)</f>
        <v>1289392.2</v>
      </c>
      <c r="AT39" s="837"/>
      <c r="AU39" s="22"/>
      <c r="AV39" s="23"/>
      <c r="AW39" s="23"/>
      <c r="AX39" s="389"/>
      <c r="AY39" s="389"/>
      <c r="AZ39" s="389"/>
      <c r="BA39" s="389"/>
      <c r="BB39" s="23"/>
      <c r="BC39" s="23"/>
      <c r="BD39" s="389"/>
      <c r="BE39" s="389"/>
      <c r="BF39" s="389"/>
      <c r="BG39" s="389"/>
      <c r="BH39" s="23"/>
      <c r="BI39" s="23"/>
      <c r="BJ39" s="389"/>
      <c r="BK39" s="389"/>
      <c r="BL39" s="389"/>
      <c r="BM39" s="389"/>
      <c r="BN39" s="23"/>
      <c r="BO39" s="23"/>
      <c r="BP39" s="389"/>
      <c r="BQ39" s="389"/>
      <c r="BR39" s="389"/>
      <c r="BS39" s="389"/>
      <c r="BT39" s="23"/>
      <c r="BU39" s="23"/>
      <c r="BV39" s="389"/>
      <c r="BW39" s="389"/>
      <c r="BX39" s="389"/>
      <c r="BY39" s="389"/>
      <c r="BZ39" s="23"/>
      <c r="CA39" s="23"/>
      <c r="CB39" s="389"/>
      <c r="CC39" s="389"/>
      <c r="CD39" s="389"/>
      <c r="CE39" s="389"/>
      <c r="CF39" s="555"/>
      <c r="CG39" s="566">
        <f>SUM('3 pr-2'!AH40)</f>
        <v>42735</v>
      </c>
      <c r="CH39" s="566">
        <f>SUM('3 pr-2'!AJ40)</f>
        <v>43465</v>
      </c>
      <c r="CI39" s="30">
        <f>SUM(J39+P39+V39+AB39+AH39)</f>
        <v>1289392.2</v>
      </c>
      <c r="CJ39" s="30">
        <f t="shared" si="119"/>
        <v>0</v>
      </c>
      <c r="CK39" s="8">
        <v>24</v>
      </c>
      <c r="CL39" s="8">
        <v>365</v>
      </c>
      <c r="CM39" s="8">
        <v>12</v>
      </c>
      <c r="CN39" s="8"/>
      <c r="CO39" s="8"/>
      <c r="CP39" s="8"/>
      <c r="CQ39" s="8"/>
      <c r="CR39" s="8">
        <f>SUM(CL39/CM39)</f>
        <v>30.416666666666668</v>
      </c>
      <c r="CS39" s="8">
        <f>SUM(CK39*CR39)</f>
        <v>730</v>
      </c>
    </row>
    <row r="40" spans="1:99" ht="37.5" thickTop="1" thickBot="1" x14ac:dyDescent="0.3">
      <c r="A40" s="185" t="str">
        <f>CONCATENATE('3 pr-2'!A41:J41)</f>
        <v>1.1.1.3.2</v>
      </c>
      <c r="B40" s="150" t="str">
        <f>CONCATENATE('3 pr-2'!D41)</f>
        <v>Varėnos miesto centrinės dalies modernizavimas ir pritaikymas visuomenės poreikiams (II etapas)</v>
      </c>
      <c r="C40" s="111">
        <v>0</v>
      </c>
      <c r="D40" s="111">
        <v>0</v>
      </c>
      <c r="E40" s="111">
        <v>0</v>
      </c>
      <c r="F40" s="389">
        <v>0</v>
      </c>
      <c r="G40" s="389">
        <v>0</v>
      </c>
      <c r="H40" s="389">
        <v>0</v>
      </c>
      <c r="I40" s="389">
        <v>0</v>
      </c>
      <c r="J40" s="111">
        <v>0</v>
      </c>
      <c r="K40" s="119">
        <v>136852.22999999998</v>
      </c>
      <c r="L40" s="405">
        <v>6513.91</v>
      </c>
      <c r="M40" s="405">
        <v>10567.98</v>
      </c>
      <c r="N40" s="405">
        <v>0</v>
      </c>
      <c r="O40" s="405">
        <v>0</v>
      </c>
      <c r="P40" s="119">
        <v>119770.34</v>
      </c>
      <c r="Q40" s="111">
        <f>IF(YEAR($CH$40)&gt;2017,($BI$4-$BC$4)*AJ40/($CH$40-$BC$4),0)</f>
        <v>429181.94</v>
      </c>
      <c r="R40" s="405">
        <f>IF(YEAR($CH$40)&gt;2017,($BI$4-$BC$4)*AL40/($CH$40-$BC$4),0)</f>
        <v>34063.65</v>
      </c>
      <c r="S40" s="405">
        <f>IF(YEAR($CH$40)&gt;2017,($BI$4-$BC$4)*AN40/($CH$40-$BC$4),0)</f>
        <v>32036.615000000005</v>
      </c>
      <c r="T40" s="405">
        <f>IF(YEAR($CH$40)&gt;2017,($BI$4-$BC$4)*AO$40/($CH$40-$CG$40),0)</f>
        <v>0</v>
      </c>
      <c r="U40" s="405">
        <f>IF(YEAR($CH$40)&gt;2017,($BI$4-$BC$4)*AQ$40/($CH$40-$CG$40),0)</f>
        <v>0</v>
      </c>
      <c r="V40" s="111">
        <f>IF(YEAR($CH$40)&gt;2017,($BI$4-$BC$4)*AT40/($CH$40-$BC$4),0)</f>
        <v>363081.67499999999</v>
      </c>
      <c r="W40" s="111">
        <f>IF(YEAR($CH$40)=2019,($CH$40-$BI$4)*AJ40/($CH$40-$BC$4),0)</f>
        <v>429181.94</v>
      </c>
      <c r="X40" s="422">
        <f>IF(YEAR($CH$40)=2019,($CH$40-$BI$4)*AL40/($CH$40-$BC$4),0)</f>
        <v>34063.65</v>
      </c>
      <c r="Y40" s="422">
        <f>IF(YEAR($CH$40)=2019,($CH$40-$BI$4)*AN40/($CH$40-$BC$4),0)</f>
        <v>32036.615000000005</v>
      </c>
      <c r="Z40" s="422">
        <f>IF(YEAR($CH$40)=2019,($CH$40-$BI$4)*AO$40/($CH$40-$CG$40),0)</f>
        <v>0</v>
      </c>
      <c r="AA40" s="422">
        <f>IF(YEAR($CH$40)=2019,($CH$40-$BI$4)*AQ$40/($CH$40-$CG$40),0)</f>
        <v>0</v>
      </c>
      <c r="AB40" s="111">
        <f>IF(YEAR($CH$40)=2019,($CH$40-$BI$4)*AT40/($CH$40-$BC$4),0)</f>
        <v>363081.67499999999</v>
      </c>
      <c r="AC40" s="111">
        <v>0</v>
      </c>
      <c r="AD40" s="422">
        <v>0</v>
      </c>
      <c r="AE40" s="422">
        <v>0</v>
      </c>
      <c r="AF40" s="422">
        <v>0</v>
      </c>
      <c r="AG40" s="422">
        <v>0</v>
      </c>
      <c r="AH40" s="111">
        <v>0</v>
      </c>
      <c r="AI40" s="1174">
        <f>SUM('3 pr-2'!L41)</f>
        <v>995216.11</v>
      </c>
      <c r="AJ40" s="834">
        <f>SUM(AI40-K40)</f>
        <v>858363.88</v>
      </c>
      <c r="AK40" s="389">
        <f>SUM('3 pr-2'!O41)</f>
        <v>74641.210000000006</v>
      </c>
      <c r="AL40" s="839">
        <f>SUM(AK40-L40)</f>
        <v>68127.3</v>
      </c>
      <c r="AM40" s="389">
        <f>SUM('3 pr-2'!R41)</f>
        <v>74641.210000000006</v>
      </c>
      <c r="AN40" s="839">
        <f>SUM(AM40-M40)</f>
        <v>64073.23000000001</v>
      </c>
      <c r="AO40" s="389">
        <f>SUM('3 pr-2'!U41)</f>
        <v>0</v>
      </c>
      <c r="AP40" s="389"/>
      <c r="AQ40" s="389">
        <f>SUM('3 pr-2'!X41)</f>
        <v>0</v>
      </c>
      <c r="AR40" s="389"/>
      <c r="AS40" s="11">
        <f>SUM('3 pr-2'!AA41)</f>
        <v>845933.69</v>
      </c>
      <c r="AT40" s="837">
        <f>SUM(AS40-P40)</f>
        <v>726163.35</v>
      </c>
      <c r="AU40" s="22"/>
      <c r="AV40" s="23"/>
      <c r="AW40" s="23"/>
      <c r="AX40" s="389"/>
      <c r="AY40" s="389"/>
      <c r="AZ40" s="389"/>
      <c r="BA40" s="389"/>
      <c r="BB40" s="23"/>
      <c r="BC40" s="23"/>
      <c r="BD40" s="389"/>
      <c r="BE40" s="389"/>
      <c r="BF40" s="389"/>
      <c r="BG40" s="389"/>
      <c r="BH40" s="23"/>
      <c r="BI40" s="23"/>
      <c r="BJ40" s="389"/>
      <c r="BK40" s="389"/>
      <c r="BL40" s="389"/>
      <c r="BM40" s="389"/>
      <c r="BN40" s="23"/>
      <c r="BO40" s="23"/>
      <c r="BP40" s="389"/>
      <c r="BQ40" s="389"/>
      <c r="BR40" s="389"/>
      <c r="BS40" s="389"/>
      <c r="BT40" s="23"/>
      <c r="BU40" s="23"/>
      <c r="BV40" s="389"/>
      <c r="BW40" s="389"/>
      <c r="BX40" s="389"/>
      <c r="BY40" s="389"/>
      <c r="BZ40" s="23"/>
      <c r="CA40" s="23"/>
      <c r="CB40" s="389"/>
      <c r="CC40" s="389"/>
      <c r="CD40" s="389"/>
      <c r="CE40" s="389"/>
      <c r="CF40" s="555"/>
      <c r="CG40" s="566">
        <f>SUM('3 pr-2'!AH41)</f>
        <v>42978</v>
      </c>
      <c r="CH40" s="566">
        <f>SUM('3 pr-2'!AJ41)</f>
        <v>43830</v>
      </c>
      <c r="CI40" s="30">
        <f>SUM(P40+V40+AB40)</f>
        <v>845933.69</v>
      </c>
      <c r="CJ40" s="30">
        <f t="shared" si="119"/>
        <v>0</v>
      </c>
      <c r="CK40" s="8">
        <v>24</v>
      </c>
      <c r="CL40" s="8">
        <v>365</v>
      </c>
      <c r="CM40" s="8">
        <v>12</v>
      </c>
      <c r="CN40" s="8"/>
      <c r="CO40" s="8"/>
      <c r="CP40" s="8"/>
      <c r="CQ40" s="8"/>
      <c r="CR40" s="8">
        <f>SUM(CL40/CM40)</f>
        <v>30.416666666666668</v>
      </c>
      <c r="CS40" s="8">
        <f>SUM(CK40*CR40)</f>
        <v>730</v>
      </c>
    </row>
    <row r="41" spans="1:99" ht="37.5" thickTop="1" thickBot="1" x14ac:dyDescent="0.3">
      <c r="A41" s="185" t="str">
        <f>CONCATENATE('3 pr-2'!A42:J42)</f>
        <v>1.1.1.3.3</v>
      </c>
      <c r="B41" s="150" t="str">
        <f>CONCATENATE('3 pr-2'!D42)</f>
        <v xml:space="preserve">Varėnos miesto Dainų slėnio infrastruktūros atnaujinimas ir pritaikymas visuomenės poreikiams </v>
      </c>
      <c r="C41" s="111">
        <v>0</v>
      </c>
      <c r="D41" s="111">
        <v>0</v>
      </c>
      <c r="E41" s="111">
        <v>0</v>
      </c>
      <c r="F41" s="389">
        <v>0</v>
      </c>
      <c r="G41" s="389">
        <v>0</v>
      </c>
      <c r="H41" s="389">
        <v>0</v>
      </c>
      <c r="I41" s="389">
        <v>0</v>
      </c>
      <c r="J41" s="111">
        <v>0</v>
      </c>
      <c r="K41" s="119">
        <v>0</v>
      </c>
      <c r="L41" s="405">
        <v>0</v>
      </c>
      <c r="M41" s="405">
        <v>0</v>
      </c>
      <c r="N41" s="405">
        <v>0</v>
      </c>
      <c r="O41" s="405">
        <v>0</v>
      </c>
      <c r="P41" s="119">
        <v>0</v>
      </c>
      <c r="Q41" s="111">
        <f>IF(YEAR($Q$3)=YEAR($CG$41),($Q$3-$CG$41)*AI41/($CH$41-$CG$41),0)</f>
        <v>90105.509964830009</v>
      </c>
      <c r="R41" s="405">
        <f>IF(YEAR($Q$3)=YEAR($CG$41),($Q$3-$CG$41)*AK41/($CH$41-$CG$41),0)</f>
        <v>6757.9132473622512</v>
      </c>
      <c r="S41" s="405">
        <f>IF(YEAR($Q$3)=YEAR($CG$41),($Q$3-$CG$41)*AM41/($CH$41-$CG$41),0)</f>
        <v>6757.9132473622512</v>
      </c>
      <c r="T41" s="405">
        <f>IF(YEAR($Q$3)=YEAR($CG$41),($Q$3-$CG$41)*AO41/($CH$41-$CG$41),0)</f>
        <v>0</v>
      </c>
      <c r="U41" s="405">
        <f>IF(YEAR($Q$3)=YEAR($CG$41),($Q$3-$CG$41)*AQ41/($CH$41-$CG$41),0)</f>
        <v>0</v>
      </c>
      <c r="V41" s="111">
        <f>IF(YEAR($Q$3)=YEAR($CG$41),(Q3-CG41)*AS41/($CH$41-$CG$41),0)</f>
        <v>76589.683470105505</v>
      </c>
      <c r="W41" s="111">
        <f>IF(YEAR($W$3)&lt;YEAR($CH$41),($W$3-$Q$3)*AI41/($CH$41-$CG$41),0)</f>
        <v>269577.96014067996</v>
      </c>
      <c r="X41" s="422">
        <f>IF(YEAR($W$3)&lt;YEAR($CH$41),($W$3-$Q$3)*AK41/($CH$41-$CG$41),0)</f>
        <v>20218.347010550995</v>
      </c>
      <c r="Y41" s="422">
        <f>IF(YEAR($W$3)&lt;YEAR($CH$41),($W$3-$Q$3)*AM41/($CH$41-$CG$41),0)</f>
        <v>20218.347010550995</v>
      </c>
      <c r="Z41" s="422">
        <f>IF(YEAR($W$3)&lt;YEAR($CH$41),($W$3-$Q$3)*AP41/($CH$41-$CG$41),0)</f>
        <v>0</v>
      </c>
      <c r="AA41" s="422">
        <f>IF(YEAR($W$3)&lt;YEAR($CH$41),($W$3-$Q$3)*AQ41/($CH$41-$CG$41),0)</f>
        <v>0</v>
      </c>
      <c r="AB41" s="111">
        <f>IF(YEAR($W$3)&lt;YEAR($CH$41),($W$3-$Q$3)*AS41/($CH$41-$CG$41),0)</f>
        <v>229141.26611957795</v>
      </c>
      <c r="AC41" s="111">
        <f>IF(YEAR($AC$3)=YEAR($CH$41),($CH$41-$W$3)*AI41/($CH$41-$CG$41),0)</f>
        <v>270316.52989449003</v>
      </c>
      <c r="AD41" s="422">
        <f>IF(YEAR($AC$3)=YEAR($CH$41),($CH$41-$W$3)*AK41/($CH$41-$CG$41),0)</f>
        <v>20273.739742086753</v>
      </c>
      <c r="AE41" s="422">
        <f>IF(YEAR($AC$3)=YEAR($CH$41),($CH$41-$W$3)*AM41/($CH$41-$CG$41),0)</f>
        <v>20273.739742086753</v>
      </c>
      <c r="AF41" s="422">
        <f>IF(YEAR($AC$3)=YEAR($CH$41),($CH$41-$W$3)*AP41/($CH$41-$CG$41),0)</f>
        <v>0</v>
      </c>
      <c r="AG41" s="422">
        <f>IF(YEAR($AC$3)=YEAR($CH$41),($CH$41-$W$3)*AQ41/($CH$41-$CG$41),0)</f>
        <v>0</v>
      </c>
      <c r="AH41" s="111">
        <f>IF(YEAR($AC$3)=YEAR($CH$41),($CH$41-$W$3)*AS41/($CH$41-$CG$41),0)</f>
        <v>229769.05041031653</v>
      </c>
      <c r="AI41" s="1170">
        <f>SUM('3 pr-2'!L42)</f>
        <v>630000</v>
      </c>
      <c r="AJ41" s="834"/>
      <c r="AK41" s="389">
        <f>SUM('3 pr-2'!O42)</f>
        <v>47250</v>
      </c>
      <c r="AL41" s="839"/>
      <c r="AM41" s="389">
        <f>SUM('3 pr-2'!R42)</f>
        <v>47250</v>
      </c>
      <c r="AN41" s="839"/>
      <c r="AO41" s="389">
        <f>SUM('3 pr-2'!U42)</f>
        <v>0</v>
      </c>
      <c r="AP41" s="389"/>
      <c r="AQ41" s="389">
        <f>SUM('3 pr-2'!X42)</f>
        <v>0</v>
      </c>
      <c r="AR41" s="389"/>
      <c r="AS41" s="13">
        <f>SUM('3 pr-2'!AA42)</f>
        <v>535500</v>
      </c>
      <c r="AT41" s="834"/>
      <c r="AU41" s="22">
        <v>0</v>
      </c>
      <c r="AV41" s="23">
        <v>0</v>
      </c>
      <c r="AW41" s="23">
        <v>0</v>
      </c>
      <c r="AX41" s="389"/>
      <c r="AY41" s="389"/>
      <c r="AZ41" s="389"/>
      <c r="BA41" s="389"/>
      <c r="BB41" s="23"/>
      <c r="BC41" s="23"/>
      <c r="BD41" s="389"/>
      <c r="BE41" s="389"/>
      <c r="BF41" s="389"/>
      <c r="BG41" s="389"/>
      <c r="BH41" s="23"/>
      <c r="BI41" s="23"/>
      <c r="BJ41" s="389"/>
      <c r="BK41" s="389"/>
      <c r="BL41" s="389"/>
      <c r="BM41" s="389"/>
      <c r="BN41" s="23"/>
      <c r="BO41" s="23"/>
      <c r="BP41" s="389"/>
      <c r="BQ41" s="389"/>
      <c r="BR41" s="389"/>
      <c r="BS41" s="389"/>
      <c r="BT41" s="23"/>
      <c r="BU41" s="23"/>
      <c r="BV41" s="389"/>
      <c r="BW41" s="389"/>
      <c r="BX41" s="389"/>
      <c r="BY41" s="389"/>
      <c r="BZ41" s="23"/>
      <c r="CA41" s="23"/>
      <c r="CB41" s="389"/>
      <c r="CC41" s="389"/>
      <c r="CD41" s="389"/>
      <c r="CE41" s="389"/>
      <c r="CF41" s="555"/>
      <c r="CG41" s="566">
        <f>SUM('3 pr-2'!AH42)</f>
        <v>43343</v>
      </c>
      <c r="CH41" s="566">
        <f>SUM('3 pr-2'!AJ42)</f>
        <v>44196</v>
      </c>
      <c r="CI41" s="30">
        <f>SUM(V41+AB41+AH41)</f>
        <v>535500</v>
      </c>
      <c r="CJ41" s="30">
        <f t="shared" si="119"/>
        <v>0</v>
      </c>
    </row>
    <row r="42" spans="1:99" ht="37.5" thickTop="1" thickBot="1" x14ac:dyDescent="0.3">
      <c r="A42" s="185" t="str">
        <f>CONCATENATE('3 pr-2'!A43:J43)</f>
        <v>1.1.1.3.4</v>
      </c>
      <c r="B42" s="150" t="str">
        <f>CONCATENATE('3 pr-2'!D43)</f>
        <v>Karloniškės ežero ir jo prieigų sutvarkymas ir pritaikymas aktyviam poilsiui</v>
      </c>
      <c r="C42" s="111">
        <v>0</v>
      </c>
      <c r="D42" s="111">
        <v>0</v>
      </c>
      <c r="E42" s="111">
        <v>0</v>
      </c>
      <c r="F42" s="389">
        <v>0</v>
      </c>
      <c r="G42" s="389">
        <v>0</v>
      </c>
      <c r="H42" s="389">
        <v>0</v>
      </c>
      <c r="I42" s="389">
        <v>0</v>
      </c>
      <c r="J42" s="111">
        <v>0</v>
      </c>
      <c r="K42" s="119">
        <v>0</v>
      </c>
      <c r="L42" s="405">
        <v>0</v>
      </c>
      <c r="M42" s="405">
        <v>0</v>
      </c>
      <c r="N42" s="405">
        <v>0</v>
      </c>
      <c r="O42" s="405">
        <v>0</v>
      </c>
      <c r="P42" s="119">
        <v>0</v>
      </c>
      <c r="Q42" s="111">
        <f>IF(YEAR($CH$42)&gt;2017,($BI$4-$BC$4)*AI$42/($CH$42-$CG$42),0)</f>
        <v>378623.00499999995</v>
      </c>
      <c r="R42" s="405">
        <f>IF(YEAR($CH$42)&gt;2017,($BI$4-$BC$4)*AK$42/($CH$42-$CG$42),0)</f>
        <v>99194.840000000011</v>
      </c>
      <c r="S42" s="405">
        <f>IF(YEAR($CH$42)&gt;2017,($BI$4-$BC$4)*AM$42/($CH$42-$CG$42),0)</f>
        <v>22656.34</v>
      </c>
      <c r="T42" s="405">
        <f>IF(YEAR($CH$42)&gt;2017,($BI$4-$BC$4)*AO$42/($CH$42-$CG$42),0)</f>
        <v>0</v>
      </c>
      <c r="U42" s="405">
        <f>IF(YEAR($CH$42)&gt;2017,($BI$4-$BC$4)*AQ$42/($CH$42-$CG$42),0)</f>
        <v>0</v>
      </c>
      <c r="V42" s="111">
        <f>IF(YEAR($CH$42)&gt;2017,($BI$4-$BC$4)*AS$42/($CH$42-$CG$42),0)</f>
        <v>256771.82500000001</v>
      </c>
      <c r="W42" s="111">
        <f>IF(YEAR($CH$42)=2019,($CH$42-$BI$4)*AI$42/($CH$42-$CG$42),0)</f>
        <v>378623.00499999995</v>
      </c>
      <c r="X42" s="422">
        <f>IF(YEAR($CH$42)=2019,($CH$42-$BI$4)*AK$42/($CH$42-$CG$42),0)</f>
        <v>99194.840000000011</v>
      </c>
      <c r="Y42" s="422">
        <f>IF(YEAR($CH$42)=2019,($CH$42-$BI$4)*AM$42/($CH$42-$CG$42),0)</f>
        <v>22656.34</v>
      </c>
      <c r="Z42" s="422">
        <f>IF(YEAR($CH$42)=2019,($CH$42-$BI$4)*AO$42/($CH$42-$CG$42),0)</f>
        <v>0</v>
      </c>
      <c r="AA42" s="422">
        <f>IF(YEAR($CH$42)=2019,($CH$42-$BI$4)*AQ$42/($CH$42-$CG$42),0)</f>
        <v>0</v>
      </c>
      <c r="AB42" s="111">
        <f>IF(YEAR($CH$42)=2019,($CH$42-$BI$4)*AS$42/($CH$42-$CG$42),0)</f>
        <v>256771.82500000001</v>
      </c>
      <c r="AC42" s="111">
        <v>0</v>
      </c>
      <c r="AD42" s="422">
        <v>0</v>
      </c>
      <c r="AE42" s="422">
        <v>0</v>
      </c>
      <c r="AF42" s="422">
        <v>0</v>
      </c>
      <c r="AG42" s="422">
        <v>0</v>
      </c>
      <c r="AH42" s="111">
        <v>0</v>
      </c>
      <c r="AI42" s="1175">
        <f>SUM('3 pr-2'!L43)</f>
        <v>757246.01</v>
      </c>
      <c r="AJ42" s="835"/>
      <c r="AK42" s="389">
        <f>SUM('3 pr-2'!O43)</f>
        <v>198389.68</v>
      </c>
      <c r="AL42" s="839"/>
      <c r="AM42" s="389">
        <f>SUM('3 pr-2'!R43)</f>
        <v>45312.68</v>
      </c>
      <c r="AN42" s="839"/>
      <c r="AO42" s="389">
        <f>SUM('3 pr-2'!U43)</f>
        <v>0</v>
      </c>
      <c r="AP42" s="389"/>
      <c r="AQ42" s="389">
        <f>SUM('3 pr-2'!X43)</f>
        <v>0</v>
      </c>
      <c r="AR42" s="889"/>
      <c r="AS42" s="14">
        <f>SUM('3 pr-2'!AA43)</f>
        <v>513543.65</v>
      </c>
      <c r="AT42" s="838"/>
      <c r="AU42" s="22"/>
      <c r="AV42" s="23"/>
      <c r="AW42" s="23"/>
      <c r="AX42" s="389"/>
      <c r="AY42" s="389"/>
      <c r="AZ42" s="389"/>
      <c r="BA42" s="389"/>
      <c r="BB42" s="23"/>
      <c r="BC42" s="23"/>
      <c r="BD42" s="389"/>
      <c r="BE42" s="389"/>
      <c r="BF42" s="389"/>
      <c r="BG42" s="389"/>
      <c r="BH42" s="23"/>
      <c r="BI42" s="23"/>
      <c r="BJ42" s="389"/>
      <c r="BK42" s="389"/>
      <c r="BL42" s="389"/>
      <c r="BM42" s="389"/>
      <c r="BN42" s="23"/>
      <c r="BO42" s="23"/>
      <c r="BP42" s="389"/>
      <c r="BQ42" s="389"/>
      <c r="BR42" s="389"/>
      <c r="BS42" s="389"/>
      <c r="BT42" s="23"/>
      <c r="BU42" s="23"/>
      <c r="BV42" s="389"/>
      <c r="BW42" s="389"/>
      <c r="BX42" s="389"/>
      <c r="BY42" s="389"/>
      <c r="BZ42" s="23"/>
      <c r="CA42" s="23"/>
      <c r="CB42" s="389"/>
      <c r="CC42" s="389"/>
      <c r="CD42" s="389"/>
      <c r="CE42" s="389"/>
      <c r="CF42" s="555"/>
      <c r="CG42" s="566">
        <f>SUM('3 pr-2'!AH43)</f>
        <v>43100</v>
      </c>
      <c r="CH42" s="566">
        <f>SUM('3 pr-2'!AJ43)</f>
        <v>43830</v>
      </c>
      <c r="CI42" s="30">
        <f>SUM(J42+P42+V42+AB42+AH42)</f>
        <v>513543.65</v>
      </c>
      <c r="CJ42" s="30">
        <f t="shared" si="119"/>
        <v>0</v>
      </c>
      <c r="CK42" s="8">
        <v>24</v>
      </c>
      <c r="CL42" s="8">
        <v>365</v>
      </c>
      <c r="CM42" s="8">
        <v>12</v>
      </c>
      <c r="CN42" s="8"/>
      <c r="CO42" s="8"/>
      <c r="CP42" s="8"/>
      <c r="CQ42" s="8"/>
      <c r="CR42" s="8">
        <f>SUM(CL42/CM42)</f>
        <v>30.416666666666668</v>
      </c>
      <c r="CS42" s="8">
        <f>SUM(CK42*CR42)</f>
        <v>730</v>
      </c>
    </row>
    <row r="43" spans="1:99" ht="25.5" thickTop="1" thickBot="1" x14ac:dyDescent="0.3">
      <c r="A43" s="185" t="str">
        <f>CONCATENATE('3 pr-2'!A44:J44)</f>
        <v>1.1.1.3.5</v>
      </c>
      <c r="B43" s="150" t="str">
        <f>CONCATENATE('3 pr-2'!D44)</f>
        <v xml:space="preserve">Nenaudojamų teritorijų Varėnos mieste sutvarkymas ir pritaikymas verslui </v>
      </c>
      <c r="C43" s="111">
        <v>0</v>
      </c>
      <c r="D43" s="111">
        <v>0</v>
      </c>
      <c r="E43" s="111">
        <v>0</v>
      </c>
      <c r="F43" s="389">
        <v>0</v>
      </c>
      <c r="G43" s="389">
        <v>0</v>
      </c>
      <c r="H43" s="389">
        <v>0</v>
      </c>
      <c r="I43" s="389">
        <v>0</v>
      </c>
      <c r="J43" s="111">
        <v>0</v>
      </c>
      <c r="K43" s="119">
        <v>0</v>
      </c>
      <c r="L43" s="405">
        <v>0</v>
      </c>
      <c r="M43" s="405">
        <v>0</v>
      </c>
      <c r="N43" s="405">
        <v>0</v>
      </c>
      <c r="O43" s="405">
        <v>0</v>
      </c>
      <c r="P43" s="119">
        <v>0</v>
      </c>
      <c r="Q43" s="111">
        <f>IF(YEAR($Q$3)=YEAR($CG43),($Q$3-$CG43)*AI43/($CH43-$CG43),0)</f>
        <v>35756.154747948414</v>
      </c>
      <c r="R43" s="405">
        <f>IF(YEAR($Q$3)=YEAR($CG43),($Q$3-$CG43)*AK43/($CH43-$CG43),0)</f>
        <v>2681.7116060961312</v>
      </c>
      <c r="S43" s="405">
        <f>IF(YEAR($Q$3)=YEAR($CG43),($Q$3-$CG43)*AM43/($CH43-$CG43),0)</f>
        <v>2681.7116060961312</v>
      </c>
      <c r="T43" s="405">
        <f>IF(YEAR($Q$3)=YEAR($CG43),($Q$3-$CG43)*AO43/($CH43-$CG43),0)</f>
        <v>0</v>
      </c>
      <c r="U43" s="405">
        <f>IF(YEAR($Q$3)=YEAR($CG43),($Q$3-$CG43)*AQ43/($CH43-$CG43),0)</f>
        <v>0</v>
      </c>
      <c r="V43" s="111">
        <f>IF(YEAR($Q$3)=YEAR($CG43),($Q$3-$CG43)*AS43/($CH43-$CG43),0)</f>
        <v>30392.731535756157</v>
      </c>
      <c r="W43" s="111">
        <f>IF(YEAR($W$3)&lt;YEAR($CH43),($W$3-$Q$3)*AI43/($CH43-$CG43),0)</f>
        <v>106975.38100820633</v>
      </c>
      <c r="X43" s="422">
        <f>IF(YEAR($W$3)&lt;YEAR($CH43),($W$3-$Q$3)*AK43/($CH43-$CG43),0)</f>
        <v>8023.1535756154744</v>
      </c>
      <c r="Y43" s="422">
        <f>IF(YEAR($W$3)&lt;YEAR($CH43),($W$3-$Q$3)*AM43/($CH43-$CG43),0)</f>
        <v>8023.1535756154744</v>
      </c>
      <c r="Z43" s="422">
        <f>IF(YEAR($W$3)&lt;YEAR($CH43),($W$3-$Q$3)*AO43/($CH43-$CG43),0)</f>
        <v>0</v>
      </c>
      <c r="AA43" s="422">
        <f>IF(YEAR($W$3)&lt;YEAR($CH43),($W$3-$Q$3)*AQ43/($CH43-$CG43),0)</f>
        <v>0</v>
      </c>
      <c r="AB43" s="111">
        <f>IF(YEAR($W$3)&lt;YEAR($CH43),($W$3-$Q$3)*AS43/($CH43-$CG43),0)</f>
        <v>90929.073856975374</v>
      </c>
      <c r="AC43" s="111">
        <f>IF(YEAR($AC$3)=YEAR($CH43),($CH43-$W$3)*AI43/($CH43-$CG43),0)</f>
        <v>107268.46424384526</v>
      </c>
      <c r="AD43" s="422">
        <f>IF(YEAR($AC$3)=YEAR($CH43),($CH43-$W$3)*AK43/($CH43-$CG43),0)</f>
        <v>8045.1348182883939</v>
      </c>
      <c r="AE43" s="422">
        <f>IF(YEAR($AC$3)=YEAR($CH43),($CH43-$W$3)*AM43/($CH43-$CG43),0)</f>
        <v>8045.1348182883939</v>
      </c>
      <c r="AF43" s="422">
        <f>IF(YEAR($AC$3)=YEAR($CH43),($CH43-$W$3)*AP43/($CH43-$CG43),0)</f>
        <v>0</v>
      </c>
      <c r="AG43" s="422">
        <f>IF(YEAR($AC$3)=YEAR($CH43),($CH43-$W$3)*AQ43/($CH43-$CG43),0)</f>
        <v>0</v>
      </c>
      <c r="AH43" s="111">
        <f>IF(YEAR($AC$3)=YEAR($CH43),($CH43-$W$3)*AS43/($CH43-$CG43),0)</f>
        <v>91178.194607268466</v>
      </c>
      <c r="AI43" s="1176">
        <f>SUM('3 pr-2'!L44)</f>
        <v>250000</v>
      </c>
      <c r="AJ43" s="836"/>
      <c r="AK43" s="389">
        <f>SUM('3 pr-2'!O44)</f>
        <v>18750</v>
      </c>
      <c r="AL43" s="839"/>
      <c r="AM43" s="389">
        <f>SUM('3 pr-2'!R44)</f>
        <v>18750</v>
      </c>
      <c r="AN43" s="839"/>
      <c r="AO43" s="389">
        <f>SUM('3 pr-2'!U44)</f>
        <v>0</v>
      </c>
      <c r="AP43" s="389"/>
      <c r="AQ43" s="389">
        <f>SUM('3 pr-2'!X44)</f>
        <v>0</v>
      </c>
      <c r="AR43" s="389"/>
      <c r="AS43" s="11">
        <f>SUM('3 pr-2'!AA44)</f>
        <v>212500</v>
      </c>
      <c r="AT43" s="837"/>
      <c r="AU43" s="22"/>
      <c r="AV43" s="23"/>
      <c r="AW43" s="23"/>
      <c r="AX43" s="389"/>
      <c r="AY43" s="389"/>
      <c r="AZ43" s="389"/>
      <c r="BA43" s="389"/>
      <c r="BB43" s="23"/>
      <c r="BC43" s="23"/>
      <c r="BD43" s="389"/>
      <c r="BE43" s="389"/>
      <c r="BF43" s="389"/>
      <c r="BG43" s="389"/>
      <c r="BH43" s="23"/>
      <c r="BI43" s="23"/>
      <c r="BJ43" s="389"/>
      <c r="BK43" s="389"/>
      <c r="BL43" s="389"/>
      <c r="BM43" s="389"/>
      <c r="BN43" s="23"/>
      <c r="BO43" s="23"/>
      <c r="BP43" s="389"/>
      <c r="BQ43" s="389"/>
      <c r="BR43" s="389"/>
      <c r="BS43" s="389"/>
      <c r="BT43" s="23"/>
      <c r="BU43" s="23"/>
      <c r="BV43" s="389"/>
      <c r="BW43" s="389"/>
      <c r="BX43" s="389"/>
      <c r="BY43" s="389"/>
      <c r="BZ43" s="23"/>
      <c r="CA43" s="23"/>
      <c r="CB43" s="389"/>
      <c r="CC43" s="389"/>
      <c r="CD43" s="389"/>
      <c r="CE43" s="389"/>
      <c r="CF43" s="555"/>
      <c r="CG43" s="566">
        <f>SUM('3 pr-2'!AH44)</f>
        <v>43343</v>
      </c>
      <c r="CH43" s="566">
        <f>SUM('3 pr-2'!AJ44)</f>
        <v>44196</v>
      </c>
      <c r="CI43" s="30">
        <f>SUM(V43+AB43+AH43)</f>
        <v>212500</v>
      </c>
      <c r="CJ43" s="30">
        <f t="shared" ref="CJ43" si="125">SUM(CI43-AS43)</f>
        <v>0</v>
      </c>
    </row>
    <row r="44" spans="1:99" ht="45.75" customHeight="1" thickTop="1" thickBot="1" x14ac:dyDescent="0.3">
      <c r="A44" s="185" t="str">
        <f>CONCATENATE('3 pr-2'!A45:J45)</f>
        <v>1.1.1.3.6</v>
      </c>
      <c r="B44" s="150" t="str">
        <f>CONCATENATE('3 pr-2'!D45)</f>
        <v xml:space="preserve">Teritorijų prie daugiabučių gyvenamųjų pastatų Varėnos mieste sutvarkymas ir pritaikymas visuomenės poreikiams  </v>
      </c>
      <c r="C44" s="111">
        <v>0</v>
      </c>
      <c r="D44" s="111">
        <v>0</v>
      </c>
      <c r="E44" s="111">
        <v>0</v>
      </c>
      <c r="F44" s="389">
        <v>0</v>
      </c>
      <c r="G44" s="389">
        <v>0</v>
      </c>
      <c r="H44" s="389">
        <v>0</v>
      </c>
      <c r="I44" s="389">
        <v>0</v>
      </c>
      <c r="J44" s="111">
        <v>0</v>
      </c>
      <c r="K44" s="119">
        <v>0</v>
      </c>
      <c r="L44" s="405">
        <v>0</v>
      </c>
      <c r="M44" s="405">
        <v>0</v>
      </c>
      <c r="N44" s="405">
        <v>0</v>
      </c>
      <c r="O44" s="405">
        <v>0</v>
      </c>
      <c r="P44" s="119">
        <v>0</v>
      </c>
      <c r="Q44" s="111">
        <f>IF(YEAR($Q$3)=YEAR($CG44),($Q$3-$CG44)*AI44/($CH44-$CG44),0)</f>
        <v>44429.046223224352</v>
      </c>
      <c r="R44" s="405">
        <f>IF(YEAR($Q$3)=YEAR($CG44),($Q$3-$CG44)*AK44/($CH44-$CG44),0)</f>
        <v>3332.2795941375421</v>
      </c>
      <c r="S44" s="405">
        <f>IF(YEAR($Q$3)=YEAR($CG44),($Q$3-$CG44)*AM44/($CH44-$CG44),0)</f>
        <v>3332.1037204058625</v>
      </c>
      <c r="T44" s="405">
        <f>IF(YEAR($Q$3)=YEAR($CG44),($Q$3-$CG44)*AO44/($CH44-$CG44),0)</f>
        <v>0</v>
      </c>
      <c r="U44" s="405">
        <f>IF(YEAR($Q$3)=YEAR($CG44),($Q$3-$CG44)*AQ44/($CH44-$CG44),0)</f>
        <v>0</v>
      </c>
      <c r="V44" s="111">
        <f>IF(YEAR($Q$3)=YEAR($CG44),($Q$3-$CG44)*AS44/($CH44-$CG44),0)</f>
        <v>37764.662908680948</v>
      </c>
      <c r="W44" s="111">
        <f>IF(YEAR($W$3)&lt;YEAR($CH44),($W$3-$Q$3)*AI44/($CH44-$CG44),0)</f>
        <v>103952.57609921083</v>
      </c>
      <c r="X44" s="422">
        <f>IF(YEAR($W$3)&lt;YEAR($CH44),($W$3-$Q$3)*AK44/($CH44-$CG44),0)</f>
        <v>7796.6798196166856</v>
      </c>
      <c r="Y44" s="422">
        <f>IF(YEAR($W$3)&lt;YEAR($CH44),($W$3-$Q$3)*AM44/($CH44-$CG44),0)</f>
        <v>7796.2683201803829</v>
      </c>
      <c r="Z44" s="422">
        <f>IF(YEAR($W$3)&lt;YEAR($CH44),($W$3-$Q$3)*AO44/($CH44-$CG44),0)</f>
        <v>0</v>
      </c>
      <c r="AA44" s="422">
        <f>IF(YEAR($W$3)&lt;YEAR($CH44),($W$3-$Q$3)*AQ44/($CH44-$CG44),0)</f>
        <v>0</v>
      </c>
      <c r="AB44" s="111">
        <f>IF(YEAR($W$3)&lt;YEAR($CH44),($W$3-$Q$3)*AS44/($CH44-$CG44),0)</f>
        <v>88359.62795941376</v>
      </c>
      <c r="AC44" s="111">
        <f>IF(YEAR($AC$3)=YEAR($CH44),($CH44-$W$3)*AI44/($CH44-$CG44),0)</f>
        <v>104237.37767756483</v>
      </c>
      <c r="AD44" s="422">
        <f>IF(YEAR($AC$3)=YEAR($CH44),($CH44-$W$3)*AK44/($CH44-$CG44),0)</f>
        <v>7818.0405862457719</v>
      </c>
      <c r="AE44" s="422">
        <f>IF(YEAR($AC$3)=YEAR($CH44),($CH44-$W$3)*AM44/($CH44-$CG44),0)</f>
        <v>7817.6279594137541</v>
      </c>
      <c r="AF44" s="422">
        <f>IF(YEAR($AC$3)=YEAR($CH44),($CH44-$W$3)*AP44/($CH44-$CG44),0)</f>
        <v>0</v>
      </c>
      <c r="AG44" s="422">
        <f>IF(YEAR($AC$3)=YEAR($CH44),($CH44-$W$3)*AQ44/($CH44-$CG44),0)</f>
        <v>0</v>
      </c>
      <c r="AH44" s="111">
        <f>IF(YEAR($AC$3)=YEAR($CH44),($CH44-$W$3)*AS44/($CH44-$CG44),0)</f>
        <v>88601.7091319053</v>
      </c>
      <c r="AI44" s="1176">
        <f>SUM('3 pr-2'!L45)</f>
        <v>252619</v>
      </c>
      <c r="AJ44" s="834"/>
      <c r="AK44" s="389">
        <f>SUM('3 pr-2'!O45)</f>
        <v>18947</v>
      </c>
      <c r="AL44" s="839"/>
      <c r="AM44" s="389">
        <f>SUM('3 pr-2'!R45)</f>
        <v>18946</v>
      </c>
      <c r="AN44" s="839"/>
      <c r="AO44" s="389">
        <f>SUM('3 pr-2'!U45)</f>
        <v>0</v>
      </c>
      <c r="AP44" s="389"/>
      <c r="AQ44" s="389">
        <f>SUM('3 pr-2'!X45)</f>
        <v>0</v>
      </c>
      <c r="AR44" s="389"/>
      <c r="AS44" s="11">
        <f>SUM('3 pr-2'!AA45)</f>
        <v>214726</v>
      </c>
      <c r="AT44" s="837"/>
      <c r="AU44" s="22">
        <v>0</v>
      </c>
      <c r="AV44" s="23">
        <v>0</v>
      </c>
      <c r="AW44" s="23">
        <v>0</v>
      </c>
      <c r="AX44" s="389"/>
      <c r="AY44" s="389"/>
      <c r="AZ44" s="389"/>
      <c r="BA44" s="389"/>
      <c r="BB44" s="23"/>
      <c r="BC44" s="23"/>
      <c r="BD44" s="389"/>
      <c r="BE44" s="389"/>
      <c r="BF44" s="389"/>
      <c r="BG44" s="389"/>
      <c r="BH44" s="23"/>
      <c r="BI44" s="23"/>
      <c r="BJ44" s="389"/>
      <c r="BK44" s="389"/>
      <c r="BL44" s="389"/>
      <c r="BM44" s="389"/>
      <c r="BN44" s="23"/>
      <c r="BO44" s="23"/>
      <c r="BP44" s="389"/>
      <c r="BQ44" s="389"/>
      <c r="BR44" s="389"/>
      <c r="BS44" s="389"/>
      <c r="BT44" s="23"/>
      <c r="BU44" s="23"/>
      <c r="BV44" s="389"/>
      <c r="BW44" s="389"/>
      <c r="BX44" s="389"/>
      <c r="BY44" s="389"/>
      <c r="BZ44" s="23"/>
      <c r="CA44" s="23"/>
      <c r="CB44" s="389"/>
      <c r="CC44" s="389"/>
      <c r="CD44" s="389"/>
      <c r="CE44" s="389"/>
      <c r="CF44" s="555">
        <v>100</v>
      </c>
      <c r="CG44" s="566">
        <f>SUM('3 pr-2'!AH45)</f>
        <v>43309</v>
      </c>
      <c r="CH44" s="566">
        <f>SUM('3 pr-2'!AJ45)</f>
        <v>44196</v>
      </c>
      <c r="CI44" s="30">
        <f>SUM(V44+AB44+AH44)</f>
        <v>214726</v>
      </c>
      <c r="CJ44" s="30">
        <f t="shared" ref="CJ44" si="126">SUM(CI44-AS44)</f>
        <v>0</v>
      </c>
    </row>
    <row r="45" spans="1:99" ht="42" customHeight="1" thickBot="1" x14ac:dyDescent="0.3">
      <c r="A45" s="383" t="str">
        <f>CONCATENATE('3 pr-2'!A46)</f>
        <v>1.1.1.4</v>
      </c>
      <c r="B45" s="182" t="str">
        <f>CONCATENATE('3 pr-2'!D46)</f>
        <v/>
      </c>
      <c r="C45" s="110">
        <f>SUM(C46:C48)</f>
        <v>0</v>
      </c>
      <c r="D45" s="110">
        <f>SUM(D46:D48)</f>
        <v>0</v>
      </c>
      <c r="E45" s="110">
        <f>SUM(E46:E48)</f>
        <v>0</v>
      </c>
      <c r="F45" s="110">
        <f t="shared" ref="F45:I45" si="127">SUM(F46:F48)</f>
        <v>0</v>
      </c>
      <c r="G45" s="110">
        <f t="shared" si="127"/>
        <v>0</v>
      </c>
      <c r="H45" s="110">
        <f t="shared" si="127"/>
        <v>0</v>
      </c>
      <c r="I45" s="110">
        <f t="shared" si="127"/>
        <v>0</v>
      </c>
      <c r="J45" s="110">
        <f t="shared" ref="J45:Q45" si="128">SUM(J46:J48)</f>
        <v>0</v>
      </c>
      <c r="K45" s="110">
        <f t="shared" si="128"/>
        <v>1263963.08</v>
      </c>
      <c r="L45" s="408">
        <f t="shared" si="128"/>
        <v>68638.62000000001</v>
      </c>
      <c r="M45" s="408">
        <f t="shared" si="128"/>
        <v>96918.01</v>
      </c>
      <c r="N45" s="408">
        <f t="shared" si="128"/>
        <v>0</v>
      </c>
      <c r="O45" s="408">
        <f t="shared" si="128"/>
        <v>0</v>
      </c>
      <c r="P45" s="110">
        <f t="shared" si="128"/>
        <v>1098406.45</v>
      </c>
      <c r="Q45" s="110">
        <f t="shared" si="128"/>
        <v>848060.47999999975</v>
      </c>
      <c r="R45" s="408"/>
      <c r="S45" s="408"/>
      <c r="T45" s="408"/>
      <c r="U45" s="408"/>
      <c r="V45" s="110">
        <f>SUM(V46:V48)</f>
        <v>576751.12000000011</v>
      </c>
      <c r="W45" s="110">
        <f>SUM(W46:W48)</f>
        <v>0</v>
      </c>
      <c r="X45" s="408"/>
      <c r="Y45" s="408"/>
      <c r="Z45" s="408"/>
      <c r="AA45" s="408"/>
      <c r="AB45" s="110">
        <f>SUM(AB46:AB48)</f>
        <v>0</v>
      </c>
      <c r="AC45" s="110">
        <f>SUM(AC46:AC48)</f>
        <v>0</v>
      </c>
      <c r="AD45" s="408"/>
      <c r="AE45" s="408"/>
      <c r="AF45" s="408"/>
      <c r="AG45" s="408"/>
      <c r="AH45" s="110">
        <f>SUM(AH46:AH48)</f>
        <v>0</v>
      </c>
      <c r="AI45" s="1177">
        <f>SUM(AI46:AI48)</f>
        <v>2112023.5599999996</v>
      </c>
      <c r="AJ45" s="110"/>
      <c r="AK45" s="110"/>
      <c r="AL45" s="110"/>
      <c r="AM45" s="110"/>
      <c r="AN45" s="110"/>
      <c r="AO45" s="110"/>
      <c r="AP45" s="110"/>
      <c r="AQ45" s="110"/>
      <c r="AR45" s="110"/>
      <c r="AS45" s="110">
        <f>SUM(AS46:AS48)</f>
        <v>1675157.5699999998</v>
      </c>
      <c r="AT45" s="110"/>
      <c r="AU45" s="26">
        <v>0</v>
      </c>
      <c r="AV45" s="27">
        <v>0</v>
      </c>
      <c r="AW45" s="27">
        <v>25.000000122557147</v>
      </c>
      <c r="AX45" s="110">
        <v>25.000000122557147</v>
      </c>
      <c r="AY45" s="110">
        <v>25.000000122557147</v>
      </c>
      <c r="AZ45" s="110">
        <v>25.000000122557147</v>
      </c>
      <c r="BA45" s="110">
        <v>25.000000122557147</v>
      </c>
      <c r="BB45" s="27">
        <v>25</v>
      </c>
      <c r="BC45" s="27">
        <v>25.000000122557147</v>
      </c>
      <c r="BD45" s="110">
        <v>25.000000122557147</v>
      </c>
      <c r="BE45" s="110">
        <v>25.000000122557147</v>
      </c>
      <c r="BF45" s="110">
        <v>25.000000122557147</v>
      </c>
      <c r="BG45" s="110">
        <v>25.000000122557147</v>
      </c>
      <c r="BH45" s="27">
        <v>25</v>
      </c>
      <c r="BI45" s="27">
        <v>25.000000122557147</v>
      </c>
      <c r="BJ45" s="110">
        <v>25.000000122557147</v>
      </c>
      <c r="BK45" s="110">
        <v>25.000000122557147</v>
      </c>
      <c r="BL45" s="110">
        <v>25.000000122557147</v>
      </c>
      <c r="BM45" s="110">
        <v>25.000000122557147</v>
      </c>
      <c r="BN45" s="27">
        <v>25</v>
      </c>
      <c r="BO45" s="27">
        <v>25.000000122557147</v>
      </c>
      <c r="BP45" s="110">
        <v>25.000000122557147</v>
      </c>
      <c r="BQ45" s="110">
        <v>25.000000122557147</v>
      </c>
      <c r="BR45" s="110">
        <v>25.000000122557147</v>
      </c>
      <c r="BS45" s="110">
        <v>25.000000122557147</v>
      </c>
      <c r="BT45" s="27">
        <v>25</v>
      </c>
      <c r="BU45" s="27">
        <v>0</v>
      </c>
      <c r="BV45" s="110">
        <v>0</v>
      </c>
      <c r="BW45" s="110">
        <v>0</v>
      </c>
      <c r="BX45" s="110">
        <v>0</v>
      </c>
      <c r="BY45" s="110">
        <v>0</v>
      </c>
      <c r="BZ45" s="27">
        <v>0</v>
      </c>
      <c r="CA45" s="27">
        <v>100</v>
      </c>
      <c r="CB45" s="110">
        <v>100</v>
      </c>
      <c r="CC45" s="110">
        <v>100</v>
      </c>
      <c r="CD45" s="110">
        <v>100</v>
      </c>
      <c r="CE45" s="110">
        <v>100</v>
      </c>
      <c r="CF45" s="556">
        <v>100</v>
      </c>
      <c r="CG45" s="561"/>
      <c r="CH45" s="561"/>
    </row>
    <row r="46" spans="1:99" s="10" customFormat="1" ht="37.5" thickTop="1" thickBot="1" x14ac:dyDescent="0.3">
      <c r="A46" s="185" t="str">
        <f>CONCATENATE('3 pr-2'!A47:J47)</f>
        <v>1.1.1.4.1</v>
      </c>
      <c r="B46" s="150" t="str">
        <f>CONCATENATE('3 pr-2'!D47)</f>
        <v>Buvusios pramoninės teritorijos Pramonės g. 1 Alytuje, pritaikymas verslo vystymui ir plėtrai.</v>
      </c>
      <c r="C46" s="111">
        <v>0</v>
      </c>
      <c r="D46" s="111">
        <v>0</v>
      </c>
      <c r="E46" s="111">
        <v>0</v>
      </c>
      <c r="F46" s="389">
        <v>0</v>
      </c>
      <c r="G46" s="389">
        <v>0</v>
      </c>
      <c r="H46" s="389">
        <v>0</v>
      </c>
      <c r="I46" s="389">
        <v>0</v>
      </c>
      <c r="J46" s="111">
        <v>0</v>
      </c>
      <c r="K46" s="119">
        <f>SUM(P46+M46+L46)</f>
        <v>1252365.01</v>
      </c>
      <c r="L46" s="405">
        <f>SUM('ketv. 7 lent'!N45)</f>
        <v>67751.570000000007</v>
      </c>
      <c r="M46" s="405">
        <f>SUM('ketv. 7 lent'!Q45)</f>
        <v>96049.55</v>
      </c>
      <c r="N46" s="405">
        <f>IF(YEAR($CG$39)=2016,($BC$4-$AW$4)*AO$39/($CH$39-$CG$39),0)</f>
        <v>0</v>
      </c>
      <c r="O46" s="405">
        <f>IF(YEAR($CG$39)=2016,($BC$4-$AW$4)*AQ$39/($CH$39-$CG$39),0)</f>
        <v>0</v>
      </c>
      <c r="P46" s="119">
        <f>SUM('ketv. 7 lent'!Z45)</f>
        <v>1088563.8899999999</v>
      </c>
      <c r="Q46" s="111">
        <f>SUM(AI46-K46)</f>
        <v>41367.559999999823</v>
      </c>
      <c r="R46" s="405">
        <f>SUM(AK46-L46)</f>
        <v>29278.37999999999</v>
      </c>
      <c r="S46" s="405">
        <f>SUM(AM46-M46)</f>
        <v>980.38999999999942</v>
      </c>
      <c r="T46" s="405">
        <f>SUM(AO46-N46)</f>
        <v>0</v>
      </c>
      <c r="U46" s="405">
        <f>SUM(AQ46-O46)</f>
        <v>0</v>
      </c>
      <c r="V46" s="111">
        <f>SUM(AS46-P46)</f>
        <v>11108.790000000037</v>
      </c>
      <c r="W46" s="111">
        <v>0</v>
      </c>
      <c r="X46" s="422">
        <v>0</v>
      </c>
      <c r="Y46" s="422">
        <v>0</v>
      </c>
      <c r="Z46" s="422">
        <v>0</v>
      </c>
      <c r="AA46" s="422">
        <v>0</v>
      </c>
      <c r="AB46" s="111">
        <v>0</v>
      </c>
      <c r="AC46" s="111">
        <v>0</v>
      </c>
      <c r="AD46" s="422">
        <v>0</v>
      </c>
      <c r="AE46" s="422">
        <v>0</v>
      </c>
      <c r="AF46" s="422">
        <v>0</v>
      </c>
      <c r="AG46" s="422">
        <v>0</v>
      </c>
      <c r="AH46" s="111">
        <v>0</v>
      </c>
      <c r="AI46" s="1170">
        <f>SUM('3 pr-2'!L47)</f>
        <v>1293732.5699999998</v>
      </c>
      <c r="AJ46" s="840"/>
      <c r="AK46" s="389">
        <f>SUM('3 pr-2'!O47)</f>
        <v>97029.95</v>
      </c>
      <c r="AL46" s="839"/>
      <c r="AM46" s="389">
        <f>SUM('3 pr-2'!R47)</f>
        <v>97029.94</v>
      </c>
      <c r="AN46" s="839"/>
      <c r="AO46" s="389">
        <f>SUM('3 pr-2'!U47)</f>
        <v>0</v>
      </c>
      <c r="AP46" s="389"/>
      <c r="AQ46" s="389">
        <f>SUM('3 pr-2'!X47)</f>
        <v>0</v>
      </c>
      <c r="AR46" s="389"/>
      <c r="AS46" s="15">
        <f>SUM('3 pr-2'!AA47)</f>
        <v>1099672.68</v>
      </c>
      <c r="AT46" s="840"/>
      <c r="AU46" s="26"/>
      <c r="AV46" s="27"/>
      <c r="AW46" s="27"/>
      <c r="AX46" s="389"/>
      <c r="AY46" s="389"/>
      <c r="AZ46" s="389"/>
      <c r="BA46" s="389"/>
      <c r="BB46" s="27"/>
      <c r="BC46" s="27"/>
      <c r="BD46" s="389"/>
      <c r="BE46" s="389"/>
      <c r="BF46" s="389"/>
      <c r="BG46" s="389"/>
      <c r="BH46" s="27"/>
      <c r="BI46" s="27"/>
      <c r="BJ46" s="389"/>
      <c r="BK46" s="389"/>
      <c r="BL46" s="389"/>
      <c r="BM46" s="389"/>
      <c r="BN46" s="27"/>
      <c r="BO46" s="27"/>
      <c r="BP46" s="389"/>
      <c r="BQ46" s="389"/>
      <c r="BR46" s="389"/>
      <c r="BS46" s="389"/>
      <c r="BT46" s="27"/>
      <c r="BU46" s="27"/>
      <c r="BV46" s="389"/>
      <c r="BW46" s="389"/>
      <c r="BX46" s="389"/>
      <c r="BY46" s="389"/>
      <c r="BZ46" s="27"/>
      <c r="CA46" s="27"/>
      <c r="CB46" s="389"/>
      <c r="CC46" s="389"/>
      <c r="CD46" s="389"/>
      <c r="CE46" s="389"/>
      <c r="CF46" s="556"/>
      <c r="CG46" s="566">
        <f>SUM('3 pr-2'!AH47)</f>
        <v>42735</v>
      </c>
      <c r="CH46" s="566">
        <f>SUM('3 pr-2'!AJ47)</f>
        <v>43281</v>
      </c>
      <c r="CI46" s="30">
        <f>SUM(P46+V46)</f>
        <v>1099672.68</v>
      </c>
      <c r="CJ46" s="30">
        <f t="shared" ref="CJ46:CJ54" si="129">SUM(CI46-AS46)</f>
        <v>0</v>
      </c>
    </row>
    <row r="47" spans="1:99" s="10" customFormat="1" ht="25.5" thickTop="1" thickBot="1" x14ac:dyDescent="0.3">
      <c r="A47" s="185" t="str">
        <f>CONCATENATE('3 pr-2'!A48:J48)</f>
        <v>1.1.1.4.2</v>
      </c>
      <c r="B47" s="150" t="str">
        <f>CONCATENATE('3 pr-2'!D48)</f>
        <v>Amatų centro „Menų kalvė“ Druskininkuose įkūrimas</v>
      </c>
      <c r="C47" s="51">
        <v>0</v>
      </c>
      <c r="D47" s="51">
        <v>0</v>
      </c>
      <c r="E47" s="111">
        <v>0</v>
      </c>
      <c r="F47" s="389">
        <v>0</v>
      </c>
      <c r="G47" s="389">
        <v>0</v>
      </c>
      <c r="H47" s="389">
        <v>0</v>
      </c>
      <c r="I47" s="389">
        <v>0</v>
      </c>
      <c r="J47" s="111">
        <v>0</v>
      </c>
      <c r="K47" s="119">
        <f>SUM(P47+M47+L47)</f>
        <v>62.480000000000004</v>
      </c>
      <c r="L47" s="405">
        <f>SUM('ketv. 7 lent'!N46)</f>
        <v>21.88</v>
      </c>
      <c r="M47" s="405">
        <f>SUM('ketv. 7 lent'!Q46)</f>
        <v>3.29</v>
      </c>
      <c r="N47" s="405">
        <f>IF(YEAR($CG$39)=2016,($BC$4-$AW$4)*AO$39/($CH$39-$CG$39),0)</f>
        <v>0</v>
      </c>
      <c r="O47" s="405">
        <f>IF(YEAR($CG$39)=2016,($BC$4-$AW$4)*AQ$39/($CH$39-$CG$39),0)</f>
        <v>0</v>
      </c>
      <c r="P47" s="119">
        <f>SUM('ketv. 7 lent'!Z46)</f>
        <v>37.31</v>
      </c>
      <c r="Q47" s="111">
        <f t="shared" ref="Q47:Q48" si="130">SUM(AI47-K47)</f>
        <v>474721.52</v>
      </c>
      <c r="R47" s="405">
        <f t="shared" ref="R47:R48" si="131">SUM(AK47-L47)</f>
        <v>166243.12</v>
      </c>
      <c r="S47" s="405">
        <f t="shared" ref="S47:S48" si="132">SUM(AM47-M47)</f>
        <v>25011.77</v>
      </c>
      <c r="T47" s="405">
        <f t="shared" ref="T47:T48" si="133">SUM(AO47-N47)</f>
        <v>0</v>
      </c>
      <c r="U47" s="405">
        <f t="shared" ref="U47:U48" si="134">SUM(AQ47-O47)</f>
        <v>0</v>
      </c>
      <c r="V47" s="111">
        <f t="shared" ref="V47:V48" si="135">SUM(AS47-P47)</f>
        <v>283466.63</v>
      </c>
      <c r="W47" s="111">
        <v>0</v>
      </c>
      <c r="X47" s="422">
        <v>0</v>
      </c>
      <c r="Y47" s="422">
        <v>0</v>
      </c>
      <c r="Z47" s="422">
        <v>0</v>
      </c>
      <c r="AA47" s="422">
        <v>0</v>
      </c>
      <c r="AB47" s="111">
        <v>0</v>
      </c>
      <c r="AC47" s="51">
        <v>0</v>
      </c>
      <c r="AD47" s="421">
        <v>0</v>
      </c>
      <c r="AE47" s="421">
        <v>0</v>
      </c>
      <c r="AF47" s="421">
        <v>0</v>
      </c>
      <c r="AG47" s="421">
        <v>0</v>
      </c>
      <c r="AH47" s="111">
        <v>0</v>
      </c>
      <c r="AI47" s="1170">
        <f>SUM('3 pr-2'!L48)</f>
        <v>474784</v>
      </c>
      <c r="AJ47" s="840">
        <f>SUM(AI47-K47)</f>
        <v>474721.52</v>
      </c>
      <c r="AK47" s="389">
        <f>SUM('3 pr-2'!O48)</f>
        <v>166265</v>
      </c>
      <c r="AL47" s="839">
        <f>SUM(AK47-L47)</f>
        <v>166243.12</v>
      </c>
      <c r="AM47" s="389">
        <f>SUM('3 pr-2'!R48)</f>
        <v>25015.06</v>
      </c>
      <c r="AN47" s="839">
        <f>SUM(AM47-M47)</f>
        <v>25011.77</v>
      </c>
      <c r="AO47" s="389">
        <f>SUM('3 pr-2'!U48)</f>
        <v>0</v>
      </c>
      <c r="AP47" s="389"/>
      <c r="AQ47" s="389">
        <f>SUM('3 pr-2'!X48)</f>
        <v>0</v>
      </c>
      <c r="AR47" s="389"/>
      <c r="AS47" s="15">
        <f>SUM('3 pr-2'!AA48)</f>
        <v>283503.94</v>
      </c>
      <c r="AT47" s="840">
        <f>SUM(AS47-P47)</f>
        <v>283466.63</v>
      </c>
      <c r="AU47" s="26"/>
      <c r="AV47" s="27"/>
      <c r="AW47" s="27"/>
      <c r="AX47" s="389"/>
      <c r="AY47" s="389"/>
      <c r="AZ47" s="389"/>
      <c r="BA47" s="389"/>
      <c r="BB47" s="27"/>
      <c r="BC47" s="109"/>
      <c r="BD47" s="389"/>
      <c r="BE47" s="389"/>
      <c r="BF47" s="389"/>
      <c r="BG47" s="389"/>
      <c r="BH47" s="109"/>
      <c r="BI47" s="109"/>
      <c r="BJ47" s="389"/>
      <c r="BK47" s="389"/>
      <c r="BL47" s="389"/>
      <c r="BM47" s="389"/>
      <c r="BN47" s="109"/>
      <c r="BO47" s="109"/>
      <c r="BP47" s="389"/>
      <c r="BQ47" s="389"/>
      <c r="BR47" s="389"/>
      <c r="BS47" s="389"/>
      <c r="BT47" s="27"/>
      <c r="BU47" s="27"/>
      <c r="BV47" s="389"/>
      <c r="BW47" s="389"/>
      <c r="BX47" s="389"/>
      <c r="BY47" s="389"/>
      <c r="BZ47" s="27"/>
      <c r="CA47" s="27"/>
      <c r="CB47" s="389"/>
      <c r="CC47" s="389"/>
      <c r="CD47" s="389"/>
      <c r="CE47" s="389"/>
      <c r="CF47" s="556"/>
      <c r="CG47" s="566">
        <f>SUM('3 pr-2'!AH48)</f>
        <v>42675</v>
      </c>
      <c r="CH47" s="566">
        <f>SUM('3 pr-2'!AJ48)</f>
        <v>43465</v>
      </c>
      <c r="CI47" s="30">
        <f>SUM(P47+V47)</f>
        <v>283503.94</v>
      </c>
      <c r="CJ47" s="30">
        <f t="shared" si="129"/>
        <v>0</v>
      </c>
    </row>
    <row r="48" spans="1:99" s="10" customFormat="1" ht="25.5" thickTop="1" thickBot="1" x14ac:dyDescent="0.3">
      <c r="A48" s="185" t="str">
        <f>CONCATENATE('3 pr-2'!A49:J49)</f>
        <v>1.1.1.4.3</v>
      </c>
      <c r="B48" s="150" t="str">
        <f>CONCATENATE('3 pr-2'!D49)</f>
        <v>Lazdijų miesto kompleksinė infrastruktūros plėtra, III etapas</v>
      </c>
      <c r="C48" s="51">
        <v>0</v>
      </c>
      <c r="D48" s="51">
        <v>0</v>
      </c>
      <c r="E48" s="111">
        <v>0</v>
      </c>
      <c r="F48" s="389">
        <v>0</v>
      </c>
      <c r="G48" s="389">
        <v>0</v>
      </c>
      <c r="H48" s="389">
        <v>0</v>
      </c>
      <c r="I48" s="389">
        <v>0</v>
      </c>
      <c r="J48" s="111">
        <v>0</v>
      </c>
      <c r="K48" s="119">
        <f>SUM(P48+M48+L48)</f>
        <v>11535.59</v>
      </c>
      <c r="L48" s="405">
        <f>SUM('ketv. 7 lent'!N47)</f>
        <v>865.17</v>
      </c>
      <c r="M48" s="405">
        <f>SUM('ketv. 7 lent'!Q47)</f>
        <v>865.17</v>
      </c>
      <c r="N48" s="405">
        <f>IF(YEAR($CG$39)=2016,($BC$4-$AW$4)*AO$39/($CH$39-$CG$39),0)</f>
        <v>0</v>
      </c>
      <c r="O48" s="405">
        <f>IF(YEAR($CG$39)=2016,($BC$4-$AW$4)*AQ$39/($CH$39-$CG$39),0)</f>
        <v>0</v>
      </c>
      <c r="P48" s="119">
        <f>SUM('ketv. 7 lent'!Z47)</f>
        <v>9805.25</v>
      </c>
      <c r="Q48" s="111">
        <f t="shared" si="130"/>
        <v>331971.39999999997</v>
      </c>
      <c r="R48" s="405">
        <f t="shared" si="131"/>
        <v>24897.850000000002</v>
      </c>
      <c r="S48" s="405">
        <f t="shared" si="132"/>
        <v>24897.850000000002</v>
      </c>
      <c r="T48" s="405">
        <f t="shared" si="133"/>
        <v>0</v>
      </c>
      <c r="U48" s="405">
        <f t="shared" si="134"/>
        <v>0</v>
      </c>
      <c r="V48" s="111">
        <f t="shared" si="135"/>
        <v>282175.7</v>
      </c>
      <c r="W48" s="111">
        <v>0</v>
      </c>
      <c r="X48" s="422">
        <v>0</v>
      </c>
      <c r="Y48" s="422">
        <v>0</v>
      </c>
      <c r="Z48" s="422">
        <v>0</v>
      </c>
      <c r="AA48" s="422">
        <v>0</v>
      </c>
      <c r="AB48" s="111">
        <v>0</v>
      </c>
      <c r="AC48" s="51">
        <v>0</v>
      </c>
      <c r="AD48" s="421">
        <v>0</v>
      </c>
      <c r="AE48" s="421">
        <v>0</v>
      </c>
      <c r="AF48" s="421">
        <v>0</v>
      </c>
      <c r="AG48" s="421">
        <v>0</v>
      </c>
      <c r="AH48" s="111">
        <v>0</v>
      </c>
      <c r="AI48" s="1170">
        <f>SUM('3 pr-2'!L49)</f>
        <v>343506.99</v>
      </c>
      <c r="AJ48" s="840">
        <f>SUM(AI48-K48)</f>
        <v>331971.39999999997</v>
      </c>
      <c r="AK48" s="389">
        <f>SUM('3 pr-2'!O49)</f>
        <v>25763.02</v>
      </c>
      <c r="AL48" s="839">
        <f>SUM(AK48-L48)</f>
        <v>24897.850000000002</v>
      </c>
      <c r="AM48" s="389">
        <f>SUM('3 pr-2'!R49)</f>
        <v>25763.02</v>
      </c>
      <c r="AN48" s="839">
        <f>SUM(AM48-M48)</f>
        <v>24897.850000000002</v>
      </c>
      <c r="AO48" s="389">
        <f>SUM('3 pr-2'!U49)</f>
        <v>0</v>
      </c>
      <c r="AP48" s="389"/>
      <c r="AQ48" s="389">
        <f>SUM('3 pr-2'!X49)</f>
        <v>0</v>
      </c>
      <c r="AR48" s="389"/>
      <c r="AS48" s="15">
        <f>SUM('3 pr-2'!AA49)</f>
        <v>291980.95</v>
      </c>
      <c r="AT48" s="840">
        <f>SUM(AS48-P48)</f>
        <v>282175.7</v>
      </c>
      <c r="AU48" s="26"/>
      <c r="AV48" s="27"/>
      <c r="AW48" s="109"/>
      <c r="AX48" s="389"/>
      <c r="AY48" s="389"/>
      <c r="AZ48" s="389"/>
      <c r="BA48" s="389"/>
      <c r="BB48" s="109"/>
      <c r="BC48" s="109"/>
      <c r="BD48" s="389"/>
      <c r="BE48" s="389"/>
      <c r="BF48" s="389"/>
      <c r="BG48" s="389"/>
      <c r="BH48" s="109"/>
      <c r="BI48" s="27"/>
      <c r="BJ48" s="389"/>
      <c r="BK48" s="389"/>
      <c r="BL48" s="389"/>
      <c r="BM48" s="389"/>
      <c r="BN48" s="27"/>
      <c r="BO48" s="27"/>
      <c r="BP48" s="389"/>
      <c r="BQ48" s="389"/>
      <c r="BR48" s="389"/>
      <c r="BS48" s="389"/>
      <c r="BT48" s="27"/>
      <c r="BU48" s="27"/>
      <c r="BV48" s="389"/>
      <c r="BW48" s="389"/>
      <c r="BX48" s="389"/>
      <c r="BY48" s="389"/>
      <c r="BZ48" s="27"/>
      <c r="CA48" s="27"/>
      <c r="CB48" s="389"/>
      <c r="CC48" s="389"/>
      <c r="CD48" s="389"/>
      <c r="CE48" s="389"/>
      <c r="CF48" s="556"/>
      <c r="CG48" s="566">
        <f>SUM('3 pr-2'!AH49)</f>
        <v>42674</v>
      </c>
      <c r="CH48" s="566">
        <f>SUM('3 pr-2'!AJ49)</f>
        <v>43465</v>
      </c>
      <c r="CI48" s="30">
        <f>SUM(P48+V48)</f>
        <v>291980.95</v>
      </c>
      <c r="CJ48" s="30">
        <f t="shared" si="129"/>
        <v>0</v>
      </c>
    </row>
    <row r="49" spans="1:98" ht="65.25" thickBot="1" x14ac:dyDescent="0.3">
      <c r="A49" s="383" t="str">
        <f>CONCATENATE('3 pr-2'!A50)</f>
        <v>1.1.1.5</v>
      </c>
      <c r="B49" s="182" t="str">
        <f>CONCATENATE('3 pr-2'!D50)</f>
        <v/>
      </c>
      <c r="C49" s="110">
        <f t="shared" ref="C49:AS49" si="136">SUM(C50:C54)</f>
        <v>0</v>
      </c>
      <c r="D49" s="110">
        <f t="shared" si="136"/>
        <v>0</v>
      </c>
      <c r="E49" s="110">
        <f t="shared" si="136"/>
        <v>835238.47455074196</v>
      </c>
      <c r="F49" s="110">
        <f t="shared" si="136"/>
        <v>0</v>
      </c>
      <c r="G49" s="110">
        <f t="shared" si="136"/>
        <v>0</v>
      </c>
      <c r="H49" s="110">
        <f t="shared" si="136"/>
        <v>466522.92455074203</v>
      </c>
      <c r="I49" s="110">
        <f t="shared" si="136"/>
        <v>0</v>
      </c>
      <c r="J49" s="110">
        <f t="shared" si="136"/>
        <v>368715.55</v>
      </c>
      <c r="K49" s="110">
        <f t="shared" si="136"/>
        <v>1262440.74</v>
      </c>
      <c r="L49" s="408">
        <f t="shared" ref="L49:O49" si="137">SUM(L50:L54)</f>
        <v>0</v>
      </c>
      <c r="M49" s="408">
        <f t="shared" si="137"/>
        <v>0</v>
      </c>
      <c r="N49" s="408">
        <f t="shared" si="137"/>
        <v>368828.98</v>
      </c>
      <c r="O49" s="408">
        <f t="shared" si="137"/>
        <v>0</v>
      </c>
      <c r="P49" s="110">
        <f t="shared" si="136"/>
        <v>893611.76</v>
      </c>
      <c r="Q49" s="110">
        <f t="shared" si="136"/>
        <v>5114057.1113960929</v>
      </c>
      <c r="R49" s="408"/>
      <c r="S49" s="408"/>
      <c r="T49" s="408"/>
      <c r="U49" s="408"/>
      <c r="V49" s="110">
        <f t="shared" si="136"/>
        <v>2679589.0094579561</v>
      </c>
      <c r="W49" s="110">
        <f t="shared" si="136"/>
        <v>4821314.7930078153</v>
      </c>
      <c r="X49" s="408"/>
      <c r="Y49" s="408"/>
      <c r="Z49" s="408"/>
      <c r="AA49" s="408"/>
      <c r="AB49" s="110">
        <f t="shared" si="136"/>
        <v>2505479.1846960513</v>
      </c>
      <c r="AC49" s="110">
        <f t="shared" si="136"/>
        <v>4393975.1210453501</v>
      </c>
      <c r="AD49" s="408"/>
      <c r="AE49" s="408"/>
      <c r="AF49" s="408"/>
      <c r="AG49" s="408"/>
      <c r="AH49" s="110">
        <f t="shared" si="136"/>
        <v>2363278.0058459924</v>
      </c>
      <c r="AI49" s="1177">
        <f t="shared" si="136"/>
        <v>16427026.24</v>
      </c>
      <c r="AJ49" s="110"/>
      <c r="AK49" s="110"/>
      <c r="AL49" s="110"/>
      <c r="AM49" s="110"/>
      <c r="AN49" s="110"/>
      <c r="AO49" s="110"/>
      <c r="AP49" s="110"/>
      <c r="AQ49" s="110"/>
      <c r="AR49" s="110"/>
      <c r="AS49" s="110">
        <f t="shared" si="136"/>
        <v>8810673.5099999998</v>
      </c>
      <c r="AT49" s="110"/>
      <c r="AU49" s="22">
        <v>0</v>
      </c>
      <c r="AV49" s="23">
        <v>0</v>
      </c>
      <c r="AW49" s="23">
        <v>0</v>
      </c>
      <c r="AX49" s="110">
        <v>0</v>
      </c>
      <c r="AY49" s="110">
        <v>0</v>
      </c>
      <c r="AZ49" s="110">
        <v>0</v>
      </c>
      <c r="BA49" s="110">
        <v>0</v>
      </c>
      <c r="BB49" s="23">
        <v>0</v>
      </c>
      <c r="BC49" s="23">
        <v>40</v>
      </c>
      <c r="BD49" s="110">
        <v>40</v>
      </c>
      <c r="BE49" s="110">
        <v>40</v>
      </c>
      <c r="BF49" s="110">
        <v>40</v>
      </c>
      <c r="BG49" s="110">
        <v>40</v>
      </c>
      <c r="BH49" s="23">
        <v>40</v>
      </c>
      <c r="BI49" s="23">
        <v>40</v>
      </c>
      <c r="BJ49" s="110">
        <v>40</v>
      </c>
      <c r="BK49" s="110">
        <v>40</v>
      </c>
      <c r="BL49" s="110">
        <v>40</v>
      </c>
      <c r="BM49" s="110">
        <v>40</v>
      </c>
      <c r="BN49" s="23">
        <v>40</v>
      </c>
      <c r="BO49" s="23">
        <v>20</v>
      </c>
      <c r="BP49" s="110">
        <v>20</v>
      </c>
      <c r="BQ49" s="110">
        <v>20</v>
      </c>
      <c r="BR49" s="110">
        <v>20</v>
      </c>
      <c r="BS49" s="110">
        <v>20</v>
      </c>
      <c r="BT49" s="23">
        <v>20</v>
      </c>
      <c r="BU49" s="23">
        <v>0</v>
      </c>
      <c r="BV49" s="110">
        <v>0</v>
      </c>
      <c r="BW49" s="110">
        <v>0</v>
      </c>
      <c r="BX49" s="110">
        <v>0</v>
      </c>
      <c r="BY49" s="110">
        <v>0</v>
      </c>
      <c r="BZ49" s="23">
        <v>0</v>
      </c>
      <c r="CA49" s="23">
        <v>100</v>
      </c>
      <c r="CB49" s="110">
        <v>100</v>
      </c>
      <c r="CC49" s="110">
        <v>100</v>
      </c>
      <c r="CD49" s="110">
        <v>100</v>
      </c>
      <c r="CE49" s="110">
        <v>100</v>
      </c>
      <c r="CF49" s="555">
        <v>100</v>
      </c>
      <c r="CG49" s="562"/>
      <c r="CH49" s="561"/>
    </row>
    <row r="50" spans="1:98" ht="36.75" thickBot="1" x14ac:dyDescent="0.3">
      <c r="A50" s="91" t="str">
        <f>CONCATENATE('3 pr-2'!A51)</f>
        <v>1.1.1.5.1</v>
      </c>
      <c r="B50" s="91" t="str">
        <f>CONCATENATE('3 pr-2'!D51)</f>
        <v>Geriamojo vandens tiekimo ir nuotekų tvarkymo sistemų renovavimas ir plėtra Varėnos rajone</v>
      </c>
      <c r="C50" s="111">
        <v>0</v>
      </c>
      <c r="D50" s="111">
        <v>0</v>
      </c>
      <c r="E50" s="119">
        <v>0</v>
      </c>
      <c r="F50" s="389">
        <v>0</v>
      </c>
      <c r="G50" s="389">
        <v>0</v>
      </c>
      <c r="H50" s="389">
        <v>0</v>
      </c>
      <c r="I50" s="389">
        <v>0</v>
      </c>
      <c r="J50" s="119">
        <v>0</v>
      </c>
      <c r="K50" s="119">
        <v>302669.49</v>
      </c>
      <c r="L50" s="405">
        <v>0</v>
      </c>
      <c r="M50" s="405">
        <v>0</v>
      </c>
      <c r="N50" s="405">
        <v>140468.96</v>
      </c>
      <c r="O50" s="405">
        <v>0</v>
      </c>
      <c r="P50" s="119">
        <v>162200.53</v>
      </c>
      <c r="Q50" s="111">
        <f>IF(YEAR($CG50)=2017,($Q$3-$K$3)*$AJ50/($CH50-$BC$4),0)</f>
        <v>870250.345504386</v>
      </c>
      <c r="R50" s="389">
        <v>0</v>
      </c>
      <c r="S50" s="389">
        <v>0</v>
      </c>
      <c r="T50" s="389">
        <f>IF(YEAR($CG50)=2017,($Q$3-$K$3)*$AP50/($CH50-$BC$4),0)</f>
        <v>289120.82637061406</v>
      </c>
      <c r="U50" s="389">
        <v>0</v>
      </c>
      <c r="V50" s="119">
        <f>IF(YEAR($CG50)=2017,($Q$3-$K$3)*$AT50/($CH50-$BC$4),0)</f>
        <v>581129.51913377189</v>
      </c>
      <c r="W50" s="119">
        <f>IF(YEAR($CH50)=2020,($W$3-$Q$3)*$AJ50/($CH50-$BC$4),0)</f>
        <v>870250.345504386</v>
      </c>
      <c r="X50" s="422">
        <v>0</v>
      </c>
      <c r="Y50" s="422">
        <v>0</v>
      </c>
      <c r="Z50" s="422">
        <f>IF(YEAR($CH50)=2020,($W$3-$Q$3)*$AP50/($CH50-$BC$4),0)</f>
        <v>289120.82637061406</v>
      </c>
      <c r="AA50" s="422">
        <v>0</v>
      </c>
      <c r="AB50" s="119">
        <f>IF(YEAR($CH50)=2020,($W$3-$Q$3)*$AT50/($CH50-$BC$4),0)</f>
        <v>581129.51913377189</v>
      </c>
      <c r="AC50" s="119">
        <f>IF(YEAR($AC$3)=YEAR($CH50),($CH50-$W$3)*AJ50/($CH50-$K$3),0)</f>
        <v>433933.04899122816</v>
      </c>
      <c r="AD50" s="422">
        <f>IF(YEAR($AC$3)=YEAR($CH$50),($CH$50-$W$3)*AL50/($CH$50-$K$3),0)</f>
        <v>0</v>
      </c>
      <c r="AE50" s="422">
        <f>IF(YEAR($AC$3)=YEAR($CH$50),($CH$50-$W$3)*AN50/($CH$50-$K$3),0)</f>
        <v>0</v>
      </c>
      <c r="AF50" s="422">
        <f>IF(YEAR($AC$3)=YEAR($CH50),($CH50-$W$3)*$AP50/($CH50-$K$3),0)</f>
        <v>144164.35725877192</v>
      </c>
      <c r="AG50" s="422">
        <f>IF(YEAR($AC$3)=YEAR($CH$50),($CH$50-$W$3)*AR50/($CH$50-$K$3),0)</f>
        <v>0</v>
      </c>
      <c r="AH50" s="119">
        <f>IF(YEAR($AC$3)=YEAR($CH50),($CH50-$W$3)*AT50/($CH50-$K$3),0)</f>
        <v>289768.69173245615</v>
      </c>
      <c r="AI50" s="1178">
        <f>SUM('3 pr-2'!L51)</f>
        <v>2477103.23</v>
      </c>
      <c r="AJ50" s="834">
        <f>SUM(AI50-K50)</f>
        <v>2174433.7400000002</v>
      </c>
      <c r="AK50" s="389">
        <f>SUM('3 pr-2'!O51)</f>
        <v>0</v>
      </c>
      <c r="AL50" s="839"/>
      <c r="AM50" s="389">
        <f>SUM('3 pr-2'!R51)</f>
        <v>0</v>
      </c>
      <c r="AN50" s="839"/>
      <c r="AO50" s="389">
        <f>SUM('3 pr-2'!U51)</f>
        <v>862874.97</v>
      </c>
      <c r="AP50" s="839">
        <f>SUM(AO50-N50)</f>
        <v>722406.01</v>
      </c>
      <c r="AQ50" s="389">
        <f>SUM('3 pr-2'!X51)</f>
        <v>0</v>
      </c>
      <c r="AR50" s="389"/>
      <c r="AS50" s="115">
        <f>SUM('3 pr-2'!AA51)</f>
        <v>1614228.26</v>
      </c>
      <c r="AT50" s="837">
        <f>SUM(AS50-P50)</f>
        <v>1452027.73</v>
      </c>
      <c r="AU50" s="22"/>
      <c r="AV50" s="23"/>
      <c r="AW50" s="107"/>
      <c r="AX50" s="390"/>
      <c r="AY50" s="390"/>
      <c r="AZ50" s="390"/>
      <c r="BA50" s="390"/>
      <c r="BB50" s="107"/>
      <c r="BC50" s="107"/>
      <c r="BD50" s="390"/>
      <c r="BE50" s="390"/>
      <c r="BF50" s="390"/>
      <c r="BG50" s="390"/>
      <c r="BH50" s="107"/>
      <c r="BI50" s="107"/>
      <c r="BJ50" s="390"/>
      <c r="BK50" s="390"/>
      <c r="BL50" s="390"/>
      <c r="BM50" s="390"/>
      <c r="BN50" s="107"/>
      <c r="BO50" s="107"/>
      <c r="BP50" s="390"/>
      <c r="BQ50" s="390"/>
      <c r="BR50" s="390"/>
      <c r="BS50" s="390"/>
      <c r="BT50" s="107"/>
      <c r="BU50" s="23"/>
      <c r="BV50" s="390"/>
      <c r="BW50" s="390"/>
      <c r="BX50" s="390"/>
      <c r="BY50" s="390"/>
      <c r="BZ50" s="23"/>
      <c r="CA50" s="23"/>
      <c r="CB50" s="390"/>
      <c r="CC50" s="390"/>
      <c r="CD50" s="390"/>
      <c r="CE50" s="390"/>
      <c r="CF50" s="555"/>
      <c r="CG50" s="566">
        <f>SUM('3 pr-2'!AH51)</f>
        <v>42766</v>
      </c>
      <c r="CH50" s="566">
        <f>SUM('3 pr-2'!AJ51)</f>
        <v>44012</v>
      </c>
      <c r="CI50" s="30">
        <f>SUM(J50+P50+V50+AB50+AH50)</f>
        <v>1614228.26</v>
      </c>
      <c r="CJ50" s="30">
        <f t="shared" si="129"/>
        <v>0</v>
      </c>
      <c r="CQ50" s="564">
        <f t="shared" ref="CQ50:CQ52" si="138">SUM(E50+K50+Q50+W50+AC50)</f>
        <v>2477103.23</v>
      </c>
      <c r="CR50" s="1515">
        <f>SUM(J50+P50+V50+AB50+AH50)</f>
        <v>1614228.26</v>
      </c>
    </row>
    <row r="51" spans="1:98" ht="29.25" customHeight="1" thickBot="1" x14ac:dyDescent="0.3">
      <c r="A51" s="91" t="str">
        <f>CONCATENATE('3 pr-2'!A52)</f>
        <v>1.1.1.5.2.</v>
      </c>
      <c r="B51" s="91" t="str">
        <f>CONCATENATE('3 pr-2'!D52)</f>
        <v>Geriamojo vandens ir nuotekų tvarkymo sistemų renovavimas Alytaus mieste</v>
      </c>
      <c r="C51" s="111">
        <v>0</v>
      </c>
      <c r="D51" s="111">
        <v>0</v>
      </c>
      <c r="E51" s="119">
        <f>SUM(F51:J51)</f>
        <v>835238.47455074196</v>
      </c>
      <c r="F51" s="389">
        <v>0</v>
      </c>
      <c r="G51" s="389">
        <v>0</v>
      </c>
      <c r="H51" s="389">
        <v>466522.92455074203</v>
      </c>
      <c r="I51" s="389">
        <v>0</v>
      </c>
      <c r="J51" s="119">
        <v>368715.55</v>
      </c>
      <c r="K51" s="119">
        <v>369436.50000000006</v>
      </c>
      <c r="L51" s="405">
        <v>0</v>
      </c>
      <c r="M51" s="405">
        <v>0</v>
      </c>
      <c r="N51" s="405"/>
      <c r="O51" s="405">
        <v>0</v>
      </c>
      <c r="P51" s="119">
        <v>369436.50000000006</v>
      </c>
      <c r="Q51" s="111">
        <f>IF(YEAR($CG51)=2017,($BI$4-$BC$4)*$AJ51/($CH51-$BC$4),0)</f>
        <v>1916733.475097565</v>
      </c>
      <c r="R51" s="405">
        <v>0</v>
      </c>
      <c r="S51" s="405">
        <v>0</v>
      </c>
      <c r="T51" s="389">
        <f>IF(YEAR($CG51)=2017,($BI$4-$BC$4)*$AP51/($CH51-$BC$4),0)</f>
        <v>1153177.4082116</v>
      </c>
      <c r="U51" s="405">
        <v>0</v>
      </c>
      <c r="V51" s="119">
        <f>IF(YEAR($CG51)=2017,($BI$4-$BC$4)*$AT51/($CH51-$BC$4),0)</f>
        <v>763556.06688596506</v>
      </c>
      <c r="W51" s="119">
        <f>IF(YEAR($CH51)=2020,($W$3-$Q$3)*$AJ51/($CH51-$BC$4),0)</f>
        <v>1916733.475097565</v>
      </c>
      <c r="X51" s="422">
        <v>0</v>
      </c>
      <c r="Y51" s="422">
        <v>0</v>
      </c>
      <c r="Z51" s="422">
        <f>IF(YEAR($CH51)=2020,($W$3-$Q$3)*$AP51/($CH51-$BC$4),0)</f>
        <v>1153177.4082116</v>
      </c>
      <c r="AA51" s="422">
        <v>0</v>
      </c>
      <c r="AB51" s="119">
        <f>IF(YEAR($CH51)=2020,($W$3-$Q$3)*$AT51/($CH51-$BC$4),0)</f>
        <v>763556.06688596506</v>
      </c>
      <c r="AC51" s="119">
        <f>IF(YEAR($AC$3)=YEAR($CH51),($CH51-$W$3)*AJ51/($CH51-$K$3),0)</f>
        <v>955741.07525412831</v>
      </c>
      <c r="AD51" s="422">
        <f>IF(YEAR($AC$3)=YEAR($CH$50),($CH$50-$W$3)*AL51/($CH$50-$K$3),0)</f>
        <v>0</v>
      </c>
      <c r="AE51" s="422">
        <f>IF(YEAR($AC$3)=YEAR($CH$50),($CH$50-$W$3)*AN51/($CH$50-$K$3),0)</f>
        <v>0</v>
      </c>
      <c r="AF51" s="422">
        <f>IF(YEAR($AC$3)=YEAR($CH51),($CH51-$W$3)*$AP51/($CH51-$K$3),0)</f>
        <v>575009.00902605813</v>
      </c>
      <c r="AG51" s="422">
        <f>IF(YEAR($AC$3)=YEAR($CH$50),($CH$50-$W$3)*AR51/($CH$50-$K$3),0)</f>
        <v>0</v>
      </c>
      <c r="AH51" s="119">
        <f>IF(YEAR($AC$3)=YEAR($CH51),($CH51-$W$3)*AT51/($CH51-$K$3),0)</f>
        <v>380732.06622807024</v>
      </c>
      <c r="AI51" s="1178">
        <f>SUM('3 pr-2'!L52)</f>
        <v>5993883</v>
      </c>
      <c r="AJ51" s="834">
        <f>SUM(AI51-E51-K51)</f>
        <v>4789208.0254492583</v>
      </c>
      <c r="AK51" s="389">
        <f>SUM('3 pr-2'!O52)</f>
        <v>0</v>
      </c>
      <c r="AL51" s="839"/>
      <c r="AM51" s="389">
        <f>SUM('3 pr-2'!R52)</f>
        <v>0</v>
      </c>
      <c r="AN51" s="839"/>
      <c r="AO51" s="389">
        <f>SUM('3 pr-2'!U52)</f>
        <v>3347886.75</v>
      </c>
      <c r="AP51" s="834">
        <f>SUM(AO51-H51-N51)</f>
        <v>2881363.8254492581</v>
      </c>
      <c r="AQ51" s="389">
        <f>SUM('3 pr-2'!X52)</f>
        <v>0</v>
      </c>
      <c r="AR51" s="389"/>
      <c r="AS51" s="115">
        <f>SUM('3 pr-2'!AA52)</f>
        <v>2645996.25</v>
      </c>
      <c r="AT51" s="837">
        <f>SUM(AS51-J51-P51)</f>
        <v>1907844.2000000002</v>
      </c>
      <c r="AU51" s="22"/>
      <c r="AV51" s="23"/>
      <c r="AW51" s="23"/>
      <c r="AX51" s="390"/>
      <c r="AY51" s="390"/>
      <c r="AZ51" s="390"/>
      <c r="BA51" s="390"/>
      <c r="BB51" s="23"/>
      <c r="BC51" s="107"/>
      <c r="BD51" s="390"/>
      <c r="BE51" s="390"/>
      <c r="BF51" s="390"/>
      <c r="BG51" s="390"/>
      <c r="BH51" s="107"/>
      <c r="BI51" s="107"/>
      <c r="BJ51" s="390"/>
      <c r="BK51" s="390"/>
      <c r="BL51" s="390"/>
      <c r="BM51" s="390"/>
      <c r="BN51" s="107"/>
      <c r="BO51" s="23"/>
      <c r="BP51" s="390"/>
      <c r="BQ51" s="390"/>
      <c r="BR51" s="390"/>
      <c r="BS51" s="390"/>
      <c r="BT51" s="23"/>
      <c r="BU51" s="23"/>
      <c r="BV51" s="390"/>
      <c r="BW51" s="390"/>
      <c r="BX51" s="390"/>
      <c r="BY51" s="390"/>
      <c r="BZ51" s="23"/>
      <c r="CA51" s="23"/>
      <c r="CB51" s="390"/>
      <c r="CC51" s="390"/>
      <c r="CD51" s="390"/>
      <c r="CE51" s="390"/>
      <c r="CF51" s="555"/>
      <c r="CG51" s="566">
        <f>SUM('3 pr-2'!AH52)</f>
        <v>42736</v>
      </c>
      <c r="CH51" s="566">
        <f>SUM('3 pr-2'!AJ52)</f>
        <v>44012</v>
      </c>
      <c r="CI51" s="30">
        <f t="shared" ref="CI51:CI54" si="139">SUM(J51+P51+V51+AB51+AH51)</f>
        <v>2645996.2500000005</v>
      </c>
      <c r="CJ51" s="30">
        <f t="shared" si="129"/>
        <v>4.6566128730773926E-10</v>
      </c>
      <c r="CQ51" s="564">
        <f t="shared" si="138"/>
        <v>5993883</v>
      </c>
      <c r="CR51" s="1515">
        <f>SUM(J51+P51+V51+AB51+AH51)</f>
        <v>2645996.2500000005</v>
      </c>
    </row>
    <row r="52" spans="1:98" ht="36.75" thickBot="1" x14ac:dyDescent="0.3">
      <c r="A52" s="91" t="str">
        <f>CONCATENATE('3 pr-2'!A53)</f>
        <v>1.1.1.5.3</v>
      </c>
      <c r="B52" s="91" t="str">
        <f>CONCATENATE('3 pr-2'!D53)</f>
        <v>Geriamojo vandens tiekimo ir nuotekų tvarkymo sistemų renovavimas ir plėtra Lazdijų rajono savivaldybėje</v>
      </c>
      <c r="C52" s="111">
        <v>0</v>
      </c>
      <c r="D52" s="111">
        <v>0</v>
      </c>
      <c r="E52" s="119">
        <v>0</v>
      </c>
      <c r="F52" s="389">
        <v>0</v>
      </c>
      <c r="G52" s="389">
        <v>0</v>
      </c>
      <c r="H52" s="389">
        <v>0</v>
      </c>
      <c r="I52" s="389">
        <v>0</v>
      </c>
      <c r="J52" s="119">
        <v>0</v>
      </c>
      <c r="K52" s="119">
        <v>419547</v>
      </c>
      <c r="L52" s="405">
        <v>0</v>
      </c>
      <c r="M52" s="405">
        <v>0</v>
      </c>
      <c r="N52" s="405">
        <v>146096.98000000001</v>
      </c>
      <c r="O52" s="405">
        <v>0</v>
      </c>
      <c r="P52" s="119">
        <v>273450.02</v>
      </c>
      <c r="Q52" s="111">
        <f>IF(YEAR($CG52)=2017,($BI$4-$BC$4)*$AJ52/($CH52-$BC$4),0)</f>
        <v>580711.66419413919</v>
      </c>
      <c r="R52" s="405">
        <v>0</v>
      </c>
      <c r="S52" s="405">
        <v>0</v>
      </c>
      <c r="T52" s="389">
        <f>IF(YEAR($CG52)=2017,($BI$4-$BC$4)*$AP52/($CH52-$BC$4),0)</f>
        <v>235330.76181318681</v>
      </c>
      <c r="U52" s="405">
        <v>0</v>
      </c>
      <c r="V52" s="119">
        <f>IF(YEAR($CG52)=2017,($BI$4-$BC$4)*$AT52/($CH52-$BC$4),0)</f>
        <v>345380.90238095238</v>
      </c>
      <c r="W52" s="119">
        <f>IF(YEAR($CH52)=2019,($CH52-$BI$4)*$AJ52/($CH52-$BC$4),0)</f>
        <v>287969.34580586082</v>
      </c>
      <c r="X52" s="422">
        <v>0</v>
      </c>
      <c r="Y52" s="422">
        <v>0</v>
      </c>
      <c r="Z52" s="422">
        <f>IF(YEAR($CH52)=2019,($CH52-$BI$4)*$AP52/($CH52-$BC$4),0)</f>
        <v>116698.26818681321</v>
      </c>
      <c r="AA52" s="422">
        <v>0</v>
      </c>
      <c r="AB52" s="119">
        <f>IF(YEAR($CH52)=2019,($CH52-$BI$4)*$AT52/($CH52-$BC$4),0)</f>
        <v>171271.0776190476</v>
      </c>
      <c r="AC52" s="119">
        <v>0</v>
      </c>
      <c r="AD52" s="422">
        <v>0</v>
      </c>
      <c r="AE52" s="422">
        <v>0</v>
      </c>
      <c r="AF52" s="422">
        <v>0</v>
      </c>
      <c r="AG52" s="422">
        <v>0</v>
      </c>
      <c r="AH52" s="119">
        <v>0</v>
      </c>
      <c r="AI52" s="1178">
        <f>SUM('3 pr-2'!L53)</f>
        <v>1288228.01</v>
      </c>
      <c r="AJ52" s="834">
        <f>SUM(AI52-E52-K52)</f>
        <v>868681.01</v>
      </c>
      <c r="AK52" s="389">
        <f>SUM('3 pr-2'!O53)</f>
        <v>0</v>
      </c>
      <c r="AL52" s="839"/>
      <c r="AM52" s="389">
        <f>SUM('3 pr-2'!R53)</f>
        <v>0</v>
      </c>
      <c r="AN52" s="839"/>
      <c r="AO52" s="389">
        <f>SUM('3 pr-2'!U53)</f>
        <v>498126.01</v>
      </c>
      <c r="AP52" s="834">
        <f>SUM(AO52-H52-N52)</f>
        <v>352029.03</v>
      </c>
      <c r="AQ52" s="389">
        <f>SUM('3 pr-2'!X53)</f>
        <v>0</v>
      </c>
      <c r="AR52" s="389"/>
      <c r="AS52" s="115">
        <f>SUM('3 pr-2'!AA53)</f>
        <v>790102</v>
      </c>
      <c r="AT52" s="837">
        <f>SUM(AS52-J52-P52)</f>
        <v>516651.98</v>
      </c>
      <c r="AU52" s="22"/>
      <c r="AV52" s="23"/>
      <c r="AW52" s="107"/>
      <c r="AX52" s="390"/>
      <c r="AY52" s="390"/>
      <c r="AZ52" s="390"/>
      <c r="BA52" s="390"/>
      <c r="BB52" s="107"/>
      <c r="BC52" s="107"/>
      <c r="BD52" s="390"/>
      <c r="BE52" s="390"/>
      <c r="BF52" s="390"/>
      <c r="BG52" s="390"/>
      <c r="BH52" s="107"/>
      <c r="BI52" s="107"/>
      <c r="BJ52" s="390"/>
      <c r="BK52" s="390"/>
      <c r="BL52" s="390"/>
      <c r="BM52" s="390"/>
      <c r="BN52" s="107"/>
      <c r="BO52" s="23"/>
      <c r="BP52" s="390"/>
      <c r="BQ52" s="390"/>
      <c r="BR52" s="390"/>
      <c r="BS52" s="390"/>
      <c r="BT52" s="23"/>
      <c r="BU52" s="23"/>
      <c r="BV52" s="390"/>
      <c r="BW52" s="390"/>
      <c r="BX52" s="390"/>
      <c r="BY52" s="390"/>
      <c r="BZ52" s="23"/>
      <c r="CA52" s="23"/>
      <c r="CB52" s="390"/>
      <c r="CC52" s="390"/>
      <c r="CD52" s="390"/>
      <c r="CE52" s="390"/>
      <c r="CF52" s="555"/>
      <c r="CG52" s="566">
        <f>SUM('3 pr-2'!AH53)</f>
        <v>42825</v>
      </c>
      <c r="CH52" s="566">
        <f>SUM('3 pr-2'!AJ53)</f>
        <v>43646</v>
      </c>
      <c r="CI52" s="30">
        <f t="shared" si="139"/>
        <v>790102</v>
      </c>
      <c r="CJ52" s="30">
        <f t="shared" si="129"/>
        <v>0</v>
      </c>
      <c r="CQ52" s="564">
        <f t="shared" si="138"/>
        <v>1288228.01</v>
      </c>
      <c r="CR52" s="1515">
        <f>SUM(J52+P52+V52+AB52+AH52)</f>
        <v>790102</v>
      </c>
    </row>
    <row r="53" spans="1:98" ht="36.75" thickBot="1" x14ac:dyDescent="0.3">
      <c r="A53" s="91" t="str">
        <f>CONCATENATE('3 pr-2'!A54)</f>
        <v>1.1.1.5.4.</v>
      </c>
      <c r="B53" s="91" t="str">
        <f>CONCATENATE('3 pr-2'!D54)</f>
        <v>Vandens tiekimo ir nuotekų šalinimo infrastruktūros renovavimas ir plėtra Druskininkų savivaldybėje</v>
      </c>
      <c r="C53" s="111">
        <v>0</v>
      </c>
      <c r="D53" s="111">
        <v>0</v>
      </c>
      <c r="E53" s="119">
        <v>0</v>
      </c>
      <c r="F53" s="389">
        <v>0</v>
      </c>
      <c r="G53" s="389">
        <v>0</v>
      </c>
      <c r="H53" s="389">
        <v>0</v>
      </c>
      <c r="I53" s="389">
        <v>0</v>
      </c>
      <c r="J53" s="119">
        <v>0</v>
      </c>
      <c r="K53" s="119">
        <v>170787.75</v>
      </c>
      <c r="L53" s="405">
        <v>0</v>
      </c>
      <c r="M53" s="405">
        <v>0</v>
      </c>
      <c r="N53" s="405">
        <v>82263.039999999994</v>
      </c>
      <c r="O53" s="405">
        <v>0</v>
      </c>
      <c r="P53" s="119">
        <v>88524.71</v>
      </c>
      <c r="Q53" s="111">
        <f>SUM(CJ53*CN53)</f>
        <v>1253145.3857240905</v>
      </c>
      <c r="R53" s="405">
        <v>0</v>
      </c>
      <c r="S53" s="405">
        <v>0</v>
      </c>
      <c r="T53" s="389">
        <f>SUM(CO53*CJ53)</f>
        <v>552606.95225806441</v>
      </c>
      <c r="U53" s="405">
        <v>0</v>
      </c>
      <c r="V53" s="119">
        <f>SUM(CJ53*CP53)</f>
        <v>700538.43346602609</v>
      </c>
      <c r="W53" s="119">
        <f>SUM(CK53*CN53)</f>
        <v>1253145.3857240905</v>
      </c>
      <c r="X53" s="422">
        <v>0</v>
      </c>
      <c r="Y53" s="422">
        <v>0</v>
      </c>
      <c r="Z53" s="422">
        <f>SUM(CK53*CO53)</f>
        <v>552606.95225806441</v>
      </c>
      <c r="AA53" s="422">
        <v>0</v>
      </c>
      <c r="AB53" s="119">
        <f>SUM(CK53*CP53)</f>
        <v>700538.43346602609</v>
      </c>
      <c r="AC53" s="119">
        <f>SUM(CN53*(CL53+CM53))</f>
        <v>2509733.4785518185</v>
      </c>
      <c r="AD53" s="422">
        <v>0</v>
      </c>
      <c r="AE53" s="422">
        <v>0</v>
      </c>
      <c r="AF53" s="422">
        <f>SUM(CO53*(CL53+CM53))</f>
        <v>1106732.0554838709</v>
      </c>
      <c r="AG53" s="422">
        <v>0</v>
      </c>
      <c r="AH53" s="119">
        <f>SUM(CP53*(CL53+CM53))</f>
        <v>1403001.4230679478</v>
      </c>
      <c r="AI53" s="1178">
        <f>SUM('3 pr-2'!L54)</f>
        <v>5186812</v>
      </c>
      <c r="AJ53" s="834">
        <f>SUM(AI53-E53-K53)</f>
        <v>5016024.25</v>
      </c>
      <c r="AK53" s="389">
        <f>SUM('3 pr-2'!O54)</f>
        <v>0</v>
      </c>
      <c r="AL53" s="839"/>
      <c r="AM53" s="389">
        <f>SUM('3 pr-2'!R54)</f>
        <v>0</v>
      </c>
      <c r="AN53" s="839"/>
      <c r="AO53" s="389">
        <f>SUM('3 pr-2'!U54)</f>
        <v>2294209</v>
      </c>
      <c r="AP53" s="834">
        <f>SUM(AO53-H53-N53)</f>
        <v>2211945.96</v>
      </c>
      <c r="AQ53" s="389">
        <f>SUM('3 pr-2'!X54)</f>
        <v>0</v>
      </c>
      <c r="AR53" s="389"/>
      <c r="AS53" s="115">
        <f>SUM('3 pr-2'!AA54)</f>
        <v>2892603</v>
      </c>
      <c r="AT53" s="837">
        <f>SUM(AS53-J53-P53)</f>
        <v>2804078.29</v>
      </c>
      <c r="AU53" s="22"/>
      <c r="AV53" s="23"/>
      <c r="AW53" s="107"/>
      <c r="AX53" s="390"/>
      <c r="AY53" s="390"/>
      <c r="AZ53" s="390"/>
      <c r="BA53" s="390"/>
      <c r="BB53" s="107"/>
      <c r="BC53" s="107"/>
      <c r="BD53" s="390"/>
      <c r="BE53" s="390"/>
      <c r="BF53" s="390"/>
      <c r="BG53" s="390"/>
      <c r="BH53" s="107"/>
      <c r="BI53" s="107"/>
      <c r="BJ53" s="390"/>
      <c r="BK53" s="390"/>
      <c r="BL53" s="390"/>
      <c r="BM53" s="390"/>
      <c r="BN53" s="107"/>
      <c r="BO53" s="23"/>
      <c r="BP53" s="390"/>
      <c r="BQ53" s="390"/>
      <c r="BR53" s="390"/>
      <c r="BS53" s="390"/>
      <c r="BT53" s="23"/>
      <c r="BU53" s="23"/>
      <c r="BV53" s="390"/>
      <c r="BW53" s="390"/>
      <c r="BX53" s="390"/>
      <c r="BY53" s="390"/>
      <c r="BZ53" s="23"/>
      <c r="CA53" s="23"/>
      <c r="CB53" s="390"/>
      <c r="CC53" s="390"/>
      <c r="CD53" s="390"/>
      <c r="CE53" s="390"/>
      <c r="CF53" s="555"/>
      <c r="CG53" s="566">
        <f>SUM('3 pr-2'!AH54)</f>
        <v>42795</v>
      </c>
      <c r="CH53" s="566">
        <f>SUM('3 pr-2'!AJ54)</f>
        <v>44440</v>
      </c>
      <c r="CI53" s="30">
        <f>SUM(K3-CG53)</f>
        <v>305</v>
      </c>
      <c r="CJ53" s="30">
        <f>SUM(Q3-Q2)</f>
        <v>364</v>
      </c>
      <c r="CK53">
        <f>SUM(W3-W2)</f>
        <v>364</v>
      </c>
      <c r="CL53" s="336">
        <f>SUM(AC3-AC2)</f>
        <v>365</v>
      </c>
      <c r="CM53">
        <f>SUM(CS53-CT53)</f>
        <v>364</v>
      </c>
      <c r="CN53">
        <f>SUM(AJ53/(CJ53+CK53+CL53+CM53))</f>
        <v>3442.7071036376115</v>
      </c>
      <c r="CO53">
        <f>SUM(AP53/(CJ53+CK53+CL53+CM53))</f>
        <v>1518.1509677419353</v>
      </c>
      <c r="CP53">
        <f>SUM(AT53/(CJ53+CK53+CL53+CM53))</f>
        <v>1924.5561358956761</v>
      </c>
      <c r="CQ53" s="564">
        <f t="shared" ref="CQ53:CQ54" si="140">SUM(E53+K53+Q53+W53+AC53)</f>
        <v>5186812</v>
      </c>
      <c r="CR53" s="1515">
        <f>SUM(J53+P53+V53+AB53+AH53)</f>
        <v>2892603</v>
      </c>
      <c r="CS53" s="1518">
        <v>44561</v>
      </c>
      <c r="CT53" s="1518">
        <v>44197</v>
      </c>
    </row>
    <row r="54" spans="1:98" ht="36.75" thickBot="1" x14ac:dyDescent="0.3">
      <c r="A54" s="91" t="str">
        <f>CONCATENATE('3 pr-2'!A55)</f>
        <v>1.1.1.5.5.</v>
      </c>
      <c r="B54" s="91" t="str">
        <f>CONCATENATE('3 pr-2'!D55)</f>
        <v>Vandens tiekimo ir nuotekų tvarkymo infrastruktūros plėtra Alytaus rajone (Krokialaukyje)</v>
      </c>
      <c r="C54" s="140">
        <v>0</v>
      </c>
      <c r="D54" s="140">
        <v>0</v>
      </c>
      <c r="E54" s="120">
        <v>0</v>
      </c>
      <c r="F54" s="389">
        <v>0</v>
      </c>
      <c r="G54" s="389">
        <v>0</v>
      </c>
      <c r="H54" s="389">
        <v>0</v>
      </c>
      <c r="I54" s="389">
        <v>0</v>
      </c>
      <c r="J54" s="120">
        <v>0</v>
      </c>
      <c r="K54" s="119">
        <f>SUM(L54:P54)</f>
        <v>0</v>
      </c>
      <c r="L54" s="405">
        <f>SUM('ketv. 7 lent'!N53)</f>
        <v>0</v>
      </c>
      <c r="M54" s="405">
        <f>SUM('ketv. 7 lent'!Q53)</f>
        <v>0</v>
      </c>
      <c r="N54" s="405">
        <f>SUM('ketv. 7 lent'!T53)</f>
        <v>0</v>
      </c>
      <c r="O54" s="405">
        <f>SUM('ketv. 7 lent'!W53)</f>
        <v>0</v>
      </c>
      <c r="P54" s="119">
        <f>SUM('ketv. 7 lent'!Z53)</f>
        <v>0</v>
      </c>
      <c r="Q54" s="111">
        <f>IF(YEAR($CG54)=2017,($BI$4-$BC$4)*$AJ54/($CH54-$BC$4),0)</f>
        <v>493216.24087591242</v>
      </c>
      <c r="R54" s="405">
        <v>0</v>
      </c>
      <c r="S54" s="405">
        <v>0</v>
      </c>
      <c r="T54" s="389">
        <f>IF(YEAR($CG54)=2017,($BI$4-$BC$4)*$AP54/($CH54-$BC$4),0)</f>
        <v>204232.15328467154</v>
      </c>
      <c r="U54" s="405">
        <v>0</v>
      </c>
      <c r="V54" s="119">
        <f>IF(YEAR($CG54)=2017,($BI$4-$BC$4)*$AT54/($CH54-$BC$4),0)</f>
        <v>288984.08759124088</v>
      </c>
      <c r="W54" s="119">
        <f>IF(YEAR($CH54)=2020,($W$3-$Q$3)*$AJ54/($CH54-$BC$4),0)</f>
        <v>493216.24087591242</v>
      </c>
      <c r="X54" s="422">
        <v>0</v>
      </c>
      <c r="Y54" s="422">
        <v>0</v>
      </c>
      <c r="Z54" s="422">
        <f>IF(YEAR($CH54)=2020,($W$3-$Q$3)*$AP54/($CH54-$BC$4),0)</f>
        <v>204232.15328467154</v>
      </c>
      <c r="AA54" s="422">
        <v>0</v>
      </c>
      <c r="AB54" s="119">
        <f>IF(YEAR($CH54)=2020,($W$3-$Q$3)*$AT54/($CH54-$BC$4),0)</f>
        <v>288984.08759124088</v>
      </c>
      <c r="AC54" s="119">
        <f>IF(YEAR($AC$3)=YEAR($CH54),($CH54-$W$3)*AJ54/($CH54-$K$3),0)</f>
        <v>494567.51824817515</v>
      </c>
      <c r="AD54" s="422">
        <f>IF(YEAR($AC$3)=YEAR($CH$50),($CH$50-$W$3)*AL54/($CH$50-$K$3),0)</f>
        <v>0</v>
      </c>
      <c r="AE54" s="422">
        <f>IF(YEAR($AC$3)=YEAR($CH$50),($CH$50-$W$3)*AN54/($CH$50-$K$3),0)</f>
        <v>0</v>
      </c>
      <c r="AF54" s="422">
        <f>IF(YEAR($AC$3)=YEAR($CH54),($CH54-$W$3)*$AP54/($CH54-$K$3),0)</f>
        <v>204791.69343065695</v>
      </c>
      <c r="AG54" s="422">
        <f>IF(YEAR($AC$3)=YEAR($CH$50),($CH$50-$W$3)*AR54/($CH$50-$K$3),0)</f>
        <v>0</v>
      </c>
      <c r="AH54" s="119">
        <f>IF(YEAR($AC$3)=YEAR($CH54),($CH54-$W$3)*AT54/($CH54-$K$3),0)</f>
        <v>289775.82481751824</v>
      </c>
      <c r="AI54" s="1179">
        <f>SUM('3 pr-2'!L55)</f>
        <v>1481000</v>
      </c>
      <c r="AJ54" s="834">
        <f>SUM(AI54-E54-K54)</f>
        <v>1481000</v>
      </c>
      <c r="AK54" s="389">
        <f>SUM('3 pr-2'!O55)</f>
        <v>0</v>
      </c>
      <c r="AL54" s="839">
        <f>SUM(AK54-L54)</f>
        <v>0</v>
      </c>
      <c r="AM54" s="389">
        <f>SUM('3 pr-2'!R55)</f>
        <v>0</v>
      </c>
      <c r="AN54" s="839"/>
      <c r="AO54" s="389">
        <f>SUM('3 pr-2'!U55)</f>
        <v>613256</v>
      </c>
      <c r="AP54" s="834">
        <f>SUM(AO54-H54-N54)</f>
        <v>613256</v>
      </c>
      <c r="AQ54" s="389">
        <f>SUM('3 pr-2'!X55)</f>
        <v>0</v>
      </c>
      <c r="AR54" s="389"/>
      <c r="AS54" s="45">
        <f>SUM('3 pr-2'!AA55)</f>
        <v>867744</v>
      </c>
      <c r="AT54" s="837">
        <f>SUM(AS54-J54-P54)</f>
        <v>867744</v>
      </c>
      <c r="AU54" s="22"/>
      <c r="AV54" s="23"/>
      <c r="AW54" s="107"/>
      <c r="AX54" s="389"/>
      <c r="AY54" s="389"/>
      <c r="AZ54" s="389"/>
      <c r="BA54" s="389"/>
      <c r="BB54" s="107"/>
      <c r="BC54" s="107"/>
      <c r="BD54" s="389"/>
      <c r="BE54" s="389"/>
      <c r="BF54" s="389"/>
      <c r="BG54" s="389"/>
      <c r="BH54" s="107"/>
      <c r="BI54" s="107"/>
      <c r="BJ54" s="389"/>
      <c r="BK54" s="389"/>
      <c r="BL54" s="389"/>
      <c r="BM54" s="389"/>
      <c r="BN54" s="107"/>
      <c r="BO54" s="23"/>
      <c r="BP54" s="389"/>
      <c r="BQ54" s="389"/>
      <c r="BR54" s="389"/>
      <c r="BS54" s="389"/>
      <c r="BT54" s="23"/>
      <c r="BU54" s="23"/>
      <c r="BV54" s="389"/>
      <c r="BW54" s="389"/>
      <c r="BX54" s="389"/>
      <c r="BY54" s="389"/>
      <c r="BZ54" s="23"/>
      <c r="CA54" s="23"/>
      <c r="CB54" s="389"/>
      <c r="CC54" s="389"/>
      <c r="CD54" s="389"/>
      <c r="CE54" s="389"/>
      <c r="CF54" s="555"/>
      <c r="CG54" s="566">
        <f>SUM('3 pr-2'!AH55)</f>
        <v>43039</v>
      </c>
      <c r="CH54" s="566">
        <f>SUM('3 pr-2'!AJ55)</f>
        <v>44196</v>
      </c>
      <c r="CI54" s="30">
        <f t="shared" si="139"/>
        <v>867744</v>
      </c>
      <c r="CJ54" s="30">
        <f t="shared" si="129"/>
        <v>0</v>
      </c>
      <c r="CQ54" s="564">
        <f t="shared" si="140"/>
        <v>1481000</v>
      </c>
      <c r="CR54" s="1515">
        <f>SUM(J54+P54+V54+AB54+AH54)</f>
        <v>867744</v>
      </c>
    </row>
    <row r="55" spans="1:98" ht="29.25" customHeight="1" thickBot="1" x14ac:dyDescent="0.3">
      <c r="A55" s="383" t="str">
        <f>CONCATENATE('3 pr-2'!A56)</f>
        <v>1.1.1.6</v>
      </c>
      <c r="B55" s="182" t="str">
        <f>CONCATENATE('3 pr-2'!D56)</f>
        <v/>
      </c>
      <c r="C55" s="110">
        <f t="shared" ref="C55:D55" si="141">SUM(C56:C56)</f>
        <v>0</v>
      </c>
      <c r="D55" s="110">
        <f t="shared" si="141"/>
        <v>0</v>
      </c>
      <c r="E55" s="110">
        <f t="shared" ref="E55:AS55" si="142">SUM(E56:E56)</f>
        <v>0</v>
      </c>
      <c r="F55" s="110"/>
      <c r="G55" s="110"/>
      <c r="H55" s="110"/>
      <c r="I55" s="110"/>
      <c r="J55" s="110">
        <f t="shared" si="142"/>
        <v>0</v>
      </c>
      <c r="K55" s="110">
        <f t="shared" si="142"/>
        <v>682624.23</v>
      </c>
      <c r="L55" s="408">
        <f t="shared" si="142"/>
        <v>0</v>
      </c>
      <c r="M55" s="408">
        <f t="shared" si="142"/>
        <v>0</v>
      </c>
      <c r="N55" s="408">
        <f t="shared" si="142"/>
        <v>102393.63</v>
      </c>
      <c r="O55" s="408">
        <f t="shared" si="142"/>
        <v>0</v>
      </c>
      <c r="P55" s="110">
        <f t="shared" si="142"/>
        <v>580230.6</v>
      </c>
      <c r="Q55" s="110">
        <f t="shared" si="142"/>
        <v>1104584.5336678831</v>
      </c>
      <c r="R55" s="408"/>
      <c r="S55" s="408"/>
      <c r="T55" s="408"/>
      <c r="U55" s="408"/>
      <c r="V55" s="110">
        <f t="shared" si="142"/>
        <v>938896.85328467144</v>
      </c>
      <c r="W55" s="110">
        <f t="shared" si="142"/>
        <v>2212195.326332117</v>
      </c>
      <c r="X55" s="408"/>
      <c r="Y55" s="408"/>
      <c r="Z55" s="408"/>
      <c r="AA55" s="408"/>
      <c r="AB55" s="110">
        <f t="shared" si="142"/>
        <v>1880366.0267153285</v>
      </c>
      <c r="AC55" s="110">
        <f t="shared" si="142"/>
        <v>0</v>
      </c>
      <c r="AD55" s="408"/>
      <c r="AE55" s="408"/>
      <c r="AF55" s="408"/>
      <c r="AG55" s="408"/>
      <c r="AH55" s="110">
        <f t="shared" si="142"/>
        <v>0</v>
      </c>
      <c r="AI55" s="1177">
        <f t="shared" si="142"/>
        <v>3999404.09</v>
      </c>
      <c r="AJ55" s="110"/>
      <c r="AK55" s="110"/>
      <c r="AL55" s="110"/>
      <c r="AM55" s="110"/>
      <c r="AN55" s="110"/>
      <c r="AO55" s="110"/>
      <c r="AP55" s="110"/>
      <c r="AQ55" s="110"/>
      <c r="AR55" s="110"/>
      <c r="AS55" s="110">
        <f t="shared" si="142"/>
        <v>3399493.48</v>
      </c>
      <c r="AT55" s="110"/>
      <c r="AU55" s="22">
        <v>0</v>
      </c>
      <c r="AV55" s="23">
        <v>0</v>
      </c>
      <c r="AW55" s="23">
        <v>100</v>
      </c>
      <c r="AX55" s="110">
        <v>100</v>
      </c>
      <c r="AY55" s="110">
        <v>100</v>
      </c>
      <c r="AZ55" s="110">
        <v>100</v>
      </c>
      <c r="BA55" s="110">
        <v>100</v>
      </c>
      <c r="BB55" s="23">
        <v>100</v>
      </c>
      <c r="BC55" s="23">
        <v>0</v>
      </c>
      <c r="BD55" s="110">
        <v>0</v>
      </c>
      <c r="BE55" s="110">
        <v>0</v>
      </c>
      <c r="BF55" s="110">
        <v>0</v>
      </c>
      <c r="BG55" s="110">
        <v>0</v>
      </c>
      <c r="BH55" s="23">
        <v>0</v>
      </c>
      <c r="BI55" s="23">
        <v>0</v>
      </c>
      <c r="BJ55" s="110">
        <v>0</v>
      </c>
      <c r="BK55" s="110">
        <v>0</v>
      </c>
      <c r="BL55" s="110">
        <v>0</v>
      </c>
      <c r="BM55" s="110">
        <v>0</v>
      </c>
      <c r="BN55" s="23">
        <v>0</v>
      </c>
      <c r="BO55" s="23">
        <v>0</v>
      </c>
      <c r="BP55" s="110">
        <v>0</v>
      </c>
      <c r="BQ55" s="110">
        <v>0</v>
      </c>
      <c r="BR55" s="110">
        <v>0</v>
      </c>
      <c r="BS55" s="110">
        <v>0</v>
      </c>
      <c r="BT55" s="23">
        <v>0</v>
      </c>
      <c r="BU55" s="23">
        <v>0</v>
      </c>
      <c r="BV55" s="110">
        <v>0</v>
      </c>
      <c r="BW55" s="110">
        <v>0</v>
      </c>
      <c r="BX55" s="110">
        <v>0</v>
      </c>
      <c r="BY55" s="110">
        <v>0</v>
      </c>
      <c r="BZ55" s="23">
        <v>0</v>
      </c>
      <c r="CA55" s="23">
        <v>100</v>
      </c>
      <c r="CB55" s="110">
        <v>100</v>
      </c>
      <c r="CC55" s="110">
        <v>100</v>
      </c>
      <c r="CD55" s="110">
        <v>100</v>
      </c>
      <c r="CE55" s="110">
        <v>100</v>
      </c>
      <c r="CF55" s="555">
        <v>100</v>
      </c>
      <c r="CG55" s="561"/>
      <c r="CH55" s="561"/>
    </row>
    <row r="56" spans="1:98" s="55" customFormat="1" ht="29.25" customHeight="1" thickBot="1" x14ac:dyDescent="0.3">
      <c r="A56" s="91" t="str">
        <f>CONCATENATE('3 pr-2'!A57)</f>
        <v>1.1.1.6.1</v>
      </c>
      <c r="B56" s="91" t="str">
        <f>CONCATENATE('3 pr-2'!D57)</f>
        <v>Paviršinių nuotekų sistemų tvarkymas Alytaus mieste</v>
      </c>
      <c r="C56" s="114">
        <f>SUM(AI56*AU56/CA56)</f>
        <v>0</v>
      </c>
      <c r="D56" s="114">
        <f t="shared" ref="D56" si="143">SUM(AS56*AV56/CF56)</f>
        <v>0</v>
      </c>
      <c r="E56" s="114">
        <f>SUM(AI56*AW56/CA56)</f>
        <v>0</v>
      </c>
      <c r="F56" s="389">
        <f t="shared" ref="F56" si="144">SUM(AK56*AX56/CB56)</f>
        <v>0</v>
      </c>
      <c r="G56" s="389">
        <f t="shared" ref="G56" si="145">SUM(AM56*AY56/CC56)</f>
        <v>0</v>
      </c>
      <c r="H56" s="389">
        <f t="shared" ref="H56" si="146">SUM(AO56*AZ56/CD56)</f>
        <v>0</v>
      </c>
      <c r="I56" s="389">
        <f t="shared" ref="I56" si="147">SUM(AQ56*BA56/CE56)</f>
        <v>0</v>
      </c>
      <c r="J56" s="114">
        <f t="shared" ref="J56" si="148">SUM(AS56*BB56/CF56)</f>
        <v>0</v>
      </c>
      <c r="K56" s="119">
        <f>SUM(L56:P56)</f>
        <v>682624.23</v>
      </c>
      <c r="L56" s="405">
        <f t="shared" ref="L56" si="149">SUM(AK56*BD56/CB56)</f>
        <v>0</v>
      </c>
      <c r="M56" s="405">
        <f t="shared" ref="M56" si="150">SUM(AM56*BE56/CC56)</f>
        <v>0</v>
      </c>
      <c r="N56" s="405">
        <v>102393.63</v>
      </c>
      <c r="O56" s="405">
        <f t="shared" ref="O56" si="151">SUM(AQ56*BG56/CE56)</f>
        <v>0</v>
      </c>
      <c r="P56" s="120">
        <v>580230.6</v>
      </c>
      <c r="Q56" s="111">
        <f>IF(YEAR($CG56)=2017,($BI$4-$BC$4)*$AJ56/($CH56-$BC$4),0)</f>
        <v>1104584.5336678831</v>
      </c>
      <c r="R56" s="389">
        <f t="shared" ref="R56" si="152">SUM(AK56*BJ56/CB56)</f>
        <v>0</v>
      </c>
      <c r="S56" s="389">
        <f t="shared" ref="S56" si="153">SUM(AM56*BK56/CC56)</f>
        <v>0</v>
      </c>
      <c r="T56" s="389">
        <f>IF(YEAR($CG56)=2017,($BI$4-$BC$4)*$AP56/($CH56-$BC$4),0)</f>
        <v>165687.68038321167</v>
      </c>
      <c r="U56" s="389">
        <f t="shared" ref="U56" si="154">SUM(AQ56*BM56/CE56)</f>
        <v>0</v>
      </c>
      <c r="V56" s="119">
        <f>IF(YEAR($CG56)=2017,($BI$4-$BC$4)*$AT56/($CH56-$BC$4),0)</f>
        <v>938896.85328467144</v>
      </c>
      <c r="W56" s="119">
        <f>SUM(X56:AB56)</f>
        <v>2212195.326332117</v>
      </c>
      <c r="X56" s="389">
        <f t="shared" ref="X56" si="155">SUM(AK56*BP56/CB56)</f>
        <v>0</v>
      </c>
      <c r="Y56" s="389">
        <f t="shared" ref="Y56" si="156">SUM(AM56*BQ56/CC56)</f>
        <v>0</v>
      </c>
      <c r="Z56" s="390">
        <f>IF(YEAR($CH56)=2020,($CH56-$BI$4)*$AP56/($CH56-$BC$4),0)</f>
        <v>331829.29961678834</v>
      </c>
      <c r="AA56" s="389">
        <f t="shared" ref="AA56" si="157">SUM(AQ56*BS56/CE56)</f>
        <v>0</v>
      </c>
      <c r="AB56" s="119">
        <f>IF(YEAR($CH56)=2020,($CH56-$BI$4)*$AT56/($CH56-$BC$4),0)</f>
        <v>1880366.0267153285</v>
      </c>
      <c r="AC56" s="136">
        <v>0</v>
      </c>
      <c r="AD56" s="415">
        <v>0</v>
      </c>
      <c r="AE56" s="415">
        <v>0</v>
      </c>
      <c r="AF56" s="415">
        <v>0</v>
      </c>
      <c r="AG56" s="415">
        <v>0</v>
      </c>
      <c r="AH56" s="136">
        <v>0</v>
      </c>
      <c r="AI56" s="1180">
        <f>SUM('3 pr-2'!L57)</f>
        <v>3999404.09</v>
      </c>
      <c r="AJ56" s="834">
        <f>SUM(AI56-E56-K56)</f>
        <v>3316779.86</v>
      </c>
      <c r="AK56" s="389">
        <f>SUM('3 pr-2'!O57)</f>
        <v>0</v>
      </c>
      <c r="AL56" s="839">
        <f>SUM(AK56-L56)</f>
        <v>0</v>
      </c>
      <c r="AM56" s="389">
        <f>SUM('3 pr-2'!R57)</f>
        <v>0</v>
      </c>
      <c r="AN56" s="839"/>
      <c r="AO56" s="389">
        <f>SUM('3 pr-2'!U57)</f>
        <v>599910.61</v>
      </c>
      <c r="AP56" s="834">
        <f>SUM(AO56-H56-N56)</f>
        <v>497516.98</v>
      </c>
      <c r="AQ56" s="389">
        <f>SUM('3 pr-2'!X57)</f>
        <v>0</v>
      </c>
      <c r="AR56" s="888"/>
      <c r="AS56" s="167">
        <f>SUM('3 pr-2'!AA57)</f>
        <v>3399493.48</v>
      </c>
      <c r="AT56" s="837">
        <f>SUM(AS56-J56-P56)</f>
        <v>2819262.88</v>
      </c>
      <c r="AU56" s="22">
        <v>0</v>
      </c>
      <c r="AV56" s="23">
        <v>0</v>
      </c>
      <c r="AW56" s="23">
        <v>0</v>
      </c>
      <c r="AX56" s="391">
        <v>0</v>
      </c>
      <c r="AY56" s="391">
        <v>0</v>
      </c>
      <c r="AZ56" s="391">
        <v>0</v>
      </c>
      <c r="BA56" s="391">
        <v>0</v>
      </c>
      <c r="BB56" s="23">
        <v>0</v>
      </c>
      <c r="BC56" s="107">
        <v>20</v>
      </c>
      <c r="BD56" s="391">
        <v>20</v>
      </c>
      <c r="BE56" s="391">
        <v>20</v>
      </c>
      <c r="BF56" s="391">
        <v>20</v>
      </c>
      <c r="BG56" s="391">
        <v>20</v>
      </c>
      <c r="BH56" s="107">
        <v>20</v>
      </c>
      <c r="BI56" s="107">
        <v>30</v>
      </c>
      <c r="BJ56" s="391">
        <v>30</v>
      </c>
      <c r="BK56" s="391">
        <v>30</v>
      </c>
      <c r="BL56" s="391">
        <v>30</v>
      </c>
      <c r="BM56" s="391">
        <v>30</v>
      </c>
      <c r="BN56" s="107">
        <v>30</v>
      </c>
      <c r="BO56" s="107">
        <v>30</v>
      </c>
      <c r="BP56" s="391">
        <v>30</v>
      </c>
      <c r="BQ56" s="391">
        <v>30</v>
      </c>
      <c r="BR56" s="391">
        <v>30</v>
      </c>
      <c r="BS56" s="391">
        <v>30</v>
      </c>
      <c r="BT56" s="107">
        <v>30</v>
      </c>
      <c r="BU56" s="107">
        <v>10</v>
      </c>
      <c r="BV56" s="391">
        <v>10</v>
      </c>
      <c r="BW56" s="391">
        <v>10</v>
      </c>
      <c r="BX56" s="391">
        <v>10</v>
      </c>
      <c r="BY56" s="391">
        <v>10</v>
      </c>
      <c r="BZ56" s="107">
        <v>10</v>
      </c>
      <c r="CA56" s="23">
        <v>100</v>
      </c>
      <c r="CB56" s="391">
        <v>100</v>
      </c>
      <c r="CC56" s="391">
        <v>100</v>
      </c>
      <c r="CD56" s="391">
        <v>100</v>
      </c>
      <c r="CE56" s="391">
        <v>100</v>
      </c>
      <c r="CF56" s="555">
        <v>100</v>
      </c>
      <c r="CG56" s="566">
        <f>SUM('3 pr-2'!AH57)</f>
        <v>42825</v>
      </c>
      <c r="CH56" s="566">
        <f>SUM('3 pr-2'!AJ57)</f>
        <v>44196</v>
      </c>
      <c r="CI56" s="30">
        <f>SUM(J56+P56+V56+AB56+AH56)</f>
        <v>3399493.48</v>
      </c>
      <c r="CJ56" s="55">
        <v>0</v>
      </c>
      <c r="CQ56" s="564">
        <f t="shared" ref="CQ56" si="158">SUM(E56+K56+Q56+W56+AC56)</f>
        <v>3999404.09</v>
      </c>
      <c r="CR56" s="1515">
        <f>SUM(J56+P56+V56+AB56+AH56)</f>
        <v>3399493.48</v>
      </c>
    </row>
    <row r="57" spans="1:98" ht="52.5" thickBot="1" x14ac:dyDescent="0.3">
      <c r="A57" s="383" t="str">
        <f>CONCATENATE('3 pr-2'!A58)</f>
        <v>1.1.1.7</v>
      </c>
      <c r="B57" s="182" t="str">
        <f>CONCATENATE('3 pr-2'!D58)</f>
        <v>Priemonė:
Savivaldybes jungiančių turizmo trasų ir turizmo maršrutų informacinės infrastruktūros plėtra</v>
      </c>
      <c r="C57" s="110">
        <f t="shared" ref="C57:AS57" si="159">SUM(C58:C60)</f>
        <v>0</v>
      </c>
      <c r="D57" s="110">
        <f t="shared" si="159"/>
        <v>0</v>
      </c>
      <c r="E57" s="110">
        <f t="shared" si="159"/>
        <v>0</v>
      </c>
      <c r="F57" s="110"/>
      <c r="G57" s="110"/>
      <c r="H57" s="110"/>
      <c r="I57" s="110"/>
      <c r="J57" s="110">
        <f t="shared" si="159"/>
        <v>0</v>
      </c>
      <c r="K57" s="110">
        <f t="shared" si="159"/>
        <v>0</v>
      </c>
      <c r="L57" s="408">
        <f t="shared" ref="L57:O57" si="160">SUM(L58:L60)</f>
        <v>0</v>
      </c>
      <c r="M57" s="408">
        <f t="shared" si="160"/>
        <v>0</v>
      </c>
      <c r="N57" s="408">
        <f t="shared" si="160"/>
        <v>0</v>
      </c>
      <c r="O57" s="408">
        <f t="shared" si="160"/>
        <v>0</v>
      </c>
      <c r="P57" s="110">
        <f t="shared" si="159"/>
        <v>0</v>
      </c>
      <c r="Q57" s="110">
        <f t="shared" si="159"/>
        <v>320933.7174044876</v>
      </c>
      <c r="R57" s="408"/>
      <c r="S57" s="408"/>
      <c r="T57" s="408"/>
      <c r="U57" s="408"/>
      <c r="V57" s="110">
        <f t="shared" si="159"/>
        <v>272793.65979381441</v>
      </c>
      <c r="W57" s="110">
        <f t="shared" si="159"/>
        <v>267614.55776998901</v>
      </c>
      <c r="X57" s="408"/>
      <c r="Y57" s="408"/>
      <c r="Z57" s="408"/>
      <c r="AA57" s="408"/>
      <c r="AB57" s="110">
        <f t="shared" si="159"/>
        <v>227472.37410449065</v>
      </c>
      <c r="AC57" s="110">
        <f t="shared" si="159"/>
        <v>130769.37188434695</v>
      </c>
      <c r="AD57" s="408"/>
      <c r="AE57" s="408"/>
      <c r="AF57" s="408"/>
      <c r="AG57" s="408"/>
      <c r="AH57" s="110">
        <f t="shared" si="159"/>
        <v>111153.96610169491</v>
      </c>
      <c r="AI57" s="1177">
        <f t="shared" si="159"/>
        <v>719317.64705882361</v>
      </c>
      <c r="AJ57" s="110"/>
      <c r="AK57" s="110"/>
      <c r="AL57" s="110"/>
      <c r="AM57" s="110"/>
      <c r="AN57" s="110"/>
      <c r="AO57" s="110"/>
      <c r="AP57" s="110"/>
      <c r="AQ57" s="110"/>
      <c r="AR57" s="110"/>
      <c r="AS57" s="110">
        <f t="shared" si="159"/>
        <v>611420</v>
      </c>
      <c r="AT57" s="110"/>
      <c r="AU57" s="26">
        <v>0</v>
      </c>
      <c r="AV57" s="27">
        <v>0</v>
      </c>
      <c r="AW57" s="27"/>
      <c r="AX57" s="110"/>
      <c r="AY57" s="110"/>
      <c r="AZ57" s="110"/>
      <c r="BA57" s="110"/>
      <c r="BB57" s="27"/>
      <c r="BC57" s="27"/>
      <c r="BD57" s="110"/>
      <c r="BE57" s="110"/>
      <c r="BF57" s="110"/>
      <c r="BG57" s="110"/>
      <c r="BH57" s="27"/>
      <c r="BI57" s="27"/>
      <c r="BJ57" s="110"/>
      <c r="BK57" s="110"/>
      <c r="BL57" s="110"/>
      <c r="BM57" s="110"/>
      <c r="BN57" s="27"/>
      <c r="BO57" s="27">
        <v>0</v>
      </c>
      <c r="BP57" s="110">
        <v>0</v>
      </c>
      <c r="BQ57" s="110">
        <v>0</v>
      </c>
      <c r="BR57" s="110">
        <v>0</v>
      </c>
      <c r="BS57" s="110">
        <v>0</v>
      </c>
      <c r="BT57" s="27">
        <v>0</v>
      </c>
      <c r="BU57" s="27">
        <v>0</v>
      </c>
      <c r="BV57" s="110">
        <v>0</v>
      </c>
      <c r="BW57" s="110">
        <v>0</v>
      </c>
      <c r="BX57" s="110">
        <v>0</v>
      </c>
      <c r="BY57" s="110">
        <v>0</v>
      </c>
      <c r="BZ57" s="27">
        <v>0</v>
      </c>
      <c r="CA57" s="27">
        <v>100</v>
      </c>
      <c r="CB57" s="110">
        <v>100</v>
      </c>
      <c r="CC57" s="110">
        <v>100</v>
      </c>
      <c r="CD57" s="110">
        <v>100</v>
      </c>
      <c r="CE57" s="110">
        <v>100</v>
      </c>
      <c r="CF57" s="556">
        <v>100</v>
      </c>
      <c r="CG57" s="561"/>
      <c r="CH57" s="561"/>
    </row>
    <row r="58" spans="1:98" ht="36.75" customHeight="1" thickBot="1" x14ac:dyDescent="0.3">
      <c r="A58" s="91" t="str">
        <f>CONCATENATE('3 pr-2'!A59)</f>
        <v>1.1.1.7.1</v>
      </c>
      <c r="B58" s="91" t="str">
        <f>CONCATENATE('3 pr-2'!D59)</f>
        <v>Alytaus regiono turizmo informacinės infrastruktūros plėtra</v>
      </c>
      <c r="C58" s="111">
        <v>0</v>
      </c>
      <c r="D58" s="111">
        <v>0</v>
      </c>
      <c r="E58" s="111">
        <v>0</v>
      </c>
      <c r="F58" s="389">
        <v>0</v>
      </c>
      <c r="G58" s="389">
        <v>0</v>
      </c>
      <c r="H58" s="389">
        <v>0</v>
      </c>
      <c r="I58" s="389">
        <v>0</v>
      </c>
      <c r="J58" s="111">
        <v>0</v>
      </c>
      <c r="K58" s="119">
        <f>SUM(L58:P58)</f>
        <v>0</v>
      </c>
      <c r="L58" s="405">
        <f>SUM('ketv. 7 lent'!N57)</f>
        <v>0</v>
      </c>
      <c r="M58" s="405">
        <f>SUM('ketv. 7 lent'!Q57)</f>
        <v>0</v>
      </c>
      <c r="N58" s="405">
        <f>SUM('ketv. 7 lent'!T57)</f>
        <v>0</v>
      </c>
      <c r="O58" s="405">
        <f>SUM('ketv. 7 lent'!W57)</f>
        <v>0</v>
      </c>
      <c r="P58" s="119">
        <f>SUM('ketv. 7 lent'!Z57)</f>
        <v>0</v>
      </c>
      <c r="Q58" s="111">
        <f>IF(YEAR($CG58)=2017,($BI$4-$BC$4)*$AJ58/($CH58-$BC$4),0)</f>
        <v>104111.76470588235</v>
      </c>
      <c r="R58" s="405">
        <f>IF(YEAR($CG58)=2017,($BI$4-$BC$4)*$AL58/($CH58-$BC$4),0)</f>
        <v>15616.764705882355</v>
      </c>
      <c r="S58" s="405">
        <f>IF(YEAR($CG58)=2017,($BI$4-$BC$4)*$AN58/($CH58-$BC$4),0)</f>
        <v>0</v>
      </c>
      <c r="T58" s="389">
        <f>IF(YEAR($CG58)=2017,($BI$4-$BC$4)*$AP58/($CH58-$BC$4),0)</f>
        <v>0</v>
      </c>
      <c r="U58" s="389">
        <f>IF(YEAR($CG58)=2017,($BI$4-$BC$4)*$AR58/($CH58-$BC$4),0)</f>
        <v>0</v>
      </c>
      <c r="V58" s="119">
        <f>IF(YEAR($CG58)=2017,($BI$4-$BC$4)*$AT58/($CH58-$BC$4),0)</f>
        <v>88495</v>
      </c>
      <c r="W58" s="119">
        <f>IF(YEAR($CH58)=2019,($CH58-$BI$4)*$AJ58/($CH58-$BC$4),0)</f>
        <v>104111.76470588235</v>
      </c>
      <c r="X58" s="422">
        <f>IF(YEAR($CH58)=2019,($CH58-$BI$4)*$AL58/($CH58-$BC$4),0)</f>
        <v>15616.764705882355</v>
      </c>
      <c r="Y58" s="422">
        <f>IF(YEAR($CH58)=2019,($CH58-$BI$4)*$AN58/($CH58-$BC$4),0)</f>
        <v>0</v>
      </c>
      <c r="Z58" s="422">
        <f>IF(YEAR($CH58)=2019,($CH58-$BI$4)*$AP58/($CH58-$BC$4),0)</f>
        <v>0</v>
      </c>
      <c r="AA58" s="422">
        <f>IF(YEAR($CH58)=2019,($CH58-$BI$4)*$AR58/($CH58-$BC$4),0)</f>
        <v>0</v>
      </c>
      <c r="AB58" s="119">
        <f>IF(YEAR($CH58)=2019,($CH58-$BI$4)*$AT58/($CH58-$BC$4),0)</f>
        <v>88495</v>
      </c>
      <c r="AC58" s="119">
        <v>0</v>
      </c>
      <c r="AD58" s="422">
        <v>0</v>
      </c>
      <c r="AE58" s="422">
        <v>0</v>
      </c>
      <c r="AF58" s="422">
        <v>0</v>
      </c>
      <c r="AG58" s="422">
        <v>0</v>
      </c>
      <c r="AH58" s="119">
        <v>0</v>
      </c>
      <c r="AI58" s="1174">
        <f>SUM('3 pr-2'!L59)</f>
        <v>208223.52941176473</v>
      </c>
      <c r="AJ58" s="834">
        <f t="shared" ref="AJ58:AJ60" si="161">SUM(AI58-E58-K58)</f>
        <v>208223.52941176473</v>
      </c>
      <c r="AK58" s="389">
        <f>SUM('3 pr-2'!O59)</f>
        <v>31233.529411764706</v>
      </c>
      <c r="AL58" s="839">
        <f t="shared" ref="AL58:AN60" si="162">SUM(AK58-L58)</f>
        <v>31233.529411764706</v>
      </c>
      <c r="AM58" s="389">
        <f>SUM('3 pr-2'!R59)</f>
        <v>0</v>
      </c>
      <c r="AN58" s="839">
        <f t="shared" si="162"/>
        <v>0</v>
      </c>
      <c r="AO58" s="389">
        <f>SUM('3 pr-2'!U59)</f>
        <v>0</v>
      </c>
      <c r="AP58" s="834">
        <f t="shared" ref="AP58:AP60" si="163">SUM(AO58-H58-N58)</f>
        <v>0</v>
      </c>
      <c r="AQ58" s="389">
        <f>SUM('3 pr-2'!X59)</f>
        <v>0</v>
      </c>
      <c r="AR58" s="389"/>
      <c r="AS58" s="11">
        <f>SUM('3 pr-2'!AA59)</f>
        <v>176990</v>
      </c>
      <c r="AT58" s="837">
        <f t="shared" ref="AT58:AT60" si="164">SUM(AS58-J58-P58)</f>
        <v>176990</v>
      </c>
      <c r="AU58" s="26"/>
      <c r="AV58" s="27"/>
      <c r="AW58" s="27"/>
      <c r="AX58" s="390"/>
      <c r="AY58" s="390"/>
      <c r="AZ58" s="390"/>
      <c r="BA58" s="390"/>
      <c r="BB58" s="27"/>
      <c r="BC58" s="27"/>
      <c r="BD58" s="390"/>
      <c r="BE58" s="390"/>
      <c r="BF58" s="390"/>
      <c r="BG58" s="390"/>
      <c r="BH58" s="27"/>
      <c r="BI58" s="27"/>
      <c r="BJ58" s="390"/>
      <c r="BK58" s="390"/>
      <c r="BL58" s="390"/>
      <c r="BM58" s="390"/>
      <c r="BN58" s="27"/>
      <c r="BO58" s="27"/>
      <c r="BP58" s="390"/>
      <c r="BQ58" s="390"/>
      <c r="BR58" s="390"/>
      <c r="BS58" s="390"/>
      <c r="BT58" s="27"/>
      <c r="BU58" s="27"/>
      <c r="BV58" s="390"/>
      <c r="BW58" s="390"/>
      <c r="BX58" s="390"/>
      <c r="BY58" s="390"/>
      <c r="BZ58" s="27"/>
      <c r="CA58" s="27"/>
      <c r="CB58" s="390"/>
      <c r="CC58" s="390"/>
      <c r="CD58" s="390"/>
      <c r="CE58" s="390"/>
      <c r="CF58" s="556"/>
      <c r="CG58" s="566">
        <f>SUM('3 pr-2'!AH59)</f>
        <v>42855</v>
      </c>
      <c r="CH58" s="566">
        <f>SUM('3 pr-2'!AJ59)</f>
        <v>43830</v>
      </c>
      <c r="CI58" s="30">
        <f t="shared" ref="CI58" si="165">SUM(J58+P58+V58+AB58+AH58)</f>
        <v>176990</v>
      </c>
      <c r="CJ58" s="30">
        <f t="shared" ref="CJ58" si="166">SUM(CI58-AS58)</f>
        <v>0</v>
      </c>
    </row>
    <row r="59" spans="1:98" ht="48.75" thickBot="1" x14ac:dyDescent="0.3">
      <c r="A59" s="91" t="str">
        <f>CONCATENATE('3 pr-2'!A60)</f>
        <v>1.1.1.7.2</v>
      </c>
      <c r="B59" s="91" t="str">
        <f>CONCATENATE('3 pr-2'!D60)</f>
        <v>„Turizmo trasų ir maršrutų informacinės infrastruktūros plėtra  Lazdijų, Varėnos rajonų ir Druskininkų savivaldybėse“</v>
      </c>
      <c r="C59" s="111">
        <v>0</v>
      </c>
      <c r="D59" s="111">
        <v>0</v>
      </c>
      <c r="E59" s="111">
        <v>0</v>
      </c>
      <c r="F59" s="389">
        <v>0</v>
      </c>
      <c r="G59" s="389">
        <v>0</v>
      </c>
      <c r="H59" s="389">
        <v>0</v>
      </c>
      <c r="I59" s="389">
        <v>0</v>
      </c>
      <c r="J59" s="111">
        <v>0</v>
      </c>
      <c r="K59" s="119">
        <f>SUM(L59:P59)</f>
        <v>0</v>
      </c>
      <c r="L59" s="405">
        <f>SUM('ketv. 7 lent'!N58)</f>
        <v>0</v>
      </c>
      <c r="M59" s="405">
        <f>SUM('ketv. 7 lent'!Q58)</f>
        <v>0</v>
      </c>
      <c r="N59" s="405">
        <f>SUM('ketv. 7 lent'!T58)</f>
        <v>0</v>
      </c>
      <c r="O59" s="405">
        <f>SUM('ketv. 7 lent'!W58)</f>
        <v>0</v>
      </c>
      <c r="P59" s="119">
        <f>SUM('ketv. 7 lent'!Z58)</f>
        <v>0</v>
      </c>
      <c r="Q59" s="111">
        <f>IF(YEAR($CG59)=2017,($BI$4-$BC$4)*$AJ59/($CH59-$BC$4),0)</f>
        <v>216821.95269860525</v>
      </c>
      <c r="R59" s="405">
        <f>IF(YEAR($CG59)=2017,($BI$4-$BC$4)*$AL59/($CH59-$BC$4),0)</f>
        <v>32523.292904790782</v>
      </c>
      <c r="S59" s="405">
        <f>IF(YEAR($CG59)=2017,($BI$4-$BC$4)*$AN59/($CH59-$BC$4),0)</f>
        <v>0</v>
      </c>
      <c r="T59" s="389">
        <f>IF(YEAR($CG59)=2017,($BI$4-$BC$4)*$AP59/($CH59-$BC$4),0)</f>
        <v>0</v>
      </c>
      <c r="U59" s="389">
        <f>IF(YEAR($CG59)=2017,($BI$4-$BC$4)*$AR59/($CH59-$BC$4),0)</f>
        <v>0</v>
      </c>
      <c r="V59" s="119">
        <f>IF(YEAR($CG59)=2017,($BI$4-$BC$4)*$AT59/($CH59-$BC$4),0)</f>
        <v>184298.65979381444</v>
      </c>
      <c r="W59" s="119">
        <f t="shared" ref="W59" si="167">IF(YEAR($CH59)=2019,($CH59-$BI$4)*$AJ59/($CH59-$BC$4),0)</f>
        <v>71283.929654335981</v>
      </c>
      <c r="X59" s="422">
        <f>IF(YEAR($CH59)=2019,($CH59-$BI$4)*$AL59/($CH59-$BC$4),0)</f>
        <v>10692.589448150393</v>
      </c>
      <c r="Y59" s="422">
        <f>IF(YEAR($CH59)=2019,($CH59-$BI$4)*$AN59/($CH59-$BC$4),0)</f>
        <v>0</v>
      </c>
      <c r="Z59" s="422">
        <f>IF(YEAR($CH59)=2019,($CH59-$BI$4)*$AP59/($CH59-$BC$4),0)</f>
        <v>0</v>
      </c>
      <c r="AA59" s="422">
        <f>IF(YEAR($CH59)=2019,($CH59-$BI$4)*$AR59/($CH59-$BC$4),0)</f>
        <v>0</v>
      </c>
      <c r="AB59" s="119">
        <f>IF(YEAR($CH59)=2019,($CH59-$BI$4)*$AT59/($CH59-$BC$4),0)</f>
        <v>60591.340206185567</v>
      </c>
      <c r="AC59" s="119">
        <v>0</v>
      </c>
      <c r="AD59" s="422">
        <v>0</v>
      </c>
      <c r="AE59" s="422">
        <v>0</v>
      </c>
      <c r="AF59" s="422">
        <v>0</v>
      </c>
      <c r="AG59" s="422">
        <v>0</v>
      </c>
      <c r="AH59" s="119">
        <v>0</v>
      </c>
      <c r="AI59" s="1174">
        <f>SUM('3 pr-2'!L60)</f>
        <v>288105.8823529412</v>
      </c>
      <c r="AJ59" s="834">
        <f t="shared" si="161"/>
        <v>288105.8823529412</v>
      </c>
      <c r="AK59" s="389">
        <f>SUM('3 pr-2'!O60)</f>
        <v>43215.882352941175</v>
      </c>
      <c r="AL59" s="839">
        <f t="shared" si="162"/>
        <v>43215.882352941175</v>
      </c>
      <c r="AM59" s="389">
        <f>SUM('3 pr-2'!R60)</f>
        <v>0</v>
      </c>
      <c r="AN59" s="839">
        <f t="shared" si="162"/>
        <v>0</v>
      </c>
      <c r="AO59" s="389">
        <f>SUM('3 pr-2'!U60)</f>
        <v>0</v>
      </c>
      <c r="AP59" s="834">
        <f t="shared" si="163"/>
        <v>0</v>
      </c>
      <c r="AQ59" s="389">
        <f>SUM('3 pr-2'!X60)</f>
        <v>0</v>
      </c>
      <c r="AR59" s="389"/>
      <c r="AS59" s="11">
        <f>SUM('3 pr-2'!AA60)</f>
        <v>244890</v>
      </c>
      <c r="AT59" s="837">
        <f t="shared" si="164"/>
        <v>244890</v>
      </c>
      <c r="AU59" s="26"/>
      <c r="AV59" s="27"/>
      <c r="AW59" s="27"/>
      <c r="AX59" s="390"/>
      <c r="AY59" s="390"/>
      <c r="AZ59" s="390"/>
      <c r="BA59" s="390"/>
      <c r="BB59" s="27"/>
      <c r="BC59" s="27"/>
      <c r="BD59" s="390"/>
      <c r="BE59" s="390"/>
      <c r="BF59" s="390"/>
      <c r="BG59" s="390"/>
      <c r="BH59" s="27"/>
      <c r="BI59" s="27"/>
      <c r="BJ59" s="390"/>
      <c r="BK59" s="390"/>
      <c r="BL59" s="390"/>
      <c r="BM59" s="390"/>
      <c r="BN59" s="27"/>
      <c r="BO59" s="27"/>
      <c r="BP59" s="390"/>
      <c r="BQ59" s="390"/>
      <c r="BR59" s="390"/>
      <c r="BS59" s="390"/>
      <c r="BT59" s="27"/>
      <c r="BU59" s="27"/>
      <c r="BV59" s="390"/>
      <c r="BW59" s="390"/>
      <c r="BX59" s="390"/>
      <c r="BY59" s="390"/>
      <c r="BZ59" s="27"/>
      <c r="CA59" s="27"/>
      <c r="CB59" s="390"/>
      <c r="CC59" s="390"/>
      <c r="CD59" s="390"/>
      <c r="CE59" s="390"/>
      <c r="CF59" s="556"/>
      <c r="CG59" s="566">
        <f>SUM('3 pr-2'!AH60)</f>
        <v>42825</v>
      </c>
      <c r="CH59" s="566">
        <f>SUM('3 pr-2'!AJ60)</f>
        <v>43585</v>
      </c>
      <c r="CI59" s="30">
        <f t="shared" ref="CI59:CI60" si="168">SUM(J59+P59+V59+AB59+AH59)</f>
        <v>244890</v>
      </c>
      <c r="CJ59" s="30">
        <f t="shared" ref="CJ59:CJ71" si="169">SUM(CI59-AS59)</f>
        <v>0</v>
      </c>
    </row>
    <row r="60" spans="1:98" ht="48.75" thickBot="1" x14ac:dyDescent="0.3">
      <c r="A60" s="91" t="str">
        <f>CONCATENATE('3 pr-2'!A61)</f>
        <v>1.1.1.7.3</v>
      </c>
      <c r="B60" s="91" t="str">
        <f>CONCATENATE('3 pr-2'!D61)</f>
        <v>„Turizmo trasų ir maršrutų informacinės infrastruktūros plėtra  Lazdijų, Varėnos rajonų ir Druskininkų savivaldybėse II etapas“</v>
      </c>
      <c r="C60" s="111">
        <v>0</v>
      </c>
      <c r="D60" s="111">
        <v>0</v>
      </c>
      <c r="E60" s="111">
        <v>0</v>
      </c>
      <c r="F60" s="389">
        <v>0</v>
      </c>
      <c r="G60" s="389">
        <v>0</v>
      </c>
      <c r="H60" s="389">
        <v>0</v>
      </c>
      <c r="I60" s="389">
        <v>0</v>
      </c>
      <c r="J60" s="111">
        <v>0</v>
      </c>
      <c r="K60" s="111">
        <v>0</v>
      </c>
      <c r="L60" s="405">
        <v>0</v>
      </c>
      <c r="M60" s="405">
        <v>0</v>
      </c>
      <c r="N60" s="405">
        <v>0</v>
      </c>
      <c r="O60" s="405">
        <v>0</v>
      </c>
      <c r="P60" s="406">
        <v>0</v>
      </c>
      <c r="Q60" s="406">
        <v>0</v>
      </c>
      <c r="R60" s="405">
        <v>0</v>
      </c>
      <c r="S60" s="405">
        <v>0</v>
      </c>
      <c r="T60" s="405">
        <v>0</v>
      </c>
      <c r="U60" s="405">
        <v>0</v>
      </c>
      <c r="V60" s="406">
        <v>0</v>
      </c>
      <c r="W60" s="119">
        <f>IF(YEAR($CH$60)=2020,($W$3-$CG$60)*$AJ60/($CH$60-$CG$60),0)</f>
        <v>92218.863409770682</v>
      </c>
      <c r="X60" s="422">
        <f>IF(YEAR($CH$60)=2020,($W$3-$CG$60)*$AL60/($CH$60-$CG$60),0)</f>
        <v>13832.829511465605</v>
      </c>
      <c r="Y60" s="422">
        <f>IF(YEAR($CH$60)=2020,($W$3-$CG$60)*$AN60/($CH$60-$CG$60),0)</f>
        <v>0</v>
      </c>
      <c r="Z60" s="422">
        <f>IF(YEAR($CH$60)=2020,($W$3-$CG$60)*$AP60/($CH$60-$CG$60),0)</f>
        <v>0</v>
      </c>
      <c r="AA60" s="422">
        <f>IF(YEAR($CH$60)=2020,($W$3-$CG$60)*$AR60/($CH$60-$CG$60),0)</f>
        <v>0</v>
      </c>
      <c r="AB60" s="119">
        <f>IF(YEAR($CH$60)=2020,($W$3-$CG$60)*$AT60/($CH$60-$CG$60),0)</f>
        <v>78386.03389830509</v>
      </c>
      <c r="AC60" s="119">
        <v>130769.37188434695</v>
      </c>
      <c r="AD60" s="422">
        <f>IF(YEAR($AC$3)=YEAR($CH60),($CH60-$W$3)*AL60/($CH$60-$CG$60),0)</f>
        <v>19615.405782652047</v>
      </c>
      <c r="AE60" s="422">
        <f>IF(YEAR($AC$3)=YEAR($CH60),($CH60-$W$3)*AN60/($CH$60-$CG$60),0)</f>
        <v>0</v>
      </c>
      <c r="AF60" s="422">
        <f>IF(YEAR($AC$3)=YEAR($CH60),($CH60-$W$3)*AP60/($CH$60-$CG$60),0)</f>
        <v>0</v>
      </c>
      <c r="AG60" s="422">
        <f>IF(YEAR($AC$3)=YEAR($CH60),($CH60-$W$3)*AR60/($CH$60-$CG$60),0)</f>
        <v>0</v>
      </c>
      <c r="AH60" s="119">
        <f>IF(YEAR($AC$3)=YEAR($CH60),($CH60-$W$3)*AT60/($CH$60-$CG$60),0)</f>
        <v>111153.96610169491</v>
      </c>
      <c r="AI60" s="1174">
        <f>SUM('3 pr-2'!L61)</f>
        <v>222988.23529411765</v>
      </c>
      <c r="AJ60" s="834">
        <f t="shared" si="161"/>
        <v>222988.23529411765</v>
      </c>
      <c r="AK60" s="389">
        <f>SUM('3 pr-2'!O61)</f>
        <v>33448.23529411765</v>
      </c>
      <c r="AL60" s="839">
        <f t="shared" si="162"/>
        <v>33448.23529411765</v>
      </c>
      <c r="AM60" s="389">
        <f>SUM('3 pr-2'!R61)</f>
        <v>0</v>
      </c>
      <c r="AN60" s="839">
        <f t="shared" si="162"/>
        <v>0</v>
      </c>
      <c r="AO60" s="389">
        <f>SUM('3 pr-2'!U61)</f>
        <v>0</v>
      </c>
      <c r="AP60" s="834">
        <f t="shared" si="163"/>
        <v>0</v>
      </c>
      <c r="AQ60" s="389">
        <f>SUM('3 pr-2'!X61)</f>
        <v>0</v>
      </c>
      <c r="AR60" s="389"/>
      <c r="AS60" s="11">
        <f>SUM('3 pr-2'!AA61)</f>
        <v>189540</v>
      </c>
      <c r="AT60" s="837">
        <f t="shared" si="164"/>
        <v>189540</v>
      </c>
      <c r="AU60" s="26">
        <v>0</v>
      </c>
      <c r="AV60" s="27">
        <v>0</v>
      </c>
      <c r="AW60" s="27">
        <v>0</v>
      </c>
      <c r="AX60" s="390">
        <v>0</v>
      </c>
      <c r="AY60" s="390">
        <v>0</v>
      </c>
      <c r="AZ60" s="390">
        <v>0</v>
      </c>
      <c r="BA60" s="390">
        <v>0</v>
      </c>
      <c r="BB60" s="27">
        <v>0</v>
      </c>
      <c r="BC60" s="27">
        <v>0</v>
      </c>
      <c r="BD60" s="390">
        <v>0</v>
      </c>
      <c r="BE60" s="390">
        <v>0</v>
      </c>
      <c r="BF60" s="390">
        <v>0</v>
      </c>
      <c r="BG60" s="390">
        <v>0</v>
      </c>
      <c r="BH60" s="27">
        <v>0</v>
      </c>
      <c r="BI60" s="27">
        <v>10</v>
      </c>
      <c r="BJ60" s="390">
        <v>10</v>
      </c>
      <c r="BK60" s="390">
        <v>10</v>
      </c>
      <c r="BL60" s="390">
        <v>10</v>
      </c>
      <c r="BM60" s="390">
        <v>10</v>
      </c>
      <c r="BN60" s="27">
        <v>10</v>
      </c>
      <c r="BO60" s="27">
        <v>60</v>
      </c>
      <c r="BP60" s="390">
        <v>60</v>
      </c>
      <c r="BQ60" s="390">
        <v>60</v>
      </c>
      <c r="BR60" s="390">
        <v>60</v>
      </c>
      <c r="BS60" s="390">
        <v>60</v>
      </c>
      <c r="BT60" s="27">
        <v>60</v>
      </c>
      <c r="BU60" s="27">
        <v>30</v>
      </c>
      <c r="BV60" s="390">
        <v>30</v>
      </c>
      <c r="BW60" s="390">
        <v>30</v>
      </c>
      <c r="BX60" s="390">
        <v>30</v>
      </c>
      <c r="BY60" s="390">
        <v>30</v>
      </c>
      <c r="BZ60" s="27">
        <v>30</v>
      </c>
      <c r="CA60" s="27">
        <v>100</v>
      </c>
      <c r="CB60" s="390">
        <v>100</v>
      </c>
      <c r="CC60" s="390">
        <v>100</v>
      </c>
      <c r="CD60" s="390">
        <v>100</v>
      </c>
      <c r="CE60" s="390">
        <v>100</v>
      </c>
      <c r="CF60" s="556">
        <v>100</v>
      </c>
      <c r="CG60" s="566">
        <f>SUM('3 pr-2'!AH61)</f>
        <v>43586</v>
      </c>
      <c r="CH60" s="566">
        <f>SUM('3 pr-2'!AJ61)</f>
        <v>44176</v>
      </c>
      <c r="CI60" s="30">
        <f t="shared" si="168"/>
        <v>189540</v>
      </c>
      <c r="CJ60" s="30">
        <f t="shared" si="169"/>
        <v>0</v>
      </c>
      <c r="CK60">
        <f>SUM(CH60-CG60)</f>
        <v>590</v>
      </c>
      <c r="CL60">
        <f>SUM(AT60/CK60)</f>
        <v>321.25423728813558</v>
      </c>
      <c r="CM60">
        <f>SUM(AC2-CG60)</f>
        <v>245</v>
      </c>
      <c r="CR60">
        <f>SUM(CM60*CL60)</f>
        <v>78707.288135593219</v>
      </c>
    </row>
    <row r="61" spans="1:98" ht="29.25" customHeight="1" thickBot="1" x14ac:dyDescent="0.3">
      <c r="A61" s="383" t="str">
        <f>CONCATENATE('3 pr-2'!A62)</f>
        <v>1.1.1.8</v>
      </c>
      <c r="B61" s="182" t="str">
        <f>CONCATENATE('3 pr-2'!D62)</f>
        <v/>
      </c>
      <c r="C61" s="110">
        <f>SUM(C62:C65)</f>
        <v>0</v>
      </c>
      <c r="D61" s="110">
        <f>SUM(D62:D65)</f>
        <v>0</v>
      </c>
      <c r="E61" s="110">
        <f>SUM(E62:E65)</f>
        <v>0</v>
      </c>
      <c r="F61" s="110">
        <f t="shared" ref="F61:I61" si="170">SUM(F62:F65)</f>
        <v>0</v>
      </c>
      <c r="G61" s="110">
        <f t="shared" si="170"/>
        <v>0</v>
      </c>
      <c r="H61" s="110">
        <f t="shared" si="170"/>
        <v>0</v>
      </c>
      <c r="I61" s="110">
        <f t="shared" si="170"/>
        <v>0</v>
      </c>
      <c r="J61" s="110">
        <f t="shared" ref="J61:U61" si="171">SUM(J62:J65)</f>
        <v>0</v>
      </c>
      <c r="K61" s="110">
        <f t="shared" si="171"/>
        <v>284080.76</v>
      </c>
      <c r="L61" s="408">
        <f t="shared" si="171"/>
        <v>14354.630000000001</v>
      </c>
      <c r="M61" s="408">
        <f t="shared" si="171"/>
        <v>5651.88</v>
      </c>
      <c r="N61" s="408">
        <f t="shared" si="171"/>
        <v>0</v>
      </c>
      <c r="O61" s="408">
        <f t="shared" si="171"/>
        <v>0</v>
      </c>
      <c r="P61" s="110">
        <f t="shared" si="171"/>
        <v>264074.25</v>
      </c>
      <c r="Q61" s="110">
        <f t="shared" si="171"/>
        <v>1336983.7504970178</v>
      </c>
      <c r="R61" s="110">
        <f t="shared" si="171"/>
        <v>273506.12590457255</v>
      </c>
      <c r="S61" s="110">
        <f t="shared" si="171"/>
        <v>346748.94</v>
      </c>
      <c r="T61" s="110">
        <f t="shared" si="171"/>
        <v>0</v>
      </c>
      <c r="U61" s="110">
        <f t="shared" si="171"/>
        <v>0</v>
      </c>
      <c r="V61" s="110">
        <f>SUM(V62:V65)</f>
        <v>716728.68459244526</v>
      </c>
      <c r="W61" s="110">
        <f>SUM(W62:W65)</f>
        <v>175885.49975149106</v>
      </c>
      <c r="X61" s="110">
        <f t="shared" ref="X61:AA61" si="172">SUM(X62:X65)</f>
        <v>67205.11704771372</v>
      </c>
      <c r="Y61" s="110">
        <f t="shared" si="172"/>
        <v>0</v>
      </c>
      <c r="Z61" s="110">
        <f t="shared" si="172"/>
        <v>0</v>
      </c>
      <c r="AA61" s="110">
        <f t="shared" si="172"/>
        <v>0</v>
      </c>
      <c r="AB61" s="110">
        <f>SUM(AB62:AB65)</f>
        <v>108680.38270377733</v>
      </c>
      <c r="AC61" s="110">
        <f>SUM(AC62:AC65)</f>
        <v>175885.49975149106</v>
      </c>
      <c r="AD61" s="110">
        <f t="shared" ref="AD61:AG61" si="173">SUM(AD62:AD65)</f>
        <v>67205.11704771372</v>
      </c>
      <c r="AE61" s="110">
        <f t="shared" si="173"/>
        <v>0</v>
      </c>
      <c r="AF61" s="110">
        <f t="shared" si="173"/>
        <v>0</v>
      </c>
      <c r="AG61" s="110">
        <f t="shared" si="173"/>
        <v>0</v>
      </c>
      <c r="AH61" s="110">
        <f>SUM(AH62:AH65)</f>
        <v>108680.38270377733</v>
      </c>
      <c r="AI61" s="1177">
        <f>SUM(AI62:AI65)</f>
        <v>1972835.5100000002</v>
      </c>
      <c r="AJ61" s="110"/>
      <c r="AK61" s="110">
        <f t="shared" ref="AK61:AQ61" si="174">SUM(AK62:AK65)</f>
        <v>422270.99</v>
      </c>
      <c r="AL61" s="110"/>
      <c r="AM61" s="110">
        <f t="shared" si="174"/>
        <v>352400.82</v>
      </c>
      <c r="AN61" s="110"/>
      <c r="AO61" s="110">
        <f t="shared" si="174"/>
        <v>0</v>
      </c>
      <c r="AP61" s="110"/>
      <c r="AQ61" s="110">
        <f t="shared" si="174"/>
        <v>0</v>
      </c>
      <c r="AR61" s="110"/>
      <c r="AS61" s="110">
        <f>SUM(AS62:AS65)</f>
        <v>1198163.7</v>
      </c>
      <c r="AT61" s="110"/>
      <c r="AU61" s="108">
        <v>0</v>
      </c>
      <c r="AV61" s="109">
        <v>0</v>
      </c>
      <c r="AW61" s="109"/>
      <c r="AX61" s="110"/>
      <c r="AY61" s="110"/>
      <c r="AZ61" s="110"/>
      <c r="BA61" s="110"/>
      <c r="BB61" s="109"/>
      <c r="BC61" s="109"/>
      <c r="BD61" s="110"/>
      <c r="BE61" s="110"/>
      <c r="BF61" s="110"/>
      <c r="BG61" s="110"/>
      <c r="BH61" s="109"/>
      <c r="BI61" s="109"/>
      <c r="BJ61" s="110"/>
      <c r="BK61" s="110"/>
      <c r="BL61" s="110"/>
      <c r="BM61" s="110"/>
      <c r="BN61" s="109"/>
      <c r="BO61" s="109"/>
      <c r="BP61" s="110"/>
      <c r="BQ61" s="110"/>
      <c r="BR61" s="110"/>
      <c r="BS61" s="110"/>
      <c r="BT61" s="109"/>
      <c r="BU61" s="109"/>
      <c r="BV61" s="110"/>
      <c r="BW61" s="110"/>
      <c r="BX61" s="110"/>
      <c r="BY61" s="110"/>
      <c r="BZ61" s="109"/>
      <c r="CA61" s="27">
        <v>100</v>
      </c>
      <c r="CB61" s="110">
        <v>100</v>
      </c>
      <c r="CC61" s="110">
        <v>100</v>
      </c>
      <c r="CD61" s="110">
        <v>100</v>
      </c>
      <c r="CE61" s="110">
        <v>100</v>
      </c>
      <c r="CF61" s="556">
        <v>100</v>
      </c>
      <c r="CG61" s="561"/>
      <c r="CH61" s="561"/>
    </row>
    <row r="62" spans="1:98" ht="24.75" thickBot="1" x14ac:dyDescent="0.3">
      <c r="A62" s="91" t="str">
        <f>CONCATENATE('3 pr-2'!A63)</f>
        <v>1.1.1.8.1</v>
      </c>
      <c r="B62" s="91" t="str">
        <f>CONCATENATE('3 pr-2'!D63)</f>
        <v>Kultūros įstaigų infrastruktūros modernizavimas Varėnos mieste</v>
      </c>
      <c r="C62" s="111">
        <v>0</v>
      </c>
      <c r="D62" s="111">
        <v>0</v>
      </c>
      <c r="E62" s="111">
        <v>0</v>
      </c>
      <c r="F62" s="389">
        <v>0</v>
      </c>
      <c r="G62" s="389">
        <v>0</v>
      </c>
      <c r="H62" s="389">
        <v>0</v>
      </c>
      <c r="I62" s="389">
        <v>0</v>
      </c>
      <c r="J62" s="111">
        <v>0</v>
      </c>
      <c r="K62" s="119">
        <v>171518.59000000003</v>
      </c>
      <c r="L62" s="405">
        <v>12248.45</v>
      </c>
      <c r="M62" s="405">
        <v>0</v>
      </c>
      <c r="N62" s="405">
        <v>0</v>
      </c>
      <c r="O62" s="405">
        <v>0</v>
      </c>
      <c r="P62" s="119">
        <v>159270.14000000001</v>
      </c>
      <c r="Q62" s="111">
        <f>IF(YEAR($CG62)=2017,($BI$4-$BC$4)*$AJ62/($CH62-$BC$4),0)</f>
        <v>180882.40999999997</v>
      </c>
      <c r="R62" s="405">
        <f>IF(YEAR($CG62)=2017,($BI$4-$BC$4)*$AL62/($CH62-$BC$4),0)</f>
        <v>40611.699999999997</v>
      </c>
      <c r="S62" s="405">
        <f>IF(YEAR($CG62)=2017,($BI$4-$BC$4)*$AN62/($CH62-$BC$4),0)</f>
        <v>0</v>
      </c>
      <c r="T62" s="389">
        <f>IF(YEAR($CG62)=2017,($BI$4-$BC$4)*$AP62/($CH62-$BC$4),0)</f>
        <v>0</v>
      </c>
      <c r="U62" s="389">
        <f>IF(YEAR($CG62)=2017,($BI$4-$BC$4)*$AR62/($CH62-$BC$4),0)</f>
        <v>0</v>
      </c>
      <c r="V62" s="119">
        <f>IF(YEAR($CG62)=2017,($BI$4-$BC$4)*$AT62/($CH62-$BC$4),0)</f>
        <v>140270.70999999996</v>
      </c>
      <c r="W62" s="111">
        <v>0</v>
      </c>
      <c r="X62" s="422">
        <v>0</v>
      </c>
      <c r="Y62" s="422">
        <v>0</v>
      </c>
      <c r="Z62" s="422">
        <v>0</v>
      </c>
      <c r="AA62" s="422">
        <v>0</v>
      </c>
      <c r="AB62" s="111">
        <v>0</v>
      </c>
      <c r="AC62" s="111">
        <v>0</v>
      </c>
      <c r="AD62" s="422">
        <v>0</v>
      </c>
      <c r="AE62" s="422">
        <v>0</v>
      </c>
      <c r="AF62" s="422">
        <v>0</v>
      </c>
      <c r="AG62" s="422">
        <v>0</v>
      </c>
      <c r="AH62" s="111">
        <v>0</v>
      </c>
      <c r="AI62" s="1176">
        <f>SUM('3 pr-2'!L63)</f>
        <v>352401</v>
      </c>
      <c r="AJ62" s="834">
        <f>SUM(AI62-E62-K62)</f>
        <v>180882.40999999997</v>
      </c>
      <c r="AK62" s="389">
        <f>SUM('3 pr-2'!O63)</f>
        <v>52860.15</v>
      </c>
      <c r="AL62" s="839">
        <f>SUM(AK62-L62)</f>
        <v>40611.699999999997</v>
      </c>
      <c r="AM62" s="389">
        <f>SUM('3 pr-2'!R63)</f>
        <v>0</v>
      </c>
      <c r="AN62" s="839">
        <f>SUM(AM62-M62)</f>
        <v>0</v>
      </c>
      <c r="AO62" s="389">
        <f>SUM('3 pr-2'!U63)</f>
        <v>0</v>
      </c>
      <c r="AP62" s="834">
        <f>SUM(AO62-H62-N62)</f>
        <v>0</v>
      </c>
      <c r="AQ62" s="389">
        <f>SUM('3 pr-2'!X63)</f>
        <v>0</v>
      </c>
      <c r="AR62" s="389"/>
      <c r="AS62" s="12">
        <f>SUM('3 pr-2'!AA63)</f>
        <v>299540.84999999998</v>
      </c>
      <c r="AT62" s="837">
        <f>SUM(AS62-J62-P62)</f>
        <v>140270.70999999996</v>
      </c>
      <c r="AU62" s="841">
        <f>SUM(J62+P62+V62)</f>
        <v>299540.84999999998</v>
      </c>
      <c r="AV62" s="139"/>
      <c r="AW62" s="139"/>
      <c r="AX62" s="390"/>
      <c r="AY62" s="390"/>
      <c r="AZ62" s="390"/>
      <c r="BA62" s="390"/>
      <c r="BB62" s="139"/>
      <c r="BC62" s="139"/>
      <c r="BD62" s="390"/>
      <c r="BE62" s="390"/>
      <c r="BF62" s="390"/>
      <c r="BG62" s="390"/>
      <c r="BH62" s="139"/>
      <c r="BI62" s="139"/>
      <c r="BJ62" s="390"/>
      <c r="BK62" s="390"/>
      <c r="BL62" s="390"/>
      <c r="BM62" s="390"/>
      <c r="BN62" s="139"/>
      <c r="BO62" s="139"/>
      <c r="BP62" s="390"/>
      <c r="BQ62" s="390"/>
      <c r="BR62" s="390"/>
      <c r="BS62" s="390"/>
      <c r="BT62" s="139"/>
      <c r="BU62" s="139"/>
      <c r="BV62" s="390"/>
      <c r="BW62" s="390"/>
      <c r="BX62" s="390"/>
      <c r="BY62" s="390"/>
      <c r="BZ62" s="139"/>
      <c r="CA62" s="27"/>
      <c r="CB62" s="390"/>
      <c r="CC62" s="390"/>
      <c r="CD62" s="390"/>
      <c r="CE62" s="390"/>
      <c r="CF62" s="556"/>
      <c r="CG62" s="566">
        <f>SUM('3 pr-2'!AH63)</f>
        <v>42855</v>
      </c>
      <c r="CH62" s="566">
        <f>SUM('3 pr-2'!AJ63)</f>
        <v>43465</v>
      </c>
      <c r="CI62" s="30">
        <f>SUM(P62+V62)</f>
        <v>299540.84999999998</v>
      </c>
      <c r="CJ62" s="30">
        <f t="shared" si="169"/>
        <v>0</v>
      </c>
    </row>
    <row r="63" spans="1:98" ht="40.5" customHeight="1" thickBot="1" x14ac:dyDescent="0.3">
      <c r="A63" s="91" t="str">
        <f>CONCATENATE('3 pr-2'!A64)</f>
        <v>1.1.1.8.2</v>
      </c>
      <c r="B63" s="91" t="str">
        <f>CONCATENATE('3 pr-2'!D64)</f>
        <v>VšĮ Alytaus kultūros ir komunikacijos centro pastato Alytuje, Pramonės g. 1B, rekonstravimas</v>
      </c>
      <c r="C63" s="111">
        <v>0</v>
      </c>
      <c r="D63" s="111">
        <v>0</v>
      </c>
      <c r="E63" s="111">
        <v>0</v>
      </c>
      <c r="F63" s="389">
        <v>0</v>
      </c>
      <c r="G63" s="389">
        <v>0</v>
      </c>
      <c r="H63" s="389">
        <v>0</v>
      </c>
      <c r="I63" s="389">
        <v>0</v>
      </c>
      <c r="J63" s="111">
        <v>0</v>
      </c>
      <c r="K63" s="119">
        <v>92562.17</v>
      </c>
      <c r="L63" s="405">
        <v>2106.1799999999998</v>
      </c>
      <c r="M63" s="405">
        <v>5651.88</v>
      </c>
      <c r="N63" s="405">
        <v>0</v>
      </c>
      <c r="O63" s="405">
        <v>0</v>
      </c>
      <c r="P63" s="119">
        <v>84804.11</v>
      </c>
      <c r="Q63" s="111">
        <f>IF(YEAR($CG63)=2017,($BI$4-$BC$4)*$AJ63/($CH63-$BC$4),0)</f>
        <v>690701.99</v>
      </c>
      <c r="R63" s="405">
        <f>IF(YEAR($CG63)=2017,($BI$4-$BC$4)*$AL63/($CH63-$BC$4),0)</f>
        <v>129216.15999999999</v>
      </c>
      <c r="S63" s="405">
        <f>IF(YEAR($CG63)=2017,($BI$4-$BC$4)*$AN63/($CH63-$BC$4),0)</f>
        <v>346748.94</v>
      </c>
      <c r="T63" s="389">
        <f>IF(YEAR($CG63)=2017,($BI$4-$BC$4)*$AP63/($CH63-$BC$4),0)</f>
        <v>0</v>
      </c>
      <c r="U63" s="389">
        <f>IF(YEAR($CG63)=2017,($BI$4-$BC$4)*$AR63/($CH63-$BC$4),0)</f>
        <v>0</v>
      </c>
      <c r="V63" s="119">
        <f>IF(YEAR($CG63)=2017,($BI$4-$BC$4)*$AT63/($CH63-$BC$4),0)</f>
        <v>214736.89</v>
      </c>
      <c r="W63" s="111">
        <v>0</v>
      </c>
      <c r="X63" s="422">
        <v>0</v>
      </c>
      <c r="Y63" s="422">
        <v>0</v>
      </c>
      <c r="Z63" s="422">
        <v>0</v>
      </c>
      <c r="AA63" s="422">
        <v>0</v>
      </c>
      <c r="AB63" s="111">
        <v>0</v>
      </c>
      <c r="AC63" s="111">
        <v>0</v>
      </c>
      <c r="AD63" s="422">
        <v>0</v>
      </c>
      <c r="AE63" s="422">
        <v>0</v>
      </c>
      <c r="AF63" s="422">
        <v>0</v>
      </c>
      <c r="AG63" s="422">
        <v>0</v>
      </c>
      <c r="AH63" s="111">
        <v>0</v>
      </c>
      <c r="AI63" s="1176">
        <f>SUM('3 pr-2'!L64)</f>
        <v>783264.16</v>
      </c>
      <c r="AJ63" s="834">
        <f>SUM(AI63-K63)</f>
        <v>690701.99</v>
      </c>
      <c r="AK63" s="389">
        <f>SUM('3 pr-2'!O64)</f>
        <v>131322.34</v>
      </c>
      <c r="AL63" s="839">
        <f>SUM(AK63-L63)</f>
        <v>129216.16</v>
      </c>
      <c r="AM63" s="389">
        <f>SUM('3 pr-2'!R64)</f>
        <v>352400.82</v>
      </c>
      <c r="AN63" s="839">
        <f>SUM(AM63-M63)</f>
        <v>346748.94</v>
      </c>
      <c r="AO63" s="389">
        <f>SUM('3 pr-2'!U64)</f>
        <v>0</v>
      </c>
      <c r="AP63" s="839">
        <f>SUM(AO63-O63)</f>
        <v>0</v>
      </c>
      <c r="AQ63" s="389">
        <f>SUM('3 pr-2'!X64)</f>
        <v>0</v>
      </c>
      <c r="AR63" s="389"/>
      <c r="AS63" s="12">
        <f>SUM('3 pr-2'!AA64)</f>
        <v>299541</v>
      </c>
      <c r="AT63" s="839">
        <f>SUM(AS63-P63)</f>
        <v>214736.89</v>
      </c>
      <c r="AU63" s="138">
        <f>SUM(J63+P63+V63)</f>
        <v>299541</v>
      </c>
      <c r="AV63" s="139"/>
      <c r="AW63" s="139"/>
      <c r="AX63" s="390"/>
      <c r="AY63" s="390"/>
      <c r="AZ63" s="390"/>
      <c r="BA63" s="390"/>
      <c r="BB63" s="139"/>
      <c r="BC63" s="139"/>
      <c r="BD63" s="390"/>
      <c r="BE63" s="390"/>
      <c r="BF63" s="390"/>
      <c r="BG63" s="390"/>
      <c r="BH63" s="139"/>
      <c r="BI63" s="139"/>
      <c r="BJ63" s="390"/>
      <c r="BK63" s="390"/>
      <c r="BL63" s="390"/>
      <c r="BM63" s="390"/>
      <c r="BN63" s="139"/>
      <c r="BO63" s="139"/>
      <c r="BP63" s="390"/>
      <c r="BQ63" s="390"/>
      <c r="BR63" s="390"/>
      <c r="BS63" s="390"/>
      <c r="BT63" s="139"/>
      <c r="BU63" s="139"/>
      <c r="BV63" s="390"/>
      <c r="BW63" s="390"/>
      <c r="BX63" s="390"/>
      <c r="BY63" s="390"/>
      <c r="BZ63" s="139"/>
      <c r="CA63" s="27"/>
      <c r="CB63" s="390"/>
      <c r="CC63" s="390"/>
      <c r="CD63" s="390"/>
      <c r="CE63" s="390"/>
      <c r="CF63" s="556"/>
      <c r="CG63" s="566">
        <f>SUM('3 pr-2'!AH64)</f>
        <v>42855</v>
      </c>
      <c r="CH63" s="566">
        <f>SUM('3 pr-2'!AJ64)</f>
        <v>43465</v>
      </c>
      <c r="CI63" s="30">
        <f>SUM(P63+V63)</f>
        <v>299541</v>
      </c>
      <c r="CJ63" s="30">
        <f t="shared" si="169"/>
        <v>0</v>
      </c>
    </row>
    <row r="64" spans="1:98" ht="48.75" thickBot="1" x14ac:dyDescent="0.3">
      <c r="A64" s="91" t="str">
        <f>CONCATENATE('3 pr-2'!A65)</f>
        <v>1.1.1.8.3</v>
      </c>
      <c r="B64" s="91" t="str">
        <f>CONCATENATE('3 pr-2'!D65)</f>
        <v>Druskininkų kultūros centro lauko scenos, Vilniaus al. 24, Druskininkai, modernizavimas ir pritaikymas kultūros  poreikiams</v>
      </c>
      <c r="C64" s="111">
        <v>0</v>
      </c>
      <c r="D64" s="111">
        <v>0</v>
      </c>
      <c r="E64" s="111">
        <v>0</v>
      </c>
      <c r="F64" s="389">
        <v>0</v>
      </c>
      <c r="G64" s="389">
        <v>0</v>
      </c>
      <c r="H64" s="389">
        <v>0</v>
      </c>
      <c r="I64" s="389">
        <v>0</v>
      </c>
      <c r="J64" s="111">
        <v>0</v>
      </c>
      <c r="K64" s="119">
        <v>20000</v>
      </c>
      <c r="L64" s="405">
        <v>0</v>
      </c>
      <c r="M64" s="405">
        <v>0</v>
      </c>
      <c r="N64" s="405">
        <v>0</v>
      </c>
      <c r="O64" s="405">
        <v>0</v>
      </c>
      <c r="P64" s="119">
        <v>20000</v>
      </c>
      <c r="Q64" s="111">
        <f>IF(YEAR($CG64)=2017,($BI$4-$BC$4)*$AJ64/($CH64-$BC$4),0)</f>
        <v>332401</v>
      </c>
      <c r="R64" s="405">
        <f>IF(YEAR($CG64)=2017,($BI$4-$BC$4)*$AL64/($CH64-$BC$4),0)</f>
        <v>52860.15</v>
      </c>
      <c r="S64" s="405">
        <f>IF(YEAR($CG64)=2017,($BI$4-$BC$4)*$AN64/($CH64-$BC$4),0)</f>
        <v>0</v>
      </c>
      <c r="T64" s="389">
        <f>IF(YEAR($CG64)=2017,($BI$4-$BC$4)*$AP64/($CH64-$BC$4),0)</f>
        <v>0</v>
      </c>
      <c r="U64" s="389">
        <f>IF(YEAR($CG64)=2017,($BI$4-$BC$4)*$AR64/($CH64-$BC$4),0)</f>
        <v>0</v>
      </c>
      <c r="V64" s="119">
        <f>IF(YEAR($CG64)=2017,($BI$4-$BC$4)*$AT64/($CH64-$BC$4),0)</f>
        <v>279540.84999999998</v>
      </c>
      <c r="W64" s="111">
        <v>0</v>
      </c>
      <c r="X64" s="422">
        <v>0</v>
      </c>
      <c r="Y64" s="422">
        <v>0</v>
      </c>
      <c r="Z64" s="422">
        <v>0</v>
      </c>
      <c r="AA64" s="422">
        <v>0</v>
      </c>
      <c r="AB64" s="111">
        <v>0</v>
      </c>
      <c r="AC64" s="111">
        <v>0</v>
      </c>
      <c r="AD64" s="422">
        <v>0</v>
      </c>
      <c r="AE64" s="422">
        <v>0</v>
      </c>
      <c r="AF64" s="422">
        <v>0</v>
      </c>
      <c r="AG64" s="422">
        <v>0</v>
      </c>
      <c r="AH64" s="111">
        <v>0</v>
      </c>
      <c r="AI64" s="1176">
        <f>SUM('3 pr-2'!L65)</f>
        <v>352401</v>
      </c>
      <c r="AJ64" s="834">
        <f>SUM(AI64-K64)</f>
        <v>332401</v>
      </c>
      <c r="AK64" s="389">
        <f>SUM('3 pr-2'!O65)</f>
        <v>52860.15</v>
      </c>
      <c r="AL64" s="839">
        <f>SUM(AK64-L64)</f>
        <v>52860.15</v>
      </c>
      <c r="AM64" s="389">
        <f>SUM('3 pr-2'!R65)</f>
        <v>0</v>
      </c>
      <c r="AN64" s="839">
        <f>SUM(AM64-M64)</f>
        <v>0</v>
      </c>
      <c r="AO64" s="389">
        <f>SUM('3 pr-2'!U65)</f>
        <v>0</v>
      </c>
      <c r="AP64" s="839">
        <f>SUM(AO64-O64)</f>
        <v>0</v>
      </c>
      <c r="AQ64" s="389">
        <f>SUM('3 pr-2'!X65)</f>
        <v>0</v>
      </c>
      <c r="AR64" s="389"/>
      <c r="AS64" s="12">
        <f>SUM('3 pr-2'!AA65)</f>
        <v>299540.84999999998</v>
      </c>
      <c r="AT64" s="839">
        <f>SUM(AS64-P64)</f>
        <v>279540.84999999998</v>
      </c>
      <c r="AU64" s="138">
        <f>SUM(J64+P64+V64)</f>
        <v>299540.84999999998</v>
      </c>
      <c r="AV64" s="139"/>
      <c r="AW64" s="139"/>
      <c r="AX64" s="390"/>
      <c r="AY64" s="390"/>
      <c r="AZ64" s="390"/>
      <c r="BA64" s="390"/>
      <c r="BB64" s="139"/>
      <c r="BC64" s="139"/>
      <c r="BD64" s="390"/>
      <c r="BE64" s="390"/>
      <c r="BF64" s="390"/>
      <c r="BG64" s="390"/>
      <c r="BH64" s="139"/>
      <c r="BI64" s="139"/>
      <c r="BJ64" s="390"/>
      <c r="BK64" s="390"/>
      <c r="BL64" s="390"/>
      <c r="BM64" s="390"/>
      <c r="BN64" s="139"/>
      <c r="BO64" s="139"/>
      <c r="BP64" s="390"/>
      <c r="BQ64" s="390"/>
      <c r="BR64" s="390"/>
      <c r="BS64" s="390"/>
      <c r="BT64" s="139"/>
      <c r="BU64" s="139"/>
      <c r="BV64" s="390"/>
      <c r="BW64" s="390"/>
      <c r="BX64" s="390"/>
      <c r="BY64" s="390"/>
      <c r="BZ64" s="139"/>
      <c r="CA64" s="27"/>
      <c r="CB64" s="390"/>
      <c r="CC64" s="390"/>
      <c r="CD64" s="390"/>
      <c r="CE64" s="390"/>
      <c r="CF64" s="556"/>
      <c r="CG64" s="566">
        <f>SUM('3 pr-2'!AH65)</f>
        <v>42886</v>
      </c>
      <c r="CH64" s="566">
        <f>SUM('3 pr-2'!AJ65)</f>
        <v>43465</v>
      </c>
      <c r="CI64" s="30">
        <f>SUM(P64+V64)</f>
        <v>299540.84999999998</v>
      </c>
      <c r="CJ64" s="30">
        <f t="shared" si="169"/>
        <v>0</v>
      </c>
    </row>
    <row r="65" spans="1:97" ht="36.75" thickBot="1" x14ac:dyDescent="0.3">
      <c r="A65" s="91" t="str">
        <f>CONCATENATE('3 pr-2'!A66)</f>
        <v>1.1.1.8.4</v>
      </c>
      <c r="B65" s="91" t="str">
        <f>CONCATENATE('3 pr-2'!D66)</f>
        <v>Pastato rekonstrukcija ir pritaikymas kultūrinėms, muziejinėms ir edukacinėms reikmėms</v>
      </c>
      <c r="C65" s="111">
        <v>0</v>
      </c>
      <c r="D65" s="111">
        <v>0</v>
      </c>
      <c r="E65" s="111">
        <v>0</v>
      </c>
      <c r="F65" s="389">
        <v>0</v>
      </c>
      <c r="G65" s="389">
        <v>0</v>
      </c>
      <c r="H65" s="389">
        <v>0</v>
      </c>
      <c r="I65" s="389">
        <v>0</v>
      </c>
      <c r="J65" s="111">
        <v>0</v>
      </c>
      <c r="K65" s="119">
        <v>0</v>
      </c>
      <c r="L65" s="405">
        <v>0</v>
      </c>
      <c r="M65" s="405">
        <v>0</v>
      </c>
      <c r="N65" s="405">
        <v>0</v>
      </c>
      <c r="O65" s="405">
        <v>0</v>
      </c>
      <c r="P65" s="119">
        <v>0</v>
      </c>
      <c r="Q65" s="111">
        <f>IF(YEAR($CG65)=2018,($W2-$CG65)*$AJ65/($CH65-$CG65),0)</f>
        <v>132998.35049701788</v>
      </c>
      <c r="R65" s="405">
        <f>IF(YEAR($CG65)=2018,($W2-$CG65)*$AL65/($CH65-$CG65),0)</f>
        <v>50818.115904572565</v>
      </c>
      <c r="S65" s="405">
        <f>IF(YEAR($CG65)=2018,($W2-$CG65)*$AN65/($CH65-$CG65),0)</f>
        <v>0</v>
      </c>
      <c r="T65" s="389">
        <f>IF(YEAR($CG65)=2018,($W2-$CG65)*$AP65/($CH65-$CG65),0)</f>
        <v>0</v>
      </c>
      <c r="U65" s="389">
        <f>IF(YEAR($CG65)=2018,($W2-$CG65)*$AR65/($CH65-$CG65),0)</f>
        <v>0</v>
      </c>
      <c r="V65" s="119">
        <f>IF(YEAR($CG65)=2018,($W2-$CG65)*$AT65/($CH65-$CG65),0)</f>
        <v>82180.234592445326</v>
      </c>
      <c r="W65" s="119">
        <f>IF(YEAR($CH65)=2020,(W3-Q3)*$AJ65/($CH65-$CG65),0)</f>
        <v>175885.49975149106</v>
      </c>
      <c r="X65" s="422">
        <f>IF(YEAR($CH$65)=2020,(W3-Q3)*$AL65/($CH$65-$CG$65),0)</f>
        <v>67205.11704771372</v>
      </c>
      <c r="Y65" s="422">
        <f>IF(YEAR($CH$65)=2020,(W3-Q3)*$AN65/($CH$65-$CG$65),0)</f>
        <v>0</v>
      </c>
      <c r="Z65" s="422">
        <f>IF(YEAR($CH$65)=2020,(W3-Q3)*$AP65/($CH$65-$CG$65),0)</f>
        <v>0</v>
      </c>
      <c r="AA65" s="422">
        <f>IF(YEAR($CH$65)=2020,(W3-Q3)*$AR65/($CH$65-$CG$65),0)</f>
        <v>0</v>
      </c>
      <c r="AB65" s="119">
        <f>IF(YEAR($CH$65)=2020,(W3-Q3)*$AT65/($CH$65-$CG$65),0)</f>
        <v>108680.38270377733</v>
      </c>
      <c r="AC65" s="119">
        <f>IF(YEAR($AC$3)=YEAR($CH65),($CH$65-$AC$2)*$AJ$65/($CH$65-$CG$65),0)</f>
        <v>175885.49975149106</v>
      </c>
      <c r="AD65" s="422">
        <f>IF(YEAR($AC$3)=YEAR($CH65),($CH$65-$AC$2)*$AL$65/($CH$65-$CG$65),0)</f>
        <v>67205.11704771372</v>
      </c>
      <c r="AE65" s="422">
        <f>IF(YEAR($AC$3)=YEAR($CH65),($CH$65-$AC$2)*$AN$65/($CH$65-$CG$65),0)</f>
        <v>0</v>
      </c>
      <c r="AF65" s="422">
        <f>IF(YEAR($AC$3)=YEAR($CH65),($CH$65-$AC$2)*$AP$65/($CH$65-$CG$65),0)</f>
        <v>0</v>
      </c>
      <c r="AG65" s="422">
        <f>IF(YEAR($AC$3)=YEAR($CH65),($CH$65-$AC$2)*$AR$65/($CH$65-$CG$65),0)</f>
        <v>0</v>
      </c>
      <c r="AH65" s="119">
        <f>IF(YEAR($AC$3)=YEAR($CH65),($CH$65-AC2)*$AT$65/($CH$65-$CG$65),0)</f>
        <v>108680.38270377733</v>
      </c>
      <c r="AI65" s="1176">
        <f>SUM('3 pr-2'!L66)</f>
        <v>484769.35</v>
      </c>
      <c r="AJ65" s="834">
        <f>SUM(AI65-K65)</f>
        <v>484769.35</v>
      </c>
      <c r="AK65" s="389">
        <f>SUM('3 pr-2'!O66)</f>
        <v>185228.35</v>
      </c>
      <c r="AL65" s="839">
        <f>SUM(AK65-L65)</f>
        <v>185228.35</v>
      </c>
      <c r="AM65" s="389">
        <f>SUM('3 pr-2'!R66)</f>
        <v>0</v>
      </c>
      <c r="AN65" s="839">
        <f>SUM(AM65-M65)</f>
        <v>0</v>
      </c>
      <c r="AO65" s="389">
        <f>SUM('3 pr-2'!U66)</f>
        <v>0</v>
      </c>
      <c r="AP65" s="839">
        <f>SUM(AO65-O65)</f>
        <v>0</v>
      </c>
      <c r="AQ65" s="389">
        <f>SUM('3 pr-2'!X66)</f>
        <v>0</v>
      </c>
      <c r="AR65" s="389"/>
      <c r="AS65" s="12">
        <f>SUM('3 pr-2'!AA66)</f>
        <v>299541</v>
      </c>
      <c r="AT65" s="839">
        <f>SUM(AS65-P65)</f>
        <v>299541</v>
      </c>
      <c r="AU65" s="138">
        <f>SUM(J65+P65+V65+AB65)</f>
        <v>190860.61729622266</v>
      </c>
      <c r="AV65" s="139"/>
      <c r="AW65" s="139"/>
      <c r="AX65" s="390"/>
      <c r="AY65" s="390"/>
      <c r="AZ65" s="390"/>
      <c r="BA65" s="390"/>
      <c r="BB65" s="139"/>
      <c r="BC65" s="139"/>
      <c r="BD65" s="390"/>
      <c r="BE65" s="390"/>
      <c r="BF65" s="390"/>
      <c r="BG65" s="390"/>
      <c r="BH65" s="139"/>
      <c r="BI65" s="139"/>
      <c r="BJ65" s="390"/>
      <c r="BK65" s="390"/>
      <c r="BL65" s="390"/>
      <c r="BM65" s="390"/>
      <c r="BN65" s="139"/>
      <c r="BO65" s="139"/>
      <c r="BP65" s="390"/>
      <c r="BQ65" s="390"/>
      <c r="BR65" s="390"/>
      <c r="BS65" s="390"/>
      <c r="BT65" s="139"/>
      <c r="BU65" s="139"/>
      <c r="BV65" s="390"/>
      <c r="BW65" s="390"/>
      <c r="BX65" s="390"/>
      <c r="BY65" s="390"/>
      <c r="BZ65" s="139"/>
      <c r="CA65" s="27"/>
      <c r="CB65" s="390"/>
      <c r="CC65" s="390"/>
      <c r="CD65" s="390"/>
      <c r="CE65" s="390"/>
      <c r="CF65" s="556"/>
      <c r="CG65" s="566">
        <f>SUM('3 pr-2'!AH66)</f>
        <v>43190</v>
      </c>
      <c r="CH65" s="566">
        <f>SUM('3 pr-2'!AJ66)</f>
        <v>44196</v>
      </c>
      <c r="CI65" s="30">
        <f>SUM(P65+V65+AB65+AH65)</f>
        <v>299541</v>
      </c>
      <c r="CJ65" s="30">
        <f t="shared" si="169"/>
        <v>0</v>
      </c>
    </row>
    <row r="66" spans="1:97" ht="29.25" customHeight="1" thickBot="1" x14ac:dyDescent="0.3">
      <c r="A66" s="383" t="str">
        <f>CONCATENATE('3 pr-2'!A67)</f>
        <v>1.1.1.9</v>
      </c>
      <c r="B66" s="182" t="str">
        <f>CONCATENATE('3 pr-2'!D67)</f>
        <v/>
      </c>
      <c r="C66" s="110">
        <f>SUM(C67:C71)</f>
        <v>0</v>
      </c>
      <c r="D66" s="110">
        <f>SUM(D67:D71)</f>
        <v>0</v>
      </c>
      <c r="E66" s="110">
        <f>SUM(E67:E71)</f>
        <v>0</v>
      </c>
      <c r="F66" s="110"/>
      <c r="G66" s="110"/>
      <c r="H66" s="110"/>
      <c r="I66" s="110"/>
      <c r="J66" s="110">
        <f t="shared" ref="J66:U66" si="175">SUM(J67:J71)</f>
        <v>0</v>
      </c>
      <c r="K66" s="110">
        <f t="shared" si="175"/>
        <v>0</v>
      </c>
      <c r="L66" s="408">
        <f t="shared" si="175"/>
        <v>0</v>
      </c>
      <c r="M66" s="408">
        <f t="shared" si="175"/>
        <v>0</v>
      </c>
      <c r="N66" s="408">
        <f t="shared" si="175"/>
        <v>0</v>
      </c>
      <c r="O66" s="408">
        <f t="shared" si="175"/>
        <v>0</v>
      </c>
      <c r="P66" s="110">
        <f t="shared" si="175"/>
        <v>0</v>
      </c>
      <c r="Q66" s="110">
        <f t="shared" si="175"/>
        <v>320083.90215600759</v>
      </c>
      <c r="R66" s="110">
        <f t="shared" si="175"/>
        <v>48144.91137084669</v>
      </c>
      <c r="S66" s="110">
        <f t="shared" si="175"/>
        <v>0</v>
      </c>
      <c r="T66" s="110">
        <f t="shared" si="175"/>
        <v>0</v>
      </c>
      <c r="U66" s="110">
        <f t="shared" si="175"/>
        <v>0</v>
      </c>
      <c r="V66" s="110">
        <f>SUM(V67:V71)</f>
        <v>271938.99078516086</v>
      </c>
      <c r="W66" s="110">
        <f>SUM(W67:W71)</f>
        <v>594645.84070113534</v>
      </c>
      <c r="X66" s="110">
        <f>SUM(X67:X71)</f>
        <v>89459.345772010449</v>
      </c>
      <c r="Y66" s="110">
        <f t="shared" ref="Y66:AA66" si="176">SUM(Y67:Y71)</f>
        <v>0</v>
      </c>
      <c r="Z66" s="110">
        <f t="shared" si="176"/>
        <v>0</v>
      </c>
      <c r="AA66" s="110">
        <f t="shared" si="176"/>
        <v>0</v>
      </c>
      <c r="AB66" s="110">
        <f>SUM(AB67:AB71)</f>
        <v>505186.49492912483</v>
      </c>
      <c r="AC66" s="110">
        <f>SUM(AC67:AC71)</f>
        <v>298138.25714285712</v>
      </c>
      <c r="AD66" s="110">
        <f>SUM(AD67:AD71)</f>
        <v>44983.742857142854</v>
      </c>
      <c r="AE66" s="110">
        <f t="shared" ref="AE66:AG66" si="177">SUM(AE67:AE71)</f>
        <v>0</v>
      </c>
      <c r="AF66" s="110">
        <f t="shared" si="177"/>
        <v>0</v>
      </c>
      <c r="AG66" s="110">
        <f t="shared" si="177"/>
        <v>0</v>
      </c>
      <c r="AH66" s="110">
        <f>SUM(AH67:AH71)</f>
        <v>253154.51428571428</v>
      </c>
      <c r="AI66" s="1177">
        <f>SUM(AI67:AI71)</f>
        <v>1212868</v>
      </c>
      <c r="AJ66" s="110"/>
      <c r="AK66" s="110">
        <f t="shared" ref="AK66:AQ66" si="178">SUM(AK67:AK71)</f>
        <v>182588</v>
      </c>
      <c r="AL66" s="110"/>
      <c r="AM66" s="110">
        <f t="shared" si="178"/>
        <v>0</v>
      </c>
      <c r="AN66" s="110"/>
      <c r="AO66" s="110">
        <f t="shared" si="178"/>
        <v>0</v>
      </c>
      <c r="AP66" s="110"/>
      <c r="AQ66" s="110">
        <f t="shared" si="178"/>
        <v>0</v>
      </c>
      <c r="AR66" s="110"/>
      <c r="AS66" s="110">
        <f>SUM(AS67:AS71)</f>
        <v>1030280</v>
      </c>
      <c r="AT66" s="110"/>
      <c r="AU66" s="108">
        <v>0</v>
      </c>
      <c r="AV66" s="109">
        <v>0</v>
      </c>
      <c r="AW66" s="109">
        <v>0</v>
      </c>
      <c r="AX66" s="110">
        <v>0</v>
      </c>
      <c r="AY66" s="110">
        <v>0</v>
      </c>
      <c r="AZ66" s="110">
        <v>0</v>
      </c>
      <c r="BA66" s="110">
        <v>0</v>
      </c>
      <c r="BB66" s="109">
        <v>0</v>
      </c>
      <c r="BC66" s="109">
        <v>0</v>
      </c>
      <c r="BD66" s="110">
        <v>0</v>
      </c>
      <c r="BE66" s="110">
        <v>0</v>
      </c>
      <c r="BF66" s="110">
        <v>0</v>
      </c>
      <c r="BG66" s="110">
        <v>0</v>
      </c>
      <c r="BH66" s="109">
        <v>0</v>
      </c>
      <c r="BI66" s="109">
        <v>40</v>
      </c>
      <c r="BJ66" s="110">
        <v>40</v>
      </c>
      <c r="BK66" s="110">
        <v>40</v>
      </c>
      <c r="BL66" s="110">
        <v>40</v>
      </c>
      <c r="BM66" s="110">
        <v>40</v>
      </c>
      <c r="BN66" s="109">
        <v>40</v>
      </c>
      <c r="BO66" s="109">
        <v>40</v>
      </c>
      <c r="BP66" s="110">
        <v>40</v>
      </c>
      <c r="BQ66" s="110">
        <v>40</v>
      </c>
      <c r="BR66" s="110">
        <v>40</v>
      </c>
      <c r="BS66" s="110">
        <v>40</v>
      </c>
      <c r="BT66" s="109">
        <v>40</v>
      </c>
      <c r="BU66" s="109">
        <v>20</v>
      </c>
      <c r="BV66" s="110">
        <v>20</v>
      </c>
      <c r="BW66" s="110">
        <v>20</v>
      </c>
      <c r="BX66" s="110">
        <v>20</v>
      </c>
      <c r="BY66" s="110">
        <v>20</v>
      </c>
      <c r="BZ66" s="109">
        <v>20</v>
      </c>
      <c r="CA66" s="27">
        <v>100</v>
      </c>
      <c r="CB66" s="110">
        <v>100</v>
      </c>
      <c r="CC66" s="110">
        <v>100</v>
      </c>
      <c r="CD66" s="110">
        <v>100</v>
      </c>
      <c r="CE66" s="110">
        <v>100</v>
      </c>
      <c r="CF66" s="556">
        <v>100</v>
      </c>
      <c r="CG66" s="561"/>
      <c r="CH66" s="561"/>
    </row>
    <row r="67" spans="1:97" s="10" customFormat="1" ht="39.75" thickBot="1" x14ac:dyDescent="0.3">
      <c r="A67" s="43" t="str">
        <f>CONCATENATE('3 pr-2'!A68)</f>
        <v>1.1.1.9.1</v>
      </c>
      <c r="B67" s="187" t="str">
        <f>CONCATENATE('3 pr-2'!D68)</f>
        <v>Buvusios sinagogos pastato Kauno g. 9A Alytuje rekonstravimas ir aplinkinės teritorijos sutvarkymas</v>
      </c>
      <c r="C67" s="111">
        <v>0</v>
      </c>
      <c r="D67" s="111">
        <v>0</v>
      </c>
      <c r="E67" s="111">
        <v>0</v>
      </c>
      <c r="F67" s="389">
        <v>0</v>
      </c>
      <c r="G67" s="389">
        <v>0</v>
      </c>
      <c r="H67" s="389">
        <v>0</v>
      </c>
      <c r="I67" s="389">
        <v>0</v>
      </c>
      <c r="J67" s="111">
        <v>0</v>
      </c>
      <c r="K67" s="119">
        <f t="shared" ref="K67:K70" si="179">SUM(L67:P67)</f>
        <v>0</v>
      </c>
      <c r="L67" s="405">
        <f>SUM('ketv. 7 lent'!N66)</f>
        <v>0</v>
      </c>
      <c r="M67" s="405">
        <f>SUM('ketv. 7 lent'!Q66)</f>
        <v>0</v>
      </c>
      <c r="N67" s="405">
        <f>SUM('ketv. 7 lent'!T66)</f>
        <v>0</v>
      </c>
      <c r="O67" s="405">
        <f>SUM('ketv. 7 lent'!W66)</f>
        <v>0</v>
      </c>
      <c r="P67" s="119">
        <f>SUM('ketv. 7 lent'!Z66)</f>
        <v>0</v>
      </c>
      <c r="Q67" s="111">
        <f>IF(YEAR($CG$67)=2018,($BI$4-$CG$67)*AI$67/($CH$67-$CG$67),0)</f>
        <v>48748.738797814207</v>
      </c>
      <c r="R67" s="405">
        <f>IF(YEAR($CG$67)=2018,($BI$4-$CG$67)*AK$67/($CH$67-$CG$67),0)</f>
        <v>7312.3409836065575</v>
      </c>
      <c r="S67" s="405">
        <f>IF(YEAR($CG$67)=2018,($BI$4-$CG$67)*AM$67/($CH$67-$CG$67),0)</f>
        <v>0</v>
      </c>
      <c r="T67" s="405">
        <f>IF(YEAR($CG$67)=2018,($BI$4-$CG$67)*AO$67/($CH$67-$CG$67),0)</f>
        <v>0</v>
      </c>
      <c r="U67" s="405">
        <f>IF(YEAR($CG$67)=2018,($BI$4-$CG$67)*AQ$67/($CH$67-$CG$67),0)</f>
        <v>0</v>
      </c>
      <c r="V67" s="111">
        <f>IF(YEAR($CG$67)=2018,($BI$4-$CG$67)*AS$67/($CH$67-$CG$67),0)</f>
        <v>41436.397814207652</v>
      </c>
      <c r="W67" s="111">
        <f>IF(YEAR($CH$67)&gt;2019,($BO$4-$BI$4)*AI$67/($CH$67-$CG$67),0)</f>
        <v>96702.661202185787</v>
      </c>
      <c r="X67" s="422">
        <f>IF(YEAR($CH$67)&gt;2019,($BO$4-$BI$4)*AK$67/($CH$67-$CG$67),0)</f>
        <v>14505.459016393443</v>
      </c>
      <c r="Y67" s="422">
        <f>IF(YEAR($CH$67)&gt;2019,($BO$4-$BI$4)*AM$67/($CH$67-$CG$67),0)</f>
        <v>0</v>
      </c>
      <c r="Z67" s="422">
        <f>IF(YEAR($CH$67)&gt;2019,($BO$4-$BI$4)*AO$67/($CH$67-$CG$67),0)</f>
        <v>0</v>
      </c>
      <c r="AA67" s="422">
        <f>IF(YEAR($CH$67)&gt;2019,($BO$4-$BI$4)*AQ$67/($CH$67-$CG$67),0)</f>
        <v>0</v>
      </c>
      <c r="AB67" s="111">
        <f>IF(YEAR($CH$67)&gt;2019,($BO$4-$BI$4)*AS$67/($CH$67-$CG$67),0)</f>
        <v>82197.202185792354</v>
      </c>
      <c r="AC67" s="111">
        <f>IF(YEAR($CH$67)=2020,($CH$67-$BO$4)*AI$67/($CH$67-$CG$67),0)</f>
        <v>96967.6</v>
      </c>
      <c r="AD67" s="422">
        <f>IF(YEAR($CH$67)=2020,($CH$67-$BO$4)*AK$67/($CH$67-$CG$67),0)</f>
        <v>14545.2</v>
      </c>
      <c r="AE67" s="422">
        <f>IF(YEAR($CH$67)=2020,($CH$67-$BO$4)*AM$67/($CH$67-$CG$67),0)</f>
        <v>0</v>
      </c>
      <c r="AF67" s="422">
        <f>IF(YEAR($CH$67)=2020,($CH$67-$BO$4)*AO$67/($CH$67-$CG$67),0)</f>
        <v>0</v>
      </c>
      <c r="AG67" s="422">
        <f>IF(YEAR($CH$67)=2020,($CH$67-$BO$4)*AQ$67/($CH$67-$CG$67),0)</f>
        <v>0</v>
      </c>
      <c r="AH67" s="111">
        <f>IF(YEAR($CH$67)=2020,($CH$67-$BO$4)*AS$67/($CH$67-$CG$67),0)</f>
        <v>82422.399999999994</v>
      </c>
      <c r="AI67" s="1181">
        <f>SUM('3 pr-2'!L68)</f>
        <v>242419</v>
      </c>
      <c r="AJ67" s="834">
        <f t="shared" ref="AJ67:AJ71" si="180">SUM(AI67-K67)</f>
        <v>242419</v>
      </c>
      <c r="AK67" s="389">
        <f>SUM('3 pr-2'!O68)</f>
        <v>36363</v>
      </c>
      <c r="AL67" s="839">
        <f t="shared" ref="AL67:AL71" si="181">SUM(AK67-L67)</f>
        <v>36363</v>
      </c>
      <c r="AM67" s="389">
        <f>SUM('3 pr-2'!R68)</f>
        <v>0</v>
      </c>
      <c r="AN67" s="839">
        <f t="shared" ref="AN67:AN71" si="182">SUM(AM67-M67)</f>
        <v>0</v>
      </c>
      <c r="AO67" s="389">
        <f>SUM('3 pr-2'!U68)</f>
        <v>0</v>
      </c>
      <c r="AP67" s="839">
        <f t="shared" ref="AP67:AP71" si="183">SUM(AO67-O67)</f>
        <v>0</v>
      </c>
      <c r="AQ67" s="389">
        <f>SUM('3 pr-2'!X68)</f>
        <v>0</v>
      </c>
      <c r="AR67" s="389"/>
      <c r="AS67" s="16">
        <f>SUM('3 pr-2'!AA68)</f>
        <v>206056</v>
      </c>
      <c r="AT67" s="839">
        <f t="shared" ref="AT67:AT71" si="184">SUM(AS67-P67)</f>
        <v>206056</v>
      </c>
      <c r="AU67" s="108"/>
      <c r="AV67" s="109"/>
      <c r="AW67" s="109"/>
      <c r="AX67" s="390"/>
      <c r="AY67" s="390"/>
      <c r="AZ67" s="390"/>
      <c r="BA67" s="390"/>
      <c r="BB67" s="109"/>
      <c r="BC67" s="109"/>
      <c r="BD67" s="390"/>
      <c r="BE67" s="390"/>
      <c r="BF67" s="390"/>
      <c r="BG67" s="390"/>
      <c r="BH67" s="109"/>
      <c r="BI67" s="109"/>
      <c r="BJ67" s="390"/>
      <c r="BK67" s="390"/>
      <c r="BL67" s="390"/>
      <c r="BM67" s="390"/>
      <c r="BN67" s="109"/>
      <c r="BO67" s="109"/>
      <c r="BP67" s="390"/>
      <c r="BQ67" s="390"/>
      <c r="BR67" s="390"/>
      <c r="BS67" s="390"/>
      <c r="BT67" s="109"/>
      <c r="BU67" s="109"/>
      <c r="BV67" s="390"/>
      <c r="BW67" s="390"/>
      <c r="BX67" s="390"/>
      <c r="BY67" s="390"/>
      <c r="BZ67" s="109"/>
      <c r="CA67" s="27"/>
      <c r="CB67" s="390"/>
      <c r="CC67" s="390"/>
      <c r="CD67" s="390"/>
      <c r="CE67" s="390"/>
      <c r="CF67" s="556">
        <v>100</v>
      </c>
      <c r="CG67" s="566">
        <f>SUM('3 pr-2'!AH68)</f>
        <v>43281</v>
      </c>
      <c r="CH67" s="566">
        <f>SUM('3 pr-2'!AJ68)</f>
        <v>44196</v>
      </c>
      <c r="CI67" s="30">
        <f>SUM(P67+V67+AB67+AH67)</f>
        <v>206056</v>
      </c>
      <c r="CJ67" s="30">
        <f t="shared" si="169"/>
        <v>0</v>
      </c>
      <c r="CQ67" s="564">
        <f t="shared" ref="CQ67" si="185">SUM(E67+K67+Q67+W67+AC67)</f>
        <v>242419</v>
      </c>
      <c r="CR67" s="1515">
        <f>SUM(J67+P67+V67+AB67+AH67)</f>
        <v>206056</v>
      </c>
    </row>
    <row r="68" spans="1:97" s="10" customFormat="1" ht="52.5" thickBot="1" x14ac:dyDescent="0.3">
      <c r="A68" s="43" t="str">
        <f>CONCATENATE('3 pr-2'!A69)</f>
        <v>1.1.1.9.2</v>
      </c>
      <c r="B68" s="187" t="str">
        <f>CONCATENATE('3 pr-2'!D69)</f>
        <v>Mažosios dailės galerijos, M.K.Čiurlionio g. 37, Druskininkai, modernizavimas ir pritaikymas kultūros poreikiams</v>
      </c>
      <c r="C68" s="111">
        <v>0</v>
      </c>
      <c r="D68" s="111">
        <v>0</v>
      </c>
      <c r="E68" s="111">
        <v>0</v>
      </c>
      <c r="F68" s="389">
        <v>0</v>
      </c>
      <c r="G68" s="389">
        <v>0</v>
      </c>
      <c r="H68" s="389">
        <v>0</v>
      </c>
      <c r="I68" s="389">
        <v>0</v>
      </c>
      <c r="J68" s="111">
        <v>0</v>
      </c>
      <c r="K68" s="119">
        <f t="shared" si="179"/>
        <v>0</v>
      </c>
      <c r="L68" s="405">
        <f>SUM('ketv. 7 lent'!N67)</f>
        <v>0</v>
      </c>
      <c r="M68" s="405">
        <f>SUM('ketv. 7 lent'!Q67)</f>
        <v>0</v>
      </c>
      <c r="N68" s="405">
        <f>SUM('ketv. 7 lent'!T67)</f>
        <v>0</v>
      </c>
      <c r="O68" s="405">
        <f>SUM('ketv. 7 lent'!W67)</f>
        <v>0</v>
      </c>
      <c r="P68" s="119">
        <f>SUM('ketv. 7 lent'!Z67)</f>
        <v>0</v>
      </c>
      <c r="Q68" s="111">
        <f>IF(YEAR($CG68)=2018,($BI$4-$CG68)*AI$68/($CH68-$CG68),0)</f>
        <v>97391.03930131004</v>
      </c>
      <c r="R68" s="389">
        <f>IF(YEAR($CG68)=2018,($BI$4-$CG68)*$AK68/($CH68-$CG68),0)</f>
        <v>14608.716157205241</v>
      </c>
      <c r="S68" s="389">
        <f>IF(YEAR($CG68)=2018,($BI$4-$CG68)*$AM68/($CH68-$CG68),0)</f>
        <v>0</v>
      </c>
      <c r="T68" s="389">
        <f>IF(YEAR($CG68)=2018,($BI$4-$CG68)*$AO68/($CH68-$CG68),0)</f>
        <v>0</v>
      </c>
      <c r="U68" s="389">
        <f>IF(YEAR($CG68)=2018,($BI$4-$CG68)*$AQ68/($CH68-$CG68),0)</f>
        <v>0</v>
      </c>
      <c r="V68" s="111">
        <f>IF(YEAR($CG68)=2018,($BI$4-$CG68)*$AS68/($CH68-$CG68),0)</f>
        <v>82782.323144104797</v>
      </c>
      <c r="W68" s="111">
        <f>IF(YEAR($CH$68)=2019,($CH$68-$BI$4)*AI$68/($CH$68-$CG$68),0)</f>
        <v>145027.96069868995</v>
      </c>
      <c r="X68" s="422">
        <f>IF(YEAR($CH$68)=2019,($CH$68-$BI$4)*AK$68/($CH$68-$CG$68),0)</f>
        <v>21754.283842794761</v>
      </c>
      <c r="Y68" s="422">
        <f>IF(YEAR($CH$68)=2019,($CH$68-$BI$4)*AM$68/($CH$68-$CG$68),0)</f>
        <v>0</v>
      </c>
      <c r="Z68" s="422">
        <f>IF(YEAR($CH$68)=2019,($CH$68-$BI$4)*AO$68/($CH$68-$CG$68),0)</f>
        <v>0</v>
      </c>
      <c r="AA68" s="422">
        <f>IF(YEAR($CH$68)=2019,($CH$68-$BI$4)*AQ$68/($CH$68-$CG$68),0)</f>
        <v>0</v>
      </c>
      <c r="AB68" s="111">
        <f>IF(YEAR($CH$68)=2019,($CH$68-$BI$4)*AS$68/($CH$68-$CG$68),0)</f>
        <v>123273.6768558952</v>
      </c>
      <c r="AC68" s="111">
        <v>0</v>
      </c>
      <c r="AD68" s="422">
        <v>0</v>
      </c>
      <c r="AE68" s="422">
        <v>0</v>
      </c>
      <c r="AF68" s="422">
        <v>0</v>
      </c>
      <c r="AG68" s="422">
        <v>0</v>
      </c>
      <c r="AH68" s="111">
        <v>0</v>
      </c>
      <c r="AI68" s="1181">
        <f>SUM('3 pr-2'!L69)</f>
        <v>242419</v>
      </c>
      <c r="AJ68" s="834">
        <f t="shared" si="180"/>
        <v>242419</v>
      </c>
      <c r="AK68" s="389">
        <f>SUM('3 pr-2'!O69)</f>
        <v>36363</v>
      </c>
      <c r="AL68" s="839">
        <f t="shared" si="181"/>
        <v>36363</v>
      </c>
      <c r="AM68" s="389">
        <f>SUM('3 pr-2'!R69)</f>
        <v>0</v>
      </c>
      <c r="AN68" s="839">
        <f t="shared" si="182"/>
        <v>0</v>
      </c>
      <c r="AO68" s="389">
        <f>SUM('3 pr-2'!U69)</f>
        <v>0</v>
      </c>
      <c r="AP68" s="839">
        <f t="shared" si="183"/>
        <v>0</v>
      </c>
      <c r="AQ68" s="389">
        <f>SUM('3 pr-2'!X69)</f>
        <v>0</v>
      </c>
      <c r="AR68" s="389"/>
      <c r="AS68" s="16">
        <f>SUM('3 pr-2'!AA69)</f>
        <v>206056</v>
      </c>
      <c r="AT68" s="839">
        <f t="shared" si="184"/>
        <v>206056</v>
      </c>
      <c r="AU68" s="108"/>
      <c r="AV68" s="109"/>
      <c r="AW68" s="109"/>
      <c r="AX68" s="390"/>
      <c r="AY68" s="390"/>
      <c r="AZ68" s="390"/>
      <c r="BA68" s="390"/>
      <c r="BB68" s="109"/>
      <c r="BC68" s="109"/>
      <c r="BD68" s="390"/>
      <c r="BE68" s="390"/>
      <c r="BF68" s="390"/>
      <c r="BG68" s="390"/>
      <c r="BH68" s="109"/>
      <c r="BI68" s="109"/>
      <c r="BJ68" s="390"/>
      <c r="BK68" s="390"/>
      <c r="BL68" s="390"/>
      <c r="BM68" s="390"/>
      <c r="BN68" s="109"/>
      <c r="BO68" s="109"/>
      <c r="BP68" s="390"/>
      <c r="BQ68" s="390"/>
      <c r="BR68" s="390"/>
      <c r="BS68" s="390"/>
      <c r="BT68" s="109"/>
      <c r="BU68" s="109"/>
      <c r="BV68" s="390"/>
      <c r="BW68" s="390"/>
      <c r="BX68" s="390"/>
      <c r="BY68" s="390"/>
      <c r="BZ68" s="109"/>
      <c r="CA68" s="27"/>
      <c r="CB68" s="390"/>
      <c r="CC68" s="390"/>
      <c r="CD68" s="390"/>
      <c r="CE68" s="390"/>
      <c r="CF68" s="556"/>
      <c r="CG68" s="566">
        <f>SUM('3 pr-2'!AH69)</f>
        <v>43281</v>
      </c>
      <c r="CH68" s="566">
        <f>SUM('3 pr-2'!AJ69)</f>
        <v>43739</v>
      </c>
      <c r="CI68" s="30">
        <f>SUM(P68+V68+AB68+AH68)</f>
        <v>206056</v>
      </c>
      <c r="CJ68" s="30">
        <f t="shared" si="169"/>
        <v>0</v>
      </c>
      <c r="CQ68" s="564">
        <f t="shared" ref="CQ68:CQ71" si="186">SUM(E68+K68+Q68+W68+AC68)</f>
        <v>242419</v>
      </c>
      <c r="CR68" s="1515">
        <f t="shared" ref="CR68:CR71" si="187">SUM(J68+P68+V68+AB68+AH68)</f>
        <v>206056</v>
      </c>
    </row>
    <row r="69" spans="1:97" s="10" customFormat="1" ht="27" thickBot="1" x14ac:dyDescent="0.3">
      <c r="A69" s="43" t="str">
        <f>CONCATENATE('3 pr-2'!A70)</f>
        <v>1.1.1.9.3</v>
      </c>
      <c r="B69" s="187" t="str">
        <f>CONCATENATE('3 pr-2'!D70)</f>
        <v>Motiejaus  Gustaičio  memorialinio  namo  kompleksinis sutvarkymas</v>
      </c>
      <c r="C69" s="51">
        <v>0</v>
      </c>
      <c r="D69" s="51">
        <v>0</v>
      </c>
      <c r="E69" s="51">
        <v>0</v>
      </c>
      <c r="F69" s="389">
        <v>0</v>
      </c>
      <c r="G69" s="389">
        <v>0</v>
      </c>
      <c r="H69" s="389">
        <v>0</v>
      </c>
      <c r="I69" s="389">
        <v>0</v>
      </c>
      <c r="J69" s="51">
        <v>0</v>
      </c>
      <c r="K69" s="119">
        <f t="shared" si="179"/>
        <v>0</v>
      </c>
      <c r="L69" s="405">
        <f>SUM('ketv. 7 lent'!N68)</f>
        <v>0</v>
      </c>
      <c r="M69" s="405">
        <f>SUM('ketv. 7 lent'!Q68)</f>
        <v>0</v>
      </c>
      <c r="N69" s="405">
        <f>SUM('ketv. 7 lent'!T68)</f>
        <v>0</v>
      </c>
      <c r="O69" s="405">
        <f>SUM('ketv. 7 lent'!W68)</f>
        <v>0</v>
      </c>
      <c r="P69" s="119">
        <f>SUM('ketv. 7 lent'!Z68)</f>
        <v>0</v>
      </c>
      <c r="Q69" s="111">
        <f>IF(YEAR($CG69)=2018,($BI$4-$CG69)*AI$68/($CH69-$CG69),0)</f>
        <v>90124.791738382104</v>
      </c>
      <c r="R69" s="389">
        <f>IF(YEAR($CG69)=2018,($BI$4-$CG69)*$AK69/($CH69-$CG69),0)</f>
        <v>13518.77452667814</v>
      </c>
      <c r="S69" s="389">
        <f>IF(YEAR($CG69)=2018,($BI$4-$CG69)*$AM69/($CH69-$CG69),0)</f>
        <v>0</v>
      </c>
      <c r="T69" s="389">
        <f>IF(YEAR($CG69)=2018,($BI$4-$CG69)*$AO69/($CH69-$CG69),0)</f>
        <v>0</v>
      </c>
      <c r="U69" s="389">
        <f>IF(YEAR($CG69)=2018,($BI$4-$CG69)*$AQ69/($CH69-$CG69),0)</f>
        <v>0</v>
      </c>
      <c r="V69" s="111">
        <f>IF(YEAR($CG69)=2018,($BI$4-$CG69)*$AS69/($CH69-$CG69),0)</f>
        <v>76606.017211703962</v>
      </c>
      <c r="W69" s="111">
        <f>IF(YEAR($CH69)=2019,($CH69-$BI$4)*$AI69/($CH69-$CG69),0)</f>
        <v>152294.2082616179</v>
      </c>
      <c r="X69" s="390">
        <f>IF(YEAR($CH69)=2019,($CH69-$BI$4)*$AK69/($CH69-$CG69),0)</f>
        <v>22844.225473321858</v>
      </c>
      <c r="Y69" s="422">
        <f>IF(YEAR($CH69)=2019,($CH69-$BI$4)*$AM69/($CH69-$CG69),0)</f>
        <v>0</v>
      </c>
      <c r="Z69" s="422">
        <f>IF(YEAR($CH69)=2019,($CH69-$BI$4)*$AO69/($CH69-$CG69),0)</f>
        <v>0</v>
      </c>
      <c r="AA69" s="422">
        <f>IF(YEAR($CH69)=2019,($CH69-$BI$4)*$AQ69/($CH69-$CG69),0)</f>
        <v>0</v>
      </c>
      <c r="AB69" s="111">
        <f>IF(YEAR($CH69)=2019,($CH69-$BI$4)*$AS69/($CH69-$CG69),0)</f>
        <v>129449.98278829604</v>
      </c>
      <c r="AC69" s="111">
        <v>0</v>
      </c>
      <c r="AD69" s="422">
        <v>0</v>
      </c>
      <c r="AE69" s="422">
        <v>0</v>
      </c>
      <c r="AF69" s="422">
        <v>0</v>
      </c>
      <c r="AG69" s="422">
        <v>0</v>
      </c>
      <c r="AH69" s="111">
        <v>0</v>
      </c>
      <c r="AI69" s="1181">
        <f>SUM('3 pr-2'!L70)</f>
        <v>242419</v>
      </c>
      <c r="AJ69" s="834">
        <f t="shared" si="180"/>
        <v>242419</v>
      </c>
      <c r="AK69" s="389">
        <f>SUM('3 pr-2'!O70)</f>
        <v>36363</v>
      </c>
      <c r="AL69" s="839">
        <f t="shared" si="181"/>
        <v>36363</v>
      </c>
      <c r="AM69" s="389">
        <f>SUM('3 pr-2'!R70)</f>
        <v>0</v>
      </c>
      <c r="AN69" s="839">
        <f t="shared" si="182"/>
        <v>0</v>
      </c>
      <c r="AO69" s="389">
        <f>SUM('3 pr-2'!U70)</f>
        <v>0</v>
      </c>
      <c r="AP69" s="839">
        <f t="shared" si="183"/>
        <v>0</v>
      </c>
      <c r="AQ69" s="389">
        <f>SUM('3 pr-2'!X70)</f>
        <v>0</v>
      </c>
      <c r="AR69" s="389"/>
      <c r="AS69" s="16">
        <f>SUM('3 pr-2'!AA70)</f>
        <v>206056</v>
      </c>
      <c r="AT69" s="839">
        <f t="shared" si="184"/>
        <v>206056</v>
      </c>
      <c r="AU69" s="108"/>
      <c r="AV69" s="109"/>
      <c r="AW69" s="109"/>
      <c r="AX69" s="390"/>
      <c r="AY69" s="390"/>
      <c r="AZ69" s="390"/>
      <c r="BA69" s="390"/>
      <c r="BB69" s="109"/>
      <c r="BC69" s="109"/>
      <c r="BD69" s="390"/>
      <c r="BE69" s="390"/>
      <c r="BF69" s="390"/>
      <c r="BG69" s="390"/>
      <c r="BH69" s="109"/>
      <c r="BI69" s="109"/>
      <c r="BJ69" s="390"/>
      <c r="BK69" s="390"/>
      <c r="BL69" s="390"/>
      <c r="BM69" s="390"/>
      <c r="BN69" s="109"/>
      <c r="BO69" s="109"/>
      <c r="BP69" s="390"/>
      <c r="BQ69" s="390"/>
      <c r="BR69" s="390"/>
      <c r="BS69" s="390"/>
      <c r="BT69" s="109"/>
      <c r="BU69" s="109"/>
      <c r="BV69" s="390"/>
      <c r="BW69" s="390"/>
      <c r="BX69" s="390"/>
      <c r="BY69" s="390"/>
      <c r="BZ69" s="109"/>
      <c r="CA69" s="27"/>
      <c r="CB69" s="390"/>
      <c r="CC69" s="390"/>
      <c r="CD69" s="390"/>
      <c r="CE69" s="390"/>
      <c r="CF69" s="556"/>
      <c r="CG69" s="566">
        <f>SUM('3 pr-2'!AH70)</f>
        <v>43249</v>
      </c>
      <c r="CH69" s="566">
        <f>SUM('3 pr-2'!AJ70)</f>
        <v>43830</v>
      </c>
      <c r="CI69" s="30">
        <f>SUM(P69+V69+AB69+AH69)</f>
        <v>206056</v>
      </c>
      <c r="CJ69" s="30">
        <f t="shared" si="169"/>
        <v>0</v>
      </c>
      <c r="CQ69" s="564">
        <f t="shared" si="186"/>
        <v>242419</v>
      </c>
      <c r="CR69" s="1515">
        <f t="shared" si="187"/>
        <v>206056</v>
      </c>
    </row>
    <row r="70" spans="1:97" s="10" customFormat="1" ht="39.75" thickBot="1" x14ac:dyDescent="0.3">
      <c r="A70" s="43" t="str">
        <f>CONCATENATE('3 pr-2'!A71)</f>
        <v>1.1.1.9.4</v>
      </c>
      <c r="B70" s="187" t="str">
        <f>CONCATENATE('3 pr-2'!D71)</f>
        <v>Kurnėnų Lauryno Radziukyno mokyklos pritaikymas kultūrinėms ir turistinėms reikmėms</v>
      </c>
      <c r="C70" s="51">
        <v>0</v>
      </c>
      <c r="D70" s="51">
        <v>0</v>
      </c>
      <c r="E70" s="51">
        <v>0</v>
      </c>
      <c r="F70" s="389">
        <v>0</v>
      </c>
      <c r="G70" s="389">
        <v>0</v>
      </c>
      <c r="H70" s="389">
        <v>0</v>
      </c>
      <c r="I70" s="389">
        <v>0</v>
      </c>
      <c r="J70" s="51">
        <v>0</v>
      </c>
      <c r="K70" s="119">
        <f t="shared" si="179"/>
        <v>0</v>
      </c>
      <c r="L70" s="405">
        <f>SUM('ketv. 7 lent'!N69)</f>
        <v>0</v>
      </c>
      <c r="M70" s="405">
        <f>SUM('ketv. 7 lent'!Q69)</f>
        <v>0</v>
      </c>
      <c r="N70" s="405">
        <f>SUM('ketv. 7 lent'!T69)</f>
        <v>0</v>
      </c>
      <c r="O70" s="405">
        <f>SUM('ketv. 7 lent'!W69)</f>
        <v>0</v>
      </c>
      <c r="P70" s="119">
        <f>SUM('ketv. 7 lent'!Z69)</f>
        <v>0</v>
      </c>
      <c r="Q70" s="111">
        <f>SUM(R70:V70)</f>
        <v>48904.183606557381</v>
      </c>
      <c r="R70" s="389">
        <f>SUM(V70*AK70/AS70)</f>
        <v>7467.7857923497268</v>
      </c>
      <c r="S70" s="389">
        <f>IF(YEAR($CG70)=2018,($BI$4-$CG70)*$AM70/($CH70-$CG70),0)</f>
        <v>0</v>
      </c>
      <c r="T70" s="389">
        <f>IF(YEAR($CG70)=2018,($BI$4-$CG70)*$AO70/($CH70-$CG70),0)</f>
        <v>0</v>
      </c>
      <c r="U70" s="389">
        <f>IF(YEAR($CG70)=2018,($BI$4-$CG70)*$AQ70/($CH70-$CG70),0)</f>
        <v>0</v>
      </c>
      <c r="V70" s="111">
        <f>IF(YEAR($CG70)=2018,($BI$4-$CG70)*$AS70/($CH70-$CG70),0)</f>
        <v>41436.397814207652</v>
      </c>
      <c r="W70" s="111">
        <f>SUM(X70:AB70)</f>
        <v>97011.016393442624</v>
      </c>
      <c r="X70" s="390">
        <f>SUM(AB70*AK70/AS70)</f>
        <v>14813.814207650274</v>
      </c>
      <c r="Y70" s="390">
        <f>IF(YEAR($CH70)&gt;2019,($BO$4-$BI$4)*AM$71/($CH70-$CG70),0)</f>
        <v>0</v>
      </c>
      <c r="Z70" s="390">
        <f>IF(YEAR($CH70)&gt;2019,($BO$4-$BI$4)*AO$71/($CH70-$CG70),0)</f>
        <v>0</v>
      </c>
      <c r="AA70" s="390">
        <f>IF(YEAR($CH70)&gt;2019,($BO$4-$BI$4)*AQ$71/($CH70-$CG70),0)</f>
        <v>0</v>
      </c>
      <c r="AB70" s="111">
        <f>IF(YEAR($CH70)&gt;2019,($BO$4-$BI$4)*AS$71/($CH70-$CG70),0)</f>
        <v>82197.202185792354</v>
      </c>
      <c r="AC70" s="111">
        <f>SUM(AD70:AH70)</f>
        <v>97276.799999999988</v>
      </c>
      <c r="AD70" s="422">
        <f>SUM(AH70*AK70/AS70)</f>
        <v>14854.399999999998</v>
      </c>
      <c r="AE70" s="422">
        <f>IF(YEAR($CH70)=2020,($CH70-$BO$4)*$AM70/($CH70-$CG70),0)</f>
        <v>0</v>
      </c>
      <c r="AF70" s="422">
        <f>IF(YEAR($CH70)=2020,($CH70-$BO$4)*$AO70/($CH70-$CG70),0)</f>
        <v>0</v>
      </c>
      <c r="AG70" s="422">
        <f>IF(YEAR($CH70)=2020,($CH70-$BO$4)*$AQ70/($CH70-$CG70),0)</f>
        <v>0</v>
      </c>
      <c r="AH70" s="111">
        <f>IF(YEAR($CH70)=2020,($CH70-$BO$4)*$AS70/($CH70-$CG70),0)</f>
        <v>82422.399999999994</v>
      </c>
      <c r="AI70" s="1181">
        <f>SUM('3 pr-2'!L71)</f>
        <v>243192</v>
      </c>
      <c r="AJ70" s="834">
        <f t="shared" si="180"/>
        <v>243192</v>
      </c>
      <c r="AK70" s="389">
        <f>SUM('3 pr-2'!O71)</f>
        <v>37136</v>
      </c>
      <c r="AL70" s="839">
        <f t="shared" si="181"/>
        <v>37136</v>
      </c>
      <c r="AM70" s="389">
        <f>SUM('3 pr-2'!R71)</f>
        <v>0</v>
      </c>
      <c r="AN70" s="839">
        <f t="shared" si="182"/>
        <v>0</v>
      </c>
      <c r="AO70" s="389">
        <f>SUM('3 pr-2'!U71)</f>
        <v>0</v>
      </c>
      <c r="AP70" s="839">
        <f t="shared" si="183"/>
        <v>0</v>
      </c>
      <c r="AQ70" s="389">
        <f>SUM('3 pr-2'!X71)</f>
        <v>0</v>
      </c>
      <c r="AR70" s="389"/>
      <c r="AS70" s="16">
        <f>SUM('3 pr-2'!AA71)</f>
        <v>206056</v>
      </c>
      <c r="AT70" s="839">
        <f t="shared" si="184"/>
        <v>206056</v>
      </c>
      <c r="AU70" s="108"/>
      <c r="AV70" s="109"/>
      <c r="AW70" s="109"/>
      <c r="AX70" s="390"/>
      <c r="AY70" s="390"/>
      <c r="AZ70" s="390"/>
      <c r="BA70" s="390"/>
      <c r="BB70" s="109"/>
      <c r="BC70" s="109"/>
      <c r="BD70" s="390"/>
      <c r="BE70" s="390"/>
      <c r="BF70" s="390"/>
      <c r="BG70" s="390"/>
      <c r="BH70" s="109"/>
      <c r="BI70" s="109"/>
      <c r="BJ70" s="390"/>
      <c r="BK70" s="390"/>
      <c r="BL70" s="390"/>
      <c r="BM70" s="390"/>
      <c r="BN70" s="109"/>
      <c r="BO70" s="109"/>
      <c r="BP70" s="390"/>
      <c r="BQ70" s="390"/>
      <c r="BR70" s="390"/>
      <c r="BS70" s="390"/>
      <c r="BT70" s="109"/>
      <c r="BU70" s="109"/>
      <c r="BV70" s="390"/>
      <c r="BW70" s="390"/>
      <c r="BX70" s="390"/>
      <c r="BY70" s="390"/>
      <c r="BZ70" s="109"/>
      <c r="CA70" s="27"/>
      <c r="CB70" s="390"/>
      <c r="CC70" s="390"/>
      <c r="CD70" s="390"/>
      <c r="CE70" s="390"/>
      <c r="CF70" s="556"/>
      <c r="CG70" s="566">
        <f>SUM('3 pr-2'!AH71)</f>
        <v>43281</v>
      </c>
      <c r="CH70" s="566">
        <f>SUM('3 pr-2'!AJ71)</f>
        <v>44196</v>
      </c>
      <c r="CI70" s="30">
        <f>SUM(P70+V70+AB70+AH70)</f>
        <v>206056</v>
      </c>
      <c r="CJ70" s="30">
        <f t="shared" si="169"/>
        <v>0</v>
      </c>
      <c r="CK70" s="10">
        <f>SUM(Q3-CG70)</f>
        <v>184</v>
      </c>
      <c r="CQ70" s="564">
        <f t="shared" si="186"/>
        <v>243192</v>
      </c>
      <c r="CR70" s="1515">
        <f t="shared" si="187"/>
        <v>206056</v>
      </c>
    </row>
    <row r="71" spans="1:97" s="10" customFormat="1" ht="27" customHeight="1" thickBot="1" x14ac:dyDescent="0.3">
      <c r="A71" s="43" t="str">
        <f>CONCATENATE('3 pr-2'!A72)</f>
        <v>1.1.1.9.5</v>
      </c>
      <c r="B71" s="187" t="str">
        <f>CONCATENATE('3 pr-2'!D72)</f>
        <v>Vinco Krėvės-Mickevičiaus memorialinio muziejaus atnaujinimas</v>
      </c>
      <c r="C71" s="51">
        <v>0</v>
      </c>
      <c r="D71" s="51">
        <v>0</v>
      </c>
      <c r="E71" s="51">
        <v>0</v>
      </c>
      <c r="F71" s="389">
        <v>0</v>
      </c>
      <c r="G71" s="389">
        <v>0</v>
      </c>
      <c r="H71" s="389">
        <v>0</v>
      </c>
      <c r="I71" s="389">
        <v>0</v>
      </c>
      <c r="J71" s="51">
        <v>0</v>
      </c>
      <c r="K71" s="119">
        <v>0</v>
      </c>
      <c r="L71" s="405">
        <v>0</v>
      </c>
      <c r="M71" s="405">
        <v>0</v>
      </c>
      <c r="N71" s="405">
        <v>0</v>
      </c>
      <c r="O71" s="405">
        <v>0</v>
      </c>
      <c r="P71" s="119">
        <v>0</v>
      </c>
      <c r="Q71" s="111">
        <f>IF(YEAR($CG71)=2018,($BI$4-$CG71)*AI$68/($CH71-$CG71),0)</f>
        <v>34915.148711943795</v>
      </c>
      <c r="R71" s="389">
        <f>IF(YEAR($CG71)=2018,($BI$4-$CG71)*$AK71/($CH71-$CG71),0)</f>
        <v>5237.2939110070256</v>
      </c>
      <c r="S71" s="389">
        <f>IF(YEAR($CG71)=2018,($BI$4-$CG71)*$AM71/($CH71-$CG71),0)</f>
        <v>0</v>
      </c>
      <c r="T71" s="389">
        <f>IF(YEAR($CG71)=2018,($BI$4-$CG71)*$AO71/($CH71-$CG71),0)</f>
        <v>0</v>
      </c>
      <c r="U71" s="389">
        <f>IF(YEAR($CG71)=2018,($BI$4-$CG71)*$AQ71/($CH71-$CG71),0)</f>
        <v>0</v>
      </c>
      <c r="V71" s="111">
        <f>IF(YEAR($CG71)=2018,($BI$4-$CG71)*$AS71/($CH71-$CG71),0)</f>
        <v>29677.85480093677</v>
      </c>
      <c r="W71" s="111">
        <f>IF(YEAR($CH71)=2020,($BO$4-$BI$4)*$AI71/($CH71-$CG71),0)</f>
        <v>103609.99414519906</v>
      </c>
      <c r="X71" s="390">
        <f>IF(YEAR($CH71)=2020,($BO$4-$BI$4)*$AK71/($CH71-$CG71),0)</f>
        <v>15541.563231850118</v>
      </c>
      <c r="Y71" s="390">
        <f>IF(YEAR($CH71)&gt;2019,($BO$4-$BI$4)*AM$71/($CH71-$CG71),0)</f>
        <v>0</v>
      </c>
      <c r="Z71" s="390">
        <f>IF(YEAR($CH71)&gt;2019,($BO$4-$BI$4)*AO$71/($CH71-$CG71),0)</f>
        <v>0</v>
      </c>
      <c r="AA71" s="390">
        <f>IF(YEAR($CH71)&gt;2019,($BO$4-$BI$4)*AQ$71/($CH71-$CG71),0)</f>
        <v>0</v>
      </c>
      <c r="AB71" s="111">
        <f>IF(YEAR($CH71)&gt;2019,($BO$4-$BI$4)*AS$71/($CH71-$CG71),0)</f>
        <v>88068.430913348944</v>
      </c>
      <c r="AC71" s="111">
        <f>IF(YEAR($CH71)=2020,($CH71-$BO$4)*$AI71/($CH71-$CG71),0)</f>
        <v>103893.85714285714</v>
      </c>
      <c r="AD71" s="422">
        <f>IF(YEAR($CH71)=2020,($CH71-$BO$4)*AK$71/($CH71-$CG71),0)</f>
        <v>15584.142857142857</v>
      </c>
      <c r="AE71" s="422">
        <f>IF(YEAR($CH71)=2020,($CH71-$BO$4)*$AM71/($CH71-$CG71),0)</f>
        <v>0</v>
      </c>
      <c r="AF71" s="422">
        <f>IF(YEAR($CH71)=2020,($CH71-$BO$4)*$AO71/($CH71-$CG71),0)</f>
        <v>0</v>
      </c>
      <c r="AG71" s="422">
        <f>IF(YEAR($CH71)=2020,($CH71-$BO$4)*$AQ71/($CH71-$CG71),0)</f>
        <v>0</v>
      </c>
      <c r="AH71" s="111">
        <f>IF(YEAR($CH71)=2020,($CH71-$BO$4)*$AS71/($CH71-$CG71),0)</f>
        <v>88309.71428571429</v>
      </c>
      <c r="AI71" s="1181">
        <f>SUM('3 pr-2'!L72)</f>
        <v>242419</v>
      </c>
      <c r="AJ71" s="834">
        <f t="shared" si="180"/>
        <v>242419</v>
      </c>
      <c r="AK71" s="389">
        <f>SUM('3 pr-2'!O72)</f>
        <v>36363</v>
      </c>
      <c r="AL71" s="839">
        <f t="shared" si="181"/>
        <v>36363</v>
      </c>
      <c r="AM71" s="389">
        <f>SUM('3 pr-2'!R72)</f>
        <v>0</v>
      </c>
      <c r="AN71" s="839">
        <f t="shared" si="182"/>
        <v>0</v>
      </c>
      <c r="AO71" s="389">
        <f>SUM('3 pr-2'!U72)</f>
        <v>0</v>
      </c>
      <c r="AP71" s="839">
        <f t="shared" si="183"/>
        <v>0</v>
      </c>
      <c r="AQ71" s="389">
        <f>SUM('3 pr-2'!X72)</f>
        <v>0</v>
      </c>
      <c r="AR71" s="389"/>
      <c r="AS71" s="16">
        <f>SUM('3 pr-2'!AA72)</f>
        <v>206056</v>
      </c>
      <c r="AT71" s="839">
        <f t="shared" si="184"/>
        <v>206056</v>
      </c>
      <c r="AU71" s="108"/>
      <c r="AV71" s="109"/>
      <c r="AW71" s="109"/>
      <c r="AX71" s="390"/>
      <c r="AY71" s="390"/>
      <c r="AZ71" s="390"/>
      <c r="BA71" s="390"/>
      <c r="BB71" s="109"/>
      <c r="BC71" s="109"/>
      <c r="BD71" s="390"/>
      <c r="BE71" s="390"/>
      <c r="BF71" s="390"/>
      <c r="BG71" s="390"/>
      <c r="BH71" s="109"/>
      <c r="BI71" s="109"/>
      <c r="BJ71" s="390"/>
      <c r="BK71" s="390"/>
      <c r="BL71" s="390"/>
      <c r="BM71" s="390"/>
      <c r="BN71" s="109"/>
      <c r="BO71" s="109"/>
      <c r="BP71" s="390"/>
      <c r="BQ71" s="390"/>
      <c r="BR71" s="390"/>
      <c r="BS71" s="390"/>
      <c r="BT71" s="109"/>
      <c r="BU71" s="109"/>
      <c r="BV71" s="390"/>
      <c r="BW71" s="390"/>
      <c r="BX71" s="390"/>
      <c r="BY71" s="390"/>
      <c r="BZ71" s="109"/>
      <c r="CA71" s="27"/>
      <c r="CB71" s="390"/>
      <c r="CC71" s="390"/>
      <c r="CD71" s="390"/>
      <c r="CE71" s="390"/>
      <c r="CF71" s="556"/>
      <c r="CG71" s="566">
        <f>SUM('3 pr-2'!AH72)</f>
        <v>43342</v>
      </c>
      <c r="CH71" s="566">
        <f>SUM('3 pr-2'!AJ72)</f>
        <v>44196</v>
      </c>
      <c r="CI71" s="30">
        <f>SUM(P71+V71+AB71+AH71)</f>
        <v>206056</v>
      </c>
      <c r="CJ71" s="30">
        <f t="shared" si="169"/>
        <v>0</v>
      </c>
      <c r="CQ71" s="564">
        <f t="shared" si="186"/>
        <v>242419</v>
      </c>
      <c r="CR71" s="1515">
        <f t="shared" si="187"/>
        <v>206056</v>
      </c>
    </row>
    <row r="72" spans="1:97" ht="52.5" thickBot="1" x14ac:dyDescent="0.3">
      <c r="A72" s="385" t="str">
        <f>CONCATENATE('3 pr-2'!A73)</f>
        <v>1.1.2.</v>
      </c>
      <c r="B72" s="180" t="str">
        <f>CONCATENATE('3 pr-2'!D73)</f>
        <v/>
      </c>
      <c r="C72" s="49">
        <f>SUM(C73+C78+C85+C91)</f>
        <v>0</v>
      </c>
      <c r="D72" s="49">
        <f>SUM(D73+D78+D85+D91)</f>
        <v>0</v>
      </c>
      <c r="E72" s="49">
        <f>SUM(E73+E78+E85+E91)</f>
        <v>0</v>
      </c>
      <c r="F72" s="49"/>
      <c r="G72" s="49"/>
      <c r="H72" s="49"/>
      <c r="I72" s="49"/>
      <c r="J72" s="49">
        <f t="shared" ref="J72:Q72" si="188">SUM(J73+J78+J85+J91)</f>
        <v>0</v>
      </c>
      <c r="K72" s="49">
        <f t="shared" si="188"/>
        <v>959669.18</v>
      </c>
      <c r="L72" s="409">
        <f t="shared" si="188"/>
        <v>111405.20999999999</v>
      </c>
      <c r="M72" s="409">
        <f t="shared" si="188"/>
        <v>0</v>
      </c>
      <c r="N72" s="409">
        <f t="shared" si="188"/>
        <v>0</v>
      </c>
      <c r="O72" s="409">
        <f t="shared" si="188"/>
        <v>32545.37</v>
      </c>
      <c r="P72" s="49">
        <f t="shared" si="188"/>
        <v>815718.60000000009</v>
      </c>
      <c r="Q72" s="49">
        <f t="shared" si="188"/>
        <v>2877554.1772978352</v>
      </c>
      <c r="R72" s="409"/>
      <c r="S72" s="409"/>
      <c r="T72" s="409"/>
      <c r="U72" s="409"/>
      <c r="V72" s="49">
        <f>SUM(V73+V78+V85+V91)</f>
        <v>1940386.6600356603</v>
      </c>
      <c r="W72" s="49">
        <f>SUM(W73+W78+W85+W91)</f>
        <v>3518463.3645933494</v>
      </c>
      <c r="X72" s="409"/>
      <c r="Y72" s="409"/>
      <c r="Z72" s="409"/>
      <c r="AA72" s="409"/>
      <c r="AB72" s="49">
        <f>SUM(AB73+AB78+AB85+AB91)</f>
        <v>2475810.3836912927</v>
      </c>
      <c r="AC72" s="49">
        <f>SUM(AC73+AC78+AC85+AC91)</f>
        <v>1306654.726344109</v>
      </c>
      <c r="AD72" s="409"/>
      <c r="AE72" s="409"/>
      <c r="AF72" s="409"/>
      <c r="AG72" s="409"/>
      <c r="AH72" s="49">
        <f>SUM(AH73+AH78+AH85+AH91)</f>
        <v>1110589.2162730466</v>
      </c>
      <c r="AI72" s="1182">
        <f>SUM(AI73+AI78+AI85+AI91)</f>
        <v>8662341.4482352957</v>
      </c>
      <c r="AJ72" s="49"/>
      <c r="AK72" s="49"/>
      <c r="AL72" s="49"/>
      <c r="AM72" s="49"/>
      <c r="AN72" s="49"/>
      <c r="AO72" s="49"/>
      <c r="AP72" s="49"/>
      <c r="AQ72" s="49"/>
      <c r="AR72" s="49"/>
      <c r="AS72" s="49">
        <f>SUM(AS73+AS78+AS85+AS91)</f>
        <v>6342504.8599999994</v>
      </c>
      <c r="AT72" s="813"/>
      <c r="AX72" s="49"/>
      <c r="AY72" s="49"/>
      <c r="AZ72" s="49"/>
      <c r="BA72" s="49"/>
      <c r="BD72" s="49"/>
      <c r="BE72" s="49"/>
      <c r="BF72" s="49"/>
      <c r="BG72" s="49"/>
      <c r="BJ72" s="49"/>
      <c r="BK72" s="49"/>
      <c r="BL72" s="49"/>
      <c r="BM72" s="49"/>
      <c r="BP72" s="49"/>
      <c r="BQ72" s="49"/>
      <c r="BR72" s="49"/>
      <c r="BS72" s="49"/>
      <c r="BV72" s="49"/>
      <c r="BW72" s="49"/>
      <c r="BX72" s="49"/>
      <c r="BY72" s="49"/>
      <c r="CB72" s="49"/>
      <c r="CC72" s="49"/>
      <c r="CD72" s="49"/>
      <c r="CE72" s="49"/>
      <c r="CG72" s="563"/>
      <c r="CH72" s="561"/>
    </row>
    <row r="73" spans="1:97" ht="52.5" thickBot="1" x14ac:dyDescent="0.3">
      <c r="A73" s="383" t="str">
        <f>CONCATENATE('3 pr-2'!A74)</f>
        <v>1.1.2.1</v>
      </c>
      <c r="B73" s="182" t="str">
        <f>CONCATENATE('3 pr-2'!D74)</f>
        <v/>
      </c>
      <c r="C73" s="110">
        <f>SUM(C74:C77)</f>
        <v>0</v>
      </c>
      <c r="D73" s="110">
        <f>SUM(D74:D77)</f>
        <v>0</v>
      </c>
      <c r="E73" s="110">
        <f>SUM(E74:E77)</f>
        <v>0</v>
      </c>
      <c r="F73" s="110"/>
      <c r="G73" s="110"/>
      <c r="H73" s="110"/>
      <c r="I73" s="110"/>
      <c r="J73" s="110">
        <f t="shared" ref="J73:Q73" si="189">SUM(J74:J77)</f>
        <v>0</v>
      </c>
      <c r="K73" s="110">
        <f t="shared" si="189"/>
        <v>0</v>
      </c>
      <c r="L73" s="408">
        <f t="shared" si="189"/>
        <v>0</v>
      </c>
      <c r="M73" s="408">
        <f t="shared" si="189"/>
        <v>0</v>
      </c>
      <c r="N73" s="408">
        <f t="shared" si="189"/>
        <v>0</v>
      </c>
      <c r="O73" s="408">
        <f t="shared" si="189"/>
        <v>0</v>
      </c>
      <c r="P73" s="110">
        <f t="shared" si="189"/>
        <v>0</v>
      </c>
      <c r="Q73" s="110">
        <f t="shared" si="189"/>
        <v>79069.408155630386</v>
      </c>
      <c r="R73" s="408"/>
      <c r="S73" s="408"/>
      <c r="T73" s="408"/>
      <c r="U73" s="408"/>
      <c r="V73" s="110">
        <f>SUM(V74:V77)</f>
        <v>43236.777902481605</v>
      </c>
      <c r="W73" s="110">
        <f>SUM(W74:W77)</f>
        <v>1457226.7942432049</v>
      </c>
      <c r="X73" s="408"/>
      <c r="Y73" s="408"/>
      <c r="Z73" s="408"/>
      <c r="AA73" s="408"/>
      <c r="AB73" s="110">
        <f>SUM(AB74:AB77)</f>
        <v>965958.96644237055</v>
      </c>
      <c r="AC73" s="110">
        <f>SUM(AC74:AC77)</f>
        <v>298913.38583645871</v>
      </c>
      <c r="AD73" s="408"/>
      <c r="AE73" s="408"/>
      <c r="AF73" s="408"/>
      <c r="AG73" s="408"/>
      <c r="AH73" s="110">
        <f>SUM(AH74:AH77)</f>
        <v>254076.2556551478</v>
      </c>
      <c r="AI73" s="1177">
        <f>SUM(AI74:AI77)</f>
        <v>1835209.588235294</v>
      </c>
      <c r="AJ73" s="110"/>
      <c r="AK73" s="110"/>
      <c r="AL73" s="110"/>
      <c r="AM73" s="110"/>
      <c r="AN73" s="110"/>
      <c r="AO73" s="110"/>
      <c r="AP73" s="110"/>
      <c r="AQ73" s="110"/>
      <c r="AR73" s="110"/>
      <c r="AS73" s="110">
        <f>SUM(AS74:AS77)</f>
        <v>1263272</v>
      </c>
      <c r="AT73" s="814"/>
      <c r="AU73" s="20">
        <v>0</v>
      </c>
      <c r="AV73" s="20">
        <v>0</v>
      </c>
      <c r="AW73" s="20">
        <v>0</v>
      </c>
      <c r="AX73" s="110">
        <v>0</v>
      </c>
      <c r="AY73" s="110">
        <v>0</v>
      </c>
      <c r="AZ73" s="110">
        <v>0</v>
      </c>
      <c r="BA73" s="110">
        <v>0</v>
      </c>
      <c r="BB73" s="20">
        <v>0</v>
      </c>
      <c r="BC73" s="20">
        <v>20</v>
      </c>
      <c r="BD73" s="110">
        <v>20</v>
      </c>
      <c r="BE73" s="110">
        <v>20</v>
      </c>
      <c r="BF73" s="110">
        <v>20</v>
      </c>
      <c r="BG73" s="110">
        <v>20</v>
      </c>
      <c r="BH73" s="20">
        <v>20</v>
      </c>
      <c r="BI73" s="20">
        <v>80</v>
      </c>
      <c r="BJ73" s="110">
        <v>80</v>
      </c>
      <c r="BK73" s="110">
        <v>80</v>
      </c>
      <c r="BL73" s="110">
        <v>80</v>
      </c>
      <c r="BM73" s="110">
        <v>80</v>
      </c>
      <c r="BN73" s="20">
        <v>80</v>
      </c>
      <c r="BO73" s="20">
        <v>0</v>
      </c>
      <c r="BP73" s="110">
        <v>0</v>
      </c>
      <c r="BQ73" s="110">
        <v>0</v>
      </c>
      <c r="BR73" s="110">
        <v>0</v>
      </c>
      <c r="BS73" s="110">
        <v>0</v>
      </c>
      <c r="BT73" s="20">
        <v>0</v>
      </c>
      <c r="BU73" s="20">
        <v>0</v>
      </c>
      <c r="BV73" s="110">
        <v>0</v>
      </c>
      <c r="BW73" s="110">
        <v>0</v>
      </c>
      <c r="BX73" s="110">
        <v>0</v>
      </c>
      <c r="BY73" s="110">
        <v>0</v>
      </c>
      <c r="BZ73" s="20">
        <v>0</v>
      </c>
      <c r="CA73" s="23">
        <v>100</v>
      </c>
      <c r="CB73" s="110">
        <v>100</v>
      </c>
      <c r="CC73" s="110">
        <v>100</v>
      </c>
      <c r="CD73" s="110">
        <v>100</v>
      </c>
      <c r="CE73" s="110">
        <v>100</v>
      </c>
      <c r="CF73" s="555">
        <v>100</v>
      </c>
      <c r="CG73" s="561"/>
      <c r="CH73" s="561"/>
    </row>
    <row r="74" spans="1:97" ht="42.75" customHeight="1" thickBot="1" x14ac:dyDescent="0.3">
      <c r="A74" s="43" t="str">
        <f>CONCATENATE('3 pr-2'!A75)</f>
        <v>1.1.2.1.1</v>
      </c>
      <c r="B74" s="175" t="str">
        <f>CONCATENATE('3 pr-2'!D75)</f>
        <v xml:space="preserve">Nekenksmingų aplinkai viešojo transporto priemonių įsigijimas Alytaus mieste </v>
      </c>
      <c r="C74" s="51">
        <v>0</v>
      </c>
      <c r="D74" s="111">
        <v>0</v>
      </c>
      <c r="E74" s="111">
        <v>0</v>
      </c>
      <c r="F74" s="389">
        <v>0</v>
      </c>
      <c r="G74" s="389">
        <v>0</v>
      </c>
      <c r="H74" s="389">
        <v>0</v>
      </c>
      <c r="I74" s="389">
        <v>0</v>
      </c>
      <c r="J74" s="111">
        <v>0</v>
      </c>
      <c r="K74" s="119">
        <v>0</v>
      </c>
      <c r="L74" s="405">
        <v>0</v>
      </c>
      <c r="M74" s="405">
        <v>0</v>
      </c>
      <c r="N74" s="405">
        <v>0</v>
      </c>
      <c r="O74" s="405">
        <v>0</v>
      </c>
      <c r="P74" s="119">
        <v>0</v>
      </c>
      <c r="Q74" s="111">
        <f>IF(YEAR($CG74)=2018,($BI$4-$CG74)*$AI74/($CH74-$CG74),0)</f>
        <v>0</v>
      </c>
      <c r="R74" s="389">
        <f>IF(YEAR($CG74)=2018,($BI$4-$CG74)*$AK74/($CH74-$CG74),0)</f>
        <v>0</v>
      </c>
      <c r="S74" s="389">
        <f>IF(YEAR($CG$74)=2018,($BI$4-$CG$74)*AM$74/($CH$74-$CG$74),0)</f>
        <v>0</v>
      </c>
      <c r="T74" s="389">
        <f>IF(YEAR($CG$74)=2018,($BI$4-$CG$74)*AO$74/($CH$74-$CG$74),0)</f>
        <v>0</v>
      </c>
      <c r="U74" s="389">
        <f>IF(YEAR($CG$74)=2018,($BI$4-$CG$74)*AQ$74/($CH$74-$CG$74),0)</f>
        <v>0</v>
      </c>
      <c r="V74" s="111">
        <f>IF(YEAR($CG$74)=2018,($BI$4-$CG$74)*AS$74/($CH$74-$CG$74),0)</f>
        <v>0</v>
      </c>
      <c r="W74" s="111">
        <f>SUM(CI74*CL74)</f>
        <v>307071.2393231265</v>
      </c>
      <c r="X74" s="390">
        <f>SUM(CI74*CM74)</f>
        <v>46060.685898468982</v>
      </c>
      <c r="Y74" s="390">
        <f>IF(YEAR($CH74)&lt;$CH74,($W$3-$Q$3)*$AM74/($CH74-$CG74),0)</f>
        <v>0</v>
      </c>
      <c r="Z74" s="390">
        <f>IF(YEAR($CH74)&lt;$CH74,($W$3-$Q$3)*$AO74/($CH74-$CG74),0)</f>
        <v>0</v>
      </c>
      <c r="AA74" s="390">
        <f>IF(YEAR($CH74)&lt;$CH74,($W$3-CG74)*$AQ74/($CH74-$CG74),0)</f>
        <v>0</v>
      </c>
      <c r="AB74" s="111">
        <f>SUM(CI74*CN74)</f>
        <v>261010.55342465753</v>
      </c>
      <c r="AC74" s="111">
        <f>SUM(CJ74*CL74)</f>
        <v>99019.348912167596</v>
      </c>
      <c r="AD74" s="422">
        <f>SUM(CJ74*CM74)</f>
        <v>14852.902336825142</v>
      </c>
      <c r="AE74" s="390">
        <f>IF(YEAR($CH$74)=2020,($BU$4-$CH$74)*AM$74/($CH$74-$CG$74),0)</f>
        <v>0</v>
      </c>
      <c r="AF74" s="390">
        <f>IF(YEAR($CH$74)=2020,($BU$4-$CH$74)*AO$74/($CH$74-$CG$74),0)</f>
        <v>0</v>
      </c>
      <c r="AG74" s="390">
        <f>IF(YEAR($CH$74)=2020,($BU$4-$CH$74)*AQ$74/($CH$74-$CG$74),0)</f>
        <v>0</v>
      </c>
      <c r="AH74" s="111">
        <f>SUM(CJ74*CN74)</f>
        <v>84166.446575342459</v>
      </c>
      <c r="AI74" s="1176">
        <f>SUM('3 pr-2'!L75)</f>
        <v>406090.5882352941</v>
      </c>
      <c r="AJ74" s="834">
        <f t="shared" ref="AJ74:AJ77" si="190">SUM(AI74-K74)</f>
        <v>406090.5882352941</v>
      </c>
      <c r="AK74" s="389">
        <f>SUM('3 pr-2'!O75)</f>
        <v>60913.588235294119</v>
      </c>
      <c r="AL74" s="839">
        <f t="shared" ref="AL74:AL77" si="191">SUM(AK74-L74)</f>
        <v>60913.588235294119</v>
      </c>
      <c r="AM74" s="389">
        <f>SUM('3 pr-2'!R75)</f>
        <v>0</v>
      </c>
      <c r="AN74" s="839">
        <f t="shared" ref="AN74:AN97" si="192">SUM(AM74-M74)</f>
        <v>0</v>
      </c>
      <c r="AO74" s="389">
        <f>SUM('3 pr-2'!U75)</f>
        <v>0</v>
      </c>
      <c r="AP74" s="839">
        <f t="shared" ref="AP74:AP97" si="193">SUM(AO74-O74)</f>
        <v>0</v>
      </c>
      <c r="AQ74" s="389">
        <f>SUM('3 pr-2'!X75)</f>
        <v>0</v>
      </c>
      <c r="AR74" s="389"/>
      <c r="AS74" s="12">
        <f>SUM('3 pr-2'!AA75)</f>
        <v>345177</v>
      </c>
      <c r="AT74" s="839">
        <f t="shared" ref="AT74:AT77" si="194">SUM(AS74-P74)</f>
        <v>345177</v>
      </c>
      <c r="AU74" s="568">
        <f>SUM(V74+AB74+AH74)</f>
        <v>345177</v>
      </c>
      <c r="AV74" s="20"/>
      <c r="AW74" s="20"/>
      <c r="AX74" s="390"/>
      <c r="AY74" s="390"/>
      <c r="AZ74" s="390"/>
      <c r="BA74" s="390"/>
      <c r="BB74" s="20"/>
      <c r="BC74" s="20"/>
      <c r="BD74" s="390"/>
      <c r="BE74" s="390"/>
      <c r="BF74" s="390"/>
      <c r="BG74" s="390"/>
      <c r="BH74" s="20"/>
      <c r="BI74" s="20"/>
      <c r="BJ74" s="390"/>
      <c r="BK74" s="390"/>
      <c r="BL74" s="390"/>
      <c r="BM74" s="390"/>
      <c r="BN74" s="20"/>
      <c r="BO74" s="20"/>
      <c r="BP74" s="390"/>
      <c r="BQ74" s="390"/>
      <c r="BR74" s="390"/>
      <c r="BS74" s="390"/>
      <c r="BT74" s="20"/>
      <c r="BU74" s="20"/>
      <c r="BV74" s="390"/>
      <c r="BW74" s="390"/>
      <c r="BX74" s="390"/>
      <c r="BY74" s="390"/>
      <c r="BZ74" s="20"/>
      <c r="CA74" s="23"/>
      <c r="CB74" s="390"/>
      <c r="CC74" s="390"/>
      <c r="CD74" s="390"/>
      <c r="CE74" s="390"/>
      <c r="CF74" s="555"/>
      <c r="CG74" s="566">
        <f>SUM('3 pr-2'!AH75)</f>
        <v>43554</v>
      </c>
      <c r="CH74" s="566">
        <f>SUM('3 pr-2'!AJ75)</f>
        <v>43920</v>
      </c>
      <c r="CI74" s="30">
        <f>SUM($W$3-CG74)</f>
        <v>276</v>
      </c>
      <c r="CJ74" s="30">
        <f>SUM(CH74-$AC$2)</f>
        <v>89</v>
      </c>
      <c r="CL74">
        <f>SUM(AI74/(CI74+CJ74+CK74))</f>
        <v>1112.5769540692988</v>
      </c>
      <c r="CM74">
        <f>SUM(AK74/(CI74+CJ74+CK74))</f>
        <v>166.88654311039485</v>
      </c>
      <c r="CN74">
        <f>SUM(AS74/(CI74+CJ74+CK74))</f>
        <v>945.69041095890407</v>
      </c>
      <c r="CQ74" s="1520">
        <f t="shared" ref="CQ74" si="195">SUM(E74+K74+Q74+W74+AC74)</f>
        <v>406090.5882352941</v>
      </c>
      <c r="CR74" s="1521">
        <f t="shared" ref="CR74" si="196">SUM(J74+P74+V74+AB74+AH74)</f>
        <v>345177</v>
      </c>
    </row>
    <row r="75" spans="1:97" ht="39" customHeight="1" thickBot="1" x14ac:dyDescent="0.3">
      <c r="A75" s="43" t="str">
        <f>CONCATENATE('3 pr-2'!A76)</f>
        <v>1.1.2.1.2</v>
      </c>
      <c r="B75" s="39" t="str">
        <f>CONCATENATE('3 pr-2'!D76)</f>
        <v>Nekenksmingų aplinkai viešojo transporto priemonių įsigijimas Alytaus rajone</v>
      </c>
      <c r="C75" s="51">
        <v>0</v>
      </c>
      <c r="D75" s="111">
        <v>0</v>
      </c>
      <c r="E75" s="111">
        <v>0</v>
      </c>
      <c r="F75" s="389">
        <v>0</v>
      </c>
      <c r="G75" s="389">
        <v>0</v>
      </c>
      <c r="H75" s="389">
        <v>0</v>
      </c>
      <c r="I75" s="389">
        <v>0</v>
      </c>
      <c r="J75" s="111">
        <v>0</v>
      </c>
      <c r="K75" s="119">
        <v>0</v>
      </c>
      <c r="L75" s="405">
        <v>0</v>
      </c>
      <c r="M75" s="405">
        <v>0</v>
      </c>
      <c r="N75" s="405">
        <v>0</v>
      </c>
      <c r="O75" s="405">
        <v>0</v>
      </c>
      <c r="P75" s="119">
        <v>0</v>
      </c>
      <c r="Q75" s="111">
        <f>IF(YEAR($CG75)=2018,($W$2-$CG75)*$AI75/($CH75-$CG75),0)</f>
        <v>0</v>
      </c>
      <c r="R75" s="389">
        <f>IF(YEAR($CG75)=2018,($W$2-$CG75)*$AK75/($CH75-$CG75),0)</f>
        <v>0</v>
      </c>
      <c r="S75" s="389">
        <f>IF(YEAR($CG$75)=2018,(W2-CG75)*AM$75/($CH$75-$CG$75),0)</f>
        <v>0</v>
      </c>
      <c r="T75" s="389">
        <f>IF(YEAR($CG75)=2018,($W$2-$CG75)*$AO75/($CH75-$CG75),0)</f>
        <v>0</v>
      </c>
      <c r="U75" s="389">
        <f>IF(YEAR($CG75)=2018,($W$2-$CG75)*$AQ75/($CH75-$CG75),0)</f>
        <v>0</v>
      </c>
      <c r="V75" s="111">
        <f>IF(YEAR($CG75)=2018,($W$2-$CG75)*$AS75/($CH75-$CG75),0)</f>
        <v>0</v>
      </c>
      <c r="W75" s="111">
        <f>SUM(CI75*CL75)</f>
        <v>246641.91780821918</v>
      </c>
      <c r="X75" s="390">
        <f>SUM(CI75*CM75)</f>
        <v>36996.098630136985</v>
      </c>
      <c r="Y75" s="390">
        <v>0</v>
      </c>
      <c r="Z75" s="390">
        <v>0</v>
      </c>
      <c r="AA75" s="390">
        <v>0</v>
      </c>
      <c r="AB75" s="111">
        <f>SUM(CI75*CN75)</f>
        <v>209645.81917808219</v>
      </c>
      <c r="AC75" s="111">
        <f>SUM(CJ75*CL75)</f>
        <v>79533.082191780821</v>
      </c>
      <c r="AD75" s="422">
        <f>SUM(CJ75*CM75)</f>
        <v>11929.901369863013</v>
      </c>
      <c r="AE75" s="422">
        <v>0</v>
      </c>
      <c r="AF75" s="422">
        <v>0</v>
      </c>
      <c r="AG75" s="422">
        <v>0</v>
      </c>
      <c r="AH75" s="111">
        <f>SUM(CJ75*CN75)</f>
        <v>67603.180821917806</v>
      </c>
      <c r="AI75" s="1176">
        <f>SUM('3 pr-2'!L76)</f>
        <v>326175</v>
      </c>
      <c r="AJ75" s="834">
        <f t="shared" si="190"/>
        <v>326175</v>
      </c>
      <c r="AK75" s="389">
        <f>SUM('3 pr-2'!O76)</f>
        <v>48926</v>
      </c>
      <c r="AL75" s="839">
        <f t="shared" si="191"/>
        <v>48926</v>
      </c>
      <c r="AM75" s="389">
        <f>SUM('3 pr-2'!R76)</f>
        <v>0</v>
      </c>
      <c r="AN75" s="839">
        <f t="shared" si="192"/>
        <v>0</v>
      </c>
      <c r="AO75" s="389">
        <f>SUM('3 pr-2'!U76)</f>
        <v>0</v>
      </c>
      <c r="AP75" s="839">
        <f t="shared" si="193"/>
        <v>0</v>
      </c>
      <c r="AQ75" s="389">
        <f>SUM('3 pr-2'!X76)</f>
        <v>0</v>
      </c>
      <c r="AR75" s="389"/>
      <c r="AS75" s="12">
        <f>SUM('3 pr-2'!AA76)</f>
        <v>277249</v>
      </c>
      <c r="AT75" s="839">
        <f t="shared" si="194"/>
        <v>277249</v>
      </c>
      <c r="AU75" s="568">
        <f>SUM(V75+AB75+AH75)</f>
        <v>277249</v>
      </c>
      <c r="AV75" s="20"/>
      <c r="AW75" s="20"/>
      <c r="AX75" s="390"/>
      <c r="AY75" s="390"/>
      <c r="AZ75" s="390"/>
      <c r="BA75" s="390"/>
      <c r="BB75" s="20"/>
      <c r="BC75" s="20"/>
      <c r="BD75" s="390"/>
      <c r="BE75" s="390"/>
      <c r="BF75" s="390"/>
      <c r="BG75" s="390"/>
      <c r="BH75" s="20"/>
      <c r="BI75" s="20"/>
      <c r="BJ75" s="390"/>
      <c r="BK75" s="390"/>
      <c r="BL75" s="390"/>
      <c r="BM75" s="390"/>
      <c r="BN75" s="20"/>
      <c r="BO75" s="20"/>
      <c r="BP75" s="390"/>
      <c r="BQ75" s="390"/>
      <c r="BR75" s="390"/>
      <c r="BS75" s="390"/>
      <c r="BT75" s="20"/>
      <c r="BU75" s="20"/>
      <c r="BV75" s="390"/>
      <c r="BW75" s="390"/>
      <c r="BX75" s="390"/>
      <c r="BY75" s="390"/>
      <c r="BZ75" s="20"/>
      <c r="CA75" s="23"/>
      <c r="CB75" s="390"/>
      <c r="CC75" s="390"/>
      <c r="CD75" s="390"/>
      <c r="CE75" s="390"/>
      <c r="CF75" s="555"/>
      <c r="CG75" s="566">
        <f>SUM('3 pr-2'!AH76)</f>
        <v>43554</v>
      </c>
      <c r="CH75" s="566">
        <f>SUM('3 pr-2'!AJ76)</f>
        <v>43920</v>
      </c>
      <c r="CI75" s="30">
        <f>SUM($W$3-CG75)</f>
        <v>276</v>
      </c>
      <c r="CJ75" s="30">
        <f>SUM(CH75-$AC$2)</f>
        <v>89</v>
      </c>
      <c r="CL75">
        <f>SUM(AI75/(CI75+CJ75+CK75))</f>
        <v>893.63013698630141</v>
      </c>
      <c r="CM75">
        <f>SUM(AK75/(CI75+CJ75+CK75))</f>
        <v>134.04383561643834</v>
      </c>
      <c r="CN75">
        <f>SUM(AS75/(CI75+CJ75+CK75))</f>
        <v>759.58630136986301</v>
      </c>
      <c r="CQ75" s="1520">
        <f t="shared" ref="CQ75:CQ77" si="197">SUM(E75+K75+Q75+W75+AC75)</f>
        <v>326175</v>
      </c>
      <c r="CR75" s="1521">
        <f t="shared" ref="CR75:CR77" si="198">SUM(J75+P75+V75+AB75+AH75)</f>
        <v>277249</v>
      </c>
    </row>
    <row r="76" spans="1:97" ht="29.25" customHeight="1" thickBot="1" x14ac:dyDescent="0.3">
      <c r="A76" s="43" t="str">
        <f>CONCATENATE('3 pr-2'!A77)</f>
        <v>1.1.2.1.3</v>
      </c>
      <c r="B76" s="34" t="str">
        <f>CONCATENATE('3 pr-2'!D77)</f>
        <v>Ekologiškų transporto priemonių įsigijimas Druskininkų savivaldybėje</v>
      </c>
      <c r="C76" s="51">
        <v>0</v>
      </c>
      <c r="D76" s="111">
        <v>0</v>
      </c>
      <c r="E76" s="111">
        <v>0</v>
      </c>
      <c r="F76" s="389">
        <v>0</v>
      </c>
      <c r="G76" s="389">
        <v>0</v>
      </c>
      <c r="H76" s="389">
        <v>0</v>
      </c>
      <c r="I76" s="389">
        <v>0</v>
      </c>
      <c r="J76" s="111">
        <v>0</v>
      </c>
      <c r="K76" s="119">
        <v>0</v>
      </c>
      <c r="L76" s="405">
        <v>0</v>
      </c>
      <c r="M76" s="405">
        <v>0</v>
      </c>
      <c r="N76" s="405">
        <v>0</v>
      </c>
      <c r="O76" s="405">
        <v>0</v>
      </c>
      <c r="P76" s="119">
        <v>0</v>
      </c>
      <c r="Q76" s="111">
        <f>IF(YEAR($CG76)=2018,($W$2-$CG76)*$AI76/($CH76-$CG76),0)</f>
        <v>67898.181818181823</v>
      </c>
      <c r="R76" s="389">
        <f>IF(YEAR($CG$76)=2018,($W$2-$CG76)*AK$76/($CH$76-$CG$76),0)</f>
        <v>0</v>
      </c>
      <c r="S76" s="389">
        <f>IF(YEAR($CG$76)=2018,($BI$4-$CG$76)*AM$76/($CH$76-$CG$76),0)</f>
        <v>0</v>
      </c>
      <c r="T76" s="389">
        <f>IF(YEAR($CG76)=2018,($W$2-$CG76)*$AO76/($CH76-$CG76),0)</f>
        <v>34156.929292929293</v>
      </c>
      <c r="U76" s="389">
        <f>IF(YEAR($CG76)=2018,($W$2-$CG76)*$AQ76/($CH76-$CG76),0)</f>
        <v>0</v>
      </c>
      <c r="V76" s="111">
        <f>IF(YEAR($CG76)=2018,($W$2-$CG76)*$AS76/($CH76-$CG76),0)</f>
        <v>33741.252525252523</v>
      </c>
      <c r="W76" s="111">
        <f>IF(YEAR($CH76)=2019,($CH76-$W$2)*$AJ76/($CH76-$CG76))</f>
        <v>772341.81818181823</v>
      </c>
      <c r="X76" s="390">
        <f>IF(YEAR($CH76)=2019,($CH75-$W$2)*$AK76/($CH76-$CG76))</f>
        <v>0</v>
      </c>
      <c r="Y76" s="390">
        <f>IF(YEAR($CH76)=2019,($CH76-$W$2)*$AM76/($CH76-$CG76))</f>
        <v>0</v>
      </c>
      <c r="Z76" s="390">
        <f>IF(YEAR($CH76)=2019,($CH76-$W$2)*$AO76/($CH76-$CG76))</f>
        <v>388535.0707070707</v>
      </c>
      <c r="AA76" s="390">
        <f>IF(YEAR($CH76)=2019,($CH76-$W$2)*$AQ76/($CH76-$CG76))</f>
        <v>0</v>
      </c>
      <c r="AB76" s="111">
        <f>IF(YEAR($CH76)=2019,($CH76-$W$2)*$AT76/($CH76-$CG76))</f>
        <v>383806.74747474748</v>
      </c>
      <c r="AC76" s="111">
        <v>0</v>
      </c>
      <c r="AD76" s="422">
        <v>0</v>
      </c>
      <c r="AE76" s="422">
        <v>0</v>
      </c>
      <c r="AF76" s="422">
        <v>0</v>
      </c>
      <c r="AG76" s="422">
        <v>0</v>
      </c>
      <c r="AH76" s="111">
        <v>0</v>
      </c>
      <c r="AI76" s="1176">
        <f>SUM('3 pr-2'!L77)</f>
        <v>840240</v>
      </c>
      <c r="AJ76" s="834">
        <f t="shared" si="190"/>
        <v>840240</v>
      </c>
      <c r="AK76" s="389">
        <f>SUM('3 pr-2'!O77)</f>
        <v>0</v>
      </c>
      <c r="AL76" s="839">
        <f t="shared" si="191"/>
        <v>0</v>
      </c>
      <c r="AM76" s="389">
        <f>SUM('3 pr-2'!R77)</f>
        <v>0</v>
      </c>
      <c r="AN76" s="839">
        <f t="shared" si="192"/>
        <v>0</v>
      </c>
      <c r="AO76" s="389">
        <f>SUM('3 pr-2'!U77)</f>
        <v>422692</v>
      </c>
      <c r="AP76" s="839">
        <f t="shared" si="193"/>
        <v>422692</v>
      </c>
      <c r="AQ76" s="389">
        <f>SUM('3 pr-2'!X77)</f>
        <v>0</v>
      </c>
      <c r="AR76" s="389"/>
      <c r="AS76" s="12">
        <f>SUM('3 pr-2'!AA77)</f>
        <v>417548</v>
      </c>
      <c r="AT76" s="839">
        <f t="shared" si="194"/>
        <v>417548</v>
      </c>
      <c r="AU76" s="568">
        <f>SUM(V76+AB76+AH76)</f>
        <v>417548</v>
      </c>
      <c r="AV76" s="20"/>
      <c r="AW76" s="20"/>
      <c r="AX76" s="390"/>
      <c r="AY76" s="390"/>
      <c r="AZ76" s="390"/>
      <c r="BA76" s="390"/>
      <c r="BB76" s="20"/>
      <c r="BC76" s="20"/>
      <c r="BD76" s="390"/>
      <c r="BE76" s="390"/>
      <c r="BF76" s="390"/>
      <c r="BG76" s="390"/>
      <c r="BH76" s="20"/>
      <c r="BI76" s="20"/>
      <c r="BJ76" s="390"/>
      <c r="BK76" s="390"/>
      <c r="BL76" s="390"/>
      <c r="BM76" s="390"/>
      <c r="BN76" s="20"/>
      <c r="BO76" s="20"/>
      <c r="BP76" s="390"/>
      <c r="BQ76" s="390"/>
      <c r="BR76" s="390"/>
      <c r="BS76" s="390"/>
      <c r="BT76" s="20"/>
      <c r="BU76" s="20"/>
      <c r="BV76" s="390"/>
      <c r="BW76" s="390"/>
      <c r="BX76" s="390"/>
      <c r="BY76" s="390"/>
      <c r="BZ76" s="20"/>
      <c r="CA76" s="23"/>
      <c r="CB76" s="390"/>
      <c r="CC76" s="390"/>
      <c r="CD76" s="390"/>
      <c r="CE76" s="390"/>
      <c r="CF76" s="555"/>
      <c r="CG76" s="566">
        <f>SUM('3 pr-2'!AH77)</f>
        <v>43434</v>
      </c>
      <c r="CH76" s="566">
        <f>SUM('3 pr-2'!AJ77)</f>
        <v>43830</v>
      </c>
      <c r="CI76" s="30">
        <f>SUM(V76+AB76)</f>
        <v>417548</v>
      </c>
      <c r="CJ76" s="30">
        <f t="shared" ref="CJ76" si="199">SUM(CI76-AS76)</f>
        <v>0</v>
      </c>
      <c r="CQ76" s="1520">
        <f t="shared" si="197"/>
        <v>840240</v>
      </c>
      <c r="CR76" s="1521">
        <f t="shared" si="198"/>
        <v>417548</v>
      </c>
    </row>
    <row r="77" spans="1:97" ht="29.25" customHeight="1" thickBot="1" x14ac:dyDescent="0.3">
      <c r="A77" s="47" t="str">
        <f>CONCATENATE('3 pr-2'!A78)</f>
        <v>1.1.2.1.4</v>
      </c>
      <c r="B77" s="47" t="str">
        <f>CONCATENATE('3 pr-2'!D78)</f>
        <v>Ekologiškų transporto priemonių įsigijimas  Lazdijų rajono savivaldybėje</v>
      </c>
      <c r="C77" s="51">
        <v>0</v>
      </c>
      <c r="D77" s="111">
        <v>0</v>
      </c>
      <c r="E77" s="111">
        <v>0</v>
      </c>
      <c r="F77" s="389">
        <v>0</v>
      </c>
      <c r="G77" s="389">
        <v>0</v>
      </c>
      <c r="H77" s="389">
        <v>0</v>
      </c>
      <c r="I77" s="389">
        <v>0</v>
      </c>
      <c r="J77" s="111">
        <v>0</v>
      </c>
      <c r="K77" s="119">
        <v>0</v>
      </c>
      <c r="L77" s="405">
        <v>0</v>
      </c>
      <c r="M77" s="405">
        <v>0</v>
      </c>
      <c r="N77" s="405">
        <v>0</v>
      </c>
      <c r="O77" s="405">
        <v>0</v>
      </c>
      <c r="P77" s="119">
        <v>0</v>
      </c>
      <c r="Q77" s="111">
        <f>SUM(CI77*CL77)</f>
        <v>11171.226337448559</v>
      </c>
      <c r="R77" s="389">
        <f>SUM(CI77*CM77)</f>
        <v>1675.7009602194787</v>
      </c>
      <c r="S77" s="389">
        <f>IF(YEAR($CG$77)=2018,($BI$4-$CG$77)*AM$77/($CH$77-$CG$77),0)</f>
        <v>0</v>
      </c>
      <c r="T77" s="389">
        <f>IF(YEAR($CG77)=2018,($W$2-$CG77)*$AO77/($CH77-$CG77),0)</f>
        <v>0</v>
      </c>
      <c r="U77" s="389">
        <f>IF(YEAR($CG77)=2018,($W$2-$CG77)*$AQ77/($CH77-$CG77),0)</f>
        <v>0</v>
      </c>
      <c r="V77" s="111">
        <f>SUM(CI77*CN77)</f>
        <v>9495.5253772290816</v>
      </c>
      <c r="W77" s="111">
        <f>SUM(CJ77*CL77)</f>
        <v>131171.81893004116</v>
      </c>
      <c r="X77" s="390">
        <f>SUM(CJ77*CM77)</f>
        <v>19675.97256515775</v>
      </c>
      <c r="Y77" s="390">
        <v>0</v>
      </c>
      <c r="Z77" s="390">
        <v>0</v>
      </c>
      <c r="AA77" s="390">
        <v>0</v>
      </c>
      <c r="AB77" s="111">
        <f>SUM(CJ77*CN77)</f>
        <v>111495.8463648834</v>
      </c>
      <c r="AC77" s="111">
        <f>SUM(CK77*CL77)</f>
        <v>120360.95473251029</v>
      </c>
      <c r="AD77" s="422">
        <f>SUM(CK77*CM77)</f>
        <v>18054.326474622772</v>
      </c>
      <c r="AE77" s="422">
        <v>0</v>
      </c>
      <c r="AF77" s="422">
        <v>0</v>
      </c>
      <c r="AG77" s="422">
        <v>0</v>
      </c>
      <c r="AH77" s="111">
        <f>SUM(CK77*CN77)</f>
        <v>102306.62825788753</v>
      </c>
      <c r="AI77" s="1176">
        <f>SUM('3 pr-2'!L78)</f>
        <v>262704</v>
      </c>
      <c r="AJ77" s="834">
        <f t="shared" si="190"/>
        <v>262704</v>
      </c>
      <c r="AK77" s="389">
        <f>SUM('3 pr-2'!O78)</f>
        <v>39406</v>
      </c>
      <c r="AL77" s="839">
        <f t="shared" si="191"/>
        <v>39406</v>
      </c>
      <c r="AM77" s="389">
        <f>SUM('3 pr-2'!R78)</f>
        <v>0</v>
      </c>
      <c r="AN77" s="839">
        <f t="shared" si="192"/>
        <v>0</v>
      </c>
      <c r="AO77" s="389">
        <f>SUM('3 pr-2'!U78)</f>
        <v>0</v>
      </c>
      <c r="AP77" s="839">
        <f t="shared" si="193"/>
        <v>0</v>
      </c>
      <c r="AQ77" s="389">
        <f>SUM('3 pr-2'!X78)</f>
        <v>0</v>
      </c>
      <c r="AR77" s="389"/>
      <c r="AS77" s="12">
        <f>SUM('3 pr-2'!AA78)</f>
        <v>223298</v>
      </c>
      <c r="AT77" s="839">
        <f t="shared" si="194"/>
        <v>223298</v>
      </c>
      <c r="AU77" s="568">
        <f>SUM(V77+AB77+AH77)</f>
        <v>223298</v>
      </c>
      <c r="AV77" s="20"/>
      <c r="AW77" s="20"/>
      <c r="AX77" s="390"/>
      <c r="AY77" s="390"/>
      <c r="AZ77" s="390"/>
      <c r="BA77" s="390"/>
      <c r="BB77" s="20"/>
      <c r="BC77" s="20"/>
      <c r="BD77" s="390"/>
      <c r="BE77" s="390"/>
      <c r="BF77" s="390"/>
      <c r="BG77" s="390"/>
      <c r="BH77" s="20"/>
      <c r="BI77" s="20"/>
      <c r="BJ77" s="390"/>
      <c r="BK77" s="390"/>
      <c r="BL77" s="390"/>
      <c r="BM77" s="390"/>
      <c r="BN77" s="20"/>
      <c r="BO77" s="20"/>
      <c r="BP77" s="390"/>
      <c r="BQ77" s="390"/>
      <c r="BR77" s="390"/>
      <c r="BS77" s="390"/>
      <c r="BT77" s="20"/>
      <c r="BU77" s="20"/>
      <c r="BV77" s="390"/>
      <c r="BW77" s="390"/>
      <c r="BX77" s="390"/>
      <c r="BY77" s="390"/>
      <c r="BZ77" s="20"/>
      <c r="CA77" s="23"/>
      <c r="CB77" s="390"/>
      <c r="CC77" s="390"/>
      <c r="CD77" s="390"/>
      <c r="CE77" s="390"/>
      <c r="CF77" s="555"/>
      <c r="CG77" s="566">
        <f>SUM('3 pr-2'!AH78)</f>
        <v>43434</v>
      </c>
      <c r="CH77" s="566">
        <f>SUM('3 pr-2'!AJ78)</f>
        <v>44165</v>
      </c>
      <c r="CI77" s="30">
        <f>SUM(Q3-CG77)</f>
        <v>31</v>
      </c>
      <c r="CJ77" s="30">
        <f>SUM(W3-W2)</f>
        <v>364</v>
      </c>
      <c r="CK77">
        <f>SUM(CH77-AC2)</f>
        <v>334</v>
      </c>
      <c r="CL77">
        <f>SUM(AI77/(CI77+CJ77+CK77))</f>
        <v>360.36213991769546</v>
      </c>
      <c r="CM77">
        <f>SUM(AK77/(CI77+CJ77+CK77))</f>
        <v>54.054869684499316</v>
      </c>
      <c r="CN77">
        <f>SUM(AS77/(CI77+CJ77+CK77))</f>
        <v>306.30727023319616</v>
      </c>
      <c r="CQ77" s="1520">
        <f t="shared" si="197"/>
        <v>262704</v>
      </c>
      <c r="CR77" s="1521">
        <f t="shared" si="198"/>
        <v>223298</v>
      </c>
    </row>
    <row r="78" spans="1:97" ht="29.25" customHeight="1" thickBot="1" x14ac:dyDescent="0.3">
      <c r="A78" s="383" t="str">
        <f>CONCATENATE('3 pr-2'!A79)</f>
        <v>1.1.2.2</v>
      </c>
      <c r="B78" s="182" t="str">
        <f>CONCATENATE('3 pr-2'!D79)</f>
        <v/>
      </c>
      <c r="C78" s="145">
        <f t="shared" ref="C78:J78" si="200">SUM(C79:C82)</f>
        <v>0</v>
      </c>
      <c r="D78" s="145">
        <f t="shared" si="200"/>
        <v>0</v>
      </c>
      <c r="E78" s="145">
        <f t="shared" si="200"/>
        <v>0</v>
      </c>
      <c r="F78" s="145"/>
      <c r="G78" s="145"/>
      <c r="H78" s="145"/>
      <c r="I78" s="145"/>
      <c r="J78" s="145">
        <f t="shared" si="200"/>
        <v>0</v>
      </c>
      <c r="K78" s="145">
        <f t="shared" ref="K78:L78" si="201">SUM(K79:K84)</f>
        <v>37182.800000000003</v>
      </c>
      <c r="L78" s="410">
        <f t="shared" si="201"/>
        <v>5577.42</v>
      </c>
      <c r="M78" s="410">
        <f t="shared" ref="M78:O78" si="202">SUM(M79:M82)</f>
        <v>0</v>
      </c>
      <c r="N78" s="410">
        <f t="shared" si="202"/>
        <v>0</v>
      </c>
      <c r="O78" s="410">
        <f t="shared" si="202"/>
        <v>0</v>
      </c>
      <c r="P78" s="145">
        <f t="shared" ref="P78:Q78" si="203">SUM(P79:P84)</f>
        <v>31605.38</v>
      </c>
      <c r="Q78" s="145">
        <f t="shared" si="203"/>
        <v>13455.199999999997</v>
      </c>
      <c r="R78" s="410"/>
      <c r="S78" s="410"/>
      <c r="T78" s="410"/>
      <c r="U78" s="410"/>
      <c r="V78" s="145">
        <f t="shared" ref="V78:W78" si="204">SUM(V79:V84)</f>
        <v>11436.919999999998</v>
      </c>
      <c r="W78" s="145">
        <f t="shared" si="204"/>
        <v>866381.48519686412</v>
      </c>
      <c r="X78" s="410"/>
      <c r="Y78" s="410"/>
      <c r="Z78" s="410"/>
      <c r="AA78" s="410"/>
      <c r="AB78" s="145">
        <f t="shared" ref="AB78:AC78" si="205">SUM(AB79:AB84)</f>
        <v>736424.2596283392</v>
      </c>
      <c r="AC78" s="145">
        <f t="shared" si="205"/>
        <v>977924.4048031359</v>
      </c>
      <c r="AD78" s="410"/>
      <c r="AE78" s="410"/>
      <c r="AF78" s="410"/>
      <c r="AG78" s="410"/>
      <c r="AH78" s="145">
        <f>SUM(AH79:AH84)</f>
        <v>831235.74037166091</v>
      </c>
      <c r="AI78" s="1183">
        <f>SUM(AI79:AI84)</f>
        <v>1894943.89</v>
      </c>
      <c r="AJ78" s="145"/>
      <c r="AK78" s="145"/>
      <c r="AL78" s="145"/>
      <c r="AM78" s="145"/>
      <c r="AN78" s="145"/>
      <c r="AO78" s="145"/>
      <c r="AP78" s="145"/>
      <c r="AQ78" s="145"/>
      <c r="AR78" s="145"/>
      <c r="AS78" s="145">
        <f>SUM(AS79:AS84)</f>
        <v>1610702.3</v>
      </c>
      <c r="AT78" s="145"/>
      <c r="AU78" s="21">
        <v>0</v>
      </c>
      <c r="AV78" s="21">
        <v>0</v>
      </c>
      <c r="AW78" s="21">
        <v>0</v>
      </c>
      <c r="AX78" s="145">
        <v>0</v>
      </c>
      <c r="AY78" s="145">
        <v>0</v>
      </c>
      <c r="AZ78" s="145">
        <v>0</v>
      </c>
      <c r="BA78" s="145">
        <v>0</v>
      </c>
      <c r="BB78" s="21">
        <v>0</v>
      </c>
      <c r="BC78" s="21">
        <v>0</v>
      </c>
      <c r="BD78" s="145">
        <v>0</v>
      </c>
      <c r="BE78" s="145">
        <v>0</v>
      </c>
      <c r="BF78" s="145">
        <v>0</v>
      </c>
      <c r="BG78" s="145">
        <v>0</v>
      </c>
      <c r="BH78" s="21">
        <v>0</v>
      </c>
      <c r="BI78" s="21">
        <v>20</v>
      </c>
      <c r="BJ78" s="145">
        <v>20</v>
      </c>
      <c r="BK78" s="145">
        <v>20</v>
      </c>
      <c r="BL78" s="145">
        <v>20</v>
      </c>
      <c r="BM78" s="145">
        <v>20</v>
      </c>
      <c r="BN78" s="21">
        <v>20</v>
      </c>
      <c r="BO78" s="21">
        <v>50</v>
      </c>
      <c r="BP78" s="145">
        <v>50</v>
      </c>
      <c r="BQ78" s="145">
        <v>50</v>
      </c>
      <c r="BR78" s="145">
        <v>50</v>
      </c>
      <c r="BS78" s="145">
        <v>50</v>
      </c>
      <c r="BT78" s="21">
        <v>50</v>
      </c>
      <c r="BU78" s="21">
        <v>30</v>
      </c>
      <c r="BV78" s="145">
        <v>30</v>
      </c>
      <c r="BW78" s="145">
        <v>30</v>
      </c>
      <c r="BX78" s="145">
        <v>30</v>
      </c>
      <c r="BY78" s="145">
        <v>30</v>
      </c>
      <c r="BZ78" s="21">
        <v>30</v>
      </c>
      <c r="CA78" s="23">
        <v>100</v>
      </c>
      <c r="CB78" s="145">
        <v>100</v>
      </c>
      <c r="CC78" s="145">
        <v>100</v>
      </c>
      <c r="CD78" s="145">
        <v>100</v>
      </c>
      <c r="CE78" s="145">
        <v>100</v>
      </c>
      <c r="CF78" s="555">
        <v>100</v>
      </c>
      <c r="CG78" s="561"/>
      <c r="CH78" s="561"/>
      <c r="CI78" s="561"/>
      <c r="CJ78" s="561"/>
      <c r="CK78" s="561"/>
      <c r="CL78" s="561"/>
      <c r="CM78" s="561" t="s">
        <v>1743</v>
      </c>
      <c r="CN78" s="561"/>
      <c r="CO78" s="561"/>
      <c r="CP78" s="561"/>
      <c r="CQ78" s="561"/>
      <c r="CR78" s="561" t="s">
        <v>1699</v>
      </c>
      <c r="CS78" s="561"/>
    </row>
    <row r="79" spans="1:97" ht="24.75" thickBot="1" x14ac:dyDescent="0.3">
      <c r="A79" s="43" t="str">
        <f>CONCATENATE('3 pr-2'!A80)</f>
        <v>1.1.2.2.1</v>
      </c>
      <c r="B79" s="34" t="str">
        <f>CONCATENATE('3 pr-2'!D80)</f>
        <v>Darnaus judumo priemonių diegimas Alytaus mieste</v>
      </c>
      <c r="C79" s="111">
        <f>SUM(AI79*AU79/CA79)</f>
        <v>0</v>
      </c>
      <c r="D79" s="111">
        <f t="shared" ref="D79:D81" si="206">SUM(AS79*AV79/CF79)</f>
        <v>0</v>
      </c>
      <c r="E79" s="111">
        <f>SUM(AI79*AW79/CA79)</f>
        <v>0</v>
      </c>
      <c r="F79" s="389">
        <f t="shared" ref="F79:F82" si="207">SUM(AK79*AX79/CB79)</f>
        <v>0</v>
      </c>
      <c r="G79" s="389">
        <f t="shared" ref="G79:G82" si="208">SUM(AM79*AY79/CC79)</f>
        <v>0</v>
      </c>
      <c r="H79" s="389">
        <f t="shared" ref="H79:H82" si="209">SUM(AO79*AZ79/CD79)</f>
        <v>0</v>
      </c>
      <c r="I79" s="389">
        <f t="shared" ref="I79:I82" si="210">SUM(AQ79*BA79/CE79)</f>
        <v>0</v>
      </c>
      <c r="J79" s="111">
        <f t="shared" ref="J79:J81" si="211">SUM(AS79*BB79/CF79)</f>
        <v>0</v>
      </c>
      <c r="K79" s="119">
        <f t="shared" ref="K79" si="212">SUM(L79:P79)</f>
        <v>0</v>
      </c>
      <c r="L79" s="405">
        <f>SUM('ketv. 7 lent'!N78)</f>
        <v>0</v>
      </c>
      <c r="M79" s="405">
        <f>SUM('ketv. 7 lent'!Q78)</f>
        <v>0</v>
      </c>
      <c r="N79" s="405">
        <f>SUM('ketv. 7 lent'!T78)</f>
        <v>0</v>
      </c>
      <c r="O79" s="405">
        <f>SUM('ketv. 7 lent'!W78)</f>
        <v>0</v>
      </c>
      <c r="P79" s="119">
        <f>SUM('ketv. 7 lent'!Z78)</f>
        <v>0</v>
      </c>
      <c r="Q79" s="111">
        <f>IF(YEAR($CG79)=2018,($BI$4-$CG79)*$AI79/($CH79-$CG79),0)</f>
        <v>0</v>
      </c>
      <c r="R79" s="389">
        <f>IF(YEAR($CG79)=2018,($BI$4-$CG79)*$AK79/($CH79-$CG79),0)</f>
        <v>0</v>
      </c>
      <c r="S79" s="389">
        <f>IF(YEAR($CG$74)=2018,($BI$4-$CG$74)*AM$74/($CH$74-$CG$74),0)</f>
        <v>0</v>
      </c>
      <c r="T79" s="389">
        <f>IF(YEAR($CG$74)=2018,($BI$4-$CG$74)*AO$74/($CH$74-$CG$74),0)</f>
        <v>0</v>
      </c>
      <c r="U79" s="389">
        <f>IF(YEAR($CG$74)=2018,($BI$4-$CG$74)*AQ$74/($CH$74-$CG$74),0)</f>
        <v>0</v>
      </c>
      <c r="V79" s="111">
        <f>IF(YEAR($CG$74)=2018,($BI$4-$CG$74)*AS$74/($CH$74-$CG$74),0)</f>
        <v>0</v>
      </c>
      <c r="W79" s="111">
        <f>SUM(X79:AB79)</f>
        <v>508983.44176829269</v>
      </c>
      <c r="X79" s="390">
        <f>SUM(CR79*CJ79)</f>
        <v>76347.517378048782</v>
      </c>
      <c r="Y79" s="390">
        <v>0</v>
      </c>
      <c r="Z79" s="390">
        <v>0</v>
      </c>
      <c r="AA79" s="390">
        <v>0</v>
      </c>
      <c r="AB79" s="111">
        <f>SUM(CM79*CJ79)</f>
        <v>432635.92439024389</v>
      </c>
      <c r="AC79" s="111">
        <f>SUM(AD79:AH79)</f>
        <v>634486.20823170734</v>
      </c>
      <c r="AD79" s="390">
        <f>SUM(CR79*CK79)</f>
        <v>95172.932621951215</v>
      </c>
      <c r="AE79" s="390">
        <v>0</v>
      </c>
      <c r="AF79" s="390">
        <v>0</v>
      </c>
      <c r="AG79" s="390">
        <v>0</v>
      </c>
      <c r="AH79" s="111">
        <f>SUM(CM79*CK79)</f>
        <v>539313.27560975612</v>
      </c>
      <c r="AI79" s="1176">
        <f>SUM('3 pr-2'!L80)</f>
        <v>1143469.6499999999</v>
      </c>
      <c r="AJ79" s="834">
        <f t="shared" ref="AJ79:AJ82" si="213">SUM(AI79-K79)</f>
        <v>1143469.6499999999</v>
      </c>
      <c r="AK79" s="389">
        <f>SUM('3 pr-2'!O80)</f>
        <v>171520.45</v>
      </c>
      <c r="AL79" s="839">
        <f t="shared" ref="AL79:AL98" si="214">SUM(AK79-L79)</f>
        <v>171520.45</v>
      </c>
      <c r="AM79" s="389">
        <f>SUM('3 pr-2'!R80)</f>
        <v>0</v>
      </c>
      <c r="AN79" s="839">
        <f t="shared" si="192"/>
        <v>0</v>
      </c>
      <c r="AO79" s="389">
        <f>SUM('3 pr-2'!U80)</f>
        <v>0</v>
      </c>
      <c r="AP79" s="839">
        <f t="shared" si="193"/>
        <v>0</v>
      </c>
      <c r="AQ79" s="389">
        <f>SUM('3 pr-2'!X80)</f>
        <v>0</v>
      </c>
      <c r="AR79" s="389"/>
      <c r="AS79" s="12">
        <f>SUM('3 pr-2'!AA80)</f>
        <v>971949.2</v>
      </c>
      <c r="AT79" s="839">
        <f t="shared" ref="AT79:AT82" si="215">SUM(AS79-P79)</f>
        <v>971949.2</v>
      </c>
      <c r="AU79" s="20">
        <v>0</v>
      </c>
      <c r="AV79" s="20">
        <v>0</v>
      </c>
      <c r="AW79" s="20">
        <v>0</v>
      </c>
      <c r="AX79" s="390">
        <v>0</v>
      </c>
      <c r="AY79" s="390">
        <v>0</v>
      </c>
      <c r="AZ79" s="390">
        <v>0</v>
      </c>
      <c r="BA79" s="390">
        <v>0</v>
      </c>
      <c r="BB79" s="20">
        <v>0</v>
      </c>
      <c r="BC79" s="20">
        <v>0</v>
      </c>
      <c r="BD79" s="390">
        <v>0</v>
      </c>
      <c r="BE79" s="390">
        <v>0</v>
      </c>
      <c r="BF79" s="390">
        <v>0</v>
      </c>
      <c r="BG79" s="390">
        <v>0</v>
      </c>
      <c r="BH79" s="20">
        <v>0</v>
      </c>
      <c r="BI79" s="20">
        <v>20</v>
      </c>
      <c r="BJ79" s="390">
        <v>20</v>
      </c>
      <c r="BK79" s="390">
        <v>20</v>
      </c>
      <c r="BL79" s="390">
        <v>20</v>
      </c>
      <c r="BM79" s="390">
        <v>20</v>
      </c>
      <c r="BN79" s="20">
        <v>20</v>
      </c>
      <c r="BO79" s="20">
        <v>50</v>
      </c>
      <c r="BP79" s="390">
        <v>50</v>
      </c>
      <c r="BQ79" s="390">
        <v>50</v>
      </c>
      <c r="BR79" s="390">
        <v>50</v>
      </c>
      <c r="BS79" s="390">
        <v>50</v>
      </c>
      <c r="BT79" s="20">
        <v>50</v>
      </c>
      <c r="BU79" s="20">
        <v>30</v>
      </c>
      <c r="BV79" s="390">
        <v>30</v>
      </c>
      <c r="BW79" s="390">
        <v>30</v>
      </c>
      <c r="BX79" s="390">
        <v>30</v>
      </c>
      <c r="BY79" s="390">
        <v>30</v>
      </c>
      <c r="BZ79" s="20">
        <v>30</v>
      </c>
      <c r="CA79" s="23">
        <v>100</v>
      </c>
      <c r="CB79" s="390">
        <v>100</v>
      </c>
      <c r="CC79" s="390">
        <v>100</v>
      </c>
      <c r="CD79" s="390">
        <v>100</v>
      </c>
      <c r="CE79" s="390">
        <v>100</v>
      </c>
      <c r="CF79" s="555">
        <v>100</v>
      </c>
      <c r="CG79" s="566">
        <f>SUM('3 pr-2'!AH80)</f>
        <v>43539</v>
      </c>
      <c r="CH79" s="566">
        <f>SUM('3 pr-2'!AJ80)</f>
        <v>44195</v>
      </c>
      <c r="CI79" s="563">
        <f>SUM(CH79-CG79)</f>
        <v>656</v>
      </c>
      <c r="CJ79" s="1487">
        <f>SUM($AC$2-CG79)</f>
        <v>292</v>
      </c>
      <c r="CK79" s="1488">
        <f>SUM(CH79-$AC$2)</f>
        <v>364</v>
      </c>
      <c r="CL79" s="563">
        <f>SUM(CJ79:CK79)</f>
        <v>656</v>
      </c>
      <c r="CM79" s="561">
        <f>SUM(AS79/CL79)</f>
        <v>1481.6298780487805</v>
      </c>
      <c r="CN79" s="561"/>
      <c r="CO79" s="561"/>
      <c r="CP79" s="561"/>
      <c r="CQ79" s="561"/>
      <c r="CR79" s="561">
        <f>SUM(AK79/CL79)</f>
        <v>261.46410060975609</v>
      </c>
      <c r="CS79" s="561"/>
    </row>
    <row r="80" spans="1:97" ht="29.25" customHeight="1" thickBot="1" x14ac:dyDescent="0.3">
      <c r="A80" s="43" t="str">
        <f>CONCATENATE('3 pr-2'!A81)</f>
        <v>1.1.2.2.2</v>
      </c>
      <c r="B80" s="34" t="str">
        <f>CONCATENATE('3 pr-2'!D81)</f>
        <v>Alytaus miesto darnaus judumo plano parengimas</v>
      </c>
      <c r="C80" s="111">
        <f>SUM(AI80*AU80/CA80)</f>
        <v>0</v>
      </c>
      <c r="D80" s="111">
        <f t="shared" si="206"/>
        <v>0</v>
      </c>
      <c r="E80" s="111">
        <f>SUM(AI80*AW80/CA80)</f>
        <v>0</v>
      </c>
      <c r="F80" s="389">
        <f t="shared" si="207"/>
        <v>0</v>
      </c>
      <c r="G80" s="389">
        <f t="shared" si="208"/>
        <v>0</v>
      </c>
      <c r="H80" s="389">
        <f t="shared" si="209"/>
        <v>0</v>
      </c>
      <c r="I80" s="389">
        <f t="shared" si="210"/>
        <v>0</v>
      </c>
      <c r="J80" s="111">
        <f t="shared" si="211"/>
        <v>0</v>
      </c>
      <c r="K80" s="119">
        <f t="shared" ref="K80:K82" si="216">SUM(L80:P80)</f>
        <v>20182.800000000003</v>
      </c>
      <c r="L80" s="405">
        <f>SUM('ketv. 7 lent'!N79)</f>
        <v>3027.42</v>
      </c>
      <c r="M80" s="405">
        <f>SUM('ketv. 7 lent'!Q79)</f>
        <v>0</v>
      </c>
      <c r="N80" s="405">
        <f>SUM('ketv. 7 lent'!T79)</f>
        <v>0</v>
      </c>
      <c r="O80" s="405">
        <f>SUM('ketv. 7 lent'!W79)</f>
        <v>0</v>
      </c>
      <c r="P80" s="119">
        <f>SUM('ketv. 7 lent'!Z79)</f>
        <v>17155.38</v>
      </c>
      <c r="Q80" s="111">
        <f>SUM(R80:V80)</f>
        <v>13455.199999999997</v>
      </c>
      <c r="R80" s="389">
        <f>SUM(AK80-L80)</f>
        <v>2018.2799999999997</v>
      </c>
      <c r="S80" s="405">
        <f t="shared" ref="S80:S82" si="217">SUM(AM80*BK80/CC80)</f>
        <v>0</v>
      </c>
      <c r="T80" s="405">
        <f t="shared" ref="T80:T82" si="218">SUM(AO80*BL80/CD80)</f>
        <v>0</v>
      </c>
      <c r="U80" s="405">
        <f t="shared" ref="U80:U82" si="219">SUM(AQ80*BM80/CE80)</f>
        <v>0</v>
      </c>
      <c r="V80" s="111">
        <f>SUM(AS80-P80)</f>
        <v>11436.919999999998</v>
      </c>
      <c r="W80" s="111">
        <f>SUM(AI80*BO80/CA80)</f>
        <v>0</v>
      </c>
      <c r="X80" s="422">
        <f t="shared" ref="X80:X82" si="220">SUM(AK80*BP80/CB80)</f>
        <v>0</v>
      </c>
      <c r="Y80" s="422">
        <f t="shared" ref="Y80:Y82" si="221">SUM(AM80*BQ80/CC80)</f>
        <v>0</v>
      </c>
      <c r="Z80" s="422">
        <f t="shared" ref="Z80:Z82" si="222">SUM(AO80*BR80/CD80)</f>
        <v>0</v>
      </c>
      <c r="AA80" s="422">
        <f t="shared" ref="AA80:AA82" si="223">SUM(AQ80*BS80/CE80)</f>
        <v>0</v>
      </c>
      <c r="AB80" s="111">
        <f t="shared" ref="AB80" si="224">SUM(AS80*BT80/CF80)</f>
        <v>0</v>
      </c>
      <c r="AC80" s="111">
        <f>SUM(AI80*BU80/CA80)</f>
        <v>0</v>
      </c>
      <c r="AD80" s="422">
        <f t="shared" ref="AD80:AD82" si="225">SUM(AK80*BV80/CB80)</f>
        <v>0</v>
      </c>
      <c r="AE80" s="422">
        <f t="shared" ref="AE80:AE82" si="226">SUM(AM80*BW80/CC80)</f>
        <v>0</v>
      </c>
      <c r="AF80" s="422">
        <f t="shared" ref="AF80:AF82" si="227">SUM(AO80*BX80/CD80)</f>
        <v>0</v>
      </c>
      <c r="AG80" s="422">
        <f t="shared" ref="AG80:AG82" si="228">SUM(AQ80*BY80/CE80)</f>
        <v>0</v>
      </c>
      <c r="AH80" s="111">
        <f t="shared" ref="AH80" si="229">SUM(AS80*BZ80/CF80)</f>
        <v>0</v>
      </c>
      <c r="AI80" s="1176">
        <f>SUM('3 pr-2'!L81)</f>
        <v>33638</v>
      </c>
      <c r="AJ80" s="834">
        <f t="shared" si="213"/>
        <v>13455.199999999997</v>
      </c>
      <c r="AK80" s="389">
        <f>SUM('3 pr-2'!O81)</f>
        <v>5045.7</v>
      </c>
      <c r="AL80" s="839">
        <f t="shared" si="214"/>
        <v>2018.2799999999997</v>
      </c>
      <c r="AM80" s="389">
        <f>SUM('3 pr-2'!R81)</f>
        <v>0</v>
      </c>
      <c r="AN80" s="839">
        <f t="shared" si="192"/>
        <v>0</v>
      </c>
      <c r="AO80" s="389">
        <f>SUM('3 pr-2'!U81)</f>
        <v>0</v>
      </c>
      <c r="AP80" s="839">
        <f t="shared" si="193"/>
        <v>0</v>
      </c>
      <c r="AQ80" s="389">
        <f>SUM('3 pr-2'!X81)</f>
        <v>0</v>
      </c>
      <c r="AR80" s="389"/>
      <c r="AS80" s="12">
        <f>SUM('3 pr-2'!AA81)</f>
        <v>28592.3</v>
      </c>
      <c r="AT80" s="839">
        <f t="shared" si="215"/>
        <v>11436.919999999998</v>
      </c>
      <c r="AU80" s="20">
        <v>0</v>
      </c>
      <c r="AV80" s="20">
        <v>0</v>
      </c>
      <c r="AW80" s="20">
        <v>0</v>
      </c>
      <c r="AX80" s="390">
        <v>0</v>
      </c>
      <c r="AY80" s="390">
        <v>0</v>
      </c>
      <c r="AZ80" s="390">
        <v>0</v>
      </c>
      <c r="BA80" s="390">
        <v>0</v>
      </c>
      <c r="BB80" s="20">
        <v>0</v>
      </c>
      <c r="BC80" s="20">
        <v>0</v>
      </c>
      <c r="BD80" s="390">
        <v>0</v>
      </c>
      <c r="BE80" s="390">
        <v>0</v>
      </c>
      <c r="BF80" s="390">
        <v>0</v>
      </c>
      <c r="BG80" s="390">
        <v>0</v>
      </c>
      <c r="BH80" s="20">
        <v>0</v>
      </c>
      <c r="BI80" s="20">
        <v>100</v>
      </c>
      <c r="BJ80" s="390">
        <v>100</v>
      </c>
      <c r="BK80" s="390">
        <v>100</v>
      </c>
      <c r="BL80" s="390">
        <v>100</v>
      </c>
      <c r="BM80" s="390">
        <v>100</v>
      </c>
      <c r="BN80" s="20">
        <v>100</v>
      </c>
      <c r="BO80" s="20">
        <v>0</v>
      </c>
      <c r="BP80" s="390">
        <v>0</v>
      </c>
      <c r="BQ80" s="390">
        <v>0</v>
      </c>
      <c r="BR80" s="390">
        <v>0</v>
      </c>
      <c r="BS80" s="390">
        <v>0</v>
      </c>
      <c r="BT80" s="20">
        <v>0</v>
      </c>
      <c r="BU80" s="20">
        <v>0</v>
      </c>
      <c r="BV80" s="390">
        <v>0</v>
      </c>
      <c r="BW80" s="390">
        <v>0</v>
      </c>
      <c r="BX80" s="390">
        <v>0</v>
      </c>
      <c r="BY80" s="390">
        <v>0</v>
      </c>
      <c r="BZ80" s="20">
        <v>0</v>
      </c>
      <c r="CA80" s="23">
        <v>100</v>
      </c>
      <c r="CB80" s="390">
        <v>100</v>
      </c>
      <c r="CC80" s="390">
        <v>100</v>
      </c>
      <c r="CD80" s="390">
        <v>100</v>
      </c>
      <c r="CE80" s="390">
        <v>100</v>
      </c>
      <c r="CF80" s="555">
        <v>100</v>
      </c>
      <c r="CG80" s="566">
        <f>SUM('3 pr-2'!AH81)</f>
        <v>42947</v>
      </c>
      <c r="CH80" s="566">
        <f>SUM('3 pr-2'!AJ81)</f>
        <v>43281</v>
      </c>
      <c r="CI80" s="563"/>
      <c r="CJ80" s="1487"/>
      <c r="CK80" s="1488"/>
      <c r="CL80" s="561"/>
      <c r="CM80" s="561"/>
      <c r="CN80" s="561"/>
      <c r="CO80" s="561"/>
      <c r="CP80" s="561"/>
      <c r="CQ80" s="561"/>
      <c r="CR80" s="561"/>
      <c r="CS80" s="561"/>
    </row>
    <row r="81" spans="1:97" s="58" customFormat="1" ht="29.25" customHeight="1" thickBot="1" x14ac:dyDescent="0.3">
      <c r="A81" s="1478" t="str">
        <f>CONCATENATE('3 pr-2'!A82)</f>
        <v>1.1.2.2.3</v>
      </c>
      <c r="B81" s="1479" t="str">
        <f>CONCATENATE('3 pr-2'!D82)</f>
        <v>Intelektinių transporto sistemų diegimas Druskininkuose</v>
      </c>
      <c r="C81" s="140">
        <f>SUM(AI81*AU81/CA81)</f>
        <v>0</v>
      </c>
      <c r="D81" s="140">
        <f t="shared" si="206"/>
        <v>0</v>
      </c>
      <c r="E81" s="140">
        <f>SUM(AI81*AW81/CA81)</f>
        <v>0</v>
      </c>
      <c r="F81" s="389">
        <f t="shared" si="207"/>
        <v>0</v>
      </c>
      <c r="G81" s="389">
        <f t="shared" si="208"/>
        <v>0</v>
      </c>
      <c r="H81" s="389">
        <f t="shared" si="209"/>
        <v>0</v>
      </c>
      <c r="I81" s="389">
        <f t="shared" si="210"/>
        <v>0</v>
      </c>
      <c r="J81" s="140">
        <f t="shared" si="211"/>
        <v>0</v>
      </c>
      <c r="K81" s="119">
        <f t="shared" si="216"/>
        <v>0</v>
      </c>
      <c r="L81" s="405">
        <f>SUM('ketv. 7 lent'!N80)</f>
        <v>0</v>
      </c>
      <c r="M81" s="405">
        <f>SUM('ketv. 7 lent'!Q80)</f>
        <v>0</v>
      </c>
      <c r="N81" s="405">
        <f>SUM('ketv. 7 lent'!T80)</f>
        <v>0</v>
      </c>
      <c r="O81" s="405">
        <f>SUM('ketv. 7 lent'!W80)</f>
        <v>0</v>
      </c>
      <c r="P81" s="119">
        <f>SUM('ketv. 7 lent'!Z80)</f>
        <v>0</v>
      </c>
      <c r="Q81" s="111">
        <f>IF(YEAR($CG$81)=2018,($W$2-$CG$81)*$AI$81/($CH$81-$CG$81),0)</f>
        <v>0</v>
      </c>
      <c r="R81" s="389">
        <f>IF(YEAR($CG$81)=2018,($W$2-$CG$81)*$AK$81/($CH$81-$CG$81),0)</f>
        <v>0</v>
      </c>
      <c r="S81" s="389">
        <f>IF(YEAR($CG$81)=2018,($W$2-$CG$81)*$AM$81/($CH$81-$CG$81),0)</f>
        <v>0</v>
      </c>
      <c r="T81" s="389">
        <f>IF(YEAR($CG$81)=2018,($W$2-$CG$81)*$AO$81/($CH$81-$CG$81),0)</f>
        <v>0</v>
      </c>
      <c r="U81" s="389">
        <f>IF(YEAR($CG$81)=2018,($W$2-$CG$81)*$AQ$81/($CH$81-$CG$81),0)</f>
        <v>0</v>
      </c>
      <c r="V81" s="111">
        <f>IF(YEAR($CG$81)=2018,($W$2-$CG$81)*$AT$81/($CH$81-$CG$81),0)</f>
        <v>0</v>
      </c>
      <c r="W81" s="111">
        <f>SUM(X81:AB81)</f>
        <v>67398.043428571429</v>
      </c>
      <c r="X81" s="390">
        <f>SUM(CR81*CJ81)</f>
        <v>10109.708190476189</v>
      </c>
      <c r="Y81" s="390">
        <v>0</v>
      </c>
      <c r="Z81" s="390">
        <v>0</v>
      </c>
      <c r="AA81" s="390">
        <v>0</v>
      </c>
      <c r="AB81" s="111">
        <f>SUM(CM81*CJ81)</f>
        <v>57288.335238095235</v>
      </c>
      <c r="AC81" s="111">
        <f>SUM(AD81:AH81)</f>
        <v>93438.196571428562</v>
      </c>
      <c r="AD81" s="390">
        <f>SUM(CR81*CK81)</f>
        <v>14015.731809523808</v>
      </c>
      <c r="AE81" s="390">
        <v>0</v>
      </c>
      <c r="AF81" s="390">
        <v>0</v>
      </c>
      <c r="AG81" s="390">
        <v>0</v>
      </c>
      <c r="AH81" s="111">
        <f>SUM(CM81*CK81)</f>
        <v>79422.464761904746</v>
      </c>
      <c r="AI81" s="1184">
        <f>SUM('3 pr-2'!L82)</f>
        <v>160836.24</v>
      </c>
      <c r="AJ81" s="834">
        <f t="shared" si="213"/>
        <v>160836.24</v>
      </c>
      <c r="AK81" s="389">
        <f>SUM('3 pr-2'!O82)</f>
        <v>24125.439999999999</v>
      </c>
      <c r="AL81" s="839">
        <f t="shared" si="214"/>
        <v>24125.439999999999</v>
      </c>
      <c r="AM81" s="389">
        <f>SUM('3 pr-2'!R82)</f>
        <v>0</v>
      </c>
      <c r="AN81" s="839">
        <f t="shared" si="192"/>
        <v>0</v>
      </c>
      <c r="AO81" s="389">
        <f>SUM('3 pr-2'!U82)</f>
        <v>0</v>
      </c>
      <c r="AP81" s="839">
        <f t="shared" si="193"/>
        <v>0</v>
      </c>
      <c r="AQ81" s="389">
        <f>SUM('3 pr-2'!X82)</f>
        <v>0</v>
      </c>
      <c r="AR81" s="389"/>
      <c r="AS81" s="31">
        <f>SUM('3 pr-2'!AA82)</f>
        <v>136710.79999999999</v>
      </c>
      <c r="AT81" s="839">
        <f t="shared" si="215"/>
        <v>136710.79999999999</v>
      </c>
      <c r="AU81" s="56">
        <v>0</v>
      </c>
      <c r="AV81" s="56">
        <v>0</v>
      </c>
      <c r="AW81" s="56">
        <v>0</v>
      </c>
      <c r="AX81" s="389">
        <v>0</v>
      </c>
      <c r="AY81" s="389">
        <v>0</v>
      </c>
      <c r="AZ81" s="389">
        <v>0</v>
      </c>
      <c r="BA81" s="389">
        <v>0</v>
      </c>
      <c r="BB81" s="56">
        <v>0</v>
      </c>
      <c r="BC81" s="56">
        <v>0</v>
      </c>
      <c r="BD81" s="389">
        <v>0</v>
      </c>
      <c r="BE81" s="389">
        <v>0</v>
      </c>
      <c r="BF81" s="389">
        <v>0</v>
      </c>
      <c r="BG81" s="389">
        <v>0</v>
      </c>
      <c r="BH81" s="56">
        <v>0</v>
      </c>
      <c r="BI81" s="56">
        <v>20</v>
      </c>
      <c r="BJ81" s="389">
        <v>20</v>
      </c>
      <c r="BK81" s="389">
        <v>20</v>
      </c>
      <c r="BL81" s="389">
        <v>20</v>
      </c>
      <c r="BM81" s="389">
        <v>20</v>
      </c>
      <c r="BN81" s="56">
        <v>20</v>
      </c>
      <c r="BO81" s="56">
        <v>50</v>
      </c>
      <c r="BP81" s="389">
        <v>50</v>
      </c>
      <c r="BQ81" s="389">
        <v>50</v>
      </c>
      <c r="BR81" s="389">
        <v>50</v>
      </c>
      <c r="BS81" s="389">
        <v>50</v>
      </c>
      <c r="BT81" s="56">
        <v>50</v>
      </c>
      <c r="BU81" s="56">
        <v>30</v>
      </c>
      <c r="BV81" s="389">
        <v>30</v>
      </c>
      <c r="BW81" s="389">
        <v>30</v>
      </c>
      <c r="BX81" s="389">
        <v>30</v>
      </c>
      <c r="BY81" s="389">
        <v>30</v>
      </c>
      <c r="BZ81" s="56">
        <v>30</v>
      </c>
      <c r="CA81" s="57">
        <v>100</v>
      </c>
      <c r="CB81" s="389">
        <v>100</v>
      </c>
      <c r="CC81" s="389">
        <v>100</v>
      </c>
      <c r="CD81" s="389">
        <v>100</v>
      </c>
      <c r="CE81" s="389">
        <v>100</v>
      </c>
      <c r="CF81" s="557">
        <v>100</v>
      </c>
      <c r="CG81" s="566">
        <f>SUM('3 pr-2'!AH82)</f>
        <v>43611</v>
      </c>
      <c r="CH81" s="566">
        <f>SUM('3 pr-2'!AJ82)</f>
        <v>44136</v>
      </c>
      <c r="CI81" s="563">
        <f>SUM(CH81-CG81)</f>
        <v>525</v>
      </c>
      <c r="CJ81" s="1487">
        <f>SUM($AC$2-CG81)</f>
        <v>220</v>
      </c>
      <c r="CK81" s="1488">
        <f>SUM(CH81-$AC$2)</f>
        <v>305</v>
      </c>
      <c r="CL81" s="563">
        <f>SUM(CJ81:CK81)</f>
        <v>525</v>
      </c>
      <c r="CM81" s="561">
        <f>SUM(AS81/CL81)</f>
        <v>260.40152380952378</v>
      </c>
      <c r="CN81" s="561"/>
      <c r="CO81" s="561"/>
      <c r="CP81" s="561"/>
      <c r="CQ81" s="561"/>
      <c r="CR81" s="561">
        <f>SUM(AK81/CL81)</f>
        <v>45.953219047619044</v>
      </c>
      <c r="CS81" s="56"/>
    </row>
    <row r="82" spans="1:97" ht="29.25" customHeight="1" thickBot="1" x14ac:dyDescent="0.3">
      <c r="A82" s="43" t="str">
        <f>CONCATENATE('3 pr-2'!A83)</f>
        <v>1.1.2.2.4</v>
      </c>
      <c r="B82" s="34" t="str">
        <f>CONCATENATE('3 pr-2'!D83)</f>
        <v>Darnaus judumo plano Druskininkuose parengimas</v>
      </c>
      <c r="C82" s="140">
        <f>SUM(AI82*AU82/CA82)</f>
        <v>0</v>
      </c>
      <c r="D82" s="140">
        <f t="shared" ref="D82" si="230">SUM(AS82*AV82/CF82)</f>
        <v>0</v>
      </c>
      <c r="E82" s="140">
        <f>SUM(AI82*AW82/CA82)</f>
        <v>0</v>
      </c>
      <c r="F82" s="389">
        <f t="shared" si="207"/>
        <v>0</v>
      </c>
      <c r="G82" s="389">
        <f t="shared" si="208"/>
        <v>0</v>
      </c>
      <c r="H82" s="389">
        <f t="shared" si="209"/>
        <v>0</v>
      </c>
      <c r="I82" s="389">
        <f t="shared" si="210"/>
        <v>0</v>
      </c>
      <c r="J82" s="140">
        <f t="shared" ref="J82" si="231">SUM(AS82*BB82/CF82)</f>
        <v>0</v>
      </c>
      <c r="K82" s="119">
        <f t="shared" si="216"/>
        <v>17000</v>
      </c>
      <c r="L82" s="405">
        <f>SUM('ketv. 7 lent'!N81)</f>
        <v>2550</v>
      </c>
      <c r="M82" s="405">
        <f>SUM('ketv. 7 lent'!Q81)</f>
        <v>0</v>
      </c>
      <c r="N82" s="405">
        <f>SUM('ketv. 7 lent'!T81)</f>
        <v>0</v>
      </c>
      <c r="O82" s="405">
        <f>SUM('ketv. 7 lent'!W81)</f>
        <v>0</v>
      </c>
      <c r="P82" s="119">
        <f>SUM('ketv. 7 lent'!Z81)</f>
        <v>14450</v>
      </c>
      <c r="Q82" s="140">
        <f>SUM(AI82*BI82/CA82)</f>
        <v>0</v>
      </c>
      <c r="R82" s="405">
        <f>SUM(AK82*BJ82/CB82)</f>
        <v>0</v>
      </c>
      <c r="S82" s="405">
        <f t="shared" si="217"/>
        <v>0</v>
      </c>
      <c r="T82" s="405">
        <f t="shared" si="218"/>
        <v>0</v>
      </c>
      <c r="U82" s="405">
        <f t="shared" si="219"/>
        <v>0</v>
      </c>
      <c r="V82" s="140">
        <f t="shared" ref="V82" si="232">SUM(AS82*BN82/CF82)</f>
        <v>0</v>
      </c>
      <c r="W82" s="140">
        <f>SUM(AI82*BO82/CA82)</f>
        <v>0</v>
      </c>
      <c r="X82" s="405">
        <f t="shared" si="220"/>
        <v>0</v>
      </c>
      <c r="Y82" s="405">
        <f t="shared" si="221"/>
        <v>0</v>
      </c>
      <c r="Z82" s="405">
        <f t="shared" si="222"/>
        <v>0</v>
      </c>
      <c r="AA82" s="405">
        <f t="shared" si="223"/>
        <v>0</v>
      </c>
      <c r="AB82" s="140">
        <f t="shared" ref="AB82" si="233">SUM(AS82*BT82/CF82)</f>
        <v>0</v>
      </c>
      <c r="AC82" s="140">
        <f>SUM(AI82*BU82/CA82)</f>
        <v>0</v>
      </c>
      <c r="AD82" s="405">
        <f t="shared" si="225"/>
        <v>0</v>
      </c>
      <c r="AE82" s="405">
        <f t="shared" si="226"/>
        <v>0</v>
      </c>
      <c r="AF82" s="405">
        <f t="shared" si="227"/>
        <v>0</v>
      </c>
      <c r="AG82" s="405">
        <f t="shared" si="228"/>
        <v>0</v>
      </c>
      <c r="AH82" s="140">
        <f t="shared" ref="AH82" si="234">SUM(AS82*BZ82/CF82)</f>
        <v>0</v>
      </c>
      <c r="AI82" s="1184">
        <f>SUM('3 pr-2'!L83)</f>
        <v>17000</v>
      </c>
      <c r="AJ82" s="834">
        <f t="shared" si="213"/>
        <v>0</v>
      </c>
      <c r="AK82" s="389">
        <f>SUM('3 pr-2'!O83)</f>
        <v>2550</v>
      </c>
      <c r="AL82" s="839">
        <f t="shared" si="214"/>
        <v>0</v>
      </c>
      <c r="AM82" s="389">
        <f>SUM('3 pr-2'!R83)</f>
        <v>0</v>
      </c>
      <c r="AN82" s="839">
        <f t="shared" si="192"/>
        <v>0</v>
      </c>
      <c r="AO82" s="389">
        <f>SUM('3 pr-2'!U83)</f>
        <v>0</v>
      </c>
      <c r="AP82" s="839">
        <f t="shared" si="193"/>
        <v>0</v>
      </c>
      <c r="AQ82" s="389">
        <f>SUM('3 pr-2'!X83)</f>
        <v>0</v>
      </c>
      <c r="AR82" s="389"/>
      <c r="AS82" s="31">
        <f>SUM('3 pr-2'!AA83)</f>
        <v>14450</v>
      </c>
      <c r="AT82" s="839">
        <f t="shared" si="215"/>
        <v>0</v>
      </c>
      <c r="AU82" s="20">
        <v>0</v>
      </c>
      <c r="AV82" s="20">
        <v>0</v>
      </c>
      <c r="AW82" s="20">
        <v>0</v>
      </c>
      <c r="AX82" s="389">
        <v>0</v>
      </c>
      <c r="AY82" s="389">
        <v>0</v>
      </c>
      <c r="AZ82" s="389">
        <v>0</v>
      </c>
      <c r="BA82" s="389">
        <v>0</v>
      </c>
      <c r="BB82" s="20">
        <v>0</v>
      </c>
      <c r="BC82" s="20">
        <v>100</v>
      </c>
      <c r="BD82" s="389">
        <v>100</v>
      </c>
      <c r="BE82" s="389">
        <v>100</v>
      </c>
      <c r="BF82" s="389">
        <v>100</v>
      </c>
      <c r="BG82" s="389">
        <v>100</v>
      </c>
      <c r="BH82" s="20">
        <v>100</v>
      </c>
      <c r="BI82" s="20">
        <v>0</v>
      </c>
      <c r="BJ82" s="389">
        <v>0</v>
      </c>
      <c r="BK82" s="389">
        <v>0</v>
      </c>
      <c r="BL82" s="389">
        <v>0</v>
      </c>
      <c r="BM82" s="389">
        <v>0</v>
      </c>
      <c r="BN82" s="20">
        <v>0</v>
      </c>
      <c r="BO82" s="20">
        <v>0</v>
      </c>
      <c r="BP82" s="389">
        <v>0</v>
      </c>
      <c r="BQ82" s="389">
        <v>0</v>
      </c>
      <c r="BR82" s="389">
        <v>0</v>
      </c>
      <c r="BS82" s="389">
        <v>0</v>
      </c>
      <c r="BT82" s="20">
        <v>0</v>
      </c>
      <c r="BU82" s="20">
        <v>0</v>
      </c>
      <c r="BV82" s="389">
        <v>0</v>
      </c>
      <c r="BW82" s="389">
        <v>0</v>
      </c>
      <c r="BX82" s="389">
        <v>0</v>
      </c>
      <c r="BY82" s="389">
        <v>0</v>
      </c>
      <c r="BZ82" s="20">
        <v>0</v>
      </c>
      <c r="CA82" s="23">
        <v>100</v>
      </c>
      <c r="CB82" s="389">
        <v>100</v>
      </c>
      <c r="CC82" s="389">
        <v>100</v>
      </c>
      <c r="CD82" s="389">
        <v>100</v>
      </c>
      <c r="CE82" s="389">
        <v>100</v>
      </c>
      <c r="CF82" s="555">
        <v>100</v>
      </c>
      <c r="CG82" s="566">
        <f>SUM('3 pr-2'!AH83)</f>
        <v>42825</v>
      </c>
      <c r="CH82" s="566">
        <f>SUM('3 pr-2'!AJ83)</f>
        <v>43100</v>
      </c>
      <c r="CI82" s="563"/>
      <c r="CJ82" s="1487"/>
      <c r="CK82" s="1488"/>
      <c r="CL82" s="561"/>
      <c r="CM82" s="561"/>
      <c r="CN82" s="561"/>
      <c r="CO82" s="561"/>
      <c r="CP82" s="561"/>
      <c r="CQ82" s="561"/>
      <c r="CR82" s="561"/>
      <c r="CS82" s="561"/>
    </row>
    <row r="83" spans="1:97" ht="29.25" customHeight="1" thickBot="1" x14ac:dyDescent="0.3">
      <c r="A83" s="1478" t="str">
        <f>CONCATENATE('3 pr-2'!A84)</f>
        <v>1.1.2.2.5</v>
      </c>
      <c r="B83" s="1479" t="str">
        <f>CONCATENATE('3 pr-2'!D84)</f>
        <v>Viešojo transporto organizavimo tobulinimas rekonstruojant Druskininkų miesto gatvių infrastruktūrą</v>
      </c>
      <c r="C83" s="140">
        <v>0</v>
      </c>
      <c r="D83" s="140">
        <v>0</v>
      </c>
      <c r="E83" s="140">
        <v>0</v>
      </c>
      <c r="F83" s="389">
        <v>0</v>
      </c>
      <c r="G83" s="389">
        <v>0</v>
      </c>
      <c r="H83" s="389">
        <v>0</v>
      </c>
      <c r="I83" s="389">
        <v>0</v>
      </c>
      <c r="J83" s="140">
        <v>0</v>
      </c>
      <c r="K83" s="119">
        <v>0</v>
      </c>
      <c r="L83" s="405">
        <v>0</v>
      </c>
      <c r="M83" s="405">
        <v>0</v>
      </c>
      <c r="N83" s="405">
        <v>0</v>
      </c>
      <c r="O83" s="405">
        <v>0</v>
      </c>
      <c r="P83" s="119">
        <v>0</v>
      </c>
      <c r="Q83" s="140">
        <v>0</v>
      </c>
      <c r="R83" s="405">
        <v>0</v>
      </c>
      <c r="S83" s="405">
        <v>0</v>
      </c>
      <c r="T83" s="405">
        <v>0</v>
      </c>
      <c r="U83" s="405">
        <v>0</v>
      </c>
      <c r="V83" s="140">
        <v>0</v>
      </c>
      <c r="W83" s="140">
        <f>SUM(AI83)</f>
        <v>290000</v>
      </c>
      <c r="X83" s="405">
        <f>SUM(AK83)</f>
        <v>43500</v>
      </c>
      <c r="Y83" s="405">
        <f>SUM(AM83)</f>
        <v>0</v>
      </c>
      <c r="Z83" s="405">
        <f>SUM(AO83)</f>
        <v>0</v>
      </c>
      <c r="AA83" s="405">
        <f>SUM(AQ83)</f>
        <v>0</v>
      </c>
      <c r="AB83" s="140">
        <f>SUM(AS83)</f>
        <v>246500</v>
      </c>
      <c r="AC83" s="140">
        <v>0</v>
      </c>
      <c r="AD83" s="405">
        <v>0</v>
      </c>
      <c r="AE83" s="405">
        <v>0</v>
      </c>
      <c r="AF83" s="405">
        <v>0</v>
      </c>
      <c r="AG83" s="405">
        <v>0</v>
      </c>
      <c r="AH83" s="140">
        <v>0</v>
      </c>
      <c r="AI83" s="1184">
        <f>SUM('3 pr-2'!L84)</f>
        <v>290000</v>
      </c>
      <c r="AJ83" s="834"/>
      <c r="AK83" s="389">
        <f>SUM('3 pr-2'!O84)</f>
        <v>43500</v>
      </c>
      <c r="AL83" s="839"/>
      <c r="AM83" s="389">
        <f>SUM('3 pr-2'!R84)</f>
        <v>0</v>
      </c>
      <c r="AN83" s="839"/>
      <c r="AO83" s="389">
        <f>SUM('3 pr-2'!U84)</f>
        <v>0</v>
      </c>
      <c r="AP83" s="839"/>
      <c r="AQ83" s="389">
        <f>SUM('3 pr-2'!X84)</f>
        <v>0</v>
      </c>
      <c r="AR83" s="389"/>
      <c r="AS83" s="31">
        <f>SUM('3 pr-2'!AA84)</f>
        <v>246500</v>
      </c>
      <c r="AT83" s="1481"/>
      <c r="AU83" s="1480"/>
      <c r="AV83" s="20"/>
      <c r="AW83" s="20"/>
      <c r="AX83" s="389"/>
      <c r="AY83" s="389"/>
      <c r="AZ83" s="389"/>
      <c r="BA83" s="389"/>
      <c r="BB83" s="20"/>
      <c r="BC83" s="20"/>
      <c r="BD83" s="389"/>
      <c r="BE83" s="389"/>
      <c r="BF83" s="389"/>
      <c r="BG83" s="389"/>
      <c r="BH83" s="20"/>
      <c r="BI83" s="20"/>
      <c r="BJ83" s="389"/>
      <c r="BK83" s="389"/>
      <c r="BL83" s="389"/>
      <c r="BM83" s="389"/>
      <c r="BN83" s="20"/>
      <c r="BO83" s="20"/>
      <c r="BP83" s="389"/>
      <c r="BQ83" s="389"/>
      <c r="BR83" s="389"/>
      <c r="BS83" s="389"/>
      <c r="BT83" s="20"/>
      <c r="BU83" s="20"/>
      <c r="BV83" s="389"/>
      <c r="BW83" s="389"/>
      <c r="BX83" s="389"/>
      <c r="BY83" s="389"/>
      <c r="BZ83" s="20"/>
      <c r="CA83" s="23"/>
      <c r="CB83" s="389"/>
      <c r="CC83" s="389"/>
      <c r="CD83" s="389"/>
      <c r="CE83" s="389"/>
      <c r="CF83" s="555"/>
      <c r="CG83" s="566">
        <f>SUM('3 pr-2'!AH84)</f>
        <v>43524</v>
      </c>
      <c r="CH83" s="566">
        <f>SUM('3 pr-2'!AJ84)</f>
        <v>43800</v>
      </c>
      <c r="CI83" s="563"/>
      <c r="CJ83" s="1487"/>
      <c r="CK83" s="1488"/>
      <c r="CL83" s="561"/>
      <c r="CM83" s="561"/>
      <c r="CN83" s="561"/>
      <c r="CO83" s="561"/>
      <c r="CP83" s="561"/>
      <c r="CQ83" s="561"/>
      <c r="CR83" s="561"/>
      <c r="CS83" s="561"/>
    </row>
    <row r="84" spans="1:97" ht="29.25" customHeight="1" thickBot="1" x14ac:dyDescent="0.3">
      <c r="A84" s="1478" t="str">
        <f>CONCATENATE('3 pr-2'!A85)</f>
        <v>1.1.2.2.6</v>
      </c>
      <c r="B84" s="1479" t="str">
        <f>CONCATENATE('3 pr-2'!D85)</f>
        <v>Vandens transporto infrastruktūros įrengimas skatinant kitų rūšių transportą</v>
      </c>
      <c r="C84" s="140">
        <v>0</v>
      </c>
      <c r="D84" s="140">
        <v>0</v>
      </c>
      <c r="E84" s="140">
        <v>0</v>
      </c>
      <c r="F84" s="389">
        <v>0</v>
      </c>
      <c r="G84" s="389">
        <v>0</v>
      </c>
      <c r="H84" s="389">
        <v>0</v>
      </c>
      <c r="I84" s="389">
        <v>0</v>
      </c>
      <c r="J84" s="140">
        <v>0</v>
      </c>
      <c r="K84" s="119">
        <v>0</v>
      </c>
      <c r="L84" s="405">
        <v>0</v>
      </c>
      <c r="M84" s="405">
        <v>0</v>
      </c>
      <c r="N84" s="405">
        <v>0</v>
      </c>
      <c r="O84" s="405">
        <v>0</v>
      </c>
      <c r="P84" s="119">
        <v>0</v>
      </c>
      <c r="Q84" s="140">
        <v>0</v>
      </c>
      <c r="R84" s="405">
        <v>0</v>
      </c>
      <c r="S84" s="405">
        <v>0</v>
      </c>
      <c r="T84" s="405">
        <v>0</v>
      </c>
      <c r="U84" s="405">
        <v>0</v>
      </c>
      <c r="V84" s="140">
        <v>0</v>
      </c>
      <c r="W84" s="140">
        <v>0</v>
      </c>
      <c r="X84" s="405">
        <v>0</v>
      </c>
      <c r="Y84" s="405">
        <v>0</v>
      </c>
      <c r="Z84" s="405">
        <v>0</v>
      </c>
      <c r="AA84" s="405">
        <v>0</v>
      </c>
      <c r="AB84" s="140">
        <v>0</v>
      </c>
      <c r="AC84" s="140">
        <f>SUM(AI84)</f>
        <v>250000</v>
      </c>
      <c r="AD84" s="405">
        <f>SUM(AK84)</f>
        <v>37500</v>
      </c>
      <c r="AE84" s="405">
        <f>SUM(AM84)</f>
        <v>0</v>
      </c>
      <c r="AF84" s="405">
        <f>SUM(AO84)</f>
        <v>0</v>
      </c>
      <c r="AG84" s="405">
        <f>SUM(AQ84)</f>
        <v>0</v>
      </c>
      <c r="AH84" s="140">
        <f>SUM(AS84)</f>
        <v>212500</v>
      </c>
      <c r="AI84" s="1184">
        <f>SUM('3 pr-2'!L85)</f>
        <v>250000</v>
      </c>
      <c r="AJ84" s="834"/>
      <c r="AK84" s="389">
        <f>SUM('3 pr-2'!O85)</f>
        <v>37500</v>
      </c>
      <c r="AL84" s="839"/>
      <c r="AM84" s="389">
        <f>SUM('3 pr-2'!R85)</f>
        <v>0</v>
      </c>
      <c r="AN84" s="839"/>
      <c r="AO84" s="389">
        <f>SUM('3 pr-2'!U85)</f>
        <v>0</v>
      </c>
      <c r="AP84" s="839"/>
      <c r="AQ84" s="389">
        <f>SUM('3 pr-2'!X85)</f>
        <v>0</v>
      </c>
      <c r="AR84" s="389"/>
      <c r="AS84" s="31">
        <f>SUM('3 pr-2'!AA85)</f>
        <v>212500</v>
      </c>
      <c r="AT84" s="1481"/>
      <c r="AU84" s="1480"/>
      <c r="AV84" s="20"/>
      <c r="AW84" s="20"/>
      <c r="AX84" s="389"/>
      <c r="AY84" s="389"/>
      <c r="AZ84" s="389"/>
      <c r="BA84" s="389"/>
      <c r="BB84" s="20"/>
      <c r="BC84" s="20"/>
      <c r="BD84" s="389"/>
      <c r="BE84" s="389"/>
      <c r="BF84" s="389"/>
      <c r="BG84" s="389"/>
      <c r="BH84" s="20"/>
      <c r="BI84" s="20"/>
      <c r="BJ84" s="389"/>
      <c r="BK84" s="389"/>
      <c r="BL84" s="389"/>
      <c r="BM84" s="389"/>
      <c r="BN84" s="20"/>
      <c r="BO84" s="20"/>
      <c r="BP84" s="389"/>
      <c r="BQ84" s="389"/>
      <c r="BR84" s="389"/>
      <c r="BS84" s="389"/>
      <c r="BT84" s="20"/>
      <c r="BU84" s="20"/>
      <c r="BV84" s="389"/>
      <c r="BW84" s="389"/>
      <c r="BX84" s="389"/>
      <c r="BY84" s="389"/>
      <c r="BZ84" s="20"/>
      <c r="CA84" s="23"/>
      <c r="CB84" s="389"/>
      <c r="CC84" s="389"/>
      <c r="CD84" s="389"/>
      <c r="CE84" s="389"/>
      <c r="CF84" s="555"/>
      <c r="CG84" s="566">
        <f>SUM('3 pr-2'!AH85)</f>
        <v>43797</v>
      </c>
      <c r="CH84" s="566">
        <f>SUM('3 pr-2'!AJ85)</f>
        <v>44501</v>
      </c>
      <c r="CI84" s="563"/>
      <c r="CJ84" s="1487"/>
      <c r="CK84" s="1488"/>
      <c r="CL84" s="561"/>
      <c r="CM84" s="561"/>
      <c r="CN84" s="561"/>
      <c r="CO84" s="561"/>
      <c r="CP84" s="561"/>
      <c r="CQ84" s="561"/>
      <c r="CR84" s="561"/>
      <c r="CS84" s="561"/>
    </row>
    <row r="85" spans="1:97" ht="39.75" thickBot="1" x14ac:dyDescent="0.3">
      <c r="A85" s="383" t="str">
        <f>CONCATENATE('3 pr-2'!A86)</f>
        <v>1.1.2.3</v>
      </c>
      <c r="B85" s="182" t="str">
        <f>CONCATENATE('3 pr-2'!D86)</f>
        <v/>
      </c>
      <c r="C85" s="145">
        <f>SUM(C86:C90)</f>
        <v>0</v>
      </c>
      <c r="D85" s="145">
        <f>SUM(D86:D90)</f>
        <v>0</v>
      </c>
      <c r="E85" s="145">
        <f>SUM(E86:E90)</f>
        <v>0</v>
      </c>
      <c r="F85" s="145"/>
      <c r="G85" s="145"/>
      <c r="H85" s="145"/>
      <c r="I85" s="145"/>
      <c r="J85" s="145">
        <f t="shared" ref="J85:U85" si="235">SUM(J86:J90)</f>
        <v>0</v>
      </c>
      <c r="K85" s="145">
        <f t="shared" si="235"/>
        <v>48895.060000000005</v>
      </c>
      <c r="L85" s="145">
        <f t="shared" si="235"/>
        <v>7334.26</v>
      </c>
      <c r="M85" s="145">
        <f t="shared" si="235"/>
        <v>0</v>
      </c>
      <c r="N85" s="145">
        <f t="shared" si="235"/>
        <v>0</v>
      </c>
      <c r="O85" s="145">
        <f t="shared" si="235"/>
        <v>0</v>
      </c>
      <c r="P85" s="145">
        <f t="shared" si="235"/>
        <v>41560.800000000003</v>
      </c>
      <c r="Q85" s="145">
        <f t="shared" si="235"/>
        <v>421612.69637110014</v>
      </c>
      <c r="R85" s="145">
        <f t="shared" si="235"/>
        <v>76898.612889983575</v>
      </c>
      <c r="S85" s="145">
        <f t="shared" si="235"/>
        <v>0</v>
      </c>
      <c r="T85" s="145">
        <f t="shared" si="235"/>
        <v>0</v>
      </c>
      <c r="U85" s="145">
        <f t="shared" si="235"/>
        <v>0</v>
      </c>
      <c r="V85" s="145">
        <f>SUM(V86:V90)</f>
        <v>344714.08348111657</v>
      </c>
      <c r="W85" s="145">
        <f>SUM(W86:W90)</f>
        <v>40329.313628899836</v>
      </c>
      <c r="X85" s="145"/>
      <c r="Y85" s="145"/>
      <c r="Z85" s="145"/>
      <c r="AA85" s="145"/>
      <c r="AB85" s="145">
        <f>SUM(AB86:AB90)</f>
        <v>29448.676518883414</v>
      </c>
      <c r="AC85" s="145">
        <f>SUM(AC86:AC90)</f>
        <v>0</v>
      </c>
      <c r="AD85" s="145"/>
      <c r="AE85" s="145"/>
      <c r="AF85" s="145"/>
      <c r="AG85" s="145"/>
      <c r="AH85" s="145">
        <f>SUM(AH86:AH90)</f>
        <v>0</v>
      </c>
      <c r="AI85" s="1183">
        <f>SUM(AI86:AI90)</f>
        <v>510837.07</v>
      </c>
      <c r="AJ85" s="145"/>
      <c r="AK85" s="145"/>
      <c r="AL85" s="145"/>
      <c r="AM85" s="145"/>
      <c r="AN85" s="145"/>
      <c r="AO85" s="145"/>
      <c r="AP85" s="145"/>
      <c r="AQ85" s="145"/>
      <c r="AR85" s="145"/>
      <c r="AS85" s="145">
        <f>SUM(AS86:AS90)</f>
        <v>415723.56</v>
      </c>
      <c r="AT85" s="815"/>
      <c r="AU85" s="20">
        <v>0</v>
      </c>
      <c r="AV85" s="20">
        <v>0</v>
      </c>
      <c r="AW85" s="20">
        <v>10</v>
      </c>
      <c r="AX85" s="145">
        <v>10</v>
      </c>
      <c r="AY85" s="145">
        <v>10</v>
      </c>
      <c r="AZ85" s="145">
        <v>10</v>
      </c>
      <c r="BA85" s="145">
        <v>10</v>
      </c>
      <c r="BB85" s="20">
        <v>10</v>
      </c>
      <c r="BC85" s="20">
        <v>25</v>
      </c>
      <c r="BD85" s="145">
        <v>25</v>
      </c>
      <c r="BE85" s="145">
        <v>25</v>
      </c>
      <c r="BF85" s="145">
        <v>25</v>
      </c>
      <c r="BG85" s="145">
        <v>25</v>
      </c>
      <c r="BH85" s="20">
        <v>25</v>
      </c>
      <c r="BI85" s="20">
        <v>30</v>
      </c>
      <c r="BJ85" s="145">
        <v>30</v>
      </c>
      <c r="BK85" s="145">
        <v>30</v>
      </c>
      <c r="BL85" s="145">
        <v>30</v>
      </c>
      <c r="BM85" s="145">
        <v>30</v>
      </c>
      <c r="BN85" s="20">
        <v>30</v>
      </c>
      <c r="BO85" s="20">
        <v>20</v>
      </c>
      <c r="BP85" s="145">
        <v>20</v>
      </c>
      <c r="BQ85" s="145">
        <v>20</v>
      </c>
      <c r="BR85" s="145">
        <v>20</v>
      </c>
      <c r="BS85" s="145">
        <v>20</v>
      </c>
      <c r="BT85" s="20">
        <v>20</v>
      </c>
      <c r="BU85" s="20">
        <v>15</v>
      </c>
      <c r="BV85" s="145">
        <v>15</v>
      </c>
      <c r="BW85" s="145">
        <v>15</v>
      </c>
      <c r="BX85" s="145">
        <v>15</v>
      </c>
      <c r="BY85" s="145">
        <v>15</v>
      </c>
      <c r="BZ85" s="20">
        <v>15</v>
      </c>
      <c r="CA85" s="23">
        <v>100</v>
      </c>
      <c r="CB85" s="145">
        <v>100</v>
      </c>
      <c r="CC85" s="145">
        <v>100</v>
      </c>
      <c r="CD85" s="145">
        <v>100</v>
      </c>
      <c r="CE85" s="145">
        <v>100</v>
      </c>
      <c r="CF85" s="555">
        <v>100</v>
      </c>
      <c r="CG85" s="561"/>
      <c r="CH85" s="561"/>
    </row>
    <row r="86" spans="1:97" ht="36.75" thickBot="1" x14ac:dyDescent="0.3">
      <c r="A86" s="43" t="str">
        <f>CONCATENATE('3 pr-2'!A87)</f>
        <v>1.1.2.3.1</v>
      </c>
      <c r="B86" s="34" t="str">
        <f>CONCATENATE('3 pr-2'!D87)</f>
        <v>Dviračių ir pėsčiųjų takų įrengimas Varėnos miesto J. Basanavičiaus ir Žiedo gatvėse</v>
      </c>
      <c r="C86" s="111">
        <v>0</v>
      </c>
      <c r="D86" s="111">
        <v>0</v>
      </c>
      <c r="E86" s="111">
        <v>0</v>
      </c>
      <c r="F86" s="389">
        <v>0</v>
      </c>
      <c r="G86" s="389">
        <v>0</v>
      </c>
      <c r="H86" s="389">
        <v>0</v>
      </c>
      <c r="I86" s="389">
        <v>0</v>
      </c>
      <c r="J86" s="111">
        <v>0</v>
      </c>
      <c r="K86" s="567">
        <v>0</v>
      </c>
      <c r="L86" s="405">
        <v>0</v>
      </c>
      <c r="M86" s="405">
        <v>0</v>
      </c>
      <c r="N86" s="405">
        <v>0</v>
      </c>
      <c r="O86" s="405">
        <v>0</v>
      </c>
      <c r="P86" s="111">
        <v>0</v>
      </c>
      <c r="Q86" s="111">
        <f>SUM(AI86)</f>
        <v>95080</v>
      </c>
      <c r="R86" s="405">
        <f>SUM(AL86)</f>
        <v>14270</v>
      </c>
      <c r="S86" s="405">
        <v>0</v>
      </c>
      <c r="T86" s="405">
        <v>0</v>
      </c>
      <c r="U86" s="405">
        <v>0</v>
      </c>
      <c r="V86" s="111">
        <f>AS86</f>
        <v>80810</v>
      </c>
      <c r="W86" s="111">
        <v>0</v>
      </c>
      <c r="X86" s="422">
        <v>0</v>
      </c>
      <c r="Y86" s="422">
        <v>0</v>
      </c>
      <c r="Z86" s="422">
        <v>0</v>
      </c>
      <c r="AA86" s="422">
        <v>0</v>
      </c>
      <c r="AB86" s="111">
        <v>0</v>
      </c>
      <c r="AC86" s="111">
        <v>0</v>
      </c>
      <c r="AD86" s="422">
        <v>0</v>
      </c>
      <c r="AE86" s="422">
        <v>0</v>
      </c>
      <c r="AF86" s="422">
        <v>0</v>
      </c>
      <c r="AG86" s="422">
        <v>0</v>
      </c>
      <c r="AH86" s="111">
        <v>0</v>
      </c>
      <c r="AI86" s="1174">
        <f>SUM('3 pr-2'!L87)</f>
        <v>95080</v>
      </c>
      <c r="AJ86" s="834">
        <f t="shared" ref="AJ86:AJ98" si="236">SUM(AI86-K86)</f>
        <v>95080</v>
      </c>
      <c r="AK86" s="389">
        <f>SUM('3 pr-2'!O87)</f>
        <v>14270</v>
      </c>
      <c r="AL86" s="839">
        <f t="shared" si="214"/>
        <v>14270</v>
      </c>
      <c r="AM86" s="389">
        <f>SUM('3 pr-2'!R87)</f>
        <v>0</v>
      </c>
      <c r="AN86" s="839">
        <f t="shared" si="192"/>
        <v>0</v>
      </c>
      <c r="AO86" s="389">
        <f>SUM('3 pr-2'!U87)</f>
        <v>0</v>
      </c>
      <c r="AP86" s="839">
        <f t="shared" si="193"/>
        <v>0</v>
      </c>
      <c r="AQ86" s="389">
        <f>SUM('3 pr-2'!X87)</f>
        <v>0</v>
      </c>
      <c r="AR86" s="389"/>
      <c r="AS86" s="11">
        <f>SUM('3 pr-2'!AA87)</f>
        <v>80810</v>
      </c>
      <c r="AT86" s="839">
        <f t="shared" ref="AT86:AT98" si="237">SUM(AS86-P86)</f>
        <v>80810</v>
      </c>
      <c r="AU86" s="22"/>
      <c r="AV86" s="23"/>
      <c r="AW86" s="23"/>
      <c r="AX86" s="390"/>
      <c r="AY86" s="390"/>
      <c r="AZ86" s="390"/>
      <c r="BA86" s="390"/>
      <c r="BB86" s="23"/>
      <c r="BC86" s="107"/>
      <c r="BD86" s="390"/>
      <c r="BE86" s="390"/>
      <c r="BF86" s="390"/>
      <c r="BG86" s="390"/>
      <c r="BH86" s="107"/>
      <c r="BI86" s="107"/>
      <c r="BJ86" s="390"/>
      <c r="BK86" s="390"/>
      <c r="BL86" s="390"/>
      <c r="BM86" s="390"/>
      <c r="BN86" s="107"/>
      <c r="BO86" s="23"/>
      <c r="BP86" s="390"/>
      <c r="BQ86" s="390"/>
      <c r="BR86" s="390"/>
      <c r="BS86" s="390"/>
      <c r="BT86" s="23"/>
      <c r="BU86" s="23"/>
      <c r="BV86" s="390"/>
      <c r="BW86" s="390"/>
      <c r="BX86" s="390"/>
      <c r="BY86" s="390"/>
      <c r="BZ86" s="23"/>
      <c r="CA86" s="23"/>
      <c r="CB86" s="390"/>
      <c r="CC86" s="390"/>
      <c r="CD86" s="390"/>
      <c r="CE86" s="390"/>
      <c r="CF86" s="555"/>
      <c r="CG86" s="566">
        <v>42979</v>
      </c>
      <c r="CH86" s="566">
        <v>43344</v>
      </c>
    </row>
    <row r="87" spans="1:97" ht="36.75" thickBot="1" x14ac:dyDescent="0.3">
      <c r="A87" s="43" t="str">
        <f>CONCATENATE('3 pr-2'!A88)</f>
        <v>1.1.2.3.2</v>
      </c>
      <c r="B87" s="34" t="str">
        <f>CONCATENATE('3 pr-2'!D88)</f>
        <v>Dviračių trasų infrastruktūros įrengimas nuo Putinų g. žiedo Pramonės gatvėje, Alytaus mieste</v>
      </c>
      <c r="C87" s="111">
        <v>0</v>
      </c>
      <c r="D87" s="111">
        <v>0</v>
      </c>
      <c r="E87" s="111">
        <v>0</v>
      </c>
      <c r="F87" s="389">
        <v>0</v>
      </c>
      <c r="G87" s="389">
        <v>0</v>
      </c>
      <c r="H87" s="389">
        <v>0</v>
      </c>
      <c r="I87" s="389">
        <v>0</v>
      </c>
      <c r="J87" s="111">
        <v>0</v>
      </c>
      <c r="K87" s="120">
        <f>SUM(L87:P87)</f>
        <v>48895.060000000005</v>
      </c>
      <c r="L87" s="389">
        <f>SUM('ketv. 7 lent'!N86)</f>
        <v>7334.26</v>
      </c>
      <c r="M87" s="389">
        <v>0</v>
      </c>
      <c r="N87" s="389">
        <v>0</v>
      </c>
      <c r="O87" s="389">
        <v>0</v>
      </c>
      <c r="P87" s="111">
        <f>SUM('ketv. 7 lent'!Z86)</f>
        <v>41560.800000000003</v>
      </c>
      <c r="Q87" s="120">
        <f>SUM(R87:V87)</f>
        <v>84775.01</v>
      </c>
      <c r="R87" s="405">
        <f>SUM(AK87-L87)</f>
        <v>12716.249999999998</v>
      </c>
      <c r="S87" s="405">
        <v>0</v>
      </c>
      <c r="T87" s="405">
        <v>0</v>
      </c>
      <c r="U87" s="405">
        <v>0</v>
      </c>
      <c r="V87" s="111">
        <f>SUM(AS87-P87)</f>
        <v>72058.759999999995</v>
      </c>
      <c r="W87" s="111">
        <v>0</v>
      </c>
      <c r="X87" s="422">
        <v>0</v>
      </c>
      <c r="Y87" s="422">
        <v>0</v>
      </c>
      <c r="Z87" s="422">
        <v>0</v>
      </c>
      <c r="AA87" s="422">
        <v>0</v>
      </c>
      <c r="AB87" s="111">
        <v>0</v>
      </c>
      <c r="AC87" s="111">
        <v>0</v>
      </c>
      <c r="AD87" s="422">
        <v>0</v>
      </c>
      <c r="AE87" s="422">
        <v>0</v>
      </c>
      <c r="AF87" s="422">
        <v>0</v>
      </c>
      <c r="AG87" s="422">
        <v>0</v>
      </c>
      <c r="AH87" s="111">
        <v>0</v>
      </c>
      <c r="AI87" s="1174">
        <f>SUM('3 pr-2'!L88)</f>
        <v>133670.07</v>
      </c>
      <c r="AJ87" s="834">
        <f t="shared" si="236"/>
        <v>84775.010000000009</v>
      </c>
      <c r="AK87" s="389">
        <f>SUM('3 pr-2'!O88)</f>
        <v>20050.509999999998</v>
      </c>
      <c r="AL87" s="839">
        <f t="shared" si="214"/>
        <v>12716.249999999998</v>
      </c>
      <c r="AM87" s="389">
        <f>SUM('3 pr-2'!R88)</f>
        <v>0</v>
      </c>
      <c r="AN87" s="839">
        <f t="shared" si="192"/>
        <v>0</v>
      </c>
      <c r="AO87" s="389">
        <f>SUM('3 pr-2'!U88)</f>
        <v>0</v>
      </c>
      <c r="AP87" s="839">
        <f t="shared" si="193"/>
        <v>0</v>
      </c>
      <c r="AQ87" s="389">
        <f>SUM('3 pr-2'!X88)</f>
        <v>0</v>
      </c>
      <c r="AR87" s="389"/>
      <c r="AS87" s="11">
        <f>SUM('3 pr-2'!AA88)</f>
        <v>113619.56</v>
      </c>
      <c r="AT87" s="839">
        <f t="shared" si="237"/>
        <v>72058.759999999995</v>
      </c>
      <c r="AU87" s="22"/>
      <c r="AV87" s="23"/>
      <c r="AW87" s="23"/>
      <c r="AX87" s="390"/>
      <c r="AY87" s="390"/>
      <c r="AZ87" s="390"/>
      <c r="BA87" s="390"/>
      <c r="BB87" s="23"/>
      <c r="BC87" s="107"/>
      <c r="BD87" s="390"/>
      <c r="BE87" s="390"/>
      <c r="BF87" s="390"/>
      <c r="BG87" s="390"/>
      <c r="BH87" s="107"/>
      <c r="BI87" s="107"/>
      <c r="BJ87" s="390"/>
      <c r="BK87" s="390"/>
      <c r="BL87" s="390"/>
      <c r="BM87" s="390"/>
      <c r="BN87" s="107"/>
      <c r="BO87" s="23"/>
      <c r="BP87" s="390"/>
      <c r="BQ87" s="390"/>
      <c r="BR87" s="390"/>
      <c r="BS87" s="390"/>
      <c r="BT87" s="23"/>
      <c r="BU87" s="23"/>
      <c r="BV87" s="390"/>
      <c r="BW87" s="390"/>
      <c r="BX87" s="390"/>
      <c r="BY87" s="390"/>
      <c r="BZ87" s="23"/>
      <c r="CA87" s="23"/>
      <c r="CB87" s="390"/>
      <c r="CC87" s="390"/>
      <c r="CD87" s="390"/>
      <c r="CE87" s="390"/>
      <c r="CF87" s="555"/>
      <c r="CG87" s="566">
        <v>42948</v>
      </c>
      <c r="CH87" s="566">
        <v>43344</v>
      </c>
    </row>
    <row r="88" spans="1:97" ht="36.75" thickBot="1" x14ac:dyDescent="0.3">
      <c r="A88" s="43" t="str">
        <f>CONCATENATE('3 pr-2'!A89)</f>
        <v>1.1.2.3.3</v>
      </c>
      <c r="B88" s="34" t="str">
        <f>CONCATENATE('3 pr-2'!D89)</f>
        <v>Dviračių ir pėsčiųjų takų plėtra Lazdijų miesto Turistų gatvėje iki sodų bendrijos „Baltasis“ Lazdijų seniūnijoje</v>
      </c>
      <c r="C88" s="111">
        <v>0</v>
      </c>
      <c r="D88" s="111">
        <v>0</v>
      </c>
      <c r="E88" s="111">
        <v>0</v>
      </c>
      <c r="F88" s="389">
        <v>0</v>
      </c>
      <c r="G88" s="389">
        <v>0</v>
      </c>
      <c r="H88" s="389">
        <v>0</v>
      </c>
      <c r="I88" s="389">
        <v>0</v>
      </c>
      <c r="J88" s="111">
        <v>0</v>
      </c>
      <c r="K88" s="120">
        <v>0</v>
      </c>
      <c r="L88" s="389">
        <v>0</v>
      </c>
      <c r="M88" s="389">
        <v>0</v>
      </c>
      <c r="N88" s="389">
        <v>0</v>
      </c>
      <c r="O88" s="389">
        <v>0</v>
      </c>
      <c r="P88" s="111">
        <v>0</v>
      </c>
      <c r="Q88" s="111">
        <f>IF(YEAR($CG88)=2017,($BI$4-$BC$4)*$AJ88/($CH88-$BC$4),0)</f>
        <v>60328.686371100164</v>
      </c>
      <c r="R88" s="390">
        <f>IF(YEAR($CG$88)=2017,($BI$4-$BC$4)*AL$88/($CH$88-$BC$4),0)</f>
        <v>16276.36288998358</v>
      </c>
      <c r="S88" s="390">
        <v>0</v>
      </c>
      <c r="T88" s="405">
        <v>0</v>
      </c>
      <c r="U88" s="405">
        <v>0</v>
      </c>
      <c r="V88" s="111">
        <f>IF(YEAR($CG$88)=2017,($BI$4-$BC$4)*AT$88/($CH$88-$BC$4),0)</f>
        <v>44052.323481116582</v>
      </c>
      <c r="W88" s="111">
        <f>IF(YEAR($CH88)=2019,($CH$88-$BI$4)*AJ$88/($CH$88-$BC$4),0)</f>
        <v>40329.313628899836</v>
      </c>
      <c r="X88" s="422">
        <f>IF(YEAR($CH88)=2019,($CH$88-$BI$4)*AL$88/($CH$88-$BC$4),0)</f>
        <v>10880.63711001642</v>
      </c>
      <c r="Y88" s="422">
        <f>IF(YEAR($CH$88)=2019,($CH$88-$BI$4)*AM$88/($CH$88-$CG$88),0)</f>
        <v>0</v>
      </c>
      <c r="Z88" s="422">
        <f>IF(YEAR($CH$88)=2019,($CH$88-$BI$4)*AO$88/($CH$88-$CG$88),0)</f>
        <v>0</v>
      </c>
      <c r="AA88" s="422">
        <f>IF(YEAR($CH$88)=2019,($CH$88-$BI$4)*AQ$88/($CH$88-$CG$88),0)</f>
        <v>0</v>
      </c>
      <c r="AB88" s="111">
        <f>IF(YEAR($CH88)=2019,($CH$88-$BI$4)*AT$88/($CH$88-$BC$4),0)</f>
        <v>29448.676518883414</v>
      </c>
      <c r="AC88" s="111">
        <v>0</v>
      </c>
      <c r="AD88" s="422">
        <v>0</v>
      </c>
      <c r="AE88" s="422">
        <v>0</v>
      </c>
      <c r="AF88" s="422">
        <v>0</v>
      </c>
      <c r="AG88" s="422">
        <v>0</v>
      </c>
      <c r="AH88" s="111">
        <v>0</v>
      </c>
      <c r="AI88" s="1174">
        <f>SUM('3 pr-2'!L89)</f>
        <v>100658</v>
      </c>
      <c r="AJ88" s="834">
        <f t="shared" si="236"/>
        <v>100658</v>
      </c>
      <c r="AK88" s="389">
        <f>SUM('3 pr-2'!O89)</f>
        <v>27157</v>
      </c>
      <c r="AL88" s="839">
        <f t="shared" si="214"/>
        <v>27157</v>
      </c>
      <c r="AM88" s="389">
        <f>SUM('3 pr-2'!R89)</f>
        <v>0</v>
      </c>
      <c r="AN88" s="839">
        <f t="shared" si="192"/>
        <v>0</v>
      </c>
      <c r="AO88" s="389">
        <f>SUM('3 pr-2'!U89)</f>
        <v>0</v>
      </c>
      <c r="AP88" s="839">
        <f t="shared" si="193"/>
        <v>0</v>
      </c>
      <c r="AQ88" s="389">
        <f>SUM('3 pr-2'!X89)</f>
        <v>0</v>
      </c>
      <c r="AR88" s="389"/>
      <c r="AS88" s="11">
        <f>SUM('3 pr-2'!AA89)</f>
        <v>73501</v>
      </c>
      <c r="AT88" s="839">
        <f t="shared" si="237"/>
        <v>73501</v>
      </c>
      <c r="AU88" s="22"/>
      <c r="AV88" s="23"/>
      <c r="AW88" s="23"/>
      <c r="AX88" s="390"/>
      <c r="AY88" s="390"/>
      <c r="AZ88" s="390"/>
      <c r="BA88" s="390"/>
      <c r="BB88" s="23"/>
      <c r="BC88" s="107"/>
      <c r="BD88" s="390"/>
      <c r="BE88" s="390"/>
      <c r="BF88" s="390"/>
      <c r="BG88" s="390"/>
      <c r="BH88" s="107"/>
      <c r="BI88" s="107"/>
      <c r="BJ88" s="390"/>
      <c r="BK88" s="390"/>
      <c r="BL88" s="390"/>
      <c r="BM88" s="390"/>
      <c r="BN88" s="107"/>
      <c r="BO88" s="107"/>
      <c r="BP88" s="390"/>
      <c r="BQ88" s="390"/>
      <c r="BR88" s="390"/>
      <c r="BS88" s="390"/>
      <c r="BT88" s="107"/>
      <c r="BU88" s="23"/>
      <c r="BV88" s="390"/>
      <c r="BW88" s="390"/>
      <c r="BX88" s="390"/>
      <c r="BY88" s="390"/>
      <c r="BZ88" s="23"/>
      <c r="CA88" s="23"/>
      <c r="CB88" s="390"/>
      <c r="CC88" s="390"/>
      <c r="CD88" s="390"/>
      <c r="CE88" s="390"/>
      <c r="CF88" s="555"/>
      <c r="CG88" s="566">
        <v>42979</v>
      </c>
      <c r="CH88" s="566">
        <v>43709</v>
      </c>
      <c r="CI88" s="30">
        <f>SUM(P88+V88+AB88+AH88)</f>
        <v>73501</v>
      </c>
      <c r="CJ88" s="127"/>
    </row>
    <row r="89" spans="1:97" ht="24.75" thickBot="1" x14ac:dyDescent="0.3">
      <c r="A89" s="43" t="str">
        <f>CONCATENATE('3 pr-2'!A90)</f>
        <v>1.1.2.3.4</v>
      </c>
      <c r="B89" s="34" t="str">
        <f>CONCATENATE('3 pr-2'!D90)</f>
        <v>Pėsčiųjų ir dviračių takų plėtra Simno seniūnijoje</v>
      </c>
      <c r="C89" s="111">
        <v>0</v>
      </c>
      <c r="D89" s="111">
        <v>0</v>
      </c>
      <c r="E89" s="111">
        <v>0</v>
      </c>
      <c r="F89" s="389">
        <v>0</v>
      </c>
      <c r="G89" s="389">
        <v>0</v>
      </c>
      <c r="H89" s="389">
        <v>0</v>
      </c>
      <c r="I89" s="389">
        <v>0</v>
      </c>
      <c r="J89" s="111">
        <v>0</v>
      </c>
      <c r="K89" s="120">
        <v>0</v>
      </c>
      <c r="L89" s="389">
        <v>0</v>
      </c>
      <c r="M89" s="389">
        <v>0</v>
      </c>
      <c r="N89" s="389">
        <v>0</v>
      </c>
      <c r="O89" s="389">
        <v>0</v>
      </c>
      <c r="P89" s="111">
        <v>0</v>
      </c>
      <c r="Q89" s="111">
        <f>SUM(AI89)</f>
        <v>110340</v>
      </c>
      <c r="R89" s="405">
        <f>SUM(AL89)</f>
        <v>19170</v>
      </c>
      <c r="S89" s="405">
        <f>IF(YEAR($CH$89)=2018,($CH$89-$BC$4)*AM$89/($CH$89-$CG$89),0)</f>
        <v>0</v>
      </c>
      <c r="T89" s="405">
        <f>IF(YEAR($CH$89)=2018,($CH$89-$BC$4)*AO$89/($CH$89-$CG$89),0)</f>
        <v>0</v>
      </c>
      <c r="U89" s="405">
        <f>IF(YEAR($CH$89)=2018,($CH$89-$BC$4)*AQ$89/($CH$89-$CG$89),0)</f>
        <v>0</v>
      </c>
      <c r="V89" s="111">
        <f>AS89</f>
        <v>91170</v>
      </c>
      <c r="W89" s="111">
        <v>0</v>
      </c>
      <c r="X89" s="422">
        <v>0</v>
      </c>
      <c r="Y89" s="422">
        <v>0</v>
      </c>
      <c r="Z89" s="422">
        <v>0</v>
      </c>
      <c r="AA89" s="422">
        <v>0</v>
      </c>
      <c r="AB89" s="111">
        <v>0</v>
      </c>
      <c r="AC89" s="111">
        <v>0</v>
      </c>
      <c r="AD89" s="422">
        <v>0</v>
      </c>
      <c r="AE89" s="422">
        <v>0</v>
      </c>
      <c r="AF89" s="422">
        <v>0</v>
      </c>
      <c r="AG89" s="422">
        <v>0</v>
      </c>
      <c r="AH89" s="111">
        <v>0</v>
      </c>
      <c r="AI89" s="1174">
        <f>SUM('3 pr-2'!L90)</f>
        <v>110340</v>
      </c>
      <c r="AJ89" s="834">
        <f t="shared" si="236"/>
        <v>110340</v>
      </c>
      <c r="AK89" s="389">
        <f>SUM('3 pr-2'!O90)</f>
        <v>19170</v>
      </c>
      <c r="AL89" s="839">
        <f t="shared" si="214"/>
        <v>19170</v>
      </c>
      <c r="AM89" s="389">
        <f>SUM('3 pr-2'!R90)</f>
        <v>0</v>
      </c>
      <c r="AN89" s="839">
        <f t="shared" si="192"/>
        <v>0</v>
      </c>
      <c r="AO89" s="389">
        <f>SUM('3 pr-2'!U90)</f>
        <v>0</v>
      </c>
      <c r="AP89" s="839">
        <f t="shared" si="193"/>
        <v>0</v>
      </c>
      <c r="AQ89" s="389">
        <f>SUM('3 pr-2'!X90)</f>
        <v>0</v>
      </c>
      <c r="AR89" s="389"/>
      <c r="AS89" s="11">
        <f>SUM('3 pr-2'!AA90)</f>
        <v>91170</v>
      </c>
      <c r="AT89" s="839">
        <f t="shared" si="237"/>
        <v>91170</v>
      </c>
      <c r="AU89" s="22"/>
      <c r="AV89" s="23"/>
      <c r="AW89" s="23"/>
      <c r="AX89" s="390"/>
      <c r="AY89" s="390"/>
      <c r="AZ89" s="390"/>
      <c r="BA89" s="390"/>
      <c r="BB89" s="23"/>
      <c r="BC89" s="107"/>
      <c r="BD89" s="390"/>
      <c r="BE89" s="390"/>
      <c r="BF89" s="390"/>
      <c r="BG89" s="390"/>
      <c r="BH89" s="107"/>
      <c r="BI89" s="107"/>
      <c r="BJ89" s="390"/>
      <c r="BK89" s="390"/>
      <c r="BL89" s="390"/>
      <c r="BM89" s="390"/>
      <c r="BN89" s="107"/>
      <c r="BO89" s="23"/>
      <c r="BP89" s="390"/>
      <c r="BQ89" s="390"/>
      <c r="BR89" s="390"/>
      <c r="BS89" s="390"/>
      <c r="BT89" s="23"/>
      <c r="BU89" s="23"/>
      <c r="BV89" s="390"/>
      <c r="BW89" s="390"/>
      <c r="BX89" s="390"/>
      <c r="BY89" s="390"/>
      <c r="BZ89" s="23"/>
      <c r="CA89" s="23"/>
      <c r="CB89" s="390"/>
      <c r="CC89" s="390"/>
      <c r="CD89" s="390"/>
      <c r="CE89" s="390"/>
      <c r="CF89" s="555"/>
      <c r="CG89" s="566">
        <v>42979</v>
      </c>
      <c r="CH89" s="566">
        <v>43344</v>
      </c>
      <c r="CI89" s="30">
        <f>SUM(P89+V89+AB89+AH89)</f>
        <v>91170</v>
      </c>
      <c r="CJ89" s="30"/>
    </row>
    <row r="90" spans="1:97" ht="36.75" thickBot="1" x14ac:dyDescent="0.3">
      <c r="A90" s="43" t="str">
        <f>CONCATENATE('3 pr-2'!A91)</f>
        <v>1.1.2.3.5</v>
      </c>
      <c r="B90" s="34" t="str">
        <f>CONCATENATE('3 pr-2'!D91)</f>
        <v>Dviračių ir pėsčiųjų tako, esančio šalia Ratnyčios upelio, Druskininkų mieste, rekonstrukcija</v>
      </c>
      <c r="C90" s="111">
        <v>0</v>
      </c>
      <c r="D90" s="111">
        <v>0</v>
      </c>
      <c r="E90" s="111">
        <v>0</v>
      </c>
      <c r="F90" s="389">
        <v>0</v>
      </c>
      <c r="G90" s="389">
        <v>0</v>
      </c>
      <c r="H90" s="389">
        <v>0</v>
      </c>
      <c r="I90" s="389">
        <v>0</v>
      </c>
      <c r="J90" s="111">
        <v>0</v>
      </c>
      <c r="K90" s="111">
        <v>0</v>
      </c>
      <c r="L90" s="405">
        <v>0</v>
      </c>
      <c r="M90" s="405">
        <v>0</v>
      </c>
      <c r="N90" s="405">
        <v>0</v>
      </c>
      <c r="O90" s="405">
        <v>0</v>
      </c>
      <c r="P90" s="111">
        <v>0</v>
      </c>
      <c r="Q90" s="111">
        <f>IF($BI$4-$BC$4=365,AI90)</f>
        <v>71089</v>
      </c>
      <c r="R90" s="389">
        <f>IF($BI$4-$BC$4=365,AK90)</f>
        <v>14466</v>
      </c>
      <c r="S90" s="389">
        <f>IF($BI$4-$BC$4=365,AM90)</f>
        <v>0</v>
      </c>
      <c r="T90" s="389">
        <f>IF($BI$4-$BC$4=365,AO90)</f>
        <v>0</v>
      </c>
      <c r="U90" s="389">
        <f>IF($BI$4-$BC$4=365,AQ90)</f>
        <v>0</v>
      </c>
      <c r="V90" s="111">
        <f>IF($BI$4-$BC$4=365,AS90)</f>
        <v>56623</v>
      </c>
      <c r="W90" s="111">
        <v>0</v>
      </c>
      <c r="X90" s="422">
        <v>0</v>
      </c>
      <c r="Y90" s="422">
        <v>0</v>
      </c>
      <c r="Z90" s="422">
        <v>0</v>
      </c>
      <c r="AA90" s="422">
        <v>0</v>
      </c>
      <c r="AB90" s="111">
        <v>0</v>
      </c>
      <c r="AC90" s="111">
        <v>0</v>
      </c>
      <c r="AD90" s="422">
        <v>0</v>
      </c>
      <c r="AE90" s="422">
        <v>0</v>
      </c>
      <c r="AF90" s="422">
        <v>0</v>
      </c>
      <c r="AG90" s="422">
        <v>0</v>
      </c>
      <c r="AH90" s="111">
        <v>0</v>
      </c>
      <c r="AI90" s="1174">
        <f>SUM('3 pr-2'!L91)</f>
        <v>71089</v>
      </c>
      <c r="AJ90" s="834">
        <f t="shared" si="236"/>
        <v>71089</v>
      </c>
      <c r="AK90" s="389">
        <f>SUM('3 pr-2'!O91)</f>
        <v>14466</v>
      </c>
      <c r="AL90" s="839">
        <f t="shared" si="214"/>
        <v>14466</v>
      </c>
      <c r="AM90" s="389">
        <f>SUM('3 pr-2'!R91)</f>
        <v>0</v>
      </c>
      <c r="AN90" s="839">
        <f t="shared" si="192"/>
        <v>0</v>
      </c>
      <c r="AO90" s="389">
        <f>SUM('3 pr-2'!U91)</f>
        <v>0</v>
      </c>
      <c r="AP90" s="839">
        <f>SUM(AO90-N90)</f>
        <v>0</v>
      </c>
      <c r="AQ90" s="389">
        <f>SUM('3 pr-2'!X91)</f>
        <v>0</v>
      </c>
      <c r="AR90" s="389"/>
      <c r="AS90" s="11">
        <f>SUM('3 pr-2'!AA91)</f>
        <v>56623</v>
      </c>
      <c r="AT90" s="839">
        <f t="shared" si="237"/>
        <v>56623</v>
      </c>
      <c r="AU90" s="22"/>
      <c r="AV90" s="23"/>
      <c r="AW90" s="23"/>
      <c r="AX90" s="390"/>
      <c r="AY90" s="390"/>
      <c r="AZ90" s="390"/>
      <c r="BA90" s="390"/>
      <c r="BB90" s="23"/>
      <c r="BC90" s="23"/>
      <c r="BD90" s="390"/>
      <c r="BE90" s="390"/>
      <c r="BF90" s="390"/>
      <c r="BG90" s="390"/>
      <c r="BH90" s="23"/>
      <c r="BI90" s="107"/>
      <c r="BJ90" s="390"/>
      <c r="BK90" s="390"/>
      <c r="BL90" s="390"/>
      <c r="BM90" s="390"/>
      <c r="BN90" s="107"/>
      <c r="BO90" s="23"/>
      <c r="BP90" s="390"/>
      <c r="BQ90" s="390"/>
      <c r="BR90" s="390"/>
      <c r="BS90" s="390"/>
      <c r="BT90" s="23"/>
      <c r="BU90" s="23"/>
      <c r="BV90" s="390"/>
      <c r="BW90" s="390"/>
      <c r="BX90" s="390"/>
      <c r="BY90" s="390"/>
      <c r="BZ90" s="23"/>
      <c r="CA90" s="23"/>
      <c r="CB90" s="390"/>
      <c r="CC90" s="390"/>
      <c r="CD90" s="390"/>
      <c r="CE90" s="390"/>
      <c r="CF90" s="555"/>
      <c r="CG90" s="566">
        <v>43252</v>
      </c>
      <c r="CH90" s="566">
        <v>43465</v>
      </c>
    </row>
    <row r="91" spans="1:97" ht="39.75" thickBot="1" x14ac:dyDescent="0.3">
      <c r="A91" s="383" t="str">
        <f>CONCATENATE('3 pr-2'!A92)</f>
        <v>1.1.2.4</v>
      </c>
      <c r="B91" s="182" t="str">
        <f>CONCATENATE('3 pr-2'!D92)</f>
        <v/>
      </c>
      <c r="C91" s="110">
        <f t="shared" ref="C91:AA91" si="238">SUM(C92:C98)</f>
        <v>0</v>
      </c>
      <c r="D91" s="110">
        <f t="shared" si="238"/>
        <v>0</v>
      </c>
      <c r="E91" s="110">
        <f t="shared" si="238"/>
        <v>0</v>
      </c>
      <c r="F91" s="110">
        <f t="shared" si="238"/>
        <v>0</v>
      </c>
      <c r="G91" s="110">
        <f t="shared" si="238"/>
        <v>0</v>
      </c>
      <c r="H91" s="110">
        <f t="shared" si="238"/>
        <v>0</v>
      </c>
      <c r="I91" s="110">
        <f t="shared" si="238"/>
        <v>0</v>
      </c>
      <c r="J91" s="110">
        <f t="shared" si="238"/>
        <v>0</v>
      </c>
      <c r="K91" s="110">
        <f t="shared" si="238"/>
        <v>873591.32000000007</v>
      </c>
      <c r="L91" s="110">
        <f t="shared" si="238"/>
        <v>98493.53</v>
      </c>
      <c r="M91" s="110">
        <f t="shared" si="238"/>
        <v>0</v>
      </c>
      <c r="N91" s="110">
        <f t="shared" si="238"/>
        <v>0</v>
      </c>
      <c r="O91" s="110">
        <f t="shared" si="238"/>
        <v>32545.37</v>
      </c>
      <c r="P91" s="110">
        <f t="shared" si="238"/>
        <v>742552.42</v>
      </c>
      <c r="Q91" s="110">
        <f t="shared" si="238"/>
        <v>2363416.8727711048</v>
      </c>
      <c r="R91" s="110">
        <f t="shared" si="238"/>
        <v>793492.09951377974</v>
      </c>
      <c r="S91" s="110">
        <f t="shared" si="238"/>
        <v>0</v>
      </c>
      <c r="T91" s="110">
        <f t="shared" si="238"/>
        <v>0</v>
      </c>
      <c r="U91" s="110">
        <f t="shared" si="238"/>
        <v>28925.894605263162</v>
      </c>
      <c r="V91" s="110">
        <f t="shared" si="238"/>
        <v>1540998.878652062</v>
      </c>
      <c r="W91" s="110">
        <f t="shared" si="238"/>
        <v>1154525.7715243807</v>
      </c>
      <c r="X91" s="110">
        <f t="shared" si="238"/>
        <v>409358.55502794404</v>
      </c>
      <c r="Y91" s="110">
        <f t="shared" si="238"/>
        <v>0</v>
      </c>
      <c r="Z91" s="110">
        <f t="shared" si="238"/>
        <v>0</v>
      </c>
      <c r="AA91" s="110">
        <f t="shared" si="238"/>
        <v>1188.7353947368422</v>
      </c>
      <c r="AB91" s="110">
        <f>SUM(AB92:AB98)</f>
        <v>743978.48110169964</v>
      </c>
      <c r="AC91" s="110">
        <f t="shared" ref="AC91:AG91" si="239">SUM(AC92:AC98)</f>
        <v>29816.935704514362</v>
      </c>
      <c r="AD91" s="110">
        <f t="shared" si="239"/>
        <v>4539.7154582763342</v>
      </c>
      <c r="AE91" s="110">
        <f t="shared" si="239"/>
        <v>0</v>
      </c>
      <c r="AF91" s="110">
        <f t="shared" si="239"/>
        <v>0</v>
      </c>
      <c r="AG91" s="110">
        <f t="shared" si="239"/>
        <v>0</v>
      </c>
      <c r="AH91" s="110">
        <f t="shared" ref="AH91" si="240">SUM(AH92:AH98)</f>
        <v>25277.22024623803</v>
      </c>
      <c r="AI91" s="1177">
        <f t="shared" ref="AI91" si="241">SUM(AI92:AI98)</f>
        <v>4421350.9000000004</v>
      </c>
      <c r="AJ91" s="110">
        <f t="shared" ref="AJ91" si="242">SUM(AJ92:AJ98)</f>
        <v>3547759.58</v>
      </c>
      <c r="AK91" s="110">
        <f t="shared" ref="AK91" si="243">SUM(AK92:AK98)</f>
        <v>1305883.8999999999</v>
      </c>
      <c r="AL91" s="110">
        <f t="shared" ref="AL91" si="244">SUM(AL92:AL98)</f>
        <v>1207390.3700000001</v>
      </c>
      <c r="AM91" s="110">
        <f t="shared" ref="AM91" si="245">SUM(AM92:AM98)</f>
        <v>0</v>
      </c>
      <c r="AN91" s="110">
        <f t="shared" ref="AN91" si="246">SUM(AN92:AN98)</f>
        <v>0</v>
      </c>
      <c r="AO91" s="110">
        <f t="shared" ref="AO91" si="247">SUM(AO92:AO98)</f>
        <v>0</v>
      </c>
      <c r="AP91" s="110">
        <f t="shared" ref="AP91" si="248">SUM(AP92:AP98)</f>
        <v>0</v>
      </c>
      <c r="AQ91" s="110">
        <f t="shared" ref="AQ91" si="249">SUM(AQ92:AQ98)</f>
        <v>62660</v>
      </c>
      <c r="AR91" s="110">
        <f t="shared" ref="AR91" si="250">SUM(AR92:AR98)</f>
        <v>30114.63</v>
      </c>
      <c r="AS91" s="110">
        <f t="shared" ref="AS91" si="251">SUM(AS92:AS98)</f>
        <v>3052807</v>
      </c>
      <c r="AT91" s="110"/>
      <c r="AU91" s="22">
        <v>0</v>
      </c>
      <c r="AV91" s="23">
        <v>0</v>
      </c>
      <c r="AW91" s="23">
        <v>0</v>
      </c>
      <c r="AX91" s="110">
        <v>0</v>
      </c>
      <c r="AY91" s="110">
        <v>0</v>
      </c>
      <c r="AZ91" s="110">
        <v>0</v>
      </c>
      <c r="BA91" s="110">
        <v>0</v>
      </c>
      <c r="BB91" s="23">
        <v>0</v>
      </c>
      <c r="BC91" s="23">
        <v>20</v>
      </c>
      <c r="BD91" s="110">
        <v>20</v>
      </c>
      <c r="BE91" s="110">
        <v>20</v>
      </c>
      <c r="BF91" s="110">
        <v>20</v>
      </c>
      <c r="BG91" s="110">
        <v>20</v>
      </c>
      <c r="BH91" s="23">
        <v>20</v>
      </c>
      <c r="BI91" s="23">
        <v>30</v>
      </c>
      <c r="BJ91" s="110">
        <v>30</v>
      </c>
      <c r="BK91" s="110">
        <v>30</v>
      </c>
      <c r="BL91" s="110">
        <v>30</v>
      </c>
      <c r="BM91" s="110">
        <v>30</v>
      </c>
      <c r="BN91" s="23">
        <v>30</v>
      </c>
      <c r="BO91" s="23">
        <v>30</v>
      </c>
      <c r="BP91" s="110">
        <v>30</v>
      </c>
      <c r="BQ91" s="110">
        <v>30</v>
      </c>
      <c r="BR91" s="110">
        <v>30</v>
      </c>
      <c r="BS91" s="110">
        <v>30</v>
      </c>
      <c r="BT91" s="23">
        <v>30</v>
      </c>
      <c r="BU91" s="23">
        <v>20</v>
      </c>
      <c r="BV91" s="110">
        <v>20</v>
      </c>
      <c r="BW91" s="110">
        <v>20</v>
      </c>
      <c r="BX91" s="110">
        <v>20</v>
      </c>
      <c r="BY91" s="110">
        <v>20</v>
      </c>
      <c r="BZ91" s="23">
        <v>20</v>
      </c>
      <c r="CA91" s="23">
        <v>100</v>
      </c>
      <c r="CB91" s="110">
        <v>100</v>
      </c>
      <c r="CC91" s="110">
        <v>100</v>
      </c>
      <c r="CD91" s="110">
        <v>100</v>
      </c>
      <c r="CE91" s="110">
        <v>100</v>
      </c>
      <c r="CF91" s="555">
        <v>100</v>
      </c>
      <c r="CG91" s="562"/>
      <c r="CH91" s="561"/>
    </row>
    <row r="92" spans="1:97" ht="36.75" thickBot="1" x14ac:dyDescent="0.3">
      <c r="A92" s="43" t="str">
        <f>CONCATENATE('3 pr-2'!A93)</f>
        <v>1.1.2.4.1</v>
      </c>
      <c r="B92" s="34" t="str">
        <f>CONCATENATE('3 pr-2'!D93)</f>
        <v>Varėnos miesto J. Basanavičiaus, Savanorių ir M. K. Čiurlionio gatvių rekonstrukcija</v>
      </c>
      <c r="C92" s="111">
        <v>0</v>
      </c>
      <c r="D92" s="111">
        <v>0</v>
      </c>
      <c r="E92" s="111">
        <v>0</v>
      </c>
      <c r="F92" s="389">
        <v>0</v>
      </c>
      <c r="G92" s="389">
        <v>0</v>
      </c>
      <c r="H92" s="389">
        <v>0</v>
      </c>
      <c r="I92" s="389">
        <v>0</v>
      </c>
      <c r="J92" s="111">
        <v>0</v>
      </c>
      <c r="K92" s="111">
        <f>SUM('ketv. 7 lent'!K91)</f>
        <v>433936.89</v>
      </c>
      <c r="L92" s="405">
        <f>SUM('ketv. 7 lent'!N91)</f>
        <v>32545.37</v>
      </c>
      <c r="M92" s="405">
        <f>IF(YEAR($CG$92)=2017,($BC$4-$CG$92)*AM$92/($CH$92-$CG$92))</f>
        <v>0</v>
      </c>
      <c r="N92" s="405">
        <f>IF(YEAR($CG$92)=2017,($BC$4-$CG$92)*AO$92/($CH$92-$CG$92))</f>
        <v>0</v>
      </c>
      <c r="O92" s="405">
        <f>SUM('ketv. 7 lent'!W91)</f>
        <v>32545.37</v>
      </c>
      <c r="P92" s="111">
        <f>SUM('ketv. 7 lent'!Z91)</f>
        <v>368846.15</v>
      </c>
      <c r="Q92" s="111">
        <f>IF(YEAR($CH92)&gt;2018,($BI$4-$BC$4)*$AJ92/($CH92-$BC$4),0)</f>
        <v>385677.35565789475</v>
      </c>
      <c r="R92" s="405">
        <f>IF(YEAR($CH92)&gt;2018,($BI$4-$BC$4)*$AL92/($CH92-$BC$4),0)</f>
        <v>28925.894605263162</v>
      </c>
      <c r="S92" s="405">
        <f>IF(YEAR($CH92)&gt;2018,($BI$4-$BC$4)*$AN92/($CH92-$BC$4),0)</f>
        <v>0</v>
      </c>
      <c r="T92" s="405">
        <f>IF(YEAR($CH92)&gt;2018,($BI$4-$BC$4)*$AP92/($CH92-$BC$4),0)</f>
        <v>0</v>
      </c>
      <c r="U92" s="405">
        <f>IF(YEAR($CH92)&gt;2018,($BI$4-$BC$4)*$AR92/($CH92-$BC$4),0)</f>
        <v>28925.894605263162</v>
      </c>
      <c r="V92" s="111">
        <f>IF(YEAR($CH92)&gt;2018,($BI$4-$BC$4)*$AT92/($CH92-$BC$4),0)</f>
        <v>327825.56644736836</v>
      </c>
      <c r="W92" s="111">
        <f>IF(YEAR($CH92)=2019,($CH92-$BI$4)*$AJ92/($CH92-$BC$4),0)</f>
        <v>15849.754342105261</v>
      </c>
      <c r="X92" s="422">
        <f>IF(YEAR($CH92)=2019,($CH92-$BI$4)*$AL92/($CH92-$BC$4),0)</f>
        <v>1188.7353947368422</v>
      </c>
      <c r="Y92" s="422">
        <f>IF(YEAR($CH92)=2019,($CH92-$BI$4)*AN$92/($CH92-$BC$4),0)</f>
        <v>0</v>
      </c>
      <c r="Z92" s="422">
        <f>IF(YEAR($CH92)=2019,($CH92-$BI$4)*$AP92/($CH92-$BC$4),0)</f>
        <v>0</v>
      </c>
      <c r="AA92" s="422">
        <f>IF(YEAR($CH92)=2019,($CH92-$BI$4)*$AR92/($CH92-$BC$4),0)</f>
        <v>1188.7353947368422</v>
      </c>
      <c r="AB92" s="111">
        <f>IF(YEAR($CH92)=2019,($CH92-$BI$4)*$AT92/($CH92-$BC$4),0)</f>
        <v>13472.283552631579</v>
      </c>
      <c r="AC92" s="111">
        <v>0</v>
      </c>
      <c r="AD92" s="422">
        <v>0</v>
      </c>
      <c r="AE92" s="422">
        <v>0</v>
      </c>
      <c r="AF92" s="422">
        <v>0</v>
      </c>
      <c r="AG92" s="422">
        <v>0</v>
      </c>
      <c r="AH92" s="111">
        <v>0</v>
      </c>
      <c r="AI92" s="1185">
        <f>SUM('3 pr-2'!L93)</f>
        <v>835464</v>
      </c>
      <c r="AJ92" s="834">
        <f t="shared" si="236"/>
        <v>401527.11</v>
      </c>
      <c r="AK92" s="389">
        <f>SUM('3 pr-2'!O93)</f>
        <v>62660</v>
      </c>
      <c r="AL92" s="839">
        <f t="shared" si="214"/>
        <v>30114.63</v>
      </c>
      <c r="AM92" s="389">
        <f>SUM('3 pr-2'!R93)</f>
        <v>0</v>
      </c>
      <c r="AN92" s="839">
        <f t="shared" si="192"/>
        <v>0</v>
      </c>
      <c r="AO92" s="389">
        <f>SUM('3 pr-2'!U93)</f>
        <v>0</v>
      </c>
      <c r="AP92" s="839">
        <f>SUM(AO92-N92)</f>
        <v>0</v>
      </c>
      <c r="AQ92" s="389">
        <f>SUM('3 pr-2'!X93)</f>
        <v>62660</v>
      </c>
      <c r="AR92" s="888">
        <f>SUM(AQ92-O92)</f>
        <v>30114.63</v>
      </c>
      <c r="AS92" s="577">
        <f>SUM('3 pr-2'!AA93)</f>
        <v>710144</v>
      </c>
      <c r="AT92" s="839">
        <f t="shared" si="237"/>
        <v>341297.85</v>
      </c>
      <c r="AU92" s="133"/>
      <c r="AV92" s="134"/>
      <c r="AW92" s="134"/>
      <c r="AX92" s="392"/>
      <c r="AY92" s="392"/>
      <c r="AZ92" s="392"/>
      <c r="BA92" s="392"/>
      <c r="BB92" s="134"/>
      <c r="BC92" s="134"/>
      <c r="BD92" s="392"/>
      <c r="BE92" s="392"/>
      <c r="BF92" s="392"/>
      <c r="BG92" s="392"/>
      <c r="BH92" s="134"/>
      <c r="BI92" s="134"/>
      <c r="BJ92" s="392"/>
      <c r="BK92" s="392"/>
      <c r="BL92" s="392"/>
      <c r="BM92" s="392"/>
      <c r="BN92" s="134"/>
      <c r="BO92" s="134"/>
      <c r="BP92" s="392"/>
      <c r="BQ92" s="392"/>
      <c r="BR92" s="392"/>
      <c r="BS92" s="392"/>
      <c r="BT92" s="134"/>
      <c r="BU92" s="134"/>
      <c r="BV92" s="392"/>
      <c r="BW92" s="392"/>
      <c r="BX92" s="392"/>
      <c r="BY92" s="392"/>
      <c r="BZ92" s="134"/>
      <c r="CA92" s="23"/>
      <c r="CB92" s="392"/>
      <c r="CC92" s="392"/>
      <c r="CD92" s="392"/>
      <c r="CE92" s="392"/>
      <c r="CF92" s="555"/>
      <c r="CG92" s="569">
        <v>42870</v>
      </c>
      <c r="CH92" s="569">
        <v>43480</v>
      </c>
      <c r="CI92" s="30">
        <f>SUM(P92+V92+AB92+AH92)</f>
        <v>710144</v>
      </c>
    </row>
    <row r="93" spans="1:97" ht="24.75" thickBot="1" x14ac:dyDescent="0.3">
      <c r="A93" s="43" t="str">
        <f>CONCATENATE('3 pr-2'!A94)</f>
        <v>1.1.2.4.2</v>
      </c>
      <c r="B93" s="34" t="str">
        <f>CONCATENATE('3 pr-2'!D94)</f>
        <v>Perspektyvinės gatvės nuo Pramonės  g. iki Naujosios g. Alytuje įrengimas</v>
      </c>
      <c r="C93" s="111">
        <v>0</v>
      </c>
      <c r="D93" s="111">
        <v>0</v>
      </c>
      <c r="E93" s="111">
        <v>0</v>
      </c>
      <c r="F93" s="389">
        <v>0</v>
      </c>
      <c r="G93" s="389">
        <v>0</v>
      </c>
      <c r="H93" s="389">
        <v>0</v>
      </c>
      <c r="I93" s="389">
        <v>0</v>
      </c>
      <c r="J93" s="111">
        <v>0</v>
      </c>
      <c r="K93" s="111">
        <f>SUM('ketv. 7 lent'!K92)</f>
        <v>439654.43000000005</v>
      </c>
      <c r="L93" s="405">
        <f>SUM('ketv. 7 lent'!N92)</f>
        <v>65948.160000000003</v>
      </c>
      <c r="M93" s="405">
        <f>IF(YEAR($CG$92)=2017,($BC$4-$CG$92)*AM$92/($CH$92-$CG$92))</f>
        <v>0</v>
      </c>
      <c r="N93" s="405">
        <f>IF(YEAR($CG$92)=2017,($BC$4-$CG$92)*AO$92/($CH$92-$CG$92))</f>
        <v>0</v>
      </c>
      <c r="O93" s="405">
        <f>SUM('ketv. 7 lent'!W92)</f>
        <v>0</v>
      </c>
      <c r="P93" s="111">
        <f>SUM('ketv. 7 lent'!Z92)</f>
        <v>373706.27</v>
      </c>
      <c r="Q93" s="111">
        <f t="shared" ref="Q93:Q97" si="252">IF(YEAR($CH93)&gt;2018,($BI$4-$BC$4)*$AJ93/($CH93-$BC$4),0)</f>
        <v>404784.65982367756</v>
      </c>
      <c r="R93" s="405">
        <f t="shared" ref="R93:R97" si="253">IF(YEAR($CH93)&gt;2018,($BI$4-$BC$4)*$AL93/($CH93-$BC$4),0)</f>
        <v>60717.704030226691</v>
      </c>
      <c r="S93" s="405">
        <f t="shared" ref="S93:S97" si="254">IF(YEAR($CH93)&gt;2018,($BI$4-$BC$4)*$AN93/($CH93-$BC$4),0)</f>
        <v>0</v>
      </c>
      <c r="T93" s="405">
        <f t="shared" ref="T93:T97" si="255">IF(YEAR($CH93)&gt;2018,($BI$4-$BC$4)*$AP93/($CH93-$BC$4),0)</f>
        <v>0</v>
      </c>
      <c r="U93" s="405">
        <f t="shared" ref="U93:U97" si="256">IF(YEAR($CH93)&gt;2018,($BI$4-$BC$4)*$AR93/($CH93-$BC$4),0)</f>
        <v>0</v>
      </c>
      <c r="V93" s="111">
        <f t="shared" ref="V93:V97" si="257">IF(YEAR($CH93)&gt;2018,($BI$4-$BC$4)*$AT93/($CH93-$BC$4),0)</f>
        <v>344066.95579345088</v>
      </c>
      <c r="W93" s="111">
        <f>IF(YEAR($CH93)=2019,($CH93-$BI$4)*$AJ93/($CH93-$BC$4),0)</f>
        <v>35487.970176322422</v>
      </c>
      <c r="X93" s="422">
        <f>IF(YEAR($CH93)=2019,($CH93-$BI$4)*$AL93/($CH93-$BC$4),0)</f>
        <v>5323.1959697732991</v>
      </c>
      <c r="Y93" s="422">
        <f>IF(YEAR($CH93)=2019,($CH93-$BI$4)*AN$92/($CH93-$BC$4),0)</f>
        <v>0</v>
      </c>
      <c r="Z93" s="422">
        <f>IF(YEAR($CH93)=2019,($CH93-$BI$4)*$AP93/($CH93-$BC$4),0)</f>
        <v>0</v>
      </c>
      <c r="AA93" s="422">
        <f>IF(YEAR($CH93)=2019,($CH93-$BI$4)*$AR93/($CH93-$BC$4),0)</f>
        <v>0</v>
      </c>
      <c r="AB93" s="111">
        <f>IF(YEAR($CH93)=2019,($CH93-$BI$4)*$AT93/($CH93-$BC$4),0)</f>
        <v>30164.774206549118</v>
      </c>
      <c r="AC93" s="111">
        <v>0</v>
      </c>
      <c r="AD93" s="422">
        <v>0</v>
      </c>
      <c r="AE93" s="422">
        <v>0</v>
      </c>
      <c r="AF93" s="422">
        <v>0</v>
      </c>
      <c r="AG93" s="422">
        <v>0</v>
      </c>
      <c r="AH93" s="111">
        <v>0</v>
      </c>
      <c r="AI93" s="1185">
        <f>SUM('3 pr-2'!L94)</f>
        <v>879927.06</v>
      </c>
      <c r="AJ93" s="834">
        <f t="shared" si="236"/>
        <v>440272.63</v>
      </c>
      <c r="AK93" s="389">
        <f>SUM('3 pr-2'!O94)</f>
        <v>131989.06</v>
      </c>
      <c r="AL93" s="839">
        <f t="shared" si="214"/>
        <v>66040.899999999994</v>
      </c>
      <c r="AM93" s="389">
        <f>SUM('3 pr-2'!R94)</f>
        <v>0</v>
      </c>
      <c r="AN93" s="839">
        <f t="shared" si="192"/>
        <v>0</v>
      </c>
      <c r="AO93" s="389">
        <f>SUM('3 pr-2'!U94)</f>
        <v>0</v>
      </c>
      <c r="AP93" s="839">
        <f t="shared" si="193"/>
        <v>0</v>
      </c>
      <c r="AQ93" s="389">
        <f>SUM('3 pr-2'!X94)</f>
        <v>0</v>
      </c>
      <c r="AR93" s="888"/>
      <c r="AS93" s="577">
        <f>SUM('3 pr-2'!AA94)</f>
        <v>747938</v>
      </c>
      <c r="AT93" s="839">
        <f t="shared" si="237"/>
        <v>374231.73</v>
      </c>
      <c r="AU93" s="133"/>
      <c r="AV93" s="134"/>
      <c r="AW93" s="134"/>
      <c r="AX93" s="392"/>
      <c r="AY93" s="392"/>
      <c r="AZ93" s="392"/>
      <c r="BA93" s="392"/>
      <c r="BB93" s="134"/>
      <c r="BC93" s="134"/>
      <c r="BD93" s="392"/>
      <c r="BE93" s="392"/>
      <c r="BF93" s="392"/>
      <c r="BG93" s="392"/>
      <c r="BH93" s="134"/>
      <c r="BI93" s="134"/>
      <c r="BJ93" s="392"/>
      <c r="BK93" s="392"/>
      <c r="BL93" s="392"/>
      <c r="BM93" s="392"/>
      <c r="BN93" s="134"/>
      <c r="BO93" s="134"/>
      <c r="BP93" s="392"/>
      <c r="BQ93" s="392"/>
      <c r="BR93" s="392"/>
      <c r="BS93" s="392"/>
      <c r="BT93" s="134"/>
      <c r="BU93" s="134"/>
      <c r="BV93" s="392"/>
      <c r="BW93" s="392"/>
      <c r="BX93" s="392"/>
      <c r="BY93" s="392"/>
      <c r="BZ93" s="134"/>
      <c r="CA93" s="23"/>
      <c r="CB93" s="392"/>
      <c r="CC93" s="392"/>
      <c r="CD93" s="392"/>
      <c r="CE93" s="392"/>
      <c r="CF93" s="555"/>
      <c r="CG93" s="569">
        <v>42826</v>
      </c>
      <c r="CH93" s="569">
        <v>43497</v>
      </c>
      <c r="CI93" s="30">
        <f t="shared" ref="CI93:CI97" si="258">SUM(P93+V93+AB93+AH93)</f>
        <v>747938</v>
      </c>
    </row>
    <row r="94" spans="1:97" ht="24.75" thickBot="1" x14ac:dyDescent="0.3">
      <c r="A94" s="43" t="str">
        <f>CONCATENATE('3 pr-2'!A95)</f>
        <v>1.1.2.4.3.</v>
      </c>
      <c r="B94" s="34" t="str">
        <f>CONCATENATE('3 pr-2'!D95)</f>
        <v>Saugaus eismo priemonių diegimas, Alytuje</v>
      </c>
      <c r="C94" s="140">
        <v>0</v>
      </c>
      <c r="D94" s="140">
        <v>0</v>
      </c>
      <c r="E94" s="140">
        <v>0</v>
      </c>
      <c r="F94" s="389">
        <v>0</v>
      </c>
      <c r="G94" s="389">
        <v>0</v>
      </c>
      <c r="H94" s="389">
        <v>0</v>
      </c>
      <c r="I94" s="389">
        <v>0</v>
      </c>
      <c r="J94" s="140">
        <v>0</v>
      </c>
      <c r="K94" s="111">
        <f>SUM('ketv. 7 lent'!K93)</f>
        <v>0</v>
      </c>
      <c r="L94" s="405">
        <f>SUM('ketv. 7 lent'!N93)</f>
        <v>0</v>
      </c>
      <c r="M94" s="405">
        <f>IF(YEAR($CG$92)=2017,($BC$4-$CG$92)*AM$92/($CH$92-$CG$92))</f>
        <v>0</v>
      </c>
      <c r="N94" s="405">
        <f>IF(YEAR($CG$92)=2017,($BC$4-$CG$92)*AO$92/($CH$92-$CG$92))</f>
        <v>0</v>
      </c>
      <c r="O94" s="405">
        <f>SUM('ketv. 7 lent'!W93)</f>
        <v>0</v>
      </c>
      <c r="P94" s="111">
        <f>SUM('ketv. 7 lent'!Z93)</f>
        <v>0</v>
      </c>
      <c r="Q94" s="111">
        <f t="shared" si="252"/>
        <v>189161.45977011492</v>
      </c>
      <c r="R94" s="405">
        <f t="shared" si="253"/>
        <v>39146.45977011494</v>
      </c>
      <c r="S94" s="405">
        <f t="shared" si="254"/>
        <v>0</v>
      </c>
      <c r="T94" s="405">
        <f t="shared" si="255"/>
        <v>0</v>
      </c>
      <c r="U94" s="405">
        <f t="shared" si="256"/>
        <v>0</v>
      </c>
      <c r="V94" s="111">
        <f t="shared" si="257"/>
        <v>150015</v>
      </c>
      <c r="W94" s="111">
        <f>IF(YEAR($CH94)=2019,($CH94-$BI$4)*$AJ94/($CH94-$BC$4),0)</f>
        <v>126453.14022988504</v>
      </c>
      <c r="X94" s="422">
        <f>IF(YEAR($CH94)=2019,($CH94-$BI$4)*$AL94/($CH94-$BC$4),0)</f>
        <v>26169.140229885059</v>
      </c>
      <c r="Y94" s="422">
        <f>IF(YEAR($CH94)=2019,($CH94-$BI$4)*AN$92/($CH94-$BC$4),0)</f>
        <v>0</v>
      </c>
      <c r="Z94" s="422">
        <f>IF(YEAR($CH94)=2019,($CH94-$BI$4)*$AP94/($CH94-$BC$4),0)</f>
        <v>0</v>
      </c>
      <c r="AA94" s="422">
        <f>IF(YEAR($CH94)=2019,($CH94-$BI$4)*$AR94/($CH94-$BC$4),0)</f>
        <v>0</v>
      </c>
      <c r="AB94" s="111">
        <f>IF(YEAR($CH94)=2019,($CH94-$BI$4)*$AT94/($CH94-$BC$4),0)</f>
        <v>100284</v>
      </c>
      <c r="AC94" s="114">
        <v>0</v>
      </c>
      <c r="AD94" s="415">
        <v>0</v>
      </c>
      <c r="AE94" s="415">
        <v>0</v>
      </c>
      <c r="AF94" s="415">
        <v>0</v>
      </c>
      <c r="AG94" s="415">
        <v>0</v>
      </c>
      <c r="AH94" s="114">
        <v>0</v>
      </c>
      <c r="AI94" s="1186">
        <f>SUM('3 pr-2'!L95)</f>
        <v>315614.59999999998</v>
      </c>
      <c r="AJ94" s="834">
        <f t="shared" si="236"/>
        <v>315614.59999999998</v>
      </c>
      <c r="AK94" s="389">
        <f>SUM('3 pr-2'!O95)</f>
        <v>65315.6</v>
      </c>
      <c r="AL94" s="839">
        <f t="shared" si="214"/>
        <v>65315.6</v>
      </c>
      <c r="AM94" s="389">
        <f>SUM('3 pr-2'!R95)</f>
        <v>0</v>
      </c>
      <c r="AN94" s="839">
        <f t="shared" si="192"/>
        <v>0</v>
      </c>
      <c r="AO94" s="389">
        <f>SUM('3 pr-2'!U95)</f>
        <v>0</v>
      </c>
      <c r="AP94" s="839">
        <f t="shared" si="193"/>
        <v>0</v>
      </c>
      <c r="AQ94" s="389">
        <f>SUM('3 pr-2'!X95)</f>
        <v>0</v>
      </c>
      <c r="AR94" s="888"/>
      <c r="AS94" s="576">
        <f>SUM('3 pr-2'!AA95)</f>
        <v>250299</v>
      </c>
      <c r="AT94" s="839">
        <f t="shared" si="237"/>
        <v>250299</v>
      </c>
      <c r="AU94" s="133"/>
      <c r="AV94" s="134"/>
      <c r="AW94" s="134"/>
      <c r="AX94" s="391"/>
      <c r="AY94" s="391"/>
      <c r="AZ94" s="391"/>
      <c r="BA94" s="391"/>
      <c r="BB94" s="134"/>
      <c r="BC94" s="134"/>
      <c r="BD94" s="391"/>
      <c r="BE94" s="391"/>
      <c r="BF94" s="391"/>
      <c r="BG94" s="391"/>
      <c r="BH94" s="134"/>
      <c r="BI94" s="134"/>
      <c r="BJ94" s="391"/>
      <c r="BK94" s="391"/>
      <c r="BL94" s="391"/>
      <c r="BM94" s="391"/>
      <c r="BN94" s="134"/>
      <c r="BO94" s="134"/>
      <c r="BP94" s="391"/>
      <c r="BQ94" s="391"/>
      <c r="BR94" s="391"/>
      <c r="BS94" s="391"/>
      <c r="BT94" s="134"/>
      <c r="BU94" s="134"/>
      <c r="BV94" s="391"/>
      <c r="BW94" s="391"/>
      <c r="BX94" s="391"/>
      <c r="BY94" s="391"/>
      <c r="BZ94" s="134"/>
      <c r="CA94" s="23"/>
      <c r="CB94" s="391"/>
      <c r="CC94" s="391"/>
      <c r="CD94" s="391"/>
      <c r="CE94" s="391"/>
      <c r="CF94" s="555"/>
      <c r="CG94" s="569">
        <v>43160</v>
      </c>
      <c r="CH94" s="569">
        <v>43709</v>
      </c>
      <c r="CI94" s="30">
        <f t="shared" si="258"/>
        <v>250299</v>
      </c>
    </row>
    <row r="95" spans="1:97" ht="24.75" thickBot="1" x14ac:dyDescent="0.3">
      <c r="A95" s="43" t="str">
        <f>CONCATENATE('3 pr-2'!A96)</f>
        <v>1.1.2.4.4</v>
      </c>
      <c r="B95" s="34" t="str">
        <f>CONCATENATE('3 pr-2'!D96)</f>
        <v>Eismo saugos priemonių diegimas Alytaus rajone</v>
      </c>
      <c r="C95" s="140">
        <v>0</v>
      </c>
      <c r="D95" s="140">
        <v>0</v>
      </c>
      <c r="E95" s="140">
        <v>0</v>
      </c>
      <c r="F95" s="389">
        <v>0</v>
      </c>
      <c r="G95" s="389">
        <v>0</v>
      </c>
      <c r="H95" s="389">
        <v>0</v>
      </c>
      <c r="I95" s="389">
        <v>0</v>
      </c>
      <c r="J95" s="140">
        <v>0</v>
      </c>
      <c r="K95" s="111">
        <f>IF(YEAR($CG$95)=2017,($BC$4-$CG$95)*AI$95/($CH$95-$CG$95),0)</f>
        <v>0</v>
      </c>
      <c r="L95" s="405">
        <f>IF(YEAR($CG$95)=2017,($BC$4-$CG$95)*AK$95/($CH$95-$CG$95),0)</f>
        <v>0</v>
      </c>
      <c r="M95" s="405">
        <f>IF(YEAR($CG$95)=2017,($BC$4-$CG$95)*AM$95/($CH$95-$CG$95),0)</f>
        <v>0</v>
      </c>
      <c r="N95" s="405">
        <f>IF(YEAR($CG$95)=2017,($BC$4-$CG$95)*AO$95/($CH$95-$CG$95),0)</f>
        <v>0</v>
      </c>
      <c r="O95" s="405">
        <f>IF(YEAR($CG$95)=2017,($BC$4-$CG$95)*AQ$95/($CH$95-$CG$95),0)</f>
        <v>0</v>
      </c>
      <c r="P95" s="114">
        <f>IF(YEAR($CG$95)=2017,($BC$4-$CG$95)*AS$95/($CH$95-$CG$95),0)</f>
        <v>0</v>
      </c>
      <c r="Q95" s="111">
        <f>IF(YEAR($CH95)&gt;2018,($BI$4-$CG$95)*$AJ95/($CH95-$CG$95),0)</f>
        <v>88802.61285909712</v>
      </c>
      <c r="R95" s="405">
        <f>IF(YEAR($CH95)&gt;2018,($BI$4-$CG$95)*$AL95/($CH95-$CG$95),0)</f>
        <v>13520.456908344733</v>
      </c>
      <c r="S95" s="405">
        <f>IF(YEAR($CH95)&gt;2018,($BI$4-$CG$95)*$AN95/($CH95-$CG$95),0)</f>
        <v>0</v>
      </c>
      <c r="T95" s="405">
        <f>IF(YEAR($CH95)&gt;2018,($BI$4-$CG$95)*$AP95/($CH95-$CG$95),0)</f>
        <v>0</v>
      </c>
      <c r="U95" s="405">
        <f>IF(YEAR($CH95)&gt;2018,($BI$4-$CG$95)*$AR95/($CH95-$CG$95),0)</f>
        <v>0</v>
      </c>
      <c r="V95" s="111">
        <f>IF(YEAR($CH95)&gt;2018,($BI$4-$CG$95)*$AT95/($CH95-$CG$95),0)</f>
        <v>75282.155950752393</v>
      </c>
      <c r="W95" s="111">
        <f>IF(YEAR($CH95)&gt;2019,($BO$4-$BI$4)*$AJ95/($CH95-$CG$95),0)</f>
        <v>118295.45143638851</v>
      </c>
      <c r="X95" s="422">
        <f>IF(YEAR($CH95)&gt;2019,($BO$4-$BI$4)*$AL95/($CH95-$CG$95),0)</f>
        <v>18010.827633378933</v>
      </c>
      <c r="Y95" s="422">
        <f>IF(YEAR($CH95)&gt;2019,($BO$4-$BI$4)*AN$92/($CH95-$CG$95),0)</f>
        <v>0</v>
      </c>
      <c r="Z95" s="422">
        <f>IF(YEAR($CH95)&gt;2019,($BO$4-$BI$4)*$AP95/($CH95-$CG$95),0)</f>
        <v>0</v>
      </c>
      <c r="AA95" s="422">
        <f>IF(YEAR($CH95)&gt;2019,($BO$4-$BI$4)*$AR95/($CH95-$CG$95),0)</f>
        <v>0</v>
      </c>
      <c r="AB95" s="111">
        <f>IF(YEAR($CH95)&gt;2019,($BO$4-$BI$4)*$AT95/($CH95-$CG$95),0)</f>
        <v>100284.62380300957</v>
      </c>
      <c r="AC95" s="140">
        <f>IF(YEAR($CH$95)=2020,($CH$95-$BO$4)*AI$95/($CH$95-$CG$95),0)</f>
        <v>29816.935704514362</v>
      </c>
      <c r="AD95" s="389">
        <f>IF(YEAR($CH$95)=2020,($CH$95-$BO$4)*AK$95/($CH$95-$CG$95),0)</f>
        <v>4539.7154582763342</v>
      </c>
      <c r="AE95" s="389">
        <f>IF(YEAR($CH$95)=2020,($CH$95-$BO$4)*AM$95/($CH$95-$CG$95),0)</f>
        <v>0</v>
      </c>
      <c r="AF95" s="389">
        <f>IF(YEAR($CH$95)=2020,($CH$95-$BO$4)*AO$95/($CH$95-$CG$95),0)</f>
        <v>0</v>
      </c>
      <c r="AG95" s="389">
        <f>IF(YEAR($CH$95)=2020,($CH$95-$BO$4)*AQ$95/($CH$95-$CG$95),0)</f>
        <v>0</v>
      </c>
      <c r="AH95" s="140">
        <f>IF(YEAR($CH$95)=2020,($CH$95-$BO$4)*AS$95/($CH$95-$CG$95),0)</f>
        <v>25277.22024623803</v>
      </c>
      <c r="AI95" s="1186">
        <f>SUM('3 pr-2'!L96)</f>
        <v>236915</v>
      </c>
      <c r="AJ95" s="834">
        <f t="shared" si="236"/>
        <v>236915</v>
      </c>
      <c r="AK95" s="389">
        <f>SUM('3 pr-2'!O96)</f>
        <v>36071</v>
      </c>
      <c r="AL95" s="839">
        <f t="shared" si="214"/>
        <v>36071</v>
      </c>
      <c r="AM95" s="389">
        <f>SUM('3 pr-2'!R96)</f>
        <v>0</v>
      </c>
      <c r="AN95" s="839">
        <f t="shared" si="192"/>
        <v>0</v>
      </c>
      <c r="AO95" s="389">
        <f>SUM('3 pr-2'!U96)</f>
        <v>0</v>
      </c>
      <c r="AP95" s="839">
        <f t="shared" si="193"/>
        <v>0</v>
      </c>
      <c r="AQ95" s="389">
        <f>SUM('3 pr-2'!X96)</f>
        <v>0</v>
      </c>
      <c r="AR95" s="888"/>
      <c r="AS95" s="576">
        <f>SUM('3 pr-2'!AA96)</f>
        <v>200844</v>
      </c>
      <c r="AT95" s="839">
        <f t="shared" si="237"/>
        <v>200844</v>
      </c>
      <c r="AU95" s="133"/>
      <c r="AV95" s="134"/>
      <c r="AW95" s="134"/>
      <c r="AX95" s="391"/>
      <c r="AY95" s="391"/>
      <c r="AZ95" s="391"/>
      <c r="BA95" s="391"/>
      <c r="BB95" s="134"/>
      <c r="BC95" s="134"/>
      <c r="BD95" s="391"/>
      <c r="BE95" s="391"/>
      <c r="BF95" s="391"/>
      <c r="BG95" s="391"/>
      <c r="BH95" s="134"/>
      <c r="BI95" s="134"/>
      <c r="BJ95" s="391"/>
      <c r="BK95" s="391"/>
      <c r="BL95" s="391"/>
      <c r="BM95" s="391"/>
      <c r="BN95" s="134"/>
      <c r="BO95" s="134"/>
      <c r="BP95" s="391"/>
      <c r="BQ95" s="391"/>
      <c r="BR95" s="391"/>
      <c r="BS95" s="391"/>
      <c r="BT95" s="134"/>
      <c r="BU95" s="134"/>
      <c r="BV95" s="391"/>
      <c r="BW95" s="391"/>
      <c r="BX95" s="391"/>
      <c r="BY95" s="391"/>
      <c r="BZ95" s="134"/>
      <c r="CA95" s="23"/>
      <c r="CB95" s="391"/>
      <c r="CC95" s="391"/>
      <c r="CD95" s="391"/>
      <c r="CE95" s="391"/>
      <c r="CF95" s="555"/>
      <c r="CG95" s="569">
        <v>43191</v>
      </c>
      <c r="CH95" s="569">
        <v>43922</v>
      </c>
      <c r="CI95" s="30">
        <f t="shared" si="258"/>
        <v>200843.99999999997</v>
      </c>
    </row>
    <row r="96" spans="1:97" ht="24.75" thickBot="1" x14ac:dyDescent="0.3">
      <c r="A96" s="43" t="str">
        <f>CONCATENATE('3 pr-2'!A97)</f>
        <v>1.1.2.4.5</v>
      </c>
      <c r="B96" s="34" t="str">
        <f>CONCATENATE('3 pr-2'!D97)</f>
        <v>M. K. Čiurlionio gatvės atkarpos Druskininkų m. rekonstrukcija</v>
      </c>
      <c r="C96" s="140">
        <v>0</v>
      </c>
      <c r="D96" s="140">
        <v>0</v>
      </c>
      <c r="E96" s="140">
        <v>0</v>
      </c>
      <c r="F96" s="389">
        <v>0</v>
      </c>
      <c r="G96" s="389">
        <v>0</v>
      </c>
      <c r="H96" s="389">
        <v>0</v>
      </c>
      <c r="I96" s="389">
        <v>0</v>
      </c>
      <c r="J96" s="140">
        <v>0</v>
      </c>
      <c r="K96" s="111">
        <f>IF(YEAR($CG$96)=2017,($BC$4-$CG$96)*AI$96/($CH$96-$CG$96),0)</f>
        <v>0</v>
      </c>
      <c r="L96" s="405">
        <f>IF(YEAR($CG$96)=2017,($BC$4-$CG$96)*AK$96/($CH$96-$CG$96),0)</f>
        <v>0</v>
      </c>
      <c r="M96" s="405">
        <f>IF(YEAR($CG$96)=2017,($BC$4-$CG$96)*AM$96/($CH$96-$CG$96),0)</f>
        <v>0</v>
      </c>
      <c r="N96" s="405">
        <f>IF(YEAR($CG$96)=2017,($BC$4-$CG$96)*AO$96/($CH$96-$CG$96),0)</f>
        <v>0</v>
      </c>
      <c r="O96" s="405">
        <f>IF(YEAR($CG$96)=2017,($BC$4-$CG$96)*AQ$96/($CH$96-$CG$96),0)</f>
        <v>0</v>
      </c>
      <c r="P96" s="114">
        <f>IF(YEAR($CG$96)=2017,($BC$4-$CG$96)*AS$96/($CH$96-$CG$96),0)</f>
        <v>0</v>
      </c>
      <c r="Q96" s="111">
        <f t="shared" si="252"/>
        <v>839529.52029250457</v>
      </c>
      <c r="R96" s="405">
        <f t="shared" si="253"/>
        <v>582862.45447897632</v>
      </c>
      <c r="S96" s="405">
        <f t="shared" si="254"/>
        <v>0</v>
      </c>
      <c r="T96" s="405">
        <f t="shared" si="255"/>
        <v>0</v>
      </c>
      <c r="U96" s="405">
        <f t="shared" si="256"/>
        <v>0</v>
      </c>
      <c r="V96" s="111">
        <f t="shared" si="257"/>
        <v>256667.06581352834</v>
      </c>
      <c r="W96" s="111">
        <f>IF(YEAR($CH96)=2019,($CH96-$BI$4)*$AJ96/($CH96-$BC$4),0)</f>
        <v>418614.71970749542</v>
      </c>
      <c r="X96" s="422">
        <f>IF(YEAR($CH96)=2019,($CH96-$BI$4)*$AL96/($CH96-$BC$4),0)</f>
        <v>290632.78552102379</v>
      </c>
      <c r="Y96" s="422">
        <f>IF(YEAR($CH96)=2019,($CH96-$BI$4)*AN$92/($CH96-$BC$4),0)</f>
        <v>0</v>
      </c>
      <c r="Z96" s="422">
        <f>IF(YEAR($CH96)=2019,($CH96-$BI$4)*$AP96/($CH96-$BC$4),0)</f>
        <v>0</v>
      </c>
      <c r="AA96" s="422">
        <f>IF(YEAR($CH96)=2019,($CH96-$BI$4)*$AR96/($CH96-$BC$4),0)</f>
        <v>0</v>
      </c>
      <c r="AB96" s="111">
        <f>IF(YEAR($CH96)=2019,($CH96-$BI$4)*$AT96/($CH96-$BC$4),0)</f>
        <v>127981.93418647167</v>
      </c>
      <c r="AC96" s="114">
        <v>0</v>
      </c>
      <c r="AD96" s="415">
        <v>0</v>
      </c>
      <c r="AE96" s="415">
        <v>0</v>
      </c>
      <c r="AF96" s="415">
        <v>0</v>
      </c>
      <c r="AG96" s="415">
        <v>0</v>
      </c>
      <c r="AH96" s="114">
        <v>0</v>
      </c>
      <c r="AI96" s="1186">
        <f>SUM('3 pr-2'!L97)</f>
        <v>1258144.24</v>
      </c>
      <c r="AJ96" s="834">
        <f t="shared" si="236"/>
        <v>1258144.24</v>
      </c>
      <c r="AK96" s="389">
        <f>SUM('3 pr-2'!O97)</f>
        <v>873495.24</v>
      </c>
      <c r="AL96" s="839">
        <f t="shared" si="214"/>
        <v>873495.24</v>
      </c>
      <c r="AM96" s="389">
        <f>SUM('3 pr-2'!R97)</f>
        <v>0</v>
      </c>
      <c r="AN96" s="839">
        <f t="shared" si="192"/>
        <v>0</v>
      </c>
      <c r="AO96" s="389">
        <f>SUM('3 pr-2'!U97)</f>
        <v>0</v>
      </c>
      <c r="AP96" s="839">
        <f t="shared" si="193"/>
        <v>0</v>
      </c>
      <c r="AQ96" s="389">
        <f>SUM('3 pr-2'!X97)</f>
        <v>0</v>
      </c>
      <c r="AR96" s="888"/>
      <c r="AS96" s="576">
        <f>SUM('3 pr-2'!AA97)</f>
        <v>384649</v>
      </c>
      <c r="AT96" s="839">
        <f t="shared" si="237"/>
        <v>384649</v>
      </c>
      <c r="AU96" s="133"/>
      <c r="AV96" s="134"/>
      <c r="AW96" s="134"/>
      <c r="AX96" s="391"/>
      <c r="AY96" s="391"/>
      <c r="AZ96" s="391"/>
      <c r="BA96" s="391"/>
      <c r="BB96" s="134"/>
      <c r="BC96" s="134"/>
      <c r="BD96" s="391"/>
      <c r="BE96" s="391"/>
      <c r="BF96" s="391"/>
      <c r="BG96" s="391"/>
      <c r="BH96" s="134"/>
      <c r="BI96" s="134"/>
      <c r="BJ96" s="391"/>
      <c r="BK96" s="391"/>
      <c r="BL96" s="391"/>
      <c r="BM96" s="391"/>
      <c r="BN96" s="134"/>
      <c r="BO96" s="134"/>
      <c r="BP96" s="391"/>
      <c r="BQ96" s="391"/>
      <c r="BR96" s="391"/>
      <c r="BS96" s="391"/>
      <c r="BT96" s="134"/>
      <c r="BU96" s="134"/>
      <c r="BV96" s="391"/>
      <c r="BW96" s="391"/>
      <c r="BX96" s="391"/>
      <c r="BY96" s="391"/>
      <c r="BZ96" s="134"/>
      <c r="CA96" s="23"/>
      <c r="CB96" s="391"/>
      <c r="CC96" s="391"/>
      <c r="CD96" s="391"/>
      <c r="CE96" s="391"/>
      <c r="CF96" s="555"/>
      <c r="CG96" s="569">
        <v>43132</v>
      </c>
      <c r="CH96" s="569">
        <v>43647</v>
      </c>
      <c r="CI96" s="30">
        <f t="shared" si="258"/>
        <v>384649</v>
      </c>
    </row>
    <row r="97" spans="1:96" ht="48.75" thickBot="1" x14ac:dyDescent="0.3">
      <c r="A97" s="43" t="str">
        <f>CONCATENATE('3 pr-2'!A98)</f>
        <v>1.1.2.4.6</v>
      </c>
      <c r="B97" s="34" t="str">
        <f>CONCATENATE('3 pr-2'!D98)</f>
        <v>Lazdijų miesto Seinų ir Lazdijos gatvių bei vietinės reikšmės kelio nuo Janonio gatvės iki Lazdijų hipodromo rekonstravimas</v>
      </c>
      <c r="C97" s="111">
        <v>0</v>
      </c>
      <c r="D97" s="111">
        <v>0</v>
      </c>
      <c r="E97" s="111">
        <v>0</v>
      </c>
      <c r="F97" s="389">
        <v>0</v>
      </c>
      <c r="G97" s="389">
        <v>0</v>
      </c>
      <c r="H97" s="389">
        <v>0</v>
      </c>
      <c r="I97" s="389">
        <v>0</v>
      </c>
      <c r="J97" s="111">
        <v>0</v>
      </c>
      <c r="K97" s="111">
        <f>IF(YEAR($CG$96)=2017,($BC$4-$CG$96)*AI$96/($CH$96-$CG$96),0)</f>
        <v>0</v>
      </c>
      <c r="L97" s="405">
        <f>IF(YEAR($CG$96)=2017,($BC$4-$CG$96)*AK$96/($CH$96-$CG$96),0)</f>
        <v>0</v>
      </c>
      <c r="M97" s="405">
        <f>IF(YEAR($CG$96)=2017,($BC$4-$CG$96)*AM$96/($CH$96-$CG$96),0)</f>
        <v>0</v>
      </c>
      <c r="N97" s="405">
        <f>IF(YEAR($CG$96)=2017,($BC$4-$CG$96)*AO$96/($CH$96-$CG$96),0)</f>
        <v>0</v>
      </c>
      <c r="O97" s="405">
        <f>IF(YEAR($CG$96)=2017,($BC$4-$CG$96)*AQ$96/($CH$96-$CG$96),0)</f>
        <v>0</v>
      </c>
      <c r="P97" s="51">
        <f>IF(YEAR($CG$96)=2017,($BC$4-$CG$96)*AS$96/($CH$96-$CG$96),0)</f>
        <v>0</v>
      </c>
      <c r="Q97" s="111">
        <f t="shared" si="252"/>
        <v>455461.2643678161</v>
      </c>
      <c r="R97" s="405">
        <f t="shared" si="253"/>
        <v>68319.12972085386</v>
      </c>
      <c r="S97" s="405">
        <f t="shared" si="254"/>
        <v>0</v>
      </c>
      <c r="T97" s="405">
        <f t="shared" si="255"/>
        <v>0</v>
      </c>
      <c r="U97" s="405">
        <f t="shared" si="256"/>
        <v>0</v>
      </c>
      <c r="V97" s="111">
        <f t="shared" si="257"/>
        <v>387142.13464696222</v>
      </c>
      <c r="W97" s="111">
        <f>IF(YEAR($CH97)=2019,($CH97-$BI$4)*$AJ97/($CH97-$BC$4),0)</f>
        <v>304472.7356321839</v>
      </c>
      <c r="X97" s="422">
        <f>IF(YEAR($CH97)=2019,($CH97-$BI$4)*$AL97/($CH97-$BC$4),0)</f>
        <v>45670.87027914614</v>
      </c>
      <c r="Y97" s="422">
        <f>IF(YEAR($CH97)=2019,($CH97-$BI$4)*AN$92/($CH97-$BC$4),0)</f>
        <v>0</v>
      </c>
      <c r="Z97" s="422">
        <f>IF(YEAR($CH97)=2019,($CH97-$BI$4)*$AP97/($CH97-$BC$4),0)</f>
        <v>0</v>
      </c>
      <c r="AA97" s="422">
        <f>IF(YEAR($CH97)=2019,($CH97-$BI$4)*$AR97/($CH97-$BC$4),0)</f>
        <v>0</v>
      </c>
      <c r="AB97" s="111">
        <f>IF(YEAR($CH97)=2019,($CH97-$BI$4)*$AT97/($CH97-$BC$4),0)</f>
        <v>258801.86535303778</v>
      </c>
      <c r="AC97" s="51">
        <v>0</v>
      </c>
      <c r="AD97" s="421">
        <v>0</v>
      </c>
      <c r="AE97" s="421">
        <v>0</v>
      </c>
      <c r="AF97" s="421">
        <v>0</v>
      </c>
      <c r="AG97" s="421">
        <v>0</v>
      </c>
      <c r="AH97" s="51">
        <v>0</v>
      </c>
      <c r="AI97" s="1185">
        <f>SUM('3 pr-2'!L98)</f>
        <v>759934</v>
      </c>
      <c r="AJ97" s="834">
        <f t="shared" si="236"/>
        <v>759934</v>
      </c>
      <c r="AK97" s="389">
        <f>SUM('3 pr-2'!O98)</f>
        <v>113990</v>
      </c>
      <c r="AL97" s="839">
        <f t="shared" si="214"/>
        <v>113990</v>
      </c>
      <c r="AM97" s="389">
        <f>SUM('3 pr-2'!R98)</f>
        <v>0</v>
      </c>
      <c r="AN97" s="839">
        <f t="shared" si="192"/>
        <v>0</v>
      </c>
      <c r="AO97" s="389">
        <f>SUM('3 pr-2'!U98)</f>
        <v>0</v>
      </c>
      <c r="AP97" s="839">
        <f t="shared" si="193"/>
        <v>0</v>
      </c>
      <c r="AQ97" s="389">
        <f>SUM('3 pr-2'!X98)</f>
        <v>0</v>
      </c>
      <c r="AR97" s="888"/>
      <c r="AS97" s="577">
        <f>SUM('3 pr-2'!AA98)</f>
        <v>645944</v>
      </c>
      <c r="AT97" s="839">
        <f t="shared" si="237"/>
        <v>645944</v>
      </c>
      <c r="AU97" s="133"/>
      <c r="AV97" s="134"/>
      <c r="AW97" s="134"/>
      <c r="AX97" s="392"/>
      <c r="AY97" s="392"/>
      <c r="AZ97" s="392"/>
      <c r="BA97" s="392"/>
      <c r="BB97" s="134"/>
      <c r="BC97" s="134"/>
      <c r="BD97" s="392"/>
      <c r="BE97" s="392"/>
      <c r="BF97" s="392"/>
      <c r="BG97" s="392"/>
      <c r="BH97" s="134"/>
      <c r="BI97" s="134"/>
      <c r="BJ97" s="392"/>
      <c r="BK97" s="392"/>
      <c r="BL97" s="392"/>
      <c r="BM97" s="392"/>
      <c r="BN97" s="134"/>
      <c r="BO97" s="134"/>
      <c r="BP97" s="392"/>
      <c r="BQ97" s="392"/>
      <c r="BR97" s="392"/>
      <c r="BS97" s="392"/>
      <c r="BT97" s="134"/>
      <c r="BU97" s="134"/>
      <c r="BV97" s="392"/>
      <c r="BW97" s="392"/>
      <c r="BX97" s="392"/>
      <c r="BY97" s="392"/>
      <c r="BZ97" s="134"/>
      <c r="CA97" s="23"/>
      <c r="CB97" s="392"/>
      <c r="CC97" s="392"/>
      <c r="CD97" s="392"/>
      <c r="CE97" s="392"/>
      <c r="CF97" s="555"/>
      <c r="CG97" s="569">
        <v>43101</v>
      </c>
      <c r="CH97" s="569">
        <v>43709</v>
      </c>
      <c r="CI97" s="30">
        <f t="shared" si="258"/>
        <v>645944</v>
      </c>
    </row>
    <row r="98" spans="1:96" ht="24.75" thickBot="1" x14ac:dyDescent="0.3">
      <c r="A98" s="43" t="str">
        <f>CONCATENATE('3 pr-2'!A99)</f>
        <v>1.1.2.4.7</v>
      </c>
      <c r="B98" s="34" t="str">
        <f>CONCATENATE('3 pr-2'!D99)</f>
        <v>Eismo saugumo priemonių diegimas Druskininkų savivaldybėje</v>
      </c>
      <c r="C98" s="111"/>
      <c r="D98" s="111"/>
      <c r="E98" s="111"/>
      <c r="F98" s="389"/>
      <c r="G98" s="389"/>
      <c r="H98" s="389"/>
      <c r="I98" s="389"/>
      <c r="J98" s="111"/>
      <c r="K98" s="111"/>
      <c r="L98" s="405"/>
      <c r="M98" s="405"/>
      <c r="N98" s="405"/>
      <c r="O98" s="405"/>
      <c r="P98" s="51"/>
      <c r="Q98" s="111"/>
      <c r="R98" s="405"/>
      <c r="S98" s="405"/>
      <c r="T98" s="405"/>
      <c r="U98" s="405"/>
      <c r="V98" s="111"/>
      <c r="W98" s="111">
        <f>SUM('3 pr-2'!L99)</f>
        <v>135352</v>
      </c>
      <c r="X98" s="422">
        <f>SUM('3 pr-2'!O99)</f>
        <v>22363</v>
      </c>
      <c r="Y98" s="422">
        <f>SUM('3 pr-2'!R99)</f>
        <v>0</v>
      </c>
      <c r="Z98" s="422">
        <f>SUM('3 pr-2'!U99)</f>
        <v>0</v>
      </c>
      <c r="AA98" s="422">
        <f>SUM('3 pr-2'!X99)</f>
        <v>0</v>
      </c>
      <c r="AB98" s="111">
        <f>SUM('3 pr-2'!AA99)</f>
        <v>112989</v>
      </c>
      <c r="AC98" s="51"/>
      <c r="AD98" s="421"/>
      <c r="AE98" s="421"/>
      <c r="AF98" s="421"/>
      <c r="AG98" s="421"/>
      <c r="AH98" s="51"/>
      <c r="AI98" s="1185">
        <f>SUM('3 pr-2'!L99)</f>
        <v>135352</v>
      </c>
      <c r="AJ98" s="834">
        <f t="shared" si="236"/>
        <v>135352</v>
      </c>
      <c r="AK98" s="389">
        <f>SUM('3 pr-2'!O99)</f>
        <v>22363</v>
      </c>
      <c r="AL98" s="839">
        <f t="shared" si="214"/>
        <v>22363</v>
      </c>
      <c r="AM98" s="389">
        <f>SUM('3 pr-2'!R99)</f>
        <v>0</v>
      </c>
      <c r="AN98" s="839">
        <f t="shared" ref="AN98" si="259">SUM(AM98-M98)</f>
        <v>0</v>
      </c>
      <c r="AO98" s="389">
        <f>SUM('3 pr-2'!U99)</f>
        <v>0</v>
      </c>
      <c r="AP98" s="839">
        <f t="shared" ref="AP98" si="260">SUM(AO98-O98)</f>
        <v>0</v>
      </c>
      <c r="AQ98" s="389">
        <f>SUM('3 pr-2'!X99)</f>
        <v>0</v>
      </c>
      <c r="AR98" s="888"/>
      <c r="AS98" s="577">
        <f>SUM('3 pr-2'!AA99)</f>
        <v>112989</v>
      </c>
      <c r="AT98" s="839">
        <f t="shared" si="237"/>
        <v>112989</v>
      </c>
      <c r="AU98" s="1221"/>
      <c r="AV98" s="1221"/>
      <c r="AW98" s="1221"/>
      <c r="AX98" s="1222"/>
      <c r="AY98" s="1222"/>
      <c r="AZ98" s="1222"/>
      <c r="BA98" s="1222"/>
      <c r="BB98" s="1221"/>
      <c r="BC98" s="1221"/>
      <c r="BD98" s="1222"/>
      <c r="BE98" s="1222"/>
      <c r="BF98" s="1222"/>
      <c r="BG98" s="1222"/>
      <c r="BH98" s="1221"/>
      <c r="BI98" s="1221"/>
      <c r="BJ98" s="1222"/>
      <c r="BK98" s="1222"/>
      <c r="BL98" s="1222"/>
      <c r="BM98" s="1222"/>
      <c r="BN98" s="1221"/>
      <c r="BO98" s="1221"/>
      <c r="BP98" s="1222"/>
      <c r="BQ98" s="1222"/>
      <c r="BR98" s="1222"/>
      <c r="BS98" s="1222"/>
      <c r="BT98" s="1221"/>
      <c r="BU98" s="1221"/>
      <c r="BV98" s="1222"/>
      <c r="BW98" s="1222"/>
      <c r="BX98" s="1222"/>
      <c r="BY98" s="1222"/>
      <c r="BZ98" s="1221"/>
      <c r="CA98" s="1223"/>
      <c r="CB98" s="1222"/>
      <c r="CC98" s="1222"/>
      <c r="CD98" s="1222"/>
      <c r="CE98" s="1222"/>
      <c r="CF98" s="1224"/>
      <c r="CG98" s="569">
        <f>SUM('3 pr-2'!AH99)</f>
        <v>43585</v>
      </c>
      <c r="CH98" s="569">
        <f>SUM('3 pr-2'!AJ99)</f>
        <v>43830</v>
      </c>
      <c r="CI98" s="30"/>
    </row>
    <row r="99" spans="1:96" ht="29.25" customHeight="1" thickBot="1" x14ac:dyDescent="0.3">
      <c r="A99" s="194" t="str">
        <f>CONCATENATE('3 pr-2'!A100)</f>
        <v>2.1.</v>
      </c>
      <c r="B99" s="180" t="str">
        <f>CONCATENATE('3 pr-2'!D100)</f>
        <v/>
      </c>
      <c r="C99" s="169">
        <f>SUM(C100+C119+C146+C159)</f>
        <v>0</v>
      </c>
      <c r="D99" s="169">
        <f>SUM(D100+D119+D146+D159)</f>
        <v>0</v>
      </c>
      <c r="E99" s="169">
        <f>SUM(E100+E119+E146+E159)</f>
        <v>272169.55999999994</v>
      </c>
      <c r="F99" s="169"/>
      <c r="G99" s="169"/>
      <c r="H99" s="169"/>
      <c r="I99" s="169"/>
      <c r="J99" s="169">
        <f t="shared" ref="J99:Q99" si="261">SUM(J100+J119+J146+J159)</f>
        <v>239547.65159038958</v>
      </c>
      <c r="K99" s="169">
        <f t="shared" si="261"/>
        <v>1241878.396438356</v>
      </c>
      <c r="L99" s="411">
        <f t="shared" si="261"/>
        <v>114905.03131641696</v>
      </c>
      <c r="M99" s="411">
        <f t="shared" si="261"/>
        <v>5521.7276712328749</v>
      </c>
      <c r="N99" s="411">
        <f t="shared" si="261"/>
        <v>0</v>
      </c>
      <c r="O99" s="411">
        <f t="shared" si="261"/>
        <v>0</v>
      </c>
      <c r="P99" s="169">
        <f t="shared" si="261"/>
        <v>1121451.6374507062</v>
      </c>
      <c r="Q99" s="169">
        <f t="shared" si="261"/>
        <v>5032654.9517004015</v>
      </c>
      <c r="R99" s="411"/>
      <c r="S99" s="411"/>
      <c r="T99" s="411"/>
      <c r="U99" s="411"/>
      <c r="V99" s="169">
        <f>SUM(V100+V119+V146+V159)</f>
        <v>3965046.9018183379</v>
      </c>
      <c r="W99" s="169">
        <f>SUM(W100+W119+W146+W159)</f>
        <v>4281564.5432301145</v>
      </c>
      <c r="X99" s="411"/>
      <c r="Y99" s="411"/>
      <c r="Z99" s="411"/>
      <c r="AA99" s="411"/>
      <c r="AB99" s="169">
        <f>SUM(AB100+AB119+AB146+AB159)</f>
        <v>3449794.0723820329</v>
      </c>
      <c r="AC99" s="169">
        <f>SUM(AC100+AC119+AC146+AC159)</f>
        <v>1768487.3586311273</v>
      </c>
      <c r="AD99" s="411"/>
      <c r="AE99" s="411"/>
      <c r="AF99" s="411"/>
      <c r="AG99" s="411"/>
      <c r="AH99" s="169">
        <f>SUM(AH100+AH119+AH146+AH159)</f>
        <v>1502405.0429747491</v>
      </c>
      <c r="AI99" s="1166">
        <f>SUM(AI100+AI119+AI146+AI159)</f>
        <v>12596754.809999999</v>
      </c>
      <c r="AJ99" s="169"/>
      <c r="AK99" s="169"/>
      <c r="AL99" s="169"/>
      <c r="AM99" s="169"/>
      <c r="AN99" s="169"/>
      <c r="AO99" s="169"/>
      <c r="AP99" s="169"/>
      <c r="AQ99" s="169"/>
      <c r="AR99" s="169"/>
      <c r="AS99" s="169">
        <f>SUM(AS100+AS119+AS146+AS159)</f>
        <v>10278245.306216216</v>
      </c>
      <c r="AT99" s="818"/>
      <c r="AX99" s="169"/>
      <c r="AY99" s="169"/>
      <c r="AZ99" s="169"/>
      <c r="BA99" s="169"/>
      <c r="BD99" s="169"/>
      <c r="BE99" s="169"/>
      <c r="BF99" s="169"/>
      <c r="BG99" s="169"/>
      <c r="BJ99" s="169"/>
      <c r="BK99" s="169"/>
      <c r="BL99" s="169"/>
      <c r="BM99" s="169"/>
      <c r="BP99" s="169"/>
      <c r="BQ99" s="169"/>
      <c r="BR99" s="169"/>
      <c r="BS99" s="169"/>
      <c r="BV99" s="169"/>
      <c r="BW99" s="169"/>
      <c r="BX99" s="169"/>
      <c r="BY99" s="169"/>
      <c r="CB99" s="169"/>
      <c r="CC99" s="169"/>
      <c r="CD99" s="169"/>
      <c r="CE99" s="169"/>
      <c r="CG99" s="561"/>
      <c r="CH99" s="561"/>
    </row>
    <row r="100" spans="1:96" ht="29.25" customHeight="1" thickBot="1" x14ac:dyDescent="0.3">
      <c r="A100" s="194" t="str">
        <f>CONCATENATE('3 pr-2'!A101)</f>
        <v>2.1.1.</v>
      </c>
      <c r="B100" s="181" t="str">
        <f>CONCATENATE('3 pr-2'!D101)</f>
        <v/>
      </c>
      <c r="C100" s="170">
        <f t="shared" ref="C100:AS100" si="262">SUM(C101+C107+C113)</f>
        <v>0</v>
      </c>
      <c r="D100" s="170">
        <f t="shared" si="262"/>
        <v>0</v>
      </c>
      <c r="E100" s="170">
        <f t="shared" si="262"/>
        <v>0</v>
      </c>
      <c r="F100" s="170"/>
      <c r="G100" s="170"/>
      <c r="H100" s="170"/>
      <c r="I100" s="170"/>
      <c r="J100" s="170">
        <f t="shared" si="262"/>
        <v>0</v>
      </c>
      <c r="K100" s="170">
        <f t="shared" si="262"/>
        <v>70280.39643835614</v>
      </c>
      <c r="L100" s="412">
        <f t="shared" ref="L100:O100" si="263">SUM(L101+L107+L113)</f>
        <v>7803.9397260273963</v>
      </c>
      <c r="M100" s="412">
        <f t="shared" si="263"/>
        <v>2757.0276712328755</v>
      </c>
      <c r="N100" s="412">
        <f t="shared" si="263"/>
        <v>0</v>
      </c>
      <c r="O100" s="412">
        <f t="shared" si="263"/>
        <v>0</v>
      </c>
      <c r="P100" s="170">
        <f t="shared" si="262"/>
        <v>59719.429041095878</v>
      </c>
      <c r="Q100" s="170">
        <f t="shared" si="262"/>
        <v>2369222.5903965067</v>
      </c>
      <c r="R100" s="412"/>
      <c r="S100" s="412"/>
      <c r="T100" s="412"/>
      <c r="U100" s="412"/>
      <c r="V100" s="170">
        <f t="shared" si="262"/>
        <v>1895087.3869297891</v>
      </c>
      <c r="W100" s="170">
        <f t="shared" si="262"/>
        <v>2073124.6649459582</v>
      </c>
      <c r="X100" s="412"/>
      <c r="Y100" s="412"/>
      <c r="Z100" s="412"/>
      <c r="AA100" s="412"/>
      <c r="AB100" s="170">
        <f t="shared" si="262"/>
        <v>1648893.238601495</v>
      </c>
      <c r="AC100" s="170">
        <f t="shared" si="262"/>
        <v>193037.5382191781</v>
      </c>
      <c r="AD100" s="412"/>
      <c r="AE100" s="412"/>
      <c r="AF100" s="412"/>
      <c r="AG100" s="412"/>
      <c r="AH100" s="170">
        <f t="shared" si="262"/>
        <v>163273.1616438356</v>
      </c>
      <c r="AI100" s="1167">
        <f t="shared" si="262"/>
        <v>4705665.1899999995</v>
      </c>
      <c r="AJ100" s="170"/>
      <c r="AK100" s="170"/>
      <c r="AL100" s="170"/>
      <c r="AM100" s="170"/>
      <c r="AN100" s="170"/>
      <c r="AO100" s="170"/>
      <c r="AP100" s="170"/>
      <c r="AQ100" s="170"/>
      <c r="AR100" s="170"/>
      <c r="AS100" s="170">
        <f t="shared" si="262"/>
        <v>3766973.2162162159</v>
      </c>
      <c r="AT100" s="819"/>
      <c r="AX100" s="170"/>
      <c r="AY100" s="170"/>
      <c r="AZ100" s="170"/>
      <c r="BA100" s="170"/>
      <c r="BD100" s="170"/>
      <c r="BE100" s="170"/>
      <c r="BF100" s="170"/>
      <c r="BG100" s="170"/>
      <c r="BJ100" s="170"/>
      <c r="BK100" s="170"/>
      <c r="BL100" s="170"/>
      <c r="BM100" s="170"/>
      <c r="BP100" s="170"/>
      <c r="BQ100" s="170"/>
      <c r="BR100" s="170"/>
      <c r="BS100" s="170"/>
      <c r="BV100" s="170"/>
      <c r="BW100" s="170"/>
      <c r="BX100" s="170"/>
      <c r="BY100" s="170"/>
      <c r="CB100" s="170"/>
      <c r="CC100" s="170"/>
      <c r="CD100" s="170"/>
      <c r="CE100" s="170"/>
      <c r="CG100" s="561"/>
      <c r="CH100" s="561"/>
    </row>
    <row r="101" spans="1:96" ht="39.75" thickBot="1" x14ac:dyDescent="0.3">
      <c r="A101" s="383" t="str">
        <f>CONCATENATE('3 pr-2'!A102)</f>
        <v>2.1.1.1</v>
      </c>
      <c r="B101" s="182" t="str">
        <f>CONCATENATE('3 pr-2'!D102)</f>
        <v/>
      </c>
      <c r="C101" s="110">
        <f t="shared" ref="C101:AS101" si="264">SUM(C102:C106)</f>
        <v>0</v>
      </c>
      <c r="D101" s="110">
        <f t="shared" si="264"/>
        <v>0</v>
      </c>
      <c r="E101" s="110">
        <f t="shared" si="264"/>
        <v>0</v>
      </c>
      <c r="F101" s="110"/>
      <c r="G101" s="110"/>
      <c r="H101" s="110"/>
      <c r="I101" s="110"/>
      <c r="J101" s="110">
        <f t="shared" si="264"/>
        <v>0</v>
      </c>
      <c r="K101" s="110">
        <f t="shared" si="264"/>
        <v>36761.229315068478</v>
      </c>
      <c r="L101" s="408">
        <f t="shared" ref="L101:O101" si="265">SUM(L102:L106)</f>
        <v>2757.1934246575333</v>
      </c>
      <c r="M101" s="408">
        <f t="shared" si="265"/>
        <v>2757.0276712328755</v>
      </c>
      <c r="N101" s="408">
        <f t="shared" si="265"/>
        <v>0</v>
      </c>
      <c r="O101" s="408">
        <f t="shared" si="265"/>
        <v>0</v>
      </c>
      <c r="P101" s="110">
        <f t="shared" si="264"/>
        <v>31247.008219178068</v>
      </c>
      <c r="Q101" s="110">
        <f t="shared" si="264"/>
        <v>569071.54520547902</v>
      </c>
      <c r="R101" s="408"/>
      <c r="S101" s="408"/>
      <c r="T101" s="408"/>
      <c r="U101" s="408"/>
      <c r="V101" s="110">
        <f t="shared" si="264"/>
        <v>483710.13835616398</v>
      </c>
      <c r="W101" s="110">
        <f t="shared" si="264"/>
        <v>569806.95369863056</v>
      </c>
      <c r="X101" s="408"/>
      <c r="Y101" s="408"/>
      <c r="Z101" s="408"/>
      <c r="AA101" s="408"/>
      <c r="AB101" s="110">
        <f t="shared" si="264"/>
        <v>484335.23835616477</v>
      </c>
      <c r="AC101" s="110">
        <f t="shared" si="264"/>
        <v>168335.09178082191</v>
      </c>
      <c r="AD101" s="408"/>
      <c r="AE101" s="408"/>
      <c r="AF101" s="408"/>
      <c r="AG101" s="408"/>
      <c r="AH101" s="110">
        <f t="shared" si="264"/>
        <v>143084.61506849315</v>
      </c>
      <c r="AI101" s="1177">
        <f t="shared" si="264"/>
        <v>1343974.82</v>
      </c>
      <c r="AJ101" s="110"/>
      <c r="AK101" s="110"/>
      <c r="AL101" s="110"/>
      <c r="AM101" s="110"/>
      <c r="AN101" s="110"/>
      <c r="AO101" s="110"/>
      <c r="AP101" s="110"/>
      <c r="AQ101" s="110"/>
      <c r="AR101" s="110"/>
      <c r="AS101" s="110">
        <f t="shared" si="264"/>
        <v>1142377</v>
      </c>
      <c r="AT101" s="110"/>
      <c r="AU101" s="24">
        <v>0</v>
      </c>
      <c r="AV101" s="25">
        <v>0</v>
      </c>
      <c r="AW101" s="25">
        <v>33.333333333333336</v>
      </c>
      <c r="AX101" s="110">
        <v>33.333333333333336</v>
      </c>
      <c r="AY101" s="110">
        <v>33.333333333333336</v>
      </c>
      <c r="AZ101" s="110">
        <v>33.333333333333336</v>
      </c>
      <c r="BA101" s="110">
        <v>33.333333333333336</v>
      </c>
      <c r="BB101" s="25">
        <v>33.333333333333336</v>
      </c>
      <c r="BC101" s="25">
        <v>33.333333333333336</v>
      </c>
      <c r="BD101" s="110">
        <v>33.333333333333336</v>
      </c>
      <c r="BE101" s="110">
        <v>33.333333333333336</v>
      </c>
      <c r="BF101" s="110">
        <v>33.333333333333336</v>
      </c>
      <c r="BG101" s="110">
        <v>33.333333333333336</v>
      </c>
      <c r="BH101" s="25">
        <v>33.333333333333336</v>
      </c>
      <c r="BI101" s="25">
        <v>33.333333333333336</v>
      </c>
      <c r="BJ101" s="110">
        <v>33.333333333333336</v>
      </c>
      <c r="BK101" s="110">
        <v>33.333333333333336</v>
      </c>
      <c r="BL101" s="110">
        <v>33.333333333333336</v>
      </c>
      <c r="BM101" s="110">
        <v>33.333333333333336</v>
      </c>
      <c r="BN101" s="25">
        <v>33.333333333333336</v>
      </c>
      <c r="BO101" s="25">
        <v>0</v>
      </c>
      <c r="BP101" s="110">
        <v>0</v>
      </c>
      <c r="BQ101" s="110">
        <v>0</v>
      </c>
      <c r="BR101" s="110">
        <v>0</v>
      </c>
      <c r="BS101" s="110">
        <v>0</v>
      </c>
      <c r="BT101" s="25">
        <v>0</v>
      </c>
      <c r="BU101" s="25">
        <v>0</v>
      </c>
      <c r="BV101" s="110">
        <v>0</v>
      </c>
      <c r="BW101" s="110">
        <v>0</v>
      </c>
      <c r="BX101" s="110">
        <v>0</v>
      </c>
      <c r="BY101" s="110">
        <v>0</v>
      </c>
      <c r="BZ101" s="25">
        <v>0</v>
      </c>
      <c r="CA101" s="25">
        <v>100</v>
      </c>
      <c r="CB101" s="110">
        <v>100</v>
      </c>
      <c r="CC101" s="110">
        <v>100</v>
      </c>
      <c r="CD101" s="110">
        <v>100</v>
      </c>
      <c r="CE101" s="110">
        <v>100</v>
      </c>
      <c r="CF101" s="553">
        <v>100</v>
      </c>
      <c r="CG101" s="561"/>
      <c r="CH101" s="561"/>
    </row>
    <row r="102" spans="1:96" ht="48.75" thickBot="1" x14ac:dyDescent="0.3">
      <c r="A102" s="91" t="str">
        <f>CONCATENATE('3 pr-2'!A103)</f>
        <v>2.1.1.1.1</v>
      </c>
      <c r="B102" s="34" t="str">
        <f>CONCATENATE('3 pr-2'!D103)</f>
        <v>Varėnos r. Merkinės Vinco Krėvės gimnazijos laisvų patalpų pritaikymas ikimokyklinio ir priešmokyklinio ugdymo grupėms įrengti</v>
      </c>
      <c r="C102" s="111">
        <v>0</v>
      </c>
      <c r="D102" s="111">
        <v>0</v>
      </c>
      <c r="E102" s="111">
        <v>0</v>
      </c>
      <c r="F102" s="389">
        <v>0</v>
      </c>
      <c r="G102" s="389">
        <v>0</v>
      </c>
      <c r="H102" s="389">
        <v>0</v>
      </c>
      <c r="I102" s="389">
        <v>0</v>
      </c>
      <c r="J102" s="111">
        <v>0</v>
      </c>
      <c r="K102" s="111">
        <v>0</v>
      </c>
      <c r="L102" s="405">
        <v>0</v>
      </c>
      <c r="M102" s="405">
        <v>0</v>
      </c>
      <c r="N102" s="405">
        <v>0</v>
      </c>
      <c r="O102" s="405">
        <v>0</v>
      </c>
      <c r="P102" s="111">
        <v>0</v>
      </c>
      <c r="Q102" s="111">
        <f>IF(YEAR($CG$102)=2018,($BI$4-$CG$102)*AI$102/($CH$102-$CG$102))</f>
        <v>105696.64383561644</v>
      </c>
      <c r="R102" s="405">
        <f>IF(YEAR($CG$102)=2018,($BI$4-$CG$102)*AK$102/($CH$102-$CG$102))</f>
        <v>7927.2602739726026</v>
      </c>
      <c r="S102" s="405">
        <f>IF(YEAR($CG$102)=2018,($BI$4-$CG$102)*AM$102/($CH$102-$CG$102))</f>
        <v>7927.2602739726026</v>
      </c>
      <c r="T102" s="405">
        <f>IF(YEAR($CG$102)=2018,($BI$4-$CG$102)*AO$102/($CH$102-$CG$102))</f>
        <v>0</v>
      </c>
      <c r="U102" s="405">
        <f>IF(YEAR($CG$102)=2018,($BI$4-$CG$102)*AQ$102/($CH$102-$CG$102))</f>
        <v>0</v>
      </c>
      <c r="V102" s="406">
        <f>IF(YEAR($CG$102)=2018,($BI$4-$CG$102)*AS$102/($CH$102-$CG$102))</f>
        <v>89842.123287671231</v>
      </c>
      <c r="W102" s="111">
        <f>IF(YEAR($CH$102)&gt;2018,($BO$4-$BI$4)*AI$102/($CH$102-$CG$102),0)</f>
        <v>110226.5</v>
      </c>
      <c r="X102" s="422">
        <f>IF(YEAR($CH$102)&gt;2018,($BO$4-$BI$4)*AK$102/($CH$102-$CG$102),0)</f>
        <v>8267</v>
      </c>
      <c r="Y102" s="422">
        <f>IF(YEAR($CH$102)&gt;2018,($BO$4-$BI$4)*AM$102/($CH$102-$CG$102),0)</f>
        <v>8267</v>
      </c>
      <c r="Z102" s="422">
        <f>IF(YEAR($CH$102)&gt;2018,($BO$4-$BI$4)*AO$102/($CH$102-$CG$102),0)</f>
        <v>0</v>
      </c>
      <c r="AA102" s="422">
        <f>IF(YEAR($CH$102)&gt;2018,($BO$4-$BI$4)*AQ$102/($CH$102-$CG$102),0)</f>
        <v>0</v>
      </c>
      <c r="AB102" s="406">
        <f>IF(YEAR($CH$102)&gt;2018,($BO$4-$BI$4)*AS$102/($CH$102-$CG$102),0)</f>
        <v>93692.5</v>
      </c>
      <c r="AC102" s="572">
        <f>IF(YEAR($CH$102)=2020,($CH$102-$BO$4)*AI$102/($CH$102-$CG$102),0)</f>
        <v>4529.8561643835619</v>
      </c>
      <c r="AD102" s="422">
        <f>IF(YEAR($CH$102)=2020,($CH$102-$BO$4)*AK$102/($CH$102-$CG$102),0)</f>
        <v>339.73972602739724</v>
      </c>
      <c r="AE102" s="422">
        <f>IF(YEAR($CH$102)=2020,($CH$102-$BO$4)*AM$102/($CH$102-$CG$102),0)</f>
        <v>339.73972602739724</v>
      </c>
      <c r="AF102" s="422">
        <f>IF(YEAR($CH$102)=2020,($CH$102-$BO$4)*AO$102/($CH$102-$CG$102),0)</f>
        <v>0</v>
      </c>
      <c r="AG102" s="422">
        <f>IF(YEAR($CH$102)=2020,($CH$102-$BO$4)*AQ$102/($CH$102-$CG$102),0)</f>
        <v>0</v>
      </c>
      <c r="AH102" s="406">
        <f>IF(YEAR($CH$102)=2020,($CH$102-$BO$4)*AS$102/($CH$102-$CG$102),0)</f>
        <v>3850.3767123287671</v>
      </c>
      <c r="AI102" s="1185">
        <f>SUM('3 pr-2'!L103)</f>
        <v>220453</v>
      </c>
      <c r="AJ102" s="574"/>
      <c r="AK102" s="389">
        <f>SUM('3 pr-2'!O103)</f>
        <v>16534</v>
      </c>
      <c r="AL102" s="389"/>
      <c r="AM102" s="389">
        <f>SUM('3 pr-2'!R103)</f>
        <v>16534</v>
      </c>
      <c r="AN102" s="389"/>
      <c r="AO102" s="389">
        <f>SUM('3 pr-2'!U103)</f>
        <v>0</v>
      </c>
      <c r="AP102" s="389"/>
      <c r="AQ102" s="389">
        <f>SUM('3 pr-2'!X103)</f>
        <v>0</v>
      </c>
      <c r="AR102" s="888"/>
      <c r="AS102" s="577">
        <f>SUM('3 pr-2'!AA103)</f>
        <v>187385</v>
      </c>
      <c r="AT102" s="816"/>
      <c r="AU102" s="24">
        <v>0</v>
      </c>
      <c r="AV102" s="25">
        <v>0</v>
      </c>
      <c r="AW102" s="25">
        <v>0</v>
      </c>
      <c r="AX102" s="392">
        <v>0</v>
      </c>
      <c r="AY102" s="392">
        <v>0</v>
      </c>
      <c r="AZ102" s="392">
        <v>0</v>
      </c>
      <c r="BA102" s="392">
        <v>0</v>
      </c>
      <c r="BB102" s="25">
        <v>0</v>
      </c>
      <c r="BC102" s="25">
        <v>0</v>
      </c>
      <c r="BD102" s="392">
        <v>0</v>
      </c>
      <c r="BE102" s="392">
        <v>0</v>
      </c>
      <c r="BF102" s="392">
        <v>0</v>
      </c>
      <c r="BG102" s="392">
        <v>0</v>
      </c>
      <c r="BH102" s="25">
        <v>0</v>
      </c>
      <c r="BI102" s="25">
        <v>50</v>
      </c>
      <c r="BJ102" s="392">
        <v>50</v>
      </c>
      <c r="BK102" s="392">
        <v>50</v>
      </c>
      <c r="BL102" s="392">
        <v>50</v>
      </c>
      <c r="BM102" s="392">
        <v>50</v>
      </c>
      <c r="BN102" s="25">
        <v>50</v>
      </c>
      <c r="BO102" s="25">
        <v>40</v>
      </c>
      <c r="BP102" s="392">
        <v>40</v>
      </c>
      <c r="BQ102" s="392">
        <v>40</v>
      </c>
      <c r="BR102" s="392">
        <v>40</v>
      </c>
      <c r="BS102" s="392">
        <v>40</v>
      </c>
      <c r="BT102" s="25">
        <v>40</v>
      </c>
      <c r="BU102" s="25">
        <v>10</v>
      </c>
      <c r="BV102" s="392">
        <v>10</v>
      </c>
      <c r="BW102" s="392">
        <v>10</v>
      </c>
      <c r="BX102" s="392">
        <v>10</v>
      </c>
      <c r="BY102" s="392">
        <v>10</v>
      </c>
      <c r="BZ102" s="25">
        <v>10</v>
      </c>
      <c r="CA102" s="25">
        <v>100</v>
      </c>
      <c r="CB102" s="392">
        <v>100</v>
      </c>
      <c r="CC102" s="392">
        <v>100</v>
      </c>
      <c r="CD102" s="392">
        <v>100</v>
      </c>
      <c r="CE102" s="392">
        <v>100</v>
      </c>
      <c r="CF102" s="553">
        <v>100</v>
      </c>
      <c r="CG102" s="566">
        <v>43115</v>
      </c>
      <c r="CH102" s="796">
        <f>SUM(CG102+CR102)</f>
        <v>43845</v>
      </c>
      <c r="CI102" s="30">
        <f>SUM(J102+P102+V102+AB102+AH102)</f>
        <v>187385</v>
      </c>
      <c r="CJ102" s="8">
        <v>24</v>
      </c>
      <c r="CK102" s="8">
        <v>365</v>
      </c>
      <c r="CL102" s="8">
        <v>12</v>
      </c>
      <c r="CM102" s="8">
        <f>SUM(CK102/CL102)</f>
        <v>30.416666666666668</v>
      </c>
      <c r="CN102" s="8"/>
      <c r="CO102" s="8"/>
      <c r="CP102" s="8"/>
      <c r="CQ102" s="8"/>
      <c r="CR102" s="8">
        <f>SUM(CJ102*CM102)</f>
        <v>730</v>
      </c>
    </row>
    <row r="103" spans="1:96" ht="36.75" thickBot="1" x14ac:dyDescent="0.3">
      <c r="A103" s="91" t="str">
        <f>CONCATENATE('3 pr-2'!A104)</f>
        <v>2.1.1.1.2</v>
      </c>
      <c r="B103" s="34" t="str">
        <f>CONCATENATE('3 pr-2'!D104)</f>
        <v>Alytaus rajono bendrojo ugdymo įstaigų aprūpinimas gamtos, technologijų, menų ir kitų mokslų laboratorijų įranga</v>
      </c>
      <c r="C103" s="111">
        <v>0</v>
      </c>
      <c r="D103" s="111">
        <v>0</v>
      </c>
      <c r="E103" s="111">
        <v>0</v>
      </c>
      <c r="F103" s="389">
        <v>0</v>
      </c>
      <c r="G103" s="389">
        <v>0</v>
      </c>
      <c r="H103" s="389">
        <v>0</v>
      </c>
      <c r="I103" s="389">
        <v>0</v>
      </c>
      <c r="J103" s="111">
        <v>0</v>
      </c>
      <c r="K103" s="111">
        <v>0</v>
      </c>
      <c r="L103" s="405">
        <v>0</v>
      </c>
      <c r="M103" s="405">
        <v>0</v>
      </c>
      <c r="N103" s="405">
        <v>0</v>
      </c>
      <c r="O103" s="405">
        <v>0</v>
      </c>
      <c r="P103" s="111">
        <v>0</v>
      </c>
      <c r="Q103" s="406">
        <f>IF(YEAR($CG$103)=2018,($BI$4-$CG$103)*AI$103/($CH$103-$CG$103),0)</f>
        <v>102453.93698630137</v>
      </c>
      <c r="R103" s="405">
        <f>IF(YEAR($CG$103)=2018,($BI$4-$CG$103)*AK$103/($CH$103-$CG$103),0)</f>
        <v>7684.0917808219174</v>
      </c>
      <c r="S103" s="405">
        <f>IF(YEAR($CG$103)=2018,($BI$4-$CG$103)*AM$103/($CH$103-$CG$103),0)</f>
        <v>7684.0917808219174</v>
      </c>
      <c r="T103" s="405">
        <f>IF(YEAR($CG$103)=2018,($BI$4-$CG$103)*AO$103/($CH$103-$CG$103),0)</f>
        <v>0</v>
      </c>
      <c r="U103" s="405">
        <f>IF(YEAR($CG$103)=2018,($BI$4-$CG$103)*AQ$103/($CH$103-$CG$103),0)</f>
        <v>0</v>
      </c>
      <c r="V103" s="406">
        <f>IF(YEAR($CG$103)=2018,($BI$4-$CG$103)*AS$103/($CH$103-$CG$103),0)</f>
        <v>87085.753424657538</v>
      </c>
      <c r="W103" s="406">
        <f>IF(YEAR($CH$103)=2019,($CH$103-$BI$4)*AI$103/($CH$103-$CG$103),0)</f>
        <v>4390.8830136986298</v>
      </c>
      <c r="X103" s="422">
        <f>IF(YEAR($CH$103)=2019,($CH$103-$BI$4)*AK$103/($CH$103-$CG$103),0)</f>
        <v>329.31821917808219</v>
      </c>
      <c r="Y103" s="422">
        <f>IF(YEAR($CH$103)=2019,($CH$103-$BI$4)*AM$103/($CH$103-$CG$103),0)</f>
        <v>329.31821917808219</v>
      </c>
      <c r="Z103" s="422">
        <f>IF(YEAR($CH$103)=2019,($CH$103-$BI$4)*AO$103/($CH$103-$CG$103),0)</f>
        <v>0</v>
      </c>
      <c r="AA103" s="422">
        <f>IF(YEAR($CH$103)=2019,($CH$103-$BI$4)*AQ$103/($CH$103-$CG$103),0)</f>
        <v>0</v>
      </c>
      <c r="AB103" s="406">
        <f>IF(YEAR($CH$103)=2019,($CH$103-$BI$4)*AS$103/($CH$103-$CG$103),0)</f>
        <v>3732.2465753424658</v>
      </c>
      <c r="AC103" s="406">
        <v>0</v>
      </c>
      <c r="AD103" s="422">
        <v>0</v>
      </c>
      <c r="AE103" s="422">
        <v>0</v>
      </c>
      <c r="AF103" s="422">
        <v>0</v>
      </c>
      <c r="AG103" s="422">
        <v>0</v>
      </c>
      <c r="AH103" s="406">
        <v>0</v>
      </c>
      <c r="AI103" s="1185">
        <f>SUM('3 pr-2'!L104)</f>
        <v>106844.82</v>
      </c>
      <c r="AJ103" s="574"/>
      <c r="AK103" s="389">
        <f>SUM('3 pr-2'!O104)</f>
        <v>8013.41</v>
      </c>
      <c r="AL103" s="389"/>
      <c r="AM103" s="389">
        <f>SUM('3 pr-2'!R104)</f>
        <v>8013.41</v>
      </c>
      <c r="AN103" s="389"/>
      <c r="AO103" s="389">
        <f>SUM('3 pr-2'!U104)</f>
        <v>0</v>
      </c>
      <c r="AP103" s="389"/>
      <c r="AQ103" s="389">
        <f>SUM('3 pr-2'!X104)</f>
        <v>0</v>
      </c>
      <c r="AR103" s="888"/>
      <c r="AS103" s="577">
        <f>SUM('3 pr-2'!AA104)</f>
        <v>90818</v>
      </c>
      <c r="AT103" s="816"/>
      <c r="AU103" s="24"/>
      <c r="AV103" s="25"/>
      <c r="AW103" s="25"/>
      <c r="AX103" s="392"/>
      <c r="AY103" s="392"/>
      <c r="AZ103" s="392"/>
      <c r="BA103" s="392"/>
      <c r="BB103" s="25"/>
      <c r="BC103" s="25"/>
      <c r="BD103" s="392"/>
      <c r="BE103" s="392"/>
      <c r="BF103" s="392"/>
      <c r="BG103" s="392"/>
      <c r="BH103" s="25"/>
      <c r="BI103" s="25"/>
      <c r="BJ103" s="392"/>
      <c r="BK103" s="392"/>
      <c r="BL103" s="392"/>
      <c r="BM103" s="392"/>
      <c r="BN103" s="25"/>
      <c r="BO103" s="25"/>
      <c r="BP103" s="392"/>
      <c r="BQ103" s="392"/>
      <c r="BR103" s="392"/>
      <c r="BS103" s="392"/>
      <c r="BT103" s="25"/>
      <c r="BU103" s="25"/>
      <c r="BV103" s="392"/>
      <c r="BW103" s="392"/>
      <c r="BX103" s="392"/>
      <c r="BY103" s="392"/>
      <c r="BZ103" s="25"/>
      <c r="CA103" s="25"/>
      <c r="CB103" s="392"/>
      <c r="CC103" s="392"/>
      <c r="CD103" s="392"/>
      <c r="CE103" s="392"/>
      <c r="CF103" s="553"/>
      <c r="CG103" s="566">
        <v>43115</v>
      </c>
      <c r="CH103" s="796">
        <f>SUM(CG103+CR103)</f>
        <v>43480</v>
      </c>
      <c r="CI103" s="30">
        <f>SUM(J103+P103+V103+AB103+AH103)</f>
        <v>90818</v>
      </c>
      <c r="CJ103" s="8">
        <v>12</v>
      </c>
      <c r="CK103" s="8">
        <v>365</v>
      </c>
      <c r="CL103" s="8">
        <v>12</v>
      </c>
      <c r="CM103" s="8">
        <f>SUM(CK103/CL103)</f>
        <v>30.416666666666668</v>
      </c>
      <c r="CN103" s="8"/>
      <c r="CO103" s="8"/>
      <c r="CP103" s="8"/>
      <c r="CQ103" s="8"/>
      <c r="CR103" s="8">
        <f>SUM(CJ103*CM103)</f>
        <v>365</v>
      </c>
    </row>
    <row r="104" spans="1:96" ht="36.75" thickBot="1" x14ac:dyDescent="0.3">
      <c r="A104" s="91" t="str">
        <f>CONCATENATE('3 pr-2'!A105)</f>
        <v>2.1.1.1.3</v>
      </c>
      <c r="B104" s="34" t="str">
        <f>CONCATENATE('3 pr-2'!D105)</f>
        <v>Modernių ir saugių erdvių kūrimas Dzūkijos pagrindinėje mokykloje, Alytuje</v>
      </c>
      <c r="C104" s="140">
        <v>0</v>
      </c>
      <c r="D104" s="140">
        <v>0</v>
      </c>
      <c r="E104" s="140">
        <v>0</v>
      </c>
      <c r="F104" s="389">
        <v>0</v>
      </c>
      <c r="G104" s="389">
        <v>0</v>
      </c>
      <c r="H104" s="389">
        <v>0</v>
      </c>
      <c r="I104" s="389">
        <v>0</v>
      </c>
      <c r="J104" s="140">
        <v>0</v>
      </c>
      <c r="K104" s="140">
        <v>0</v>
      </c>
      <c r="L104" s="405">
        <v>0</v>
      </c>
      <c r="M104" s="405">
        <v>0</v>
      </c>
      <c r="N104" s="405">
        <v>0</v>
      </c>
      <c r="O104" s="405">
        <v>0</v>
      </c>
      <c r="P104" s="140">
        <v>0</v>
      </c>
      <c r="Q104" s="111">
        <f>IF(YEAR($CG$104)=2018,($BI$4-$CG$104)*AI$104/($CH$104-$CG$104))</f>
        <v>164705.26438356165</v>
      </c>
      <c r="R104" s="405">
        <f>IF(YEAR($CG$104)=2018,($BI$4-$CG$104)*AK$104/($CH$104-$CG$104))</f>
        <v>12353.001369863014</v>
      </c>
      <c r="S104" s="405">
        <f>IF(YEAR($CG$104)=2018,($BI$4-$CG$104)*AM$104/($CH$104-$CG$104))</f>
        <v>12353.001369863014</v>
      </c>
      <c r="T104" s="405">
        <f>IF(YEAR($CG$104)=2018,($BI$4-$CG$104)*AO$104/($CH$104-$CG$104))</f>
        <v>0</v>
      </c>
      <c r="U104" s="405">
        <f>IF(YEAR($CG$104)=2018,($BI$4-$CG$104)*AQ$104/($CH$104-$CG$104))</f>
        <v>0</v>
      </c>
      <c r="V104" s="572">
        <f>IF(YEAR($CG$104)=2018,($BI$4-$CG$104)*AS$104/($CH$104-$CG$104))</f>
        <v>139999.26164383561</v>
      </c>
      <c r="W104" s="111">
        <f>IF(YEAR($CH$104)&gt;2018,($BO$4-$BI$4)*AI$104/($CH$104-$CG$104),0)</f>
        <v>328510.5</v>
      </c>
      <c r="X104" s="405">
        <f>IF(YEAR($CH$104)&gt;2018,($BO$4-$BI$4)*AK$104/($CH$104-$CG$104),0)</f>
        <v>24638.5</v>
      </c>
      <c r="Y104" s="405">
        <f>IF(YEAR($CH$104)&gt;2018,($BO$4-$BI$4)*AM$104/($CH$104-$CG$104),0)</f>
        <v>24638.5</v>
      </c>
      <c r="Z104" s="405">
        <f>IF(YEAR($CH$104)&gt;2018,($BO$4-$BI$4)*AO$104/($CH$104-$CG$104),0)</f>
        <v>0</v>
      </c>
      <c r="AA104" s="405">
        <f>IF(YEAR($CH$104)&gt;2018,($BO$4-$BI$4)*AQ$104/($CH$104-$CG$104),0)</f>
        <v>0</v>
      </c>
      <c r="AB104" s="572">
        <f>IF(YEAR($CH$104)&gt;2018,($BO$4-$BI$4)*AS$104/($CH$104-$CG$104),0)</f>
        <v>279233.5</v>
      </c>
      <c r="AC104" s="572">
        <f>IF(YEAR($CH$104)=2020,($CH$104-$BO$4)*AI$104/($CH$104-$CG$104),0)</f>
        <v>163805.23561643835</v>
      </c>
      <c r="AD104" s="405">
        <f>IF(YEAR($CH$104)=2020,($CH$104-$BO$4)*AK$104/($CH$104-$CG$104),0)</f>
        <v>12285.498630136986</v>
      </c>
      <c r="AE104" s="405">
        <f>IF(YEAR($CH$104)=2020,($CH$104-$BO$4)*AM$104/($CH$104-$CG$104),0)</f>
        <v>12285.498630136986</v>
      </c>
      <c r="AF104" s="405">
        <f>IF(YEAR($CH$104)=2020,($CH$104-$BO$4)*AO$104/($CH$104-$CG$104),0)</f>
        <v>0</v>
      </c>
      <c r="AG104" s="405">
        <f>IF(YEAR($CH$104)=2020,($CH$104-$BO$4)*AQ$104/($CH$104-$CG$104),0)</f>
        <v>0</v>
      </c>
      <c r="AH104" s="572">
        <f>IF(YEAR($CH$104)=2020,($CH$104-$BO$4)*AS$104/($CH$104-$CG$104),0)</f>
        <v>139234.23835616439</v>
      </c>
      <c r="AI104" s="1186">
        <f>SUM('3 pr-2'!L105)</f>
        <v>657021</v>
      </c>
      <c r="AJ104" s="575"/>
      <c r="AK104" s="389">
        <f>SUM('3 pr-2'!O105)</f>
        <v>49277</v>
      </c>
      <c r="AL104" s="389"/>
      <c r="AM104" s="389">
        <f>SUM('3 pr-2'!R105)</f>
        <v>49277</v>
      </c>
      <c r="AN104" s="389"/>
      <c r="AO104" s="389">
        <f>SUM('3 pr-2'!U105)</f>
        <v>0</v>
      </c>
      <c r="AP104" s="389"/>
      <c r="AQ104" s="389">
        <f>SUM('3 pr-2'!X105)</f>
        <v>0</v>
      </c>
      <c r="AR104" s="888"/>
      <c r="AS104" s="576">
        <f>SUM('3 pr-2'!AA105)</f>
        <v>558467</v>
      </c>
      <c r="AT104" s="817"/>
      <c r="AU104" s="24"/>
      <c r="AV104" s="25"/>
      <c r="AW104" s="25"/>
      <c r="AX104" s="391"/>
      <c r="AY104" s="391"/>
      <c r="AZ104" s="391"/>
      <c r="BA104" s="391"/>
      <c r="BB104" s="25"/>
      <c r="BC104" s="25"/>
      <c r="BD104" s="391"/>
      <c r="BE104" s="391"/>
      <c r="BF104" s="391"/>
      <c r="BG104" s="391"/>
      <c r="BH104" s="25"/>
      <c r="BI104" s="25"/>
      <c r="BJ104" s="391"/>
      <c r="BK104" s="391"/>
      <c r="BL104" s="391"/>
      <c r="BM104" s="391"/>
      <c r="BN104" s="25"/>
      <c r="BO104" s="25"/>
      <c r="BP104" s="391"/>
      <c r="BQ104" s="391"/>
      <c r="BR104" s="391"/>
      <c r="BS104" s="391"/>
      <c r="BT104" s="25"/>
      <c r="BU104" s="25"/>
      <c r="BV104" s="391"/>
      <c r="BW104" s="391"/>
      <c r="BX104" s="391"/>
      <c r="BY104" s="391"/>
      <c r="BZ104" s="25"/>
      <c r="CA104" s="25"/>
      <c r="CB104" s="391"/>
      <c r="CC104" s="391"/>
      <c r="CD104" s="391"/>
      <c r="CE104" s="391"/>
      <c r="CF104" s="553"/>
      <c r="CG104" s="566">
        <v>43282</v>
      </c>
      <c r="CH104" s="796">
        <f>SUM(CG104+CR104)</f>
        <v>44012</v>
      </c>
      <c r="CI104" s="30">
        <f>SUM(J104+P104+V104+AB104+AH104)</f>
        <v>558467</v>
      </c>
      <c r="CJ104" s="8">
        <v>24</v>
      </c>
      <c r="CK104" s="8">
        <v>365</v>
      </c>
      <c r="CL104" s="8">
        <v>12</v>
      </c>
      <c r="CM104" s="8">
        <f>SUM(CK104/CL104)</f>
        <v>30.416666666666668</v>
      </c>
      <c r="CN104" s="8"/>
      <c r="CO104" s="8"/>
      <c r="CP104" s="8"/>
      <c r="CQ104" s="8"/>
      <c r="CR104" s="8">
        <f>SUM(CJ104*CM104)</f>
        <v>730</v>
      </c>
    </row>
    <row r="105" spans="1:96" ht="36.75" thickBot="1" x14ac:dyDescent="0.3">
      <c r="A105" s="91" t="str">
        <f>CONCATENATE('3 pr-2'!A106)</f>
        <v>2.1.1.1.4</v>
      </c>
      <c r="B105" s="34" t="str">
        <f>CONCATENATE('3 pr-2'!D106)</f>
        <v>Modernių ir saugių erdvių sukūrimas bendrojo ugdymo mokyklose Druskininkų sav.</v>
      </c>
      <c r="C105" s="140">
        <v>0</v>
      </c>
      <c r="D105" s="140">
        <v>0</v>
      </c>
      <c r="E105" s="140">
        <v>0</v>
      </c>
      <c r="F105" s="389">
        <v>0</v>
      </c>
      <c r="G105" s="389">
        <v>0</v>
      </c>
      <c r="H105" s="389">
        <v>0</v>
      </c>
      <c r="I105" s="389">
        <v>0</v>
      </c>
      <c r="J105" s="140">
        <v>0</v>
      </c>
      <c r="K105" s="111">
        <f>IF(YEAR($CG$105)=2017,($BC$4-$CG$105)*AI$105/($CH$105-$CG$105))</f>
        <v>4310.1895890410788</v>
      </c>
      <c r="L105" s="405">
        <f>IF(YEAR($CG$105)=2017,($BC$4-$CG$105)*AK$105/($CH$105-$CG$105))</f>
        <v>323.27013698630009</v>
      </c>
      <c r="M105" s="405">
        <f>IF(YEAR($CG$105)=2017,($BC$4-$CG$105)*AM$105/($CH$105-$CG$105))</f>
        <v>323.27013698630009</v>
      </c>
      <c r="N105" s="405">
        <f>IF(YEAR($CG$105)=2017,($BC$4-$CG$105)*AO$105/($CH$105-$CG$105))</f>
        <v>0</v>
      </c>
      <c r="O105" s="405">
        <f>IF(YEAR($CG$105)=2017,($BC$4-$CG$105)*AQ$105/($CH$105-$CG$105))</f>
        <v>0</v>
      </c>
      <c r="P105" s="140">
        <f>IF(YEAR($CG$105)=2017,($BC$4-$CG$105)*AS$105/($CH$105-$CG$105))</f>
        <v>3663.6493150684787</v>
      </c>
      <c r="Q105" s="111">
        <f>IF(YEAR($CH$105)&gt;2018,($BI$4-$BC$4)*AI$105/($CH$105-$CG$105),0)</f>
        <v>98326.199999999604</v>
      </c>
      <c r="R105" s="405">
        <f>IF(YEAR($CH$105)&gt;2018,($BI$4-$BC$4)*AK$105/($CH$105-$CG$105),0)</f>
        <v>7374.5999999999704</v>
      </c>
      <c r="S105" s="405">
        <f>IF(YEAR($CH$105)&gt;2018,($BI$4-$BC$4)*AM$105/($CH$105-$CG$105),0)</f>
        <v>7374.5999999999704</v>
      </c>
      <c r="T105" s="405">
        <f>IF(YEAR($CH$105)&gt;2018,($BI$4-$BC$4)*AO$105/($CH$105-$CG$105),0)</f>
        <v>0</v>
      </c>
      <c r="U105" s="405">
        <f>IF(YEAR($CH$105)&gt;2018,($BI$4-$BC$4)*AQ$105/($CH$105-$CG$105),0)</f>
        <v>0</v>
      </c>
      <c r="V105" s="572">
        <f>IF(YEAR($CH$105)&gt;2018,($BI$4-$BC$4)*AS$105/($CH$105-$CG$105),0)</f>
        <v>83576.999999999665</v>
      </c>
      <c r="W105" s="111">
        <f>IF(YEAR($CH$105)=2019,($CH$105-$BI$4)*AI$105/($CH$105-$CG$105),0)</f>
        <v>61240.610410959314</v>
      </c>
      <c r="X105" s="405">
        <f>IF(YEAR($CH$105)=2019,($CH$105-$BI$4)*AK$105/($CH$105-$CG$105),0)</f>
        <v>4593.1298630137289</v>
      </c>
      <c r="Y105" s="405">
        <f>IF(YEAR($CH$105)=2019,($CH$105-$BI$4)*AM$105/($CH$105-$CG$105),0)</f>
        <v>4593.1298630137289</v>
      </c>
      <c r="Z105" s="405">
        <f>IF(YEAR($CH$105)=2019,($CH$105-$BI$4)*AO$105/($CH$105-$CG$105),0)</f>
        <v>0</v>
      </c>
      <c r="AA105" s="405">
        <f>IF(YEAR($CH$105)=2019,($CH$105-$BI$4)*AQ$105/($CH$105-$CG$105),0)</f>
        <v>0</v>
      </c>
      <c r="AB105" s="572">
        <f>IF(YEAR($CH$105)=2019,($CH$105-$BI$4)*AS$105/($CH$105-$CG$105),0)</f>
        <v>52054.350684931851</v>
      </c>
      <c r="AC105" s="572">
        <v>0</v>
      </c>
      <c r="AD105" s="405">
        <v>0</v>
      </c>
      <c r="AE105" s="405">
        <v>0</v>
      </c>
      <c r="AF105" s="405">
        <v>0</v>
      </c>
      <c r="AG105" s="405">
        <v>0</v>
      </c>
      <c r="AH105" s="572">
        <v>0</v>
      </c>
      <c r="AI105" s="1186">
        <f>SUM('3 pr-2'!L106)</f>
        <v>163877</v>
      </c>
      <c r="AJ105" s="575"/>
      <c r="AK105" s="389">
        <f>SUM('3 pr-2'!O106)</f>
        <v>12291</v>
      </c>
      <c r="AL105" s="389"/>
      <c r="AM105" s="389">
        <f>SUM('3 pr-2'!R106)</f>
        <v>12291</v>
      </c>
      <c r="AN105" s="389"/>
      <c r="AO105" s="389">
        <f>SUM('3 pr-2'!U106)</f>
        <v>0</v>
      </c>
      <c r="AP105" s="389"/>
      <c r="AQ105" s="389">
        <f>SUM('3 pr-2'!X106)</f>
        <v>0</v>
      </c>
      <c r="AR105" s="888"/>
      <c r="AS105" s="576">
        <f>SUM('3 pr-2'!AA106)</f>
        <v>139295</v>
      </c>
      <c r="AT105" s="817"/>
      <c r="AU105" s="24"/>
      <c r="AV105" s="25"/>
      <c r="AW105" s="25"/>
      <c r="AX105" s="391"/>
      <c r="AY105" s="391"/>
      <c r="AZ105" s="391"/>
      <c r="BA105" s="391"/>
      <c r="BB105" s="25"/>
      <c r="BC105" s="25"/>
      <c r="BD105" s="391"/>
      <c r="BE105" s="391"/>
      <c r="BF105" s="391"/>
      <c r="BG105" s="391"/>
      <c r="BH105" s="25"/>
      <c r="BI105" s="25"/>
      <c r="BJ105" s="391"/>
      <c r="BK105" s="391"/>
      <c r="BL105" s="391"/>
      <c r="BM105" s="391"/>
      <c r="BN105" s="25"/>
      <c r="BO105" s="25"/>
      <c r="BP105" s="391"/>
      <c r="BQ105" s="391"/>
      <c r="BR105" s="391"/>
      <c r="BS105" s="391"/>
      <c r="BT105" s="25"/>
      <c r="BU105" s="25"/>
      <c r="BV105" s="391"/>
      <c r="BW105" s="391"/>
      <c r="BX105" s="391"/>
      <c r="BY105" s="391"/>
      <c r="BZ105" s="25"/>
      <c r="CA105" s="25"/>
      <c r="CB105" s="391"/>
      <c r="CC105" s="391"/>
      <c r="CD105" s="391"/>
      <c r="CE105" s="391"/>
      <c r="CF105" s="553"/>
      <c r="CG105" s="566">
        <v>43084</v>
      </c>
      <c r="CH105" s="796">
        <f>SUM(CG105+CR105)</f>
        <v>43692.333333333336</v>
      </c>
      <c r="CI105" s="30">
        <f>SUM(J105+P105+V105+AB105+AH105)</f>
        <v>139295</v>
      </c>
      <c r="CJ105" s="8">
        <v>20</v>
      </c>
      <c r="CK105" s="8">
        <v>365</v>
      </c>
      <c r="CL105" s="8">
        <v>12</v>
      </c>
      <c r="CM105" s="8">
        <f>SUM(CK105/CL105)</f>
        <v>30.416666666666668</v>
      </c>
      <c r="CN105" s="8"/>
      <c r="CO105" s="8"/>
      <c r="CP105" s="8"/>
      <c r="CQ105" s="8"/>
      <c r="CR105" s="8">
        <f>SUM(CJ105*CM105)</f>
        <v>608.33333333333337</v>
      </c>
    </row>
    <row r="106" spans="1:96" ht="39.75" customHeight="1" thickBot="1" x14ac:dyDescent="0.3">
      <c r="A106" s="91" t="str">
        <f>CONCATENATE('3 pr-2'!A107)</f>
        <v>2.1.1.1.5</v>
      </c>
      <c r="B106" s="34" t="str">
        <f>CONCATENATE('3 pr-2'!D107)</f>
        <v>Modernių ir saugių erdvių sukūrimas bendrojo ugdymo įstaigose Lazdijų rajono savivaldybėje</v>
      </c>
      <c r="C106" s="140">
        <v>0</v>
      </c>
      <c r="D106" s="140">
        <v>0</v>
      </c>
      <c r="E106" s="140">
        <v>0</v>
      </c>
      <c r="F106" s="389">
        <v>0</v>
      </c>
      <c r="G106" s="389">
        <v>0</v>
      </c>
      <c r="H106" s="389">
        <v>0</v>
      </c>
      <c r="I106" s="389">
        <v>0</v>
      </c>
      <c r="J106" s="140">
        <v>0</v>
      </c>
      <c r="K106" s="111">
        <f>IF(YEAR($CG$106)=2017,($BC$4-$CG$106)*AI$106/($CH$106-$CG$106))</f>
        <v>32451.039726027397</v>
      </c>
      <c r="L106" s="405">
        <f>IF(YEAR($CG$106)=2017,($BC$4-$CG$106)*AK$106/($CH$106-$CG$106))</f>
        <v>2433.9232876712331</v>
      </c>
      <c r="M106" s="405">
        <f>IF(YEAR($CG$106)=2017,($BC$4-$CG$106)*AM$106/($CH$106-$CG$106))</f>
        <v>2433.7575342465752</v>
      </c>
      <c r="N106" s="405">
        <f>IF(YEAR($CG$106)=2017,($BC$4-$CG$106)*AO$106/($CH$106-$CG$106))</f>
        <v>0</v>
      </c>
      <c r="O106" s="405">
        <f>IF(YEAR($CG$106)=2017,($BC$4-$CG$106)*AQ$106/($CH$106-$CG$106))</f>
        <v>0</v>
      </c>
      <c r="P106" s="140">
        <f>IF(YEAR($CG$106)=2017,($BC$4-$CG$106)*AS$106/($CH$106-$CG$106))</f>
        <v>27583.358904109587</v>
      </c>
      <c r="Q106" s="111">
        <f>IF(YEAR($CH$106)&gt;2018,($BI$4-$BC$4)*AI$106/($CH$106-$CG$106),0)</f>
        <v>97889.5</v>
      </c>
      <c r="R106" s="405">
        <f>IF(YEAR($CH$106)&gt;2018,($BI$4-$BC$4)*AK$106/($CH$106-$CG$106),0)</f>
        <v>7342</v>
      </c>
      <c r="S106" s="405">
        <f>IF(YEAR($CH$106)&gt;2018,($BI$4-$BC$4)*AM$106/($CH$106-$CG$106),0)</f>
        <v>7341.5</v>
      </c>
      <c r="T106" s="405">
        <f>IF(YEAR($CH$106)&gt;2018,($BI$4-$BC$4)*AO$106/($CH$106-$CG$106),0)</f>
        <v>0</v>
      </c>
      <c r="U106" s="405">
        <f>IF(YEAR($CH$106)&gt;2018,($BI$4-$BC$4)*AQ$106/($CH$106-$CG$106),0)</f>
        <v>0</v>
      </c>
      <c r="V106" s="572">
        <f>IF(YEAR($CH$106)&gt;2018,($BI$4-$BC$4)*AS$106/($CH$106-$CG$106),0)</f>
        <v>83206</v>
      </c>
      <c r="W106" s="111">
        <f>IF(YEAR($CH$106)=2019,($CH$106-$BI$4)*AI$106/($CH$106-$CG$106),0)</f>
        <v>65438.460273972603</v>
      </c>
      <c r="X106" s="405">
        <f>IF(YEAR($CH$106)=2019,($CH$106-$BI$4)*AK$106/($CH$106-$CG$106),0)</f>
        <v>4908.0767123287669</v>
      </c>
      <c r="Y106" s="405">
        <f>IF(YEAR($CH$106)=2019,($CH$106-$BI$4)*AM$106/($CH$106-$CG$106),0)</f>
        <v>4907.7424657534248</v>
      </c>
      <c r="Z106" s="405">
        <f>IF(YEAR($CH$106)=2019,($CH$106-$BI$4)*AO$106/($CH$106-$CG$106),0)</f>
        <v>0</v>
      </c>
      <c r="AA106" s="405">
        <f>IF(YEAR($CH$106)=2019,($CH$106-$BI$4)*AQ$106/($CH$106-$CG$106),0)</f>
        <v>0</v>
      </c>
      <c r="AB106" s="572">
        <f>IF(YEAR($CH$106)=2019,($CH$106-$BI$4)*AS$106/($CH$106-$CG$106),0)</f>
        <v>55622.641095890409</v>
      </c>
      <c r="AC106" s="451">
        <v>0</v>
      </c>
      <c r="AD106" s="415">
        <v>0</v>
      </c>
      <c r="AE106" s="415">
        <v>0</v>
      </c>
      <c r="AF106" s="415">
        <v>0</v>
      </c>
      <c r="AG106" s="415">
        <v>0</v>
      </c>
      <c r="AH106" s="451">
        <v>0</v>
      </c>
      <c r="AI106" s="1186">
        <f>SUM('3 pr-2'!L107)</f>
        <v>195779</v>
      </c>
      <c r="AJ106" s="575"/>
      <c r="AK106" s="389">
        <f>SUM('3 pr-2'!O107)</f>
        <v>14684</v>
      </c>
      <c r="AL106" s="389"/>
      <c r="AM106" s="389">
        <f>SUM('3 pr-2'!R107)</f>
        <v>14683</v>
      </c>
      <c r="AN106" s="389"/>
      <c r="AO106" s="389">
        <f>SUM('3 pr-2'!U107)</f>
        <v>0</v>
      </c>
      <c r="AP106" s="389"/>
      <c r="AQ106" s="389">
        <f>SUM('3 pr-2'!X107)</f>
        <v>0</v>
      </c>
      <c r="AR106" s="888"/>
      <c r="AS106" s="576">
        <f>SUM('3 pr-2'!AA107)</f>
        <v>166412</v>
      </c>
      <c r="AT106" s="817"/>
      <c r="AU106" s="24"/>
      <c r="AV106" s="25"/>
      <c r="AW106" s="25"/>
      <c r="AX106" s="391"/>
      <c r="AY106" s="391"/>
      <c r="AZ106" s="391"/>
      <c r="BA106" s="391"/>
      <c r="BB106" s="25"/>
      <c r="BC106" s="25"/>
      <c r="BD106" s="391"/>
      <c r="BE106" s="391"/>
      <c r="BF106" s="391"/>
      <c r="BG106" s="391"/>
      <c r="BH106" s="25"/>
      <c r="BI106" s="25"/>
      <c r="BJ106" s="391"/>
      <c r="BK106" s="391"/>
      <c r="BL106" s="391"/>
      <c r="BM106" s="391"/>
      <c r="BN106" s="25"/>
      <c r="BO106" s="25"/>
      <c r="BP106" s="391"/>
      <c r="BQ106" s="391"/>
      <c r="BR106" s="391"/>
      <c r="BS106" s="391"/>
      <c r="BT106" s="25"/>
      <c r="BU106" s="25"/>
      <c r="BV106" s="391"/>
      <c r="BW106" s="391"/>
      <c r="BX106" s="391"/>
      <c r="BY106" s="391"/>
      <c r="BZ106" s="25"/>
      <c r="CA106" s="25"/>
      <c r="CB106" s="391"/>
      <c r="CC106" s="391"/>
      <c r="CD106" s="391"/>
      <c r="CE106" s="391"/>
      <c r="CF106" s="553"/>
      <c r="CG106" s="566">
        <v>42979</v>
      </c>
      <c r="CH106" s="796">
        <f>SUM(CG106+CR106)</f>
        <v>43709</v>
      </c>
      <c r="CI106" s="30">
        <f>SUM(J106+P106+V106+AB106+AH106)</f>
        <v>166412</v>
      </c>
      <c r="CJ106" s="8">
        <v>24</v>
      </c>
      <c r="CK106" s="8">
        <v>365</v>
      </c>
      <c r="CL106" s="8">
        <v>12</v>
      </c>
      <c r="CM106" s="8">
        <f>SUM(CK106/CL106)</f>
        <v>30.416666666666668</v>
      </c>
      <c r="CN106" s="8"/>
      <c r="CO106" s="8"/>
      <c r="CP106" s="8"/>
      <c r="CQ106" s="8"/>
      <c r="CR106" s="8">
        <f>SUM(CJ106*CM106)</f>
        <v>730</v>
      </c>
    </row>
    <row r="107" spans="1:96" ht="29.25" customHeight="1" thickBot="1" x14ac:dyDescent="0.3">
      <c r="A107" s="383" t="str">
        <f>CONCATENATE('3 pr-2'!A108)</f>
        <v>2.1.1.2</v>
      </c>
      <c r="B107" s="182" t="str">
        <f>CONCATENATE('3 pr-2'!D108)</f>
        <v/>
      </c>
      <c r="C107" s="171">
        <f t="shared" ref="C107:AS107" si="266">SUM(C108:C112)</f>
        <v>0</v>
      </c>
      <c r="D107" s="171">
        <f t="shared" si="266"/>
        <v>0</v>
      </c>
      <c r="E107" s="171">
        <f t="shared" si="266"/>
        <v>0</v>
      </c>
      <c r="F107" s="171"/>
      <c r="G107" s="171"/>
      <c r="H107" s="171"/>
      <c r="I107" s="171"/>
      <c r="J107" s="171">
        <f t="shared" si="266"/>
        <v>0</v>
      </c>
      <c r="K107" s="171">
        <f t="shared" si="266"/>
        <v>33519.167123287669</v>
      </c>
      <c r="L107" s="413">
        <f t="shared" ref="L107:O107" si="267">SUM(L108:L112)</f>
        <v>5046.7463013698625</v>
      </c>
      <c r="M107" s="413">
        <f t="shared" si="267"/>
        <v>0</v>
      </c>
      <c r="N107" s="413">
        <f t="shared" si="267"/>
        <v>0</v>
      </c>
      <c r="O107" s="413">
        <f t="shared" si="267"/>
        <v>0</v>
      </c>
      <c r="P107" s="171">
        <f t="shared" si="266"/>
        <v>28472.420821917807</v>
      </c>
      <c r="Q107" s="171">
        <f t="shared" si="266"/>
        <v>1082263.6972602739</v>
      </c>
      <c r="R107" s="413"/>
      <c r="S107" s="413"/>
      <c r="T107" s="413"/>
      <c r="U107" s="413"/>
      <c r="V107" s="171">
        <f t="shared" si="266"/>
        <v>824347.86136986292</v>
      </c>
      <c r="W107" s="171">
        <f t="shared" si="266"/>
        <v>845692.5</v>
      </c>
      <c r="X107" s="413"/>
      <c r="Y107" s="413"/>
      <c r="Z107" s="413"/>
      <c r="AA107" s="413"/>
      <c r="AB107" s="171">
        <f t="shared" si="266"/>
        <v>623150</v>
      </c>
      <c r="AC107" s="171">
        <f t="shared" si="266"/>
        <v>12425.935616438357</v>
      </c>
      <c r="AD107" s="413"/>
      <c r="AE107" s="413"/>
      <c r="AF107" s="413"/>
      <c r="AG107" s="413"/>
      <c r="AH107" s="171">
        <f t="shared" si="266"/>
        <v>10037.717808219177</v>
      </c>
      <c r="AI107" s="1187">
        <f t="shared" si="266"/>
        <v>1973901.3</v>
      </c>
      <c r="AJ107" s="171"/>
      <c r="AK107" s="171"/>
      <c r="AL107" s="171"/>
      <c r="AM107" s="171"/>
      <c r="AN107" s="171"/>
      <c r="AO107" s="171"/>
      <c r="AP107" s="171"/>
      <c r="AQ107" s="171"/>
      <c r="AR107" s="171"/>
      <c r="AS107" s="171">
        <f t="shared" si="266"/>
        <v>1486008</v>
      </c>
      <c r="AT107" s="171"/>
      <c r="AU107" s="24">
        <v>0</v>
      </c>
      <c r="AV107" s="25">
        <v>0</v>
      </c>
      <c r="AW107" s="25">
        <v>0</v>
      </c>
      <c r="AX107" s="171">
        <v>0</v>
      </c>
      <c r="AY107" s="171">
        <v>0</v>
      </c>
      <c r="AZ107" s="171">
        <v>0</v>
      </c>
      <c r="BA107" s="171">
        <v>0</v>
      </c>
      <c r="BB107" s="25">
        <v>0</v>
      </c>
      <c r="BC107" s="25">
        <v>0</v>
      </c>
      <c r="BD107" s="171">
        <v>0</v>
      </c>
      <c r="BE107" s="171">
        <v>0</v>
      </c>
      <c r="BF107" s="171">
        <v>0</v>
      </c>
      <c r="BG107" s="171">
        <v>0</v>
      </c>
      <c r="BH107" s="25">
        <v>0</v>
      </c>
      <c r="BI107" s="25">
        <v>52.810447312230274</v>
      </c>
      <c r="BJ107" s="171">
        <v>52.810447312230274</v>
      </c>
      <c r="BK107" s="171">
        <v>52.810447312230274</v>
      </c>
      <c r="BL107" s="171">
        <v>52.810447312230274</v>
      </c>
      <c r="BM107" s="171">
        <v>52.810447312230274</v>
      </c>
      <c r="BN107" s="25">
        <v>52.810447312230274</v>
      </c>
      <c r="BO107" s="25">
        <v>34.626910065820596</v>
      </c>
      <c r="BP107" s="171">
        <v>34.626910065820596</v>
      </c>
      <c r="BQ107" s="171">
        <v>34.626910065820596</v>
      </c>
      <c r="BR107" s="171">
        <v>34.626910065820596</v>
      </c>
      <c r="BS107" s="171">
        <v>34.626910065820596</v>
      </c>
      <c r="BT107" s="25">
        <v>34.626910065820596</v>
      </c>
      <c r="BU107" s="25">
        <v>12.562642621949127</v>
      </c>
      <c r="BV107" s="171">
        <v>12.562642621949127</v>
      </c>
      <c r="BW107" s="171">
        <v>12.562642621949127</v>
      </c>
      <c r="BX107" s="171">
        <v>12.562642621949127</v>
      </c>
      <c r="BY107" s="171">
        <v>12.562642621949127</v>
      </c>
      <c r="BZ107" s="25">
        <v>12.562642621949127</v>
      </c>
      <c r="CA107" s="25">
        <v>100</v>
      </c>
      <c r="CB107" s="171">
        <v>100</v>
      </c>
      <c r="CC107" s="171">
        <v>100</v>
      </c>
      <c r="CD107" s="171">
        <v>100</v>
      </c>
      <c r="CE107" s="171">
        <v>100</v>
      </c>
      <c r="CF107" s="553">
        <v>100</v>
      </c>
      <c r="CG107" s="561"/>
      <c r="CH107" s="561"/>
    </row>
    <row r="108" spans="1:96" ht="36.75" thickBot="1" x14ac:dyDescent="0.3">
      <c r="A108" s="91" t="str">
        <f>CONCATENATE('3 pr-2'!A109)</f>
        <v>2.1.1.2.1</v>
      </c>
      <c r="B108" s="34" t="str">
        <f>CONCATENATE('3 pr-2'!D109)</f>
        <v>Varėnos moksleivių kūrybos centro pastato J. Basanavičiaus g. 38, Varėnoje, modernizavimas</v>
      </c>
      <c r="C108" s="140">
        <v>0</v>
      </c>
      <c r="D108" s="140">
        <v>0</v>
      </c>
      <c r="E108" s="140">
        <v>0</v>
      </c>
      <c r="F108" s="389">
        <v>0</v>
      </c>
      <c r="G108" s="389">
        <v>0</v>
      </c>
      <c r="H108" s="389">
        <v>0</v>
      </c>
      <c r="I108" s="389">
        <v>0</v>
      </c>
      <c r="J108" s="140">
        <v>0</v>
      </c>
      <c r="K108" s="111">
        <v>0</v>
      </c>
      <c r="L108" s="405">
        <v>0</v>
      </c>
      <c r="M108" s="405">
        <v>0</v>
      </c>
      <c r="N108" s="405">
        <v>0</v>
      </c>
      <c r="O108" s="405">
        <v>0</v>
      </c>
      <c r="P108" s="111">
        <v>0</v>
      </c>
      <c r="Q108" s="140">
        <f>IF(YEAR($CG$108)=2018,($BI$4-$CG$108)*AI$108/($CH$108-$CG$108))</f>
        <v>209784.72602739726</v>
      </c>
      <c r="R108" s="405">
        <f>IF(YEAR($CG$108)=2018,($BI$4-$CG$108)*AK$108/($CH$108-$CG$108))</f>
        <v>31467.876712328769</v>
      </c>
      <c r="S108" s="405">
        <f>IF(YEAR($CG$108)=2018,($BI$4-$CG$108)*AM$108/($CH$108-$CG$108))</f>
        <v>0</v>
      </c>
      <c r="T108" s="405">
        <f>IF(YEAR($CG$108)=2018,($BI$4-$CG$108)*AO$108/($CH$108-$CG$108))</f>
        <v>0</v>
      </c>
      <c r="U108" s="405">
        <f>IF(YEAR($CG$108)=2018,($BI$4-$CG$108)*AQ$108/($CH$108-$CG$108))</f>
        <v>0</v>
      </c>
      <c r="V108" s="572">
        <f>IF(YEAR($CG$108)=2018,($BI$4-$CG$108)*AS$108/($CH$108-$CG$108))</f>
        <v>178316.84931506848</v>
      </c>
      <c r="W108" s="140">
        <f>IF(YEAR($CH$108)&gt;2018,($BO$4-$BI$4)*AI$108/($CH$108-$CG$108),0)</f>
        <v>218775.5</v>
      </c>
      <c r="X108" s="405">
        <f>IF(YEAR($CH$108)&gt;2018,($BO$4-$BI$4)*AK$108/($CH$108-$CG$108),0)</f>
        <v>32816.5</v>
      </c>
      <c r="Y108" s="405">
        <f>IF(YEAR($CH$108)&gt;2018,($BO$4-$BI$4)*AM$108/($CH$108-$CG$108),0)</f>
        <v>0</v>
      </c>
      <c r="Z108" s="405">
        <f>IF(YEAR($CH$108)&gt;2018,($BO$4-$BI$4)*AO$108/($CH$108-$CG$108),0)</f>
        <v>0</v>
      </c>
      <c r="AA108" s="405">
        <f>IF(YEAR($CH$108)&gt;2018,($BO$4-$BI$4)*AQ$108/($CH$108-$CG$108),0)</f>
        <v>0</v>
      </c>
      <c r="AB108" s="572">
        <f>IF(YEAR($CH$108)&gt;2018,($BO$4-$BI$4)*AS$108/($CH$108-$CG$108),0)</f>
        <v>185959</v>
      </c>
      <c r="AC108" s="572">
        <f>IF(YEAR($CH$108)=2020,($CH$108-$BO$4)*AI$108/($CH$108-$CG$108),0)</f>
        <v>8990.7739726027394</v>
      </c>
      <c r="AD108" s="405">
        <f>IF(YEAR($CH$108)=2020,($CH$108-$BO$4)*AK$108/($CH$108-$CG$108),0)</f>
        <v>1348.6232876712329</v>
      </c>
      <c r="AE108" s="405">
        <f>IF(YEAR($CH$108)=2020,($CH$108-$BO$4)*AM$108/($CH$108-$CG$108),0)</f>
        <v>0</v>
      </c>
      <c r="AF108" s="405">
        <f>IF(YEAR($CH$108)=2020,($CH$108-$BO$4)*AO$108/($CH$108-$CG$108),0)</f>
        <v>0</v>
      </c>
      <c r="AG108" s="405">
        <f>IF(YEAR($CH$108)=2020,($CH$108-$BO$4)*AQ$108/($CH$108-$CG$108),0)</f>
        <v>0</v>
      </c>
      <c r="AH108" s="572">
        <f>IF(YEAR($CH$108)=2020,($CH$108-$BO$4)*AS$108/($CH$108-$CG$108),0)</f>
        <v>7642.1506849315065</v>
      </c>
      <c r="AI108" s="1186">
        <f>SUM('3 pr-2'!L109)</f>
        <v>437551</v>
      </c>
      <c r="AJ108" s="575"/>
      <c r="AK108" s="389">
        <f>SUM('3 pr-2'!O109)</f>
        <v>65633</v>
      </c>
      <c r="AL108" s="389"/>
      <c r="AM108" s="389">
        <f>SUM('3 pr-2'!R109)</f>
        <v>0</v>
      </c>
      <c r="AN108" s="389"/>
      <c r="AO108" s="389">
        <f>SUM('3 pr-2'!U109)</f>
        <v>0</v>
      </c>
      <c r="AP108" s="389"/>
      <c r="AQ108" s="389">
        <f>SUM('3 pr-2'!X109)</f>
        <v>0</v>
      </c>
      <c r="AR108" s="888"/>
      <c r="AS108" s="576">
        <f>SUM('3 pr-2'!AA109)</f>
        <v>371918</v>
      </c>
      <c r="AT108" s="817"/>
      <c r="AU108" s="24"/>
      <c r="AV108" s="25"/>
      <c r="AW108" s="25"/>
      <c r="AX108" s="392"/>
      <c r="AY108" s="392"/>
      <c r="AZ108" s="392"/>
      <c r="BA108" s="392"/>
      <c r="BB108" s="25"/>
      <c r="BC108" s="25"/>
      <c r="BD108" s="392"/>
      <c r="BE108" s="392"/>
      <c r="BF108" s="392"/>
      <c r="BG108" s="392"/>
      <c r="BH108" s="25"/>
      <c r="BI108" s="25"/>
      <c r="BJ108" s="392"/>
      <c r="BK108" s="392"/>
      <c r="BL108" s="392"/>
      <c r="BM108" s="392"/>
      <c r="BN108" s="25"/>
      <c r="BO108" s="25"/>
      <c r="BP108" s="392"/>
      <c r="BQ108" s="392"/>
      <c r="BR108" s="392"/>
      <c r="BS108" s="392"/>
      <c r="BT108" s="25"/>
      <c r="BU108" s="25"/>
      <c r="BV108" s="392"/>
      <c r="BW108" s="392"/>
      <c r="BX108" s="392"/>
      <c r="BY108" s="392"/>
      <c r="BZ108" s="25"/>
      <c r="CA108" s="25"/>
      <c r="CB108" s="392"/>
      <c r="CC108" s="392"/>
      <c r="CD108" s="392"/>
      <c r="CE108" s="392"/>
      <c r="CF108" s="553"/>
      <c r="CG108" s="566">
        <v>43115</v>
      </c>
      <c r="CH108" s="796">
        <f>SUM(CG108+CR108)</f>
        <v>43845</v>
      </c>
      <c r="CI108" s="30">
        <f>SUM(J108+P108+V108+AB108+AH108)</f>
        <v>371917.99999999994</v>
      </c>
      <c r="CJ108" s="8">
        <v>24</v>
      </c>
      <c r="CK108" s="8">
        <v>365</v>
      </c>
      <c r="CL108" s="8">
        <v>12</v>
      </c>
      <c r="CM108" s="8">
        <f>SUM(CK108/CL108)</f>
        <v>30.416666666666668</v>
      </c>
      <c r="CN108" s="8"/>
      <c r="CO108" s="8"/>
      <c r="CP108" s="8"/>
      <c r="CQ108" s="8"/>
      <c r="CR108" s="8">
        <f>SUM(CJ108*CM108)</f>
        <v>730</v>
      </c>
    </row>
    <row r="109" spans="1:96" ht="29.25" customHeight="1" thickBot="1" x14ac:dyDescent="0.3">
      <c r="A109" s="91" t="str">
        <f>CONCATENATE('3 pr-2'!A110)</f>
        <v>2.1.1.2.2</v>
      </c>
      <c r="B109" s="34" t="str">
        <f>CONCATENATE('3 pr-2'!D110)</f>
        <v>Alytaus r. meno ir sporto mokyklos edukacinių erdvių įkūrimas ir atnaujinimas</v>
      </c>
      <c r="C109" s="140">
        <v>0</v>
      </c>
      <c r="D109" s="140">
        <v>0</v>
      </c>
      <c r="E109" s="140">
        <v>0</v>
      </c>
      <c r="F109" s="389">
        <v>0</v>
      </c>
      <c r="G109" s="389">
        <v>0</v>
      </c>
      <c r="H109" s="389">
        <v>0</v>
      </c>
      <c r="I109" s="389">
        <v>0</v>
      </c>
      <c r="J109" s="140">
        <v>0</v>
      </c>
      <c r="K109" s="111">
        <v>0</v>
      </c>
      <c r="L109" s="405">
        <v>0</v>
      </c>
      <c r="M109" s="405">
        <v>0</v>
      </c>
      <c r="N109" s="405">
        <v>0</v>
      </c>
      <c r="O109" s="405">
        <v>0</v>
      </c>
      <c r="P109" s="111">
        <v>0</v>
      </c>
      <c r="Q109" s="140">
        <f>IF(YEAR($CG$109)=2018,($BI$4-$CG$109)*AI$109/($CH$109-$CG$109))</f>
        <v>425881.54520547943</v>
      </c>
      <c r="R109" s="405">
        <f>IF(YEAR($CG$109)=2018,($BI$4-$CG$109)*AK$109/($CH$109-$CG$109))</f>
        <v>159046.21232876711</v>
      </c>
      <c r="S109" s="405">
        <f>IF(YEAR($CG$109)=2018,($BI$4-$CG$109)*AM$109/($CH$109-$CG$109))</f>
        <v>0</v>
      </c>
      <c r="T109" s="405">
        <f>IF(YEAR($CG$109)=2018,($BI$4-$CG$109)*AO$109/($CH$109-$CG$109))</f>
        <v>0</v>
      </c>
      <c r="U109" s="405">
        <f>IF(YEAR($CG$109)=2018,($BI$4-$CG$109)*AQ$109/($CH$109-$CG$109))</f>
        <v>0</v>
      </c>
      <c r="V109" s="572">
        <f>IF(YEAR($CG$109)=2018,($BI$4-$CG$109)*AS$109/($CH$109-$CG$109))</f>
        <v>266835.33287671232</v>
      </c>
      <c r="W109" s="140">
        <f>IF(YEAR($CH$109)&gt;2018,($BO$4-$BI$4)*AI$109/($CH$109-$CG$109),0)</f>
        <v>428228</v>
      </c>
      <c r="X109" s="405">
        <f>IF(YEAR($CH$109)&gt;2018,($BO$4-$BI$4)*AK$109/($CH$109-$CG$109),0)</f>
        <v>159922.5</v>
      </c>
      <c r="Y109" s="405">
        <f>IF(YEAR($CH$109)&gt;2018,($BO$4-$BI$4)*AM$109/($CH$109-$CG$109),0)</f>
        <v>0</v>
      </c>
      <c r="Z109" s="405">
        <f>IF(YEAR($CH$109)&gt;2018,($BO$4-$BI$4)*AO$109/($CH$109-$CG$109),0)</f>
        <v>0</v>
      </c>
      <c r="AA109" s="405">
        <f>IF(YEAR($CH$109)&gt;2018,($BO$4-$BI$4)*AQ$109/($CH$109-$CG$109),0)</f>
        <v>0</v>
      </c>
      <c r="AB109" s="572">
        <f>IF(YEAR($CH$109)&gt;2018,($BO$4-$BI$4)*AS$109/($CH$109-$CG$109),0)</f>
        <v>268305.5</v>
      </c>
      <c r="AC109" s="572">
        <f>IF(YEAR($CH$109)=2020,($CH$109-$BO$4)*AI$109/($CH$109-$CG$109),0)</f>
        <v>2346.4547945205481</v>
      </c>
      <c r="AD109" s="405">
        <f>IF(YEAR($CH$109)=2020,($CH$109-$BO$4)*AK$109/($CH$109-$CG$109),0)</f>
        <v>876.28767123287673</v>
      </c>
      <c r="AE109" s="405">
        <f>IF(YEAR($CH$109)=2020,($CH$109-$BO$4)*AM$109/($CH$109-$CG$109),0)</f>
        <v>0</v>
      </c>
      <c r="AF109" s="405">
        <f>IF(YEAR($CH$109)=2020,($CH$109-$BO$4)*AO$109/($CH$109-$CG$109),0)</f>
        <v>0</v>
      </c>
      <c r="AG109" s="405">
        <f>IF(YEAR($CH$109)=2020,($CH$109-$BO$4)*AQ$109/($CH$109-$CG$109),0)</f>
        <v>0</v>
      </c>
      <c r="AH109" s="572">
        <f>IF(YEAR($CH$109)=2020,($CH$109-$BO$4)*AS$109/($CH$109-$CG$109),0)</f>
        <v>1470.1671232876713</v>
      </c>
      <c r="AI109" s="1186">
        <f>SUM('3 pr-2'!L110)</f>
        <v>856456</v>
      </c>
      <c r="AJ109" s="575"/>
      <c r="AK109" s="389">
        <f>SUM('3 pr-2'!O110)</f>
        <v>319845</v>
      </c>
      <c r="AL109" s="389"/>
      <c r="AM109" s="389">
        <f>SUM('3 pr-2'!R110)</f>
        <v>0</v>
      </c>
      <c r="AN109" s="389"/>
      <c r="AO109" s="389">
        <f>SUM('3 pr-2'!U110)</f>
        <v>0</v>
      </c>
      <c r="AP109" s="389"/>
      <c r="AQ109" s="389">
        <f>SUM('3 pr-2'!X110)</f>
        <v>0</v>
      </c>
      <c r="AR109" s="888"/>
      <c r="AS109" s="576">
        <f>SUM('3 pr-2'!AA110)</f>
        <v>536611</v>
      </c>
      <c r="AT109" s="817"/>
      <c r="AU109" s="24"/>
      <c r="AV109" s="25"/>
      <c r="AW109" s="25"/>
      <c r="AX109" s="392"/>
      <c r="AY109" s="392"/>
      <c r="AZ109" s="392"/>
      <c r="BA109" s="392"/>
      <c r="BB109" s="25"/>
      <c r="BC109" s="25"/>
      <c r="BD109" s="392"/>
      <c r="BE109" s="392"/>
      <c r="BF109" s="392"/>
      <c r="BG109" s="392"/>
      <c r="BH109" s="25"/>
      <c r="BI109" s="25"/>
      <c r="BJ109" s="392"/>
      <c r="BK109" s="392"/>
      <c r="BL109" s="392"/>
      <c r="BM109" s="392"/>
      <c r="BN109" s="25"/>
      <c r="BO109" s="25"/>
      <c r="BP109" s="392"/>
      <c r="BQ109" s="392"/>
      <c r="BR109" s="392"/>
      <c r="BS109" s="392"/>
      <c r="BT109" s="25"/>
      <c r="BU109" s="25"/>
      <c r="BV109" s="392"/>
      <c r="BW109" s="392"/>
      <c r="BX109" s="392"/>
      <c r="BY109" s="392"/>
      <c r="BZ109" s="25"/>
      <c r="CA109" s="25"/>
      <c r="CB109" s="392"/>
      <c r="CC109" s="392"/>
      <c r="CD109" s="392"/>
      <c r="CE109" s="392"/>
      <c r="CF109" s="553"/>
      <c r="CG109" s="566">
        <v>43102</v>
      </c>
      <c r="CH109" s="796">
        <f>SUM(CG109+CR109)</f>
        <v>43832</v>
      </c>
      <c r="CI109" s="30">
        <f>SUM(J109+P109+V109+AB109+AH109)</f>
        <v>536611</v>
      </c>
      <c r="CJ109" s="8">
        <v>24</v>
      </c>
      <c r="CK109" s="8">
        <v>365</v>
      </c>
      <c r="CL109" s="8">
        <v>12</v>
      </c>
      <c r="CM109" s="8">
        <f>SUM(CK109/CL109)</f>
        <v>30.416666666666668</v>
      </c>
      <c r="CN109" s="8"/>
      <c r="CO109" s="8"/>
      <c r="CP109" s="8"/>
      <c r="CQ109" s="8"/>
      <c r="CR109" s="8">
        <f>SUM(CJ109*CM109)</f>
        <v>730</v>
      </c>
    </row>
    <row r="110" spans="1:96" ht="36.75" thickBot="1" x14ac:dyDescent="0.3">
      <c r="A110" s="91" t="str">
        <f>CONCATENATE('3 pr-2'!A111)</f>
        <v>2.1.1.2.3</v>
      </c>
      <c r="B110" s="34" t="str">
        <f>CONCATENATE('3 pr-2'!D111)</f>
        <v>Alytaus muzikos mokyklos pastato modernizavimas ir ugdymo aplinkos gerinimas</v>
      </c>
      <c r="C110" s="140">
        <v>0</v>
      </c>
      <c r="D110" s="140">
        <v>0</v>
      </c>
      <c r="E110" s="140">
        <v>0</v>
      </c>
      <c r="F110" s="389">
        <v>0</v>
      </c>
      <c r="G110" s="389">
        <v>0</v>
      </c>
      <c r="H110" s="389">
        <v>0</v>
      </c>
      <c r="I110" s="389">
        <v>0</v>
      </c>
      <c r="J110" s="140">
        <v>0</v>
      </c>
      <c r="K110" s="111">
        <v>0</v>
      </c>
      <c r="L110" s="405">
        <v>0</v>
      </c>
      <c r="M110" s="405">
        <v>0</v>
      </c>
      <c r="N110" s="405">
        <v>0</v>
      </c>
      <c r="O110" s="405">
        <v>0</v>
      </c>
      <c r="P110" s="111">
        <v>0</v>
      </c>
      <c r="Q110" s="140">
        <f>IF(YEAR($CG$110)=2018,($BI$4-$CG$110)*AI$110/($CH$110-$CG$110))</f>
        <v>197600.29315068494</v>
      </c>
      <c r="R110" s="405">
        <f>IF(YEAR($CG$110)=2018,($BI$4-$CG$110)*AK$110/($CH$110-$CG$110))</f>
        <v>29640.193150684932</v>
      </c>
      <c r="S110" s="405">
        <f>IF(YEAR($CG$110)=2018,($BI$4-$CG$110)*AM$110/($CH$110-$CG$110))</f>
        <v>0</v>
      </c>
      <c r="T110" s="405">
        <f>IF(YEAR($CG$110)=2018,($BI$4-$CG$110)*AO$110/($CH$110-$CG$110))</f>
        <v>0</v>
      </c>
      <c r="U110" s="405">
        <f>IF(YEAR($CG$110)=2018,($BI$4-$CG$110)*AQ$110/($CH$110-$CG$110))</f>
        <v>0</v>
      </c>
      <c r="V110" s="572">
        <f>IF(YEAR($CG$110)=2018,($BI$4-$CG$110)*AS$110/($CH$110-$CG$110))</f>
        <v>167960.1</v>
      </c>
      <c r="W110" s="140">
        <f>IF(YEAR($CH$110)&gt;2018,($BO$4-$BI$4)*AI$110/($CH$110-$CG$110),0)</f>
        <v>198689</v>
      </c>
      <c r="X110" s="405">
        <f>IF(YEAR($CH$110)&gt;2018,($BO$4-$BI$4)*AK$110/($CH$110-$CG$110),0)</f>
        <v>29803.5</v>
      </c>
      <c r="Y110" s="405">
        <f>IF(YEAR($CH$110)&gt;2018,($BO$4-$BI$4)*AM$110/($CH$110-$CG$110),0)</f>
        <v>0</v>
      </c>
      <c r="Z110" s="405">
        <f>IF(YEAR($CH$110)&gt;2018,($BO$4-$BI$4)*AO$110/($CH$110-$CG$110),0)</f>
        <v>0</v>
      </c>
      <c r="AA110" s="405">
        <f>IF(YEAR($CH$110)&gt;2018,($BO$4-$BI$4)*AQ$110/($CH$110-$CG$110),0)</f>
        <v>0</v>
      </c>
      <c r="AB110" s="572">
        <f>IF(YEAR($CH$110)&gt;2018,($BO$4-$BI$4)*AS$110/($CH$110-$CG$110),0)</f>
        <v>168885.5</v>
      </c>
      <c r="AC110" s="572">
        <f>IF(YEAR($CH$110)=2020,($CH$110-$BO$4)*AI$110/($CH$110-$CG$110),0)</f>
        <v>1088.7068493150684</v>
      </c>
      <c r="AD110" s="405">
        <f>IF(YEAR($CH$110)=2020,($CH$110-$BO$4)*AK$110/($CH$110-$CG$110),0)</f>
        <v>163.30684931506849</v>
      </c>
      <c r="AE110" s="405">
        <f>IF(YEAR($CH$110)=2020,($CH$110-$BO$4)*AM$110/($CH$110-$CG$110),0)</f>
        <v>0</v>
      </c>
      <c r="AF110" s="405">
        <f>IF(YEAR($CH$110)=2020,($CH$110-$BO$4)*AO$110/($CH$110-$CG$110),0)</f>
        <v>0</v>
      </c>
      <c r="AG110" s="405">
        <f>IF(YEAR($CH$110)=2020,($CH$110-$BO$4)*AQ$110/($CH$110-$CG$110),0)</f>
        <v>0</v>
      </c>
      <c r="AH110" s="572">
        <f>IF(YEAR($CH$110)=2020,($CH$110-$BO$4)*AS$110/($CH$110-$CG$110),0)</f>
        <v>925.4</v>
      </c>
      <c r="AI110" s="1186">
        <f>SUM('3 pr-2'!L111)</f>
        <v>397378</v>
      </c>
      <c r="AJ110" s="575"/>
      <c r="AK110" s="389">
        <f>SUM('3 pr-2'!O111)</f>
        <v>59607</v>
      </c>
      <c r="AL110" s="389"/>
      <c r="AM110" s="389">
        <f>SUM('3 pr-2'!R111)</f>
        <v>0</v>
      </c>
      <c r="AN110" s="389"/>
      <c r="AO110" s="389">
        <f>SUM('3 pr-2'!U111)</f>
        <v>0</v>
      </c>
      <c r="AP110" s="389"/>
      <c r="AQ110" s="389">
        <f>SUM('3 pr-2'!X111)</f>
        <v>0</v>
      </c>
      <c r="AR110" s="888"/>
      <c r="AS110" s="576">
        <f>SUM('3 pr-2'!AA111)</f>
        <v>337771</v>
      </c>
      <c r="AT110" s="817"/>
      <c r="AU110" s="24"/>
      <c r="AV110" s="25"/>
      <c r="AW110" s="25"/>
      <c r="AX110" s="391"/>
      <c r="AY110" s="391"/>
      <c r="AZ110" s="391"/>
      <c r="BA110" s="391"/>
      <c r="BB110" s="25"/>
      <c r="BC110" s="25"/>
      <c r="BD110" s="391"/>
      <c r="BE110" s="391"/>
      <c r="BF110" s="391"/>
      <c r="BG110" s="391"/>
      <c r="BH110" s="25"/>
      <c r="BI110" s="25"/>
      <c r="BJ110" s="391"/>
      <c r="BK110" s="391"/>
      <c r="BL110" s="391"/>
      <c r="BM110" s="391"/>
      <c r="BN110" s="25"/>
      <c r="BO110" s="25"/>
      <c r="BP110" s="391"/>
      <c r="BQ110" s="391"/>
      <c r="BR110" s="391"/>
      <c r="BS110" s="391"/>
      <c r="BT110" s="25"/>
      <c r="BU110" s="25"/>
      <c r="BV110" s="391"/>
      <c r="BW110" s="391"/>
      <c r="BX110" s="391"/>
      <c r="BY110" s="391"/>
      <c r="BZ110" s="25"/>
      <c r="CA110" s="25"/>
      <c r="CB110" s="391"/>
      <c r="CC110" s="391"/>
      <c r="CD110" s="391"/>
      <c r="CE110" s="391"/>
      <c r="CF110" s="553"/>
      <c r="CG110" s="566">
        <v>43102</v>
      </c>
      <c r="CH110" s="796">
        <f>SUM(CG110+CR110)</f>
        <v>43832</v>
      </c>
      <c r="CI110" s="30">
        <f>SUM(J110+P110+V110+AB110+AH110)</f>
        <v>337771</v>
      </c>
      <c r="CJ110" s="8">
        <v>24</v>
      </c>
      <c r="CK110" s="8">
        <v>365</v>
      </c>
      <c r="CL110" s="8">
        <v>12</v>
      </c>
      <c r="CM110" s="8">
        <f>SUM(CK110/CL110)</f>
        <v>30.416666666666668</v>
      </c>
      <c r="CN110" s="8"/>
      <c r="CO110" s="8"/>
      <c r="CP110" s="8"/>
      <c r="CQ110" s="8"/>
      <c r="CR110" s="8">
        <f>SUM(CJ110*CM110)</f>
        <v>730</v>
      </c>
    </row>
    <row r="111" spans="1:96" ht="24.75" thickBot="1" x14ac:dyDescent="0.3">
      <c r="A111" s="91" t="str">
        <f>CONCATENATE('3 pr-2'!A112)</f>
        <v>2.1.1.2.4</v>
      </c>
      <c r="B111" s="34" t="str">
        <f>CONCATENATE('3 pr-2'!D112)</f>
        <v>Druskininkų M. K. Čiurlionio meno mokyklos infrastruktūros tobulinimas</v>
      </c>
      <c r="C111" s="140">
        <v>0</v>
      </c>
      <c r="D111" s="140">
        <v>0</v>
      </c>
      <c r="E111" s="140">
        <v>0</v>
      </c>
      <c r="F111" s="389">
        <v>0</v>
      </c>
      <c r="G111" s="389">
        <v>0</v>
      </c>
      <c r="H111" s="389">
        <v>0</v>
      </c>
      <c r="I111" s="389">
        <v>0</v>
      </c>
      <c r="J111" s="140">
        <v>0</v>
      </c>
      <c r="K111" s="120">
        <f>IF(YEAR($CG$111)=2017,($BC$4-$CG$111)*AI$111/($CH$111-$CG$111),0)</f>
        <v>6430.7857534246568</v>
      </c>
      <c r="L111" s="405">
        <f>IF(YEAR($CG$111)=2017,($BC$4-$CG$111)*AK$111/($CH$111-$CG$111),0)</f>
        <v>983.50904109589032</v>
      </c>
      <c r="M111" s="405">
        <f>IF(YEAR($CG$111)=2017,($BC$4-$CG$111)*AM$111/($CH$111-$CG$111),0)</f>
        <v>0</v>
      </c>
      <c r="N111" s="405">
        <f>IF(YEAR($CG$111)=2017,($BC$4-$CG$111)*AO$111/($CH$111-$CG$111),0)</f>
        <v>0</v>
      </c>
      <c r="O111" s="405">
        <f>IF(YEAR($CG$111)=2017,($BC$4-$CG$111)*AQ$111/($CH$111-$CG$111),0)</f>
        <v>0</v>
      </c>
      <c r="P111" s="140">
        <f>IF(YEAR($CG$111)=2017,($BC$4-$CG$111)*AS$111/($CH$111-$CG$111),0)</f>
        <v>5447.2767123287667</v>
      </c>
      <c r="Q111" s="140">
        <f>IF(YEAR($CH$111)=2018,($CH$111-$BC$4)*AI$111/($CH$111-$CG$111),0)</f>
        <v>140271.51424657533</v>
      </c>
      <c r="R111" s="405">
        <f>IF(YEAR($CH$111)=2018,($CH$111-$BC$4)*AK$111/($CH$111-$CG$111),0)</f>
        <v>21452.790958904112</v>
      </c>
      <c r="S111" s="405">
        <f>IF(YEAR($CH$111)=2018,($CH$111-$BC$4)*AM$111/($CH$111-$CG$111),0)</f>
        <v>0</v>
      </c>
      <c r="T111" s="405">
        <f>IF(YEAR($CH$111)=2018,($CH$111-$BC$4)*AO$111/($CH$111-$CG$111),0)</f>
        <v>0</v>
      </c>
      <c r="U111" s="405">
        <f>IF(YEAR($CH$111)=2018,($CH$111-$BC$4)*AQ$111/($CH$111-$CG$111),0)</f>
        <v>0</v>
      </c>
      <c r="V111" s="572">
        <f>IF(YEAR($CH$111)=2018,($CH$111-$BC$4)*AS$111/($CH$111-$CG$111),0)</f>
        <v>118818.72328767124</v>
      </c>
      <c r="W111" s="140">
        <v>0</v>
      </c>
      <c r="X111" s="389">
        <v>0</v>
      </c>
      <c r="Y111" s="389">
        <v>0</v>
      </c>
      <c r="Z111" s="389">
        <v>0</v>
      </c>
      <c r="AA111" s="389">
        <v>0</v>
      </c>
      <c r="AB111" s="140">
        <v>0</v>
      </c>
      <c r="AC111" s="140">
        <v>0</v>
      </c>
      <c r="AD111" s="389">
        <v>0</v>
      </c>
      <c r="AE111" s="389">
        <v>0</v>
      </c>
      <c r="AF111" s="389">
        <v>0</v>
      </c>
      <c r="AG111" s="389">
        <v>0</v>
      </c>
      <c r="AH111" s="140">
        <v>0</v>
      </c>
      <c r="AI111" s="1186">
        <f>SUM('3 pr-2'!L112)</f>
        <v>146702.29999999999</v>
      </c>
      <c r="AJ111" s="575"/>
      <c r="AK111" s="389">
        <f>SUM('3 pr-2'!O112)</f>
        <v>22436.3</v>
      </c>
      <c r="AL111" s="389"/>
      <c r="AM111" s="389">
        <f>SUM('3 pr-2'!R112)</f>
        <v>0</v>
      </c>
      <c r="AN111" s="389"/>
      <c r="AO111" s="389">
        <f>SUM('3 pr-2'!U112)</f>
        <v>0</v>
      </c>
      <c r="AP111" s="389"/>
      <c r="AQ111" s="389">
        <f>SUM('3 pr-2'!X112)</f>
        <v>0</v>
      </c>
      <c r="AR111" s="888"/>
      <c r="AS111" s="576">
        <f>SUM('3 pr-2'!AA112)</f>
        <v>124266</v>
      </c>
      <c r="AT111" s="817"/>
      <c r="AU111" s="24"/>
      <c r="AV111" s="25"/>
      <c r="AW111" s="25"/>
      <c r="AX111" s="391"/>
      <c r="AY111" s="391"/>
      <c r="AZ111" s="391"/>
      <c r="BA111" s="391"/>
      <c r="BB111" s="25"/>
      <c r="BC111" s="25"/>
      <c r="BD111" s="391"/>
      <c r="BE111" s="391"/>
      <c r="BF111" s="391"/>
      <c r="BG111" s="391"/>
      <c r="BH111" s="25"/>
      <c r="BI111" s="25"/>
      <c r="BJ111" s="391"/>
      <c r="BK111" s="391"/>
      <c r="BL111" s="391"/>
      <c r="BM111" s="391"/>
      <c r="BN111" s="25"/>
      <c r="BO111" s="25"/>
      <c r="BP111" s="391"/>
      <c r="BQ111" s="391"/>
      <c r="BR111" s="391"/>
      <c r="BS111" s="391"/>
      <c r="BT111" s="25"/>
      <c r="BU111" s="25"/>
      <c r="BV111" s="391"/>
      <c r="BW111" s="391"/>
      <c r="BX111" s="391"/>
      <c r="BY111" s="391"/>
      <c r="BZ111" s="25"/>
      <c r="CA111" s="25"/>
      <c r="CB111" s="391"/>
      <c r="CC111" s="391"/>
      <c r="CD111" s="391"/>
      <c r="CE111" s="391"/>
      <c r="CF111" s="553"/>
      <c r="CG111" s="566">
        <v>43084</v>
      </c>
      <c r="CH111" s="796">
        <f>SUM(CG111+CR111)</f>
        <v>43449</v>
      </c>
      <c r="CI111" s="30">
        <f>SUM(J111+P111+V111+AB111+AH111)</f>
        <v>124266</v>
      </c>
      <c r="CJ111" s="8">
        <v>12</v>
      </c>
      <c r="CK111" s="8">
        <v>365</v>
      </c>
      <c r="CL111" s="8">
        <v>12</v>
      </c>
      <c r="CM111" s="8">
        <f>SUM(CK111/CL111)</f>
        <v>30.416666666666668</v>
      </c>
      <c r="CN111" s="8"/>
      <c r="CO111" s="8"/>
      <c r="CP111" s="8"/>
      <c r="CQ111" s="8"/>
      <c r="CR111" s="8">
        <f>SUM(CJ111*CM111)</f>
        <v>365</v>
      </c>
    </row>
    <row r="112" spans="1:96" ht="36" customHeight="1" thickBot="1" x14ac:dyDescent="0.3">
      <c r="A112" s="91" t="str">
        <f>CONCATENATE('3 pr-2'!A113)</f>
        <v>2.1.1.2.5</v>
      </c>
      <c r="B112" s="34" t="str">
        <f>CONCATENATE('3 pr-2'!D113)</f>
        <v>Neformaliojo švietimo įstaigų Lazdijų rajono savivaldybėje infrastruktūros tobulinimas</v>
      </c>
      <c r="C112" s="140">
        <v>0</v>
      </c>
      <c r="D112" s="140">
        <v>0</v>
      </c>
      <c r="E112" s="140">
        <v>0</v>
      </c>
      <c r="F112" s="389">
        <v>0</v>
      </c>
      <c r="G112" s="389">
        <v>0</v>
      </c>
      <c r="H112" s="389">
        <v>0</v>
      </c>
      <c r="I112" s="389">
        <v>0</v>
      </c>
      <c r="J112" s="140">
        <v>0</v>
      </c>
      <c r="K112" s="120">
        <f>IF(YEAR($CG$112)=2017,($BC$4-$CG$112)*AI$112/($CH$112-$CG$112),0)</f>
        <v>27088.381369863015</v>
      </c>
      <c r="L112" s="405">
        <f>IF(YEAR($CG$112)=2017,($BC$4-$CG$112)*AK$112/($CH$112-$CG$112),0)</f>
        <v>4063.2372602739724</v>
      </c>
      <c r="M112" s="405">
        <f>IF(YEAR($CG$112)=2017,($BC$4-$CG$112)*AM$112/($CH$112-$CG$112),0)</f>
        <v>0</v>
      </c>
      <c r="N112" s="405">
        <f>IF(YEAR($CG$112)=2017,($BC$4-$CG$112)*AO$112/($CH$112-$CG$112),0)</f>
        <v>0</v>
      </c>
      <c r="O112" s="405">
        <f>IF(YEAR($CG$112)=2017,($BC$4-$CG$112)*AQ$112/($CH$112-$CG$112),0)</f>
        <v>0</v>
      </c>
      <c r="P112" s="140">
        <f>IF(YEAR($CG$112)=2017,($BC$4-$CG$112)*AS$112/($CH$112-$CG$112),0)</f>
        <v>23025.14410958904</v>
      </c>
      <c r="Q112" s="140">
        <f>IF(YEAR($CH$112)=2018,($CH$112-$BC$4)*AI$112/($CH$112-$CG$112),0)</f>
        <v>108725.61863013699</v>
      </c>
      <c r="R112" s="405">
        <f>IF(YEAR($CH$112)=2018,($CH$112-$BC$4)*AK$112/($CH$112-$CG$112),0)</f>
        <v>16308.762739726028</v>
      </c>
      <c r="S112" s="405">
        <f>IF(YEAR($CH$112)=2018,($CH$112-$BC$4)*AM$112/($CH$112-$CG$112),0)</f>
        <v>0</v>
      </c>
      <c r="T112" s="405">
        <f>IF(YEAR($CH$112)=2018,($CH$112-$BC$4)*AO$112/($CH$112-$CG$112),0)</f>
        <v>0</v>
      </c>
      <c r="U112" s="405">
        <f>IF(YEAR($CH$112)=2018,($CH$112-$BC$4)*AQ$112/($CH$112-$CG$112),0)</f>
        <v>0</v>
      </c>
      <c r="V112" s="572">
        <f>IF(YEAR($CH$112)=2018,($CH$112-$BC$4)*AS$112/($CH$112-$CG$112),0)</f>
        <v>92416.855890410952</v>
      </c>
      <c r="W112" s="140">
        <v>0</v>
      </c>
      <c r="X112" s="389">
        <v>0</v>
      </c>
      <c r="Y112" s="389">
        <v>0</v>
      </c>
      <c r="Z112" s="389">
        <v>0</v>
      </c>
      <c r="AA112" s="389">
        <v>0</v>
      </c>
      <c r="AB112" s="140">
        <v>0</v>
      </c>
      <c r="AC112" s="140">
        <v>0</v>
      </c>
      <c r="AD112" s="389">
        <v>0</v>
      </c>
      <c r="AE112" s="389">
        <v>0</v>
      </c>
      <c r="AF112" s="389">
        <v>0</v>
      </c>
      <c r="AG112" s="389">
        <v>0</v>
      </c>
      <c r="AH112" s="140">
        <v>0</v>
      </c>
      <c r="AI112" s="1186">
        <f>SUM('3 pr-2'!L113)</f>
        <v>135814</v>
      </c>
      <c r="AJ112" s="575"/>
      <c r="AK112" s="389">
        <f>SUM('3 pr-2'!O113)</f>
        <v>20372</v>
      </c>
      <c r="AL112" s="389"/>
      <c r="AM112" s="389">
        <f>SUM('3 pr-2'!R113)</f>
        <v>0</v>
      </c>
      <c r="AN112" s="389"/>
      <c r="AO112" s="389">
        <f>SUM('3 pr-2'!U113)</f>
        <v>0</v>
      </c>
      <c r="AP112" s="389"/>
      <c r="AQ112" s="389">
        <f>SUM('3 pr-2'!X113)</f>
        <v>0</v>
      </c>
      <c r="AR112" s="888"/>
      <c r="AS112" s="576">
        <f>SUM('3 pr-2'!AA113)</f>
        <v>115442</v>
      </c>
      <c r="AT112" s="817"/>
      <c r="AU112" s="24"/>
      <c r="AV112" s="25"/>
      <c r="AW112" s="25"/>
      <c r="AX112" s="391"/>
      <c r="AY112" s="391"/>
      <c r="AZ112" s="391"/>
      <c r="BA112" s="391"/>
      <c r="BB112" s="25"/>
      <c r="BC112" s="25"/>
      <c r="BD112" s="391"/>
      <c r="BE112" s="391"/>
      <c r="BF112" s="391"/>
      <c r="BG112" s="391"/>
      <c r="BH112" s="25"/>
      <c r="BI112" s="25"/>
      <c r="BJ112" s="391"/>
      <c r="BK112" s="391"/>
      <c r="BL112" s="391"/>
      <c r="BM112" s="391"/>
      <c r="BN112" s="25"/>
      <c r="BO112" s="25"/>
      <c r="BP112" s="391"/>
      <c r="BQ112" s="391"/>
      <c r="BR112" s="391"/>
      <c r="BS112" s="391"/>
      <c r="BT112" s="25"/>
      <c r="BU112" s="25"/>
      <c r="BV112" s="391"/>
      <c r="BW112" s="391"/>
      <c r="BX112" s="391"/>
      <c r="BY112" s="391"/>
      <c r="BZ112" s="25"/>
      <c r="CA112" s="25"/>
      <c r="CB112" s="391"/>
      <c r="CC112" s="391"/>
      <c r="CD112" s="391"/>
      <c r="CE112" s="391"/>
      <c r="CF112" s="553"/>
      <c r="CG112" s="566">
        <v>43009</v>
      </c>
      <c r="CH112" s="796">
        <f>SUM(CG112+CR112)</f>
        <v>43465.25</v>
      </c>
      <c r="CI112" s="30">
        <f>SUM(J112+P112+V112+AB112+AH112)</f>
        <v>115442</v>
      </c>
      <c r="CJ112" s="8">
        <v>15</v>
      </c>
      <c r="CK112" s="8">
        <v>365</v>
      </c>
      <c r="CL112" s="8">
        <v>12</v>
      </c>
      <c r="CM112" s="8">
        <f>SUM(CK112/CL112)</f>
        <v>30.416666666666668</v>
      </c>
      <c r="CN112" s="8"/>
      <c r="CO112" s="8"/>
      <c r="CP112" s="8"/>
      <c r="CQ112" s="8"/>
      <c r="CR112" s="8">
        <f>SUM(CJ112*CM112)</f>
        <v>456.25</v>
      </c>
    </row>
    <row r="113" spans="1:98" ht="39.75" thickBot="1" x14ac:dyDescent="0.3">
      <c r="A113" s="383" t="str">
        <f>CONCATENATE('3 pr-2'!A114)</f>
        <v>2.1.1.3</v>
      </c>
      <c r="B113" s="182" t="str">
        <f>CONCATENATE('3 pr-2'!D114)</f>
        <v/>
      </c>
      <c r="C113" s="171">
        <f>SUM(C114:C118)</f>
        <v>0</v>
      </c>
      <c r="D113" s="171">
        <f t="shared" ref="D113:AS113" si="268">SUM(D114:D118)</f>
        <v>0</v>
      </c>
      <c r="E113" s="171">
        <f t="shared" si="268"/>
        <v>0</v>
      </c>
      <c r="F113" s="171"/>
      <c r="G113" s="171"/>
      <c r="H113" s="171"/>
      <c r="I113" s="171"/>
      <c r="J113" s="171">
        <f t="shared" si="268"/>
        <v>0</v>
      </c>
      <c r="K113" s="171">
        <f t="shared" si="268"/>
        <v>0</v>
      </c>
      <c r="L113" s="413">
        <f t="shared" ref="L113:O113" si="269">SUM(L114:L118)</f>
        <v>0</v>
      </c>
      <c r="M113" s="413">
        <f t="shared" si="269"/>
        <v>0</v>
      </c>
      <c r="N113" s="413">
        <f t="shared" si="269"/>
        <v>0</v>
      </c>
      <c r="O113" s="413">
        <f t="shared" si="269"/>
        <v>0</v>
      </c>
      <c r="P113" s="171">
        <f t="shared" si="268"/>
        <v>0</v>
      </c>
      <c r="Q113" s="171">
        <f t="shared" si="268"/>
        <v>717887.34793075407</v>
      </c>
      <c r="R113" s="413"/>
      <c r="S113" s="413"/>
      <c r="T113" s="413"/>
      <c r="U113" s="413"/>
      <c r="V113" s="171">
        <f t="shared" si="268"/>
        <v>587029.38720376242</v>
      </c>
      <c r="W113" s="171">
        <f t="shared" si="268"/>
        <v>657625.21124732785</v>
      </c>
      <c r="X113" s="413"/>
      <c r="Y113" s="413"/>
      <c r="Z113" s="413"/>
      <c r="AA113" s="413"/>
      <c r="AB113" s="171">
        <f t="shared" si="268"/>
        <v>541408.00024533027</v>
      </c>
      <c r="AC113" s="171">
        <f t="shared" si="268"/>
        <v>12276.510821917809</v>
      </c>
      <c r="AD113" s="413"/>
      <c r="AE113" s="413"/>
      <c r="AF113" s="413"/>
      <c r="AG113" s="413"/>
      <c r="AH113" s="171">
        <f t="shared" si="268"/>
        <v>10150.828767123288</v>
      </c>
      <c r="AI113" s="1187">
        <f t="shared" si="268"/>
        <v>1387789.0699999996</v>
      </c>
      <c r="AJ113" s="171"/>
      <c r="AK113" s="171"/>
      <c r="AL113" s="171"/>
      <c r="AM113" s="171"/>
      <c r="AN113" s="171"/>
      <c r="AO113" s="171"/>
      <c r="AP113" s="171"/>
      <c r="AQ113" s="171"/>
      <c r="AR113" s="171"/>
      <c r="AS113" s="171">
        <f t="shared" si="268"/>
        <v>1138588.2162162161</v>
      </c>
      <c r="AT113" s="171"/>
      <c r="AU113" s="24"/>
      <c r="AV113" s="25"/>
      <c r="AW113" s="25"/>
      <c r="AX113" s="171"/>
      <c r="AY113" s="171"/>
      <c r="AZ113" s="171"/>
      <c r="BA113" s="171"/>
      <c r="BB113" s="25"/>
      <c r="BC113" s="25"/>
      <c r="BD113" s="171"/>
      <c r="BE113" s="171"/>
      <c r="BF113" s="171"/>
      <c r="BG113" s="171"/>
      <c r="BH113" s="25"/>
      <c r="BI113" s="25"/>
      <c r="BJ113" s="171"/>
      <c r="BK113" s="171"/>
      <c r="BL113" s="171"/>
      <c r="BM113" s="171"/>
      <c r="BN113" s="25"/>
      <c r="BO113" s="25"/>
      <c r="BP113" s="171"/>
      <c r="BQ113" s="171"/>
      <c r="BR113" s="171"/>
      <c r="BS113" s="171"/>
      <c r="BT113" s="25"/>
      <c r="BU113" s="25"/>
      <c r="BV113" s="171"/>
      <c r="BW113" s="171"/>
      <c r="BX113" s="171"/>
      <c r="BY113" s="171"/>
      <c r="BZ113" s="25"/>
      <c r="CA113" s="25"/>
      <c r="CB113" s="171"/>
      <c r="CC113" s="171"/>
      <c r="CD113" s="171"/>
      <c r="CE113" s="171"/>
      <c r="CF113" s="553"/>
      <c r="CG113" s="561"/>
      <c r="CH113" s="561"/>
    </row>
    <row r="114" spans="1:98" ht="24.75" thickBot="1" x14ac:dyDescent="0.3">
      <c r="A114" s="91" t="str">
        <f>CONCATENATE('3 pr-2'!A115)</f>
        <v>2.1.1.3.1</v>
      </c>
      <c r="B114" s="34" t="str">
        <f>CONCATENATE('3 pr-2'!D115)</f>
        <v>Varėnos "Pasakos" vaikų lopšelio-darželio pastato modernizavimas</v>
      </c>
      <c r="C114" s="111">
        <v>0</v>
      </c>
      <c r="D114" s="111">
        <v>0</v>
      </c>
      <c r="E114" s="111">
        <v>0</v>
      </c>
      <c r="F114" s="389">
        <v>0</v>
      </c>
      <c r="G114" s="389">
        <v>0</v>
      </c>
      <c r="H114" s="389">
        <v>0</v>
      </c>
      <c r="I114" s="389">
        <v>0</v>
      </c>
      <c r="J114" s="111">
        <v>0</v>
      </c>
      <c r="K114" s="111">
        <v>0</v>
      </c>
      <c r="L114" s="405">
        <v>0</v>
      </c>
      <c r="M114" s="405">
        <v>0</v>
      </c>
      <c r="N114" s="405">
        <v>0</v>
      </c>
      <c r="O114" s="405">
        <v>0</v>
      </c>
      <c r="P114" s="111">
        <v>0</v>
      </c>
      <c r="Q114" s="111">
        <f>IF(YEAR($CG$114)=2018,($BI$4-$CG$114)*AI$114/($CH$114-$CG$114),0)</f>
        <v>225041.09589041097</v>
      </c>
      <c r="R114" s="405">
        <f>IF(YEAR($CG$114)=2018,($BI$4-$CG$114)*AK$114/($CH$114-$CG$114),0)</f>
        <v>34876.504109589041</v>
      </c>
      <c r="S114" s="405">
        <f>IF(YEAR($CG$114)=2018,($BI$4-$CG$114)*AM$114/($CH$114-$CG$114),0)</f>
        <v>15418.964383561644</v>
      </c>
      <c r="T114" s="405">
        <f>IF(YEAR($CG$114)=2018,($BI$4-$CG$114)*AO$114/($CH$114-$CG$114),0)</f>
        <v>0</v>
      </c>
      <c r="U114" s="405">
        <f>IF(YEAR($CG$114)=2018,($BI$4-$CG$114)*AQ$114/($CH$114-$CG$114),0)</f>
        <v>0</v>
      </c>
      <c r="V114" s="450">
        <f>IF(YEAR($CG$114)=2018,($BI$4-$CG$114)*AS$114/($CH$114-$CG$114),0)</f>
        <v>174745.62739726028</v>
      </c>
      <c r="W114" s="111">
        <f>IF(YEAR($CH$114)=2019,($CH$114-$BI$4)*AI$114/($CH$114-$CG$114),0)</f>
        <v>144958.90410958903</v>
      </c>
      <c r="X114" s="421">
        <f>IF(YEAR($CH$114)=2019,($CH$114-$BI$4)*AK$114/($CH$114-$CG$114),0)</f>
        <v>22465.495890410959</v>
      </c>
      <c r="Y114" s="421">
        <f>IF(YEAR($CH$114)=2019,($CH$114-$BI$4)*AM$114/($CH$114-$CG$114),0)</f>
        <v>9932.0356164383556</v>
      </c>
      <c r="Z114" s="421">
        <f>IF(YEAR($CH$114)=2019,($CH$114-$BI$4)*AO$114/($CH$114-$CG$114),0)</f>
        <v>0</v>
      </c>
      <c r="AA114" s="421">
        <f>IF(YEAR($CH$114)=2019,($CH$114-$BI$4)*AQ$114/($CH$114-$CG$114),0)</f>
        <v>0</v>
      </c>
      <c r="AB114" s="450">
        <f>IF(YEAR($CH$114)=2019,($CH$114-$BI$4)*AS$114/($CH$114-$CG$114),0)</f>
        <v>112561.37260273972</v>
      </c>
      <c r="AC114" s="450">
        <v>0</v>
      </c>
      <c r="AD114" s="421">
        <v>0</v>
      </c>
      <c r="AE114" s="421">
        <v>0</v>
      </c>
      <c r="AF114" s="421">
        <v>0</v>
      </c>
      <c r="AG114" s="421">
        <v>0</v>
      </c>
      <c r="AH114" s="450">
        <v>0</v>
      </c>
      <c r="AI114" s="1188">
        <f>SUM('3 pr-2'!L115)</f>
        <v>370000</v>
      </c>
      <c r="AJ114" s="52"/>
      <c r="AK114" s="389">
        <f>SUM('3 pr-2'!O115)</f>
        <v>57342</v>
      </c>
      <c r="AL114" s="389"/>
      <c r="AM114" s="389">
        <f>SUM('3 pr-2'!R115)</f>
        <v>25351</v>
      </c>
      <c r="AN114" s="389"/>
      <c r="AO114" s="389">
        <f>SUM('3 pr-2'!U115)</f>
        <v>0</v>
      </c>
      <c r="AP114" s="389"/>
      <c r="AQ114" s="389">
        <f>SUM('3 pr-2'!X115)</f>
        <v>0</v>
      </c>
      <c r="AR114" s="888"/>
      <c r="AS114" s="48">
        <f>SUM('3 pr-2'!AA115)</f>
        <v>287307</v>
      </c>
      <c r="AT114" s="820"/>
      <c r="AU114" s="24"/>
      <c r="AV114" s="25"/>
      <c r="AW114" s="25"/>
      <c r="AX114" s="392"/>
      <c r="AY114" s="392"/>
      <c r="AZ114" s="392"/>
      <c r="BA114" s="392"/>
      <c r="BB114" s="25"/>
      <c r="BC114" s="25"/>
      <c r="BD114" s="392"/>
      <c r="BE114" s="392"/>
      <c r="BF114" s="392"/>
      <c r="BG114" s="392"/>
      <c r="BH114" s="25"/>
      <c r="BI114" s="25"/>
      <c r="BJ114" s="392"/>
      <c r="BK114" s="392"/>
      <c r="BL114" s="392"/>
      <c r="BM114" s="392"/>
      <c r="BN114" s="25"/>
      <c r="BO114" s="25"/>
      <c r="BP114" s="392"/>
      <c r="BQ114" s="392"/>
      <c r="BR114" s="392"/>
      <c r="BS114" s="392"/>
      <c r="BT114" s="25"/>
      <c r="BU114" s="25"/>
      <c r="BV114" s="392"/>
      <c r="BW114" s="392"/>
      <c r="BX114" s="392"/>
      <c r="BY114" s="392"/>
      <c r="BZ114" s="25"/>
      <c r="CA114" s="25"/>
      <c r="CB114" s="392"/>
      <c r="CC114" s="392"/>
      <c r="CD114" s="392"/>
      <c r="CE114" s="392"/>
      <c r="CF114" s="553"/>
      <c r="CG114" s="566">
        <v>43132</v>
      </c>
      <c r="CH114" s="796">
        <f>SUM(CG114+CR114)</f>
        <v>43679.5</v>
      </c>
      <c r="CI114" s="30">
        <f>SUM(J114+P114+V114+AB114+AH114)</f>
        <v>287307</v>
      </c>
      <c r="CJ114" s="8">
        <v>18</v>
      </c>
      <c r="CK114" s="8">
        <v>365</v>
      </c>
      <c r="CL114" s="8">
        <v>12</v>
      </c>
      <c r="CM114" s="8">
        <f>SUM(CK114/CL114)</f>
        <v>30.416666666666668</v>
      </c>
      <c r="CN114" s="8"/>
      <c r="CO114" s="8"/>
      <c r="CP114" s="8"/>
      <c r="CQ114" s="8"/>
      <c r="CR114" s="8">
        <f>SUM(CJ114*CM114)</f>
        <v>547.5</v>
      </c>
    </row>
    <row r="115" spans="1:98" ht="48.75" thickBot="1" x14ac:dyDescent="0.3">
      <c r="A115" s="91" t="str">
        <f>CONCATENATE('3 pr-2'!A116)</f>
        <v>2.1.1.3.2</v>
      </c>
      <c r="B115" s="34" t="str">
        <f>CONCATENATE('3 pr-2'!D116)</f>
        <v>Alytaus r. ikimokyklinio ir priešmokyklinio ugdymo prieinamumo didinimas įkuriant ir atnaujinant edukacines erdves</v>
      </c>
      <c r="C115" s="111">
        <v>0</v>
      </c>
      <c r="D115" s="111">
        <v>0</v>
      </c>
      <c r="E115" s="111">
        <v>0</v>
      </c>
      <c r="F115" s="389">
        <v>0</v>
      </c>
      <c r="G115" s="389">
        <v>0</v>
      </c>
      <c r="H115" s="389">
        <v>0</v>
      </c>
      <c r="I115" s="389">
        <v>0</v>
      </c>
      <c r="J115" s="111">
        <v>0</v>
      </c>
      <c r="K115" s="111">
        <v>0</v>
      </c>
      <c r="L115" s="405">
        <v>0</v>
      </c>
      <c r="M115" s="405">
        <v>0</v>
      </c>
      <c r="N115" s="405">
        <v>0</v>
      </c>
      <c r="O115" s="405">
        <v>0</v>
      </c>
      <c r="P115" s="111">
        <v>0</v>
      </c>
      <c r="Q115" s="140">
        <f>IF(YEAR($CG$115)=2018,($BI$4-$CG$115)*AI$115/($CH$115-$CG$115))</f>
        <v>286451.9191780822</v>
      </c>
      <c r="R115" s="405">
        <f>IF(YEAR($CG$115)=2018,($BI$4-$CG$115)*AK$115/($CH$115-$CG$115))</f>
        <v>28700.891780821919</v>
      </c>
      <c r="S115" s="405">
        <f>IF(YEAR($CG$115)=2018,($BI$4-$CG$115)*AM$115/($CH$115-$CG$115))</f>
        <v>20898.35616438356</v>
      </c>
      <c r="T115" s="405">
        <f>IF(YEAR($CG$115)=2018,($BI$4-$CG$115)*AO$115/($CH$115-$CG$115))</f>
        <v>0</v>
      </c>
      <c r="U115" s="405">
        <f>IF(YEAR($CG$115)=2018,($BI$4-$CG$115)*AQ$115/($CH$115-$CG$115))</f>
        <v>0</v>
      </c>
      <c r="V115" s="406">
        <f>IF(YEAR($CG$115)=2018,($BI$4-$CG$115)*AS$115/($CH$115-$CG$115))</f>
        <v>236852.67123287672</v>
      </c>
      <c r="W115" s="140">
        <f>IF(YEAR($CH$115)&gt;2018,($BO$4-$BI$4)*AI$115/($CH$115-$CG$115),0)</f>
        <v>298728.43</v>
      </c>
      <c r="X115" s="422">
        <f>IF(YEAR($CH$115)&gt;2018,($BO$4-$BI$4)*AK$115/($CH$115-$CG$115),0)</f>
        <v>29930.929999999997</v>
      </c>
      <c r="Y115" s="422">
        <f>IF(YEAR($CH$115)&gt;2018,($BO$4-$BI$4)*AM$115/($CH$115-$CG$115),0)</f>
        <v>21794</v>
      </c>
      <c r="Z115" s="422">
        <f>IF(YEAR($CH$115)&gt;2018,($BO$4-$BI$4)*AO$115/($CH$115-$CG$115),0)</f>
        <v>0</v>
      </c>
      <c r="AA115" s="422">
        <f>IF(YEAR($CH$115)&gt;2018,($BO$4-$BI$4)*AQ$115/($CH$115-$CG$115),0)</f>
        <v>0</v>
      </c>
      <c r="AB115" s="406">
        <f>IF(YEAR($CH$115)&gt;2018,($BO$4-$BI$4)*AS$115/($CH$115-$CG$115),0)</f>
        <v>247003.5</v>
      </c>
      <c r="AC115" s="572">
        <f>IF(YEAR($CH$115)=2020,($CH$115-$BO$4)*AI$115/($CH$115-$CG$115),0)</f>
        <v>12276.510821917809</v>
      </c>
      <c r="AD115" s="422">
        <f>IF(YEAR($CH$115)=2020,($CH$115-$BO$4)*AK$115/($CH$115-$CG$115),0)</f>
        <v>1230.0382191780823</v>
      </c>
      <c r="AE115" s="422">
        <f>IF(YEAR($CH$115)=2020,($CH$115-$BO$4)*AM$115/($CH$115-$CG$115),0)</f>
        <v>895.64383561643831</v>
      </c>
      <c r="AF115" s="422">
        <f>IF(YEAR($CH$115)=2020,($CH$115-$BO$4)*AO$115/($CH$115-$CG$115),0)</f>
        <v>0</v>
      </c>
      <c r="AG115" s="422">
        <f>IF(YEAR($CH$115)=2020,($CH$115-$BO$4)*AQ$115/($CH$115-$CG$115),0)</f>
        <v>0</v>
      </c>
      <c r="AH115" s="406">
        <f>IF(YEAR($CH$115)=2020,($CH$115-$BO$4)*AS$115/($CH$115-$CG$115),0)</f>
        <v>10150.828767123288</v>
      </c>
      <c r="AI115" s="1185">
        <f>SUM('3 pr-2'!L116)</f>
        <v>597456.86</v>
      </c>
      <c r="AJ115" s="574"/>
      <c r="AK115" s="389">
        <f>SUM('3 pr-2'!O116)</f>
        <v>59861.86</v>
      </c>
      <c r="AL115" s="389"/>
      <c r="AM115" s="389">
        <f>SUM('3 pr-2'!R116)</f>
        <v>43588</v>
      </c>
      <c r="AN115" s="389"/>
      <c r="AO115" s="389">
        <f>SUM('3 pr-2'!U116)</f>
        <v>0</v>
      </c>
      <c r="AP115" s="389"/>
      <c r="AQ115" s="389">
        <f>SUM('3 pr-2'!X116)</f>
        <v>0</v>
      </c>
      <c r="AR115" s="888"/>
      <c r="AS115" s="577">
        <f>SUM('3 pr-2'!AA116)</f>
        <v>494007</v>
      </c>
      <c r="AT115" s="816"/>
      <c r="AU115" s="24"/>
      <c r="AV115" s="25"/>
      <c r="AW115" s="25"/>
      <c r="AX115" s="392"/>
      <c r="AY115" s="392"/>
      <c r="AZ115" s="392"/>
      <c r="BA115" s="392"/>
      <c r="BB115" s="25"/>
      <c r="BC115" s="25"/>
      <c r="BD115" s="392"/>
      <c r="BE115" s="392"/>
      <c r="BF115" s="392"/>
      <c r="BG115" s="392"/>
      <c r="BH115" s="25"/>
      <c r="BI115" s="25"/>
      <c r="BJ115" s="392"/>
      <c r="BK115" s="392"/>
      <c r="BL115" s="392"/>
      <c r="BM115" s="392"/>
      <c r="BN115" s="25"/>
      <c r="BO115" s="25"/>
      <c r="BP115" s="392"/>
      <c r="BQ115" s="392"/>
      <c r="BR115" s="392"/>
      <c r="BS115" s="392"/>
      <c r="BT115" s="25"/>
      <c r="BU115" s="25"/>
      <c r="BV115" s="392"/>
      <c r="BW115" s="392"/>
      <c r="BX115" s="392"/>
      <c r="BY115" s="392"/>
      <c r="BZ115" s="25"/>
      <c r="CA115" s="25"/>
      <c r="CB115" s="392"/>
      <c r="CC115" s="392"/>
      <c r="CD115" s="392"/>
      <c r="CE115" s="392"/>
      <c r="CF115" s="553"/>
      <c r="CG115" s="566">
        <v>43115</v>
      </c>
      <c r="CH115" s="796">
        <f>SUM(CG115+CR115)</f>
        <v>43845</v>
      </c>
      <c r="CI115" s="30">
        <f>SUM(J115+P115+V115+AB115+AH115)</f>
        <v>494007</v>
      </c>
      <c r="CJ115" s="8">
        <v>24</v>
      </c>
      <c r="CK115" s="8">
        <v>365</v>
      </c>
      <c r="CL115" s="8">
        <v>12</v>
      </c>
      <c r="CM115" s="8">
        <f>SUM(CK115/CL115)</f>
        <v>30.416666666666668</v>
      </c>
      <c r="CN115" s="8"/>
      <c r="CO115" s="8"/>
      <c r="CP115" s="8"/>
      <c r="CQ115" s="8"/>
      <c r="CR115" s="8">
        <f>SUM(CJ115*CM115)</f>
        <v>730</v>
      </c>
    </row>
    <row r="116" spans="1:98" ht="24.75" thickBot="1" x14ac:dyDescent="0.3">
      <c r="A116" s="91" t="str">
        <f>CONCATENATE('3 pr-2'!A117)</f>
        <v>2.1.1.3.3</v>
      </c>
      <c r="B116" s="34" t="str">
        <f>CONCATENATE('3 pr-2'!D117)</f>
        <v>Alytaus lopšelio-darželio " Girinukas" ugdymo aplinkos modernizavimas</v>
      </c>
      <c r="C116" s="51">
        <v>0</v>
      </c>
      <c r="D116" s="51">
        <v>0</v>
      </c>
      <c r="E116" s="51">
        <v>0</v>
      </c>
      <c r="F116" s="389">
        <v>0</v>
      </c>
      <c r="G116" s="389">
        <v>0</v>
      </c>
      <c r="H116" s="389">
        <v>0</v>
      </c>
      <c r="I116" s="389">
        <v>0</v>
      </c>
      <c r="J116" s="51">
        <v>0</v>
      </c>
      <c r="K116" s="51">
        <v>0</v>
      </c>
      <c r="L116" s="405">
        <v>0</v>
      </c>
      <c r="M116" s="405">
        <v>0</v>
      </c>
      <c r="N116" s="405">
        <v>0</v>
      </c>
      <c r="O116" s="405">
        <v>0</v>
      </c>
      <c r="P116" s="51">
        <v>0</v>
      </c>
      <c r="Q116" s="111">
        <f>IF(YEAR($CG$116)=2018,($BI$4-$CG$116)*AI$116/($CH$116-$CG$116),0)</f>
        <v>90743.704109589045</v>
      </c>
      <c r="R116" s="405">
        <f>IF(YEAR($CG$116)=2018,($BI$4-$CG$116)*AK$116/($CH$116-$CG$116),0)</f>
        <v>6805.8027397260275</v>
      </c>
      <c r="S116" s="405">
        <f>IF(YEAR($CG$116)=2018,($BI$4-$CG$116)*AM$116/($CH$116-$CG$116),0)</f>
        <v>6805.8027397260275</v>
      </c>
      <c r="T116" s="405">
        <f>IF(YEAR($CG$116)=2018,($BI$4-$CG$116)*AO$116/($CH$116-$CG$116),0)</f>
        <v>0</v>
      </c>
      <c r="U116" s="405">
        <f>IF(YEAR($CG$116)=2018,($BI$4-$CG$116)*AQ$116/($CH$116-$CG$116),0)</f>
        <v>0</v>
      </c>
      <c r="V116" s="406">
        <f>IF(YEAR($CG$116)=2018,($BI$4-$CG$116)*AS$116/($CH$116-$CG$116),0)</f>
        <v>77132.098630136985</v>
      </c>
      <c r="W116" s="111">
        <f>IF(YEAR($CH$116)=2019,($CH$116-$BI$4)*AI$116/($CH$116-$CG$116),0)</f>
        <v>91242.295890410955</v>
      </c>
      <c r="X116" s="421">
        <f>IF(YEAR($CH$116)=2019,($CH$116-$BI$4)*AK$116/($CH$116-$CG$116),0)</f>
        <v>6843.1972602739725</v>
      </c>
      <c r="Y116" s="421">
        <f>IF(YEAR($CH$116)=2019,($CH$116-$BI$4)*AM$116/($CH$116-$CG$116),0)</f>
        <v>6843.1972602739725</v>
      </c>
      <c r="Z116" s="421">
        <f>IF(YEAR($CH$116)=2019,($CH$116-$BI$4)*AO$116/($CH$116-$CG$116),0)</f>
        <v>0</v>
      </c>
      <c r="AA116" s="421">
        <f>IF(YEAR($CH$116)=2019,($CH$116-$BI$4)*AQ$116/($CH$116-$CG$116),0)</f>
        <v>0</v>
      </c>
      <c r="AB116" s="450">
        <f>IF(YEAR($CH$116)=2019,($CH$116-$BI$4)*AS$116/($CH$116-$CG$116),0)</f>
        <v>77555.901369863015</v>
      </c>
      <c r="AC116" s="450">
        <v>0</v>
      </c>
      <c r="AD116" s="421">
        <v>0</v>
      </c>
      <c r="AE116" s="421">
        <v>0</v>
      </c>
      <c r="AF116" s="421">
        <v>0</v>
      </c>
      <c r="AG116" s="421">
        <v>0</v>
      </c>
      <c r="AH116" s="450">
        <v>0</v>
      </c>
      <c r="AI116" s="1185">
        <f>SUM('3 pr-2'!L117)</f>
        <v>181986</v>
      </c>
      <c r="AJ116" s="574"/>
      <c r="AK116" s="389">
        <f>SUM('3 pr-2'!O117)</f>
        <v>13649</v>
      </c>
      <c r="AL116" s="389"/>
      <c r="AM116" s="389">
        <f>SUM('3 pr-2'!R117)</f>
        <v>13649</v>
      </c>
      <c r="AN116" s="389"/>
      <c r="AO116" s="389">
        <f>SUM('3 pr-2'!U117)</f>
        <v>0</v>
      </c>
      <c r="AP116" s="389"/>
      <c r="AQ116" s="389">
        <f>SUM('3 pr-2'!X117)</f>
        <v>0</v>
      </c>
      <c r="AR116" s="888"/>
      <c r="AS116" s="577">
        <f>SUM('3 pr-2'!AA117)</f>
        <v>154688</v>
      </c>
      <c r="AT116" s="816"/>
      <c r="AU116" s="24"/>
      <c r="AV116" s="25"/>
      <c r="AW116" s="25"/>
      <c r="AX116" s="392"/>
      <c r="AY116" s="392"/>
      <c r="AZ116" s="392"/>
      <c r="BA116" s="392"/>
      <c r="BB116" s="25"/>
      <c r="BC116" s="25"/>
      <c r="BD116" s="392"/>
      <c r="BE116" s="392"/>
      <c r="BF116" s="392"/>
      <c r="BG116" s="392"/>
      <c r="BH116" s="25"/>
      <c r="BI116" s="25"/>
      <c r="BJ116" s="392"/>
      <c r="BK116" s="392"/>
      <c r="BL116" s="392"/>
      <c r="BM116" s="392"/>
      <c r="BN116" s="25"/>
      <c r="BO116" s="25"/>
      <c r="BP116" s="392"/>
      <c r="BQ116" s="392"/>
      <c r="BR116" s="392"/>
      <c r="BS116" s="392"/>
      <c r="BT116" s="25"/>
      <c r="BU116" s="25"/>
      <c r="BV116" s="392"/>
      <c r="BW116" s="392"/>
      <c r="BX116" s="392"/>
      <c r="BY116" s="392"/>
      <c r="BZ116" s="25"/>
      <c r="CA116" s="25"/>
      <c r="CB116" s="392"/>
      <c r="CC116" s="392"/>
      <c r="CD116" s="392"/>
      <c r="CE116" s="392"/>
      <c r="CF116" s="553"/>
      <c r="CG116" s="566">
        <v>43192</v>
      </c>
      <c r="CH116" s="796">
        <f>SUM(CG116+CR116)</f>
        <v>43739.5</v>
      </c>
      <c r="CI116" s="30">
        <f>SUM(J116+P116+V116+AB116+AH116)</f>
        <v>154688</v>
      </c>
      <c r="CJ116" s="8">
        <v>18</v>
      </c>
      <c r="CK116" s="8">
        <v>365</v>
      </c>
      <c r="CL116" s="8">
        <v>12</v>
      </c>
      <c r="CM116" s="8">
        <f>SUM(CK116/CL116)</f>
        <v>30.416666666666668</v>
      </c>
      <c r="CN116" s="8"/>
      <c r="CO116" s="8"/>
      <c r="CP116" s="8"/>
      <c r="CQ116" s="8"/>
      <c r="CR116" s="8">
        <f>SUM(CJ116*CM116)</f>
        <v>547.5</v>
      </c>
    </row>
    <row r="117" spans="1:98" ht="48.75" thickBot="1" x14ac:dyDescent="0.3">
      <c r="A117" s="91" t="str">
        <f>CONCATENATE('3 pr-2'!A118)</f>
        <v>2.1.1.3.4</v>
      </c>
      <c r="B117" s="34" t="str">
        <f>CONCATENATE('3 pr-2'!D118)</f>
        <v>Druskininkų sav. Viečiūnų progimnazijos ikimokyklinio ugdymo skyriaus „Linelis“ ugdymo prieinamumo didinimas</v>
      </c>
      <c r="C117" s="111">
        <v>0</v>
      </c>
      <c r="D117" s="111">
        <v>0</v>
      </c>
      <c r="E117" s="111">
        <v>0</v>
      </c>
      <c r="F117" s="389">
        <v>0</v>
      </c>
      <c r="G117" s="389">
        <v>0</v>
      </c>
      <c r="H117" s="389">
        <v>0</v>
      </c>
      <c r="I117" s="389">
        <v>0</v>
      </c>
      <c r="J117" s="111">
        <v>0</v>
      </c>
      <c r="K117" s="111">
        <v>0</v>
      </c>
      <c r="L117" s="405">
        <v>0</v>
      </c>
      <c r="M117" s="405">
        <v>0</v>
      </c>
      <c r="N117" s="405">
        <v>0</v>
      </c>
      <c r="O117" s="405">
        <v>0</v>
      </c>
      <c r="P117" s="111">
        <v>0</v>
      </c>
      <c r="Q117" s="111">
        <f>IF(YEAR($CG$117)=2018,($BI$4-$CG$117)*AI$117/($CH$117-$CG$117),0)</f>
        <v>49056.474725274726</v>
      </c>
      <c r="R117" s="405">
        <f>IF(YEAR($CG$117)=2018,($BI$4-$CG$117)*AK$117/($CH$117-$CG$117),0)</f>
        <v>3679.0483516483519</v>
      </c>
      <c r="S117" s="405">
        <f>IF(YEAR($CG$117)=2018,($BI$4-$CG$117)*AM$117/($CH$117-$CG$117),0)</f>
        <v>3679.0483516483519</v>
      </c>
      <c r="T117" s="405">
        <f>IF(YEAR($CG$117)=2018,($BI$4-$CG$117)*AO$117/($CH$117-$CG$117),0)</f>
        <v>0</v>
      </c>
      <c r="U117" s="405">
        <f>IF(YEAR($CG$117)=2018,($BI$4-$CG$117)*AQ$117/($CH$117-$CG$117),0)</f>
        <v>0</v>
      </c>
      <c r="V117" s="406">
        <f>IF(YEAR($CG$117)=2018,($BI$4-$CG$117)*AS$117/($CH$117-$CG$117),0)</f>
        <v>41698.378021978024</v>
      </c>
      <c r="W117" s="111">
        <f>IF(YEAR($CH$117)=2019,($CH$117-$BI$4)*AI$117/($CH$117-$CG$117),0)</f>
        <v>55735.525274725274</v>
      </c>
      <c r="X117" s="422">
        <f>IF(YEAR($CH$117)=2019,($CH$117-$BI$4)*AK$117/($CH$117-$CG$117),0)</f>
        <v>4179.9516483516481</v>
      </c>
      <c r="Y117" s="422">
        <f>IF(YEAR($CH$117)=2019,($CH$117-$BI$4)*AM$117/($CH$117-$CG$117),0)</f>
        <v>4179.9516483516481</v>
      </c>
      <c r="Z117" s="422">
        <f>IF(YEAR($CH$117)=2019,($CH$117-$BI$4)*AO$117/($CH$117-$CG$117),0)</f>
        <v>0</v>
      </c>
      <c r="AA117" s="422">
        <f>IF(YEAR($CH$117)=2019,($CH$117-$BI$4)*AQ$117/($CH$117-$CG$117),0)</f>
        <v>0</v>
      </c>
      <c r="AB117" s="406">
        <f>IF(YEAR($CH$117)=2019,($CH$117-$BI$4)*AS$117/($CH$117-$CG$117),0)</f>
        <v>47375.621978021976</v>
      </c>
      <c r="AC117" s="406">
        <v>0</v>
      </c>
      <c r="AD117" s="422">
        <v>0</v>
      </c>
      <c r="AE117" s="422">
        <v>0</v>
      </c>
      <c r="AF117" s="422">
        <v>0</v>
      </c>
      <c r="AG117" s="422">
        <v>0</v>
      </c>
      <c r="AH117" s="406">
        <v>0</v>
      </c>
      <c r="AI117" s="1188">
        <f>SUM('3 pr-2'!L118)</f>
        <v>104792</v>
      </c>
      <c r="AJ117" s="52"/>
      <c r="AK117" s="389">
        <f>SUM('3 pr-2'!O118)</f>
        <v>7859</v>
      </c>
      <c r="AL117" s="389"/>
      <c r="AM117" s="389">
        <f>SUM('3 pr-2'!R118)</f>
        <v>7859</v>
      </c>
      <c r="AN117" s="389"/>
      <c r="AO117" s="389">
        <f>SUM('3 pr-2'!U118)</f>
        <v>0</v>
      </c>
      <c r="AP117" s="389"/>
      <c r="AQ117" s="389">
        <f>SUM('3 pr-2'!X118)</f>
        <v>0</v>
      </c>
      <c r="AR117" s="888"/>
      <c r="AS117" s="48">
        <f>SUM('3 pr-2'!AA118)</f>
        <v>89074</v>
      </c>
      <c r="AT117" s="820"/>
      <c r="AU117" s="24"/>
      <c r="AV117" s="25"/>
      <c r="AW117" s="25"/>
      <c r="AX117" s="392"/>
      <c r="AY117" s="392"/>
      <c r="AZ117" s="392"/>
      <c r="BA117" s="392"/>
      <c r="BB117" s="25"/>
      <c r="BC117" s="25"/>
      <c r="BD117" s="392"/>
      <c r="BE117" s="392"/>
      <c r="BF117" s="392"/>
      <c r="BG117" s="392"/>
      <c r="BH117" s="25"/>
      <c r="BI117" s="25"/>
      <c r="BJ117" s="392"/>
      <c r="BK117" s="392"/>
      <c r="BL117" s="392"/>
      <c r="BM117" s="392"/>
      <c r="BN117" s="25"/>
      <c r="BO117" s="25"/>
      <c r="BP117" s="392"/>
      <c r="BQ117" s="392"/>
      <c r="BR117" s="392"/>
      <c r="BS117" s="392"/>
      <c r="BT117" s="25"/>
      <c r="BU117" s="25"/>
      <c r="BV117" s="392"/>
      <c r="BW117" s="392"/>
      <c r="BX117" s="392"/>
      <c r="BY117" s="392"/>
      <c r="BZ117" s="25"/>
      <c r="CA117" s="25"/>
      <c r="CB117" s="392"/>
      <c r="CC117" s="392"/>
      <c r="CD117" s="392"/>
      <c r="CE117" s="392"/>
      <c r="CF117" s="553"/>
      <c r="CG117" s="566">
        <f>SUM('3 pr-2'!AH118)</f>
        <v>43252</v>
      </c>
      <c r="CH117" s="796">
        <f>SUM('3 pr-2'!AJ118)</f>
        <v>43707</v>
      </c>
      <c r="CI117" s="30">
        <f>SUM(J117+P117+V117+AB117+AH117)</f>
        <v>89074</v>
      </c>
      <c r="CJ117" s="8">
        <v>18</v>
      </c>
      <c r="CK117" s="8">
        <v>365</v>
      </c>
      <c r="CL117" s="8">
        <v>12</v>
      </c>
      <c r="CM117" s="8">
        <f>SUM(CK117/CL117)</f>
        <v>30.416666666666668</v>
      </c>
      <c r="CN117" s="8"/>
      <c r="CO117" s="8"/>
      <c r="CP117" s="8"/>
      <c r="CQ117" s="8"/>
      <c r="CR117" s="8">
        <f>SUM(CJ117*CM117)</f>
        <v>547.5</v>
      </c>
    </row>
    <row r="118" spans="1:98" ht="36.75" thickBot="1" x14ac:dyDescent="0.3">
      <c r="A118" s="91" t="str">
        <f>CONCATENATE('3 pr-2'!A119)</f>
        <v>2.1.1.3.5</v>
      </c>
      <c r="B118" s="34" t="str">
        <f>CONCATENATE('3 pr-2'!D119)</f>
        <v>Ikimokyklinio ir priešmokyklinio ugdymo įstaigų Lazdijų rajono savivaldybėje modernizavimas</v>
      </c>
      <c r="C118" s="111">
        <v>0</v>
      </c>
      <c r="D118" s="111">
        <v>0</v>
      </c>
      <c r="E118" s="111">
        <v>0</v>
      </c>
      <c r="F118" s="389">
        <v>0</v>
      </c>
      <c r="G118" s="389">
        <v>0</v>
      </c>
      <c r="H118" s="389">
        <v>0</v>
      </c>
      <c r="I118" s="389">
        <v>0</v>
      </c>
      <c r="J118" s="111">
        <v>0</v>
      </c>
      <c r="K118" s="111">
        <v>0</v>
      </c>
      <c r="L118" s="405">
        <v>0</v>
      </c>
      <c r="M118" s="405">
        <v>0</v>
      </c>
      <c r="N118" s="405">
        <v>0</v>
      </c>
      <c r="O118" s="405">
        <v>0</v>
      </c>
      <c r="P118" s="111">
        <v>0</v>
      </c>
      <c r="Q118" s="111">
        <f>IF(YEAR($CG$118)=2018,($BI$4-$CG$118)*AI$118/($CH$118-$CG$118),0)</f>
        <v>66594.154027397148</v>
      </c>
      <c r="R118" s="405">
        <f>IF(YEAR($CG$118)=2018,($BI$4-$CG$118)*AK$118/($CH$118-$CG$118),0)</f>
        <v>4999.3704657534236</v>
      </c>
      <c r="S118" s="405">
        <f>IF(YEAR($CG$118)=2018,($BI$4-$CG$118)*AM$118/($CH$118-$CG$118),0)</f>
        <v>4994.1716401332924</v>
      </c>
      <c r="T118" s="405">
        <f>IF(YEAR($CG$118)=2018,($BI$4-$CG$118)*AO$118/($CH$118-$CG$118),0)</f>
        <v>0</v>
      </c>
      <c r="U118" s="405">
        <f>IF(YEAR($CG$118)=2018,($BI$4-$CG$118)*AQ$118/($CH$118-$CG$118),0)</f>
        <v>0</v>
      </c>
      <c r="V118" s="406">
        <f>IF(YEAR($CG$118)=2018,($BI$4-$CG$118)*AS$118/($CH$118-$CG$118),0)</f>
        <v>56600.611921510441</v>
      </c>
      <c r="W118" s="111">
        <f>IF(YEAR($CH$118)=2019,($CH$118-$BI$4)*AI$118/($CH$118-$CG$118),0)</f>
        <v>66960.05597260264</v>
      </c>
      <c r="X118" s="422">
        <f>IF(YEAR($CH$118)=2019,($CH$118-$BI$4)*AK$118/($CH$118-$CG$118),0)</f>
        <v>5026.8395342465747</v>
      </c>
      <c r="Y118" s="422">
        <f>IF(YEAR($CH$118)=2019,($CH$118-$BI$4)*AM$118/($CH$118-$CG$118),0)</f>
        <v>5021.6121436505082</v>
      </c>
      <c r="Z118" s="422">
        <f>IF(YEAR($CH$118)=2019,($CH$118-$BI$4)*AO$118/($CH$118-$CG$118),0)</f>
        <v>0</v>
      </c>
      <c r="AA118" s="422">
        <f>IF(YEAR($CH$118)=2019,($CH$118-$BI$4)*AQ$118/($CH$118-$CG$118),0)</f>
        <v>0</v>
      </c>
      <c r="AB118" s="406">
        <f>IF(YEAR($CH$118)=2019,($CH$118-$BI$4)*AS$118/($CH$118-$CG$118),0)</f>
        <v>56911.604294705554</v>
      </c>
      <c r="AC118" s="406">
        <v>0</v>
      </c>
      <c r="AD118" s="422">
        <v>0</v>
      </c>
      <c r="AE118" s="422">
        <v>0</v>
      </c>
      <c r="AF118" s="422">
        <v>0</v>
      </c>
      <c r="AG118" s="422">
        <v>0</v>
      </c>
      <c r="AH118" s="406">
        <v>0</v>
      </c>
      <c r="AI118" s="1188">
        <f>SUM('3 pr-2'!L119)</f>
        <v>133554.20999999979</v>
      </c>
      <c r="AJ118" s="52"/>
      <c r="AK118" s="389">
        <f>SUM('3 pr-2'!O119)</f>
        <v>10026.209999999999</v>
      </c>
      <c r="AL118" s="389"/>
      <c r="AM118" s="389">
        <f>SUM('3 pr-2'!R119)</f>
        <v>10015.7837837838</v>
      </c>
      <c r="AN118" s="389"/>
      <c r="AO118" s="389">
        <f>SUM('3 pr-2'!U119)</f>
        <v>0</v>
      </c>
      <c r="AP118" s="389"/>
      <c r="AQ118" s="389">
        <f>SUM('3 pr-2'!X119)</f>
        <v>0</v>
      </c>
      <c r="AR118" s="888"/>
      <c r="AS118" s="48">
        <f>SUM('3 pr-2'!AA119)</f>
        <v>113512.21621621599</v>
      </c>
      <c r="AT118" s="820"/>
      <c r="AU118" s="24"/>
      <c r="AV118" s="25"/>
      <c r="AW118" s="25"/>
      <c r="AX118" s="392"/>
      <c r="AY118" s="392"/>
      <c r="AZ118" s="392"/>
      <c r="BA118" s="392"/>
      <c r="BB118" s="25"/>
      <c r="BC118" s="25"/>
      <c r="BD118" s="392"/>
      <c r="BE118" s="392"/>
      <c r="BF118" s="392"/>
      <c r="BG118" s="392"/>
      <c r="BH118" s="25"/>
      <c r="BI118" s="25"/>
      <c r="BJ118" s="392"/>
      <c r="BK118" s="392"/>
      <c r="BL118" s="392"/>
      <c r="BM118" s="392"/>
      <c r="BN118" s="25"/>
      <c r="BO118" s="25"/>
      <c r="BP118" s="392"/>
      <c r="BQ118" s="392"/>
      <c r="BR118" s="392"/>
      <c r="BS118" s="392"/>
      <c r="BT118" s="25"/>
      <c r="BU118" s="25"/>
      <c r="BV118" s="392"/>
      <c r="BW118" s="392"/>
      <c r="BX118" s="392"/>
      <c r="BY118" s="392"/>
      <c r="BZ118" s="25"/>
      <c r="CA118" s="25"/>
      <c r="CB118" s="392"/>
      <c r="CC118" s="392"/>
      <c r="CD118" s="392"/>
      <c r="CE118" s="392"/>
      <c r="CF118" s="553"/>
      <c r="CG118" s="566">
        <v>43192</v>
      </c>
      <c r="CH118" s="796">
        <f>SUM(CG118+CR118)</f>
        <v>43739.5</v>
      </c>
      <c r="CI118" s="30">
        <f>SUM(J118+P118+V118+AB118+AH118)</f>
        <v>113512.21621621599</v>
      </c>
      <c r="CJ118" s="8">
        <v>18</v>
      </c>
      <c r="CK118" s="8">
        <v>365</v>
      </c>
      <c r="CL118" s="8">
        <v>12</v>
      </c>
      <c r="CM118" s="8">
        <f>SUM(CK118/CL118)</f>
        <v>30.416666666666668</v>
      </c>
      <c r="CN118" s="8"/>
      <c r="CO118" s="8"/>
      <c r="CP118" s="8"/>
      <c r="CQ118" s="8"/>
      <c r="CR118" s="8">
        <f>SUM(CJ118*CM118)</f>
        <v>547.5</v>
      </c>
    </row>
    <row r="119" spans="1:98" ht="16.5" thickBot="1" x14ac:dyDescent="0.3">
      <c r="A119" s="384" t="str">
        <f>CONCATENATE('3 pr-2'!A120)</f>
        <v>2.1.2.</v>
      </c>
      <c r="B119" s="181" t="str">
        <f>CONCATENATE('3 pr-2'!D120)</f>
        <v/>
      </c>
      <c r="C119" s="50">
        <f t="shared" ref="C119:AQ119" si="270">SUM(C120+C134+C140)</f>
        <v>0</v>
      </c>
      <c r="D119" s="50">
        <f t="shared" si="270"/>
        <v>0</v>
      </c>
      <c r="E119" s="50">
        <f t="shared" si="270"/>
        <v>0</v>
      </c>
      <c r="F119" s="50">
        <f t="shared" si="270"/>
        <v>0</v>
      </c>
      <c r="G119" s="50">
        <f t="shared" si="270"/>
        <v>0</v>
      </c>
      <c r="H119" s="50">
        <f t="shared" si="270"/>
        <v>0</v>
      </c>
      <c r="I119" s="50">
        <f t="shared" si="270"/>
        <v>0</v>
      </c>
      <c r="J119" s="50">
        <f t="shared" si="270"/>
        <v>0</v>
      </c>
      <c r="K119" s="50">
        <f t="shared" si="270"/>
        <v>0</v>
      </c>
      <c r="L119" s="50">
        <f t="shared" si="270"/>
        <v>0</v>
      </c>
      <c r="M119" s="50">
        <f t="shared" si="270"/>
        <v>0</v>
      </c>
      <c r="N119" s="50">
        <f t="shared" si="270"/>
        <v>0</v>
      </c>
      <c r="O119" s="50">
        <f t="shared" si="270"/>
        <v>0</v>
      </c>
      <c r="P119" s="50">
        <f t="shared" si="270"/>
        <v>0</v>
      </c>
      <c r="Q119" s="50">
        <f t="shared" si="270"/>
        <v>114036.02720894036</v>
      </c>
      <c r="R119" s="50">
        <f t="shared" si="270"/>
        <v>539.80336213266503</v>
      </c>
      <c r="S119" s="50">
        <f t="shared" si="270"/>
        <v>539.80238585529275</v>
      </c>
      <c r="T119" s="50">
        <f t="shared" si="270"/>
        <v>0</v>
      </c>
      <c r="U119" s="50">
        <f t="shared" si="270"/>
        <v>0</v>
      </c>
      <c r="V119" s="50">
        <f t="shared" si="270"/>
        <v>96930.606482470757</v>
      </c>
      <c r="W119" s="50">
        <f t="shared" si="270"/>
        <v>1052134.5023791105</v>
      </c>
      <c r="X119" s="50">
        <f t="shared" si="270"/>
        <v>1841.3853007329226</v>
      </c>
      <c r="Y119" s="50">
        <f t="shared" si="270"/>
        <v>1841.3819704409516</v>
      </c>
      <c r="Z119" s="50">
        <f t="shared" si="270"/>
        <v>0</v>
      </c>
      <c r="AA119" s="50">
        <f t="shared" si="270"/>
        <v>0</v>
      </c>
      <c r="AB119" s="50">
        <f t="shared" si="270"/>
        <v>894312.51218661573</v>
      </c>
      <c r="AC119" s="50">
        <f t="shared" si="270"/>
        <v>1342094.0204119491</v>
      </c>
      <c r="AD119" s="50">
        <f t="shared" si="270"/>
        <v>2509.8413371344122</v>
      </c>
      <c r="AE119" s="50">
        <f t="shared" si="270"/>
        <v>2509.8356437037555</v>
      </c>
      <c r="AF119" s="50">
        <f t="shared" si="270"/>
        <v>0</v>
      </c>
      <c r="AG119" s="50">
        <f t="shared" si="270"/>
        <v>0</v>
      </c>
      <c r="AH119" s="50">
        <f t="shared" si="270"/>
        <v>1140779.4813309137</v>
      </c>
      <c r="AI119" s="1189">
        <f t="shared" si="270"/>
        <v>2508264.5499999998</v>
      </c>
      <c r="AJ119" s="50">
        <f t="shared" si="270"/>
        <v>0</v>
      </c>
      <c r="AK119" s="50">
        <f t="shared" si="270"/>
        <v>73339.03</v>
      </c>
      <c r="AL119" s="50">
        <f t="shared" si="270"/>
        <v>0</v>
      </c>
      <c r="AM119" s="50">
        <f t="shared" si="270"/>
        <v>113497.02</v>
      </c>
      <c r="AN119" s="50">
        <f t="shared" si="270"/>
        <v>0</v>
      </c>
      <c r="AO119" s="50">
        <f t="shared" si="270"/>
        <v>40158</v>
      </c>
      <c r="AP119" s="50">
        <f t="shared" si="270"/>
        <v>0</v>
      </c>
      <c r="AQ119" s="50">
        <f t="shared" si="270"/>
        <v>0</v>
      </c>
      <c r="AR119" s="50"/>
      <c r="AS119" s="50">
        <f>SUM(AS120+AS134+AS140)</f>
        <v>2132022.6</v>
      </c>
      <c r="AT119" s="50">
        <f>SUM(AT120+AT134+AT140)</f>
        <v>0</v>
      </c>
      <c r="AX119" s="50"/>
      <c r="AY119" s="50"/>
      <c r="AZ119" s="50"/>
      <c r="BA119" s="50"/>
      <c r="BD119" s="50"/>
      <c r="BE119" s="50"/>
      <c r="BF119" s="50"/>
      <c r="BG119" s="50"/>
      <c r="BJ119" s="50"/>
      <c r="BK119" s="50"/>
      <c r="BL119" s="50"/>
      <c r="BM119" s="50"/>
      <c r="BP119" s="50"/>
      <c r="BQ119" s="50"/>
      <c r="BR119" s="50"/>
      <c r="BS119" s="50"/>
      <c r="BV119" s="50"/>
      <c r="BW119" s="50"/>
      <c r="BX119" s="50"/>
      <c r="BY119" s="50"/>
      <c r="CB119" s="50"/>
      <c r="CC119" s="50"/>
      <c r="CD119" s="50"/>
      <c r="CE119" s="50"/>
      <c r="CG119" s="561"/>
      <c r="CH119" s="561"/>
    </row>
    <row r="120" spans="1:98" ht="16.5" thickBot="1" x14ac:dyDescent="0.3">
      <c r="A120" s="383" t="str">
        <f>CONCATENATE('3 pr-2'!A121)</f>
        <v>2.1.2.1</v>
      </c>
      <c r="B120" s="182" t="str">
        <f>CONCATENATE('3 pr-2'!D121)</f>
        <v/>
      </c>
      <c r="C120" s="110">
        <f t="shared" ref="C120:P120" si="271">SUM(C121:C133)</f>
        <v>0</v>
      </c>
      <c r="D120" s="110">
        <f t="shared" si="271"/>
        <v>0</v>
      </c>
      <c r="E120" s="110">
        <f t="shared" si="271"/>
        <v>0</v>
      </c>
      <c r="F120" s="110">
        <f t="shared" si="271"/>
        <v>0</v>
      </c>
      <c r="G120" s="110">
        <f t="shared" si="271"/>
        <v>0</v>
      </c>
      <c r="H120" s="110">
        <f t="shared" si="271"/>
        <v>0</v>
      </c>
      <c r="I120" s="110">
        <f t="shared" si="271"/>
        <v>0</v>
      </c>
      <c r="J120" s="110">
        <f t="shared" si="271"/>
        <v>0</v>
      </c>
      <c r="K120" s="110">
        <f t="shared" si="271"/>
        <v>0</v>
      </c>
      <c r="L120" s="110">
        <f t="shared" si="271"/>
        <v>0</v>
      </c>
      <c r="M120" s="110">
        <f t="shared" si="271"/>
        <v>0</v>
      </c>
      <c r="N120" s="110">
        <f t="shared" si="271"/>
        <v>0</v>
      </c>
      <c r="O120" s="110">
        <f t="shared" si="271"/>
        <v>0</v>
      </c>
      <c r="P120" s="110">
        <f t="shared" si="271"/>
        <v>0</v>
      </c>
      <c r="Q120" s="110">
        <f t="shared" ref="Q120:U120" si="272">SUM(Q121:Q133)</f>
        <v>0</v>
      </c>
      <c r="R120" s="110">
        <f t="shared" si="272"/>
        <v>0</v>
      </c>
      <c r="S120" s="110">
        <f t="shared" si="272"/>
        <v>0</v>
      </c>
      <c r="T120" s="110">
        <f t="shared" si="272"/>
        <v>0</v>
      </c>
      <c r="U120" s="110">
        <f t="shared" si="272"/>
        <v>0</v>
      </c>
      <c r="V120" s="110">
        <f>SUM(V121:V133)</f>
        <v>0</v>
      </c>
      <c r="W120" s="105">
        <f>SUM(W121:W133)</f>
        <v>663133.10115235136</v>
      </c>
      <c r="X120" s="416"/>
      <c r="Y120" s="416"/>
      <c r="Z120" s="416"/>
      <c r="AA120" s="416"/>
      <c r="AB120" s="105">
        <f>SUM(AB121:AB133)</f>
        <v>563661.37792398175</v>
      </c>
      <c r="AC120" s="105">
        <f>SUM(AC121:AC133)</f>
        <v>784932.89884764852</v>
      </c>
      <c r="AD120" s="416"/>
      <c r="AE120" s="416"/>
      <c r="AF120" s="416"/>
      <c r="AG120" s="416"/>
      <c r="AH120" s="105">
        <f>SUM(AH121:AH133)</f>
        <v>667192.62207601825</v>
      </c>
      <c r="AI120" s="1177">
        <f>SUM(AI121:AI133)</f>
        <v>1448066</v>
      </c>
      <c r="AJ120" s="110"/>
      <c r="AK120" s="1177">
        <f>SUM(AK121:AK133)</f>
        <v>68448</v>
      </c>
      <c r="AL120" s="110"/>
      <c r="AM120" s="1177">
        <f>SUM(AM121:AM133)</f>
        <v>108606</v>
      </c>
      <c r="AN120" s="110"/>
      <c r="AO120" s="1177">
        <f>SUM(AO121:AO133)</f>
        <v>40158</v>
      </c>
      <c r="AP120" s="110"/>
      <c r="AQ120" s="1177">
        <f>SUM(AQ121:AQ132)</f>
        <v>0</v>
      </c>
      <c r="AR120" s="110"/>
      <c r="AS120" s="1177">
        <f>SUM(AS121:AS133)</f>
        <v>1230854</v>
      </c>
      <c r="AT120" s="110"/>
      <c r="AU120" s="24">
        <v>0</v>
      </c>
      <c r="AV120" s="25">
        <v>0</v>
      </c>
      <c r="AW120" s="25">
        <v>0</v>
      </c>
      <c r="AX120" s="113">
        <v>0</v>
      </c>
      <c r="AY120" s="113">
        <v>0</v>
      </c>
      <c r="AZ120" s="113">
        <v>0</v>
      </c>
      <c r="BA120" s="113">
        <v>0</v>
      </c>
      <c r="BB120" s="25">
        <v>0</v>
      </c>
      <c r="BC120" s="25">
        <v>49.999999415680001</v>
      </c>
      <c r="BD120" s="113">
        <v>49.999999415680001</v>
      </c>
      <c r="BE120" s="113">
        <v>49.999999415680001</v>
      </c>
      <c r="BF120" s="113">
        <v>49.999999415680001</v>
      </c>
      <c r="BG120" s="113">
        <v>49.999999415680001</v>
      </c>
      <c r="BH120" s="25">
        <v>50</v>
      </c>
      <c r="BI120" s="25">
        <v>49.999999415680001</v>
      </c>
      <c r="BJ120" s="113">
        <v>49.999999415680001</v>
      </c>
      <c r="BK120" s="113">
        <v>49.999999415680001</v>
      </c>
      <c r="BL120" s="113">
        <v>49.999999415680001</v>
      </c>
      <c r="BM120" s="113">
        <v>49.999999415680001</v>
      </c>
      <c r="BN120" s="25">
        <v>50</v>
      </c>
      <c r="BO120" s="25">
        <v>0</v>
      </c>
      <c r="BP120" s="113">
        <v>0</v>
      </c>
      <c r="BQ120" s="113">
        <v>0</v>
      </c>
      <c r="BR120" s="113">
        <v>0</v>
      </c>
      <c r="BS120" s="113">
        <v>0</v>
      </c>
      <c r="BT120" s="25">
        <v>0</v>
      </c>
      <c r="BU120" s="25">
        <v>0</v>
      </c>
      <c r="BV120" s="113">
        <v>0</v>
      </c>
      <c r="BW120" s="113">
        <v>0</v>
      </c>
      <c r="BX120" s="113">
        <v>0</v>
      </c>
      <c r="BY120" s="113">
        <v>0</v>
      </c>
      <c r="BZ120" s="25">
        <v>0</v>
      </c>
      <c r="CA120" s="25">
        <v>100</v>
      </c>
      <c r="CB120" s="113">
        <v>100</v>
      </c>
      <c r="CC120" s="113">
        <v>100</v>
      </c>
      <c r="CD120" s="113">
        <v>100</v>
      </c>
      <c r="CE120" s="113">
        <v>100</v>
      </c>
      <c r="CF120" s="553">
        <v>100</v>
      </c>
      <c r="CG120" s="561"/>
      <c r="CH120" s="1482"/>
      <c r="CI120" s="1483"/>
      <c r="CJ120" s="1484">
        <v>2019</v>
      </c>
      <c r="CK120" s="1484">
        <v>2020</v>
      </c>
      <c r="CL120" s="1484">
        <v>2021</v>
      </c>
      <c r="CM120" s="1485" t="s">
        <v>1743</v>
      </c>
      <c r="CN120" s="1485"/>
      <c r="CO120" s="1485"/>
      <c r="CP120" s="1485"/>
      <c r="CQ120" s="1485"/>
      <c r="CR120" s="1485" t="s">
        <v>1700</v>
      </c>
      <c r="CS120" s="1486" t="s">
        <v>1699</v>
      </c>
      <c r="CT120" s="1486" t="s">
        <v>1744</v>
      </c>
    </row>
    <row r="121" spans="1:98" ht="48.75" thickBot="1" x14ac:dyDescent="0.3">
      <c r="A121" s="91" t="str">
        <f>CONCATENATE('3 pr-2'!A122)</f>
        <v>2.1.2.1.1</v>
      </c>
      <c r="B121" s="34" t="str">
        <f>CONCATENATE('3 pr-2'!D122)</f>
        <v xml:space="preserve">Alytaus poliklinikos teikiamų pirminės sveikatos priežiūros paslaugų prieinamumo didinimas ir kokybės gerinimas </v>
      </c>
      <c r="C121" s="111">
        <v>0</v>
      </c>
      <c r="D121" s="111">
        <v>0</v>
      </c>
      <c r="E121" s="111">
        <v>0</v>
      </c>
      <c r="F121" s="389">
        <v>0</v>
      </c>
      <c r="G121" s="389">
        <v>0</v>
      </c>
      <c r="H121" s="389">
        <v>0</v>
      </c>
      <c r="I121" s="389">
        <v>0</v>
      </c>
      <c r="J121" s="111">
        <v>0</v>
      </c>
      <c r="K121" s="111">
        <v>0</v>
      </c>
      <c r="L121" s="405">
        <v>0</v>
      </c>
      <c r="M121" s="405">
        <v>0</v>
      </c>
      <c r="N121" s="405">
        <v>0</v>
      </c>
      <c r="O121" s="405">
        <v>0</v>
      </c>
      <c r="P121" s="111">
        <v>0</v>
      </c>
      <c r="Q121" s="111">
        <v>0</v>
      </c>
      <c r="R121" s="405">
        <v>0</v>
      </c>
      <c r="S121" s="405">
        <v>0</v>
      </c>
      <c r="T121" s="405">
        <v>0</v>
      </c>
      <c r="U121" s="405">
        <f t="shared" ref="U121" si="273">SUM(AQ121*BM121/CE121)</f>
        <v>0</v>
      </c>
      <c r="V121" s="111">
        <v>0</v>
      </c>
      <c r="W121" s="111">
        <f t="shared" ref="W121:W132" si="274">SUM(X121:AB121)</f>
        <v>185708.72425249169</v>
      </c>
      <c r="X121" s="390">
        <f t="shared" ref="X121:X132" si="275">SUM(CS121*CJ121)</f>
        <v>13928.265780730897</v>
      </c>
      <c r="Y121" s="390">
        <f t="shared" ref="Y121:Y132" si="276">SUM(CR121*CJ121)</f>
        <v>13927.86046511628</v>
      </c>
      <c r="Z121" s="390">
        <v>0</v>
      </c>
      <c r="AA121" s="390">
        <v>0</v>
      </c>
      <c r="AB121" s="111">
        <f t="shared" ref="AB121:AB132" si="277">SUM(CM121*CJ121)</f>
        <v>157852.59800664452</v>
      </c>
      <c r="AC121" s="111">
        <f t="shared" ref="AC121:AC132" si="278">SUM(AD121:AH121)</f>
        <v>272474.27574750828</v>
      </c>
      <c r="AD121" s="390">
        <f t="shared" ref="AD121:AD132" si="279">SUM(CS121*CK121)</f>
        <v>20435.734219269103</v>
      </c>
      <c r="AE121" s="390">
        <f t="shared" ref="AE121:AE132" si="280">SUM(CR121*CK121)</f>
        <v>20435.139534883721</v>
      </c>
      <c r="AF121" s="390">
        <f t="shared" ref="AF121" si="281">SUM(AO121*BX121/CD121)</f>
        <v>0</v>
      </c>
      <c r="AG121" s="390">
        <v>0</v>
      </c>
      <c r="AH121" s="111">
        <f t="shared" ref="AH121:AH132" si="282">SUM(CM121*CK121)</f>
        <v>231603.40199335548</v>
      </c>
      <c r="AI121" s="1185">
        <f>SUM('3 pr-2'!L122)</f>
        <v>458183</v>
      </c>
      <c r="AJ121" s="574"/>
      <c r="AK121" s="389">
        <f>SUM('3 pr-2'!O122)</f>
        <v>34364</v>
      </c>
      <c r="AL121" s="389"/>
      <c r="AM121" s="389">
        <f>SUM('3 pr-2'!R122)</f>
        <v>34363</v>
      </c>
      <c r="AN121" s="389"/>
      <c r="AO121" s="389">
        <f>SUM('3 pr-2'!U122)</f>
        <v>0</v>
      </c>
      <c r="AP121" s="389"/>
      <c r="AQ121" s="389">
        <f>SUM('3 pr-2'!X122)</f>
        <v>0</v>
      </c>
      <c r="AR121" s="888"/>
      <c r="AS121" s="577">
        <f>SUM('3 pr-2'!AA122)</f>
        <v>389456</v>
      </c>
      <c r="AT121" s="820"/>
      <c r="AU121" s="24">
        <v>0</v>
      </c>
      <c r="AV121" s="25">
        <v>0</v>
      </c>
      <c r="AW121" s="25">
        <v>0</v>
      </c>
      <c r="AX121" s="392">
        <v>0</v>
      </c>
      <c r="AY121" s="392">
        <v>0</v>
      </c>
      <c r="AZ121" s="392">
        <v>0</v>
      </c>
      <c r="BA121" s="392">
        <v>0</v>
      </c>
      <c r="BB121" s="25">
        <v>0</v>
      </c>
      <c r="BC121" s="25">
        <v>0</v>
      </c>
      <c r="BD121" s="392">
        <v>0</v>
      </c>
      <c r="BE121" s="392">
        <v>0</v>
      </c>
      <c r="BF121" s="392">
        <v>0</v>
      </c>
      <c r="BG121" s="392">
        <v>0</v>
      </c>
      <c r="BH121" s="25">
        <v>0</v>
      </c>
      <c r="BI121" s="25">
        <v>49.999999415680001</v>
      </c>
      <c r="BJ121" s="392">
        <v>49.999999415680001</v>
      </c>
      <c r="BK121" s="392">
        <v>49.999999415680001</v>
      </c>
      <c r="BL121" s="392">
        <v>49.999999415680001</v>
      </c>
      <c r="BM121" s="392">
        <v>49.999999415680001</v>
      </c>
      <c r="BN121" s="25">
        <v>50</v>
      </c>
      <c r="BO121" s="25">
        <v>49.999999415680001</v>
      </c>
      <c r="BP121" s="392">
        <v>49.999999415680001</v>
      </c>
      <c r="BQ121" s="392">
        <v>49.999999415680001</v>
      </c>
      <c r="BR121" s="392">
        <v>49.999999415680001</v>
      </c>
      <c r="BS121" s="392">
        <v>49.999999415680001</v>
      </c>
      <c r="BT121" s="25">
        <v>50</v>
      </c>
      <c r="BU121" s="25">
        <v>0</v>
      </c>
      <c r="BV121" s="392">
        <v>0</v>
      </c>
      <c r="BW121" s="392">
        <v>0</v>
      </c>
      <c r="BX121" s="392">
        <v>0</v>
      </c>
      <c r="BY121" s="392">
        <v>0</v>
      </c>
      <c r="BZ121" s="25">
        <v>0</v>
      </c>
      <c r="CA121" s="25">
        <v>100</v>
      </c>
      <c r="CB121" s="392">
        <v>100</v>
      </c>
      <c r="CC121" s="392">
        <v>100</v>
      </c>
      <c r="CD121" s="392">
        <v>100</v>
      </c>
      <c r="CE121" s="392">
        <v>100</v>
      </c>
      <c r="CF121" s="553">
        <v>100</v>
      </c>
      <c r="CG121" s="569">
        <f>SUM('3 pr-2'!AH122)</f>
        <v>43464</v>
      </c>
      <c r="CH121" s="569">
        <f>SUM('3 pr-2'!AJ122)</f>
        <v>44367</v>
      </c>
      <c r="CI121" s="429">
        <f>SUM(CH121-CG121)</f>
        <v>903</v>
      </c>
      <c r="CJ121" s="429">
        <f>SUM(W3-CG121)</f>
        <v>366</v>
      </c>
      <c r="CK121" s="429">
        <f>SUM(CH121-W3)</f>
        <v>537</v>
      </c>
      <c r="CL121" s="429">
        <f t="shared" ref="CL121:CL132" si="283">SUM(CJ121:CK121)</f>
        <v>903</v>
      </c>
      <c r="CM121" s="429">
        <f t="shared" ref="CM121:CM132" si="284">SUM(AS121/CL121)</f>
        <v>431.29125138427463</v>
      </c>
      <c r="CN121" s="429"/>
      <c r="CO121" s="429"/>
      <c r="CP121" s="429"/>
      <c r="CQ121" s="429"/>
      <c r="CR121" s="429">
        <f t="shared" ref="CR121:CR132" si="285">SUM(AM121/CL121)</f>
        <v>38.054263565891475</v>
      </c>
      <c r="CS121" s="429">
        <f t="shared" ref="CS121:CS132" si="286">SUM(AK121/CL121)</f>
        <v>38.055370985603545</v>
      </c>
      <c r="CT121" s="429">
        <f>SUM(AO121/CL121)</f>
        <v>0</v>
      </c>
    </row>
    <row r="122" spans="1:98" ht="36.75" thickBot="1" x14ac:dyDescent="0.3">
      <c r="A122" s="91" t="str">
        <f>CONCATENATE('3 pr-2'!A123)</f>
        <v>2.1.2.1.2</v>
      </c>
      <c r="B122" s="34" t="str">
        <f>CONCATENATE('3 pr-2'!D123)</f>
        <v>Sveikatos priežiūros paslaugų modernizavimas bei optimizavimas pirminės sveikatos priežiūros centre</v>
      </c>
      <c r="C122" s="111">
        <v>0</v>
      </c>
      <c r="D122" s="111">
        <v>0</v>
      </c>
      <c r="E122" s="111">
        <v>0</v>
      </c>
      <c r="F122" s="389">
        <v>0</v>
      </c>
      <c r="G122" s="389">
        <v>0</v>
      </c>
      <c r="H122" s="389">
        <v>0</v>
      </c>
      <c r="I122" s="389">
        <v>0</v>
      </c>
      <c r="J122" s="111">
        <v>0</v>
      </c>
      <c r="K122" s="111">
        <v>0</v>
      </c>
      <c r="L122" s="405">
        <v>0</v>
      </c>
      <c r="M122" s="405">
        <v>0</v>
      </c>
      <c r="N122" s="405">
        <v>0</v>
      </c>
      <c r="O122" s="405">
        <v>0</v>
      </c>
      <c r="P122" s="111">
        <v>0</v>
      </c>
      <c r="Q122" s="111">
        <v>0</v>
      </c>
      <c r="R122" s="405">
        <v>0</v>
      </c>
      <c r="S122" s="405">
        <v>0</v>
      </c>
      <c r="T122" s="405">
        <v>0</v>
      </c>
      <c r="U122" s="405">
        <v>0</v>
      </c>
      <c r="V122" s="111">
        <v>0</v>
      </c>
      <c r="W122" s="111">
        <f t="shared" si="274"/>
        <v>25143.556771545831</v>
      </c>
      <c r="X122" s="390">
        <f t="shared" si="275"/>
        <v>1885.9165526675788</v>
      </c>
      <c r="Y122" s="390">
        <f t="shared" si="276"/>
        <v>1885.9165526675788</v>
      </c>
      <c r="Z122" s="390">
        <v>0</v>
      </c>
      <c r="AA122" s="390">
        <v>0</v>
      </c>
      <c r="AB122" s="111">
        <f t="shared" si="277"/>
        <v>21371.723666210673</v>
      </c>
      <c r="AC122" s="111">
        <f t="shared" si="278"/>
        <v>25212.443228454173</v>
      </c>
      <c r="AD122" s="390">
        <f t="shared" si="279"/>
        <v>1891.0834473324214</v>
      </c>
      <c r="AE122" s="390">
        <f t="shared" si="280"/>
        <v>1891.0834473324214</v>
      </c>
      <c r="AF122" s="390">
        <f t="shared" ref="AF122" si="287">SUM(AO122*BX122/CD122)</f>
        <v>0</v>
      </c>
      <c r="AG122" s="390">
        <v>0</v>
      </c>
      <c r="AH122" s="111">
        <f t="shared" si="282"/>
        <v>21430.27633378933</v>
      </c>
      <c r="AI122" s="1185">
        <f>SUM('3 pr-2'!L123)</f>
        <v>50356</v>
      </c>
      <c r="AJ122" s="52"/>
      <c r="AK122" s="389">
        <f>SUM('3 pr-2'!O123)</f>
        <v>3777</v>
      </c>
      <c r="AL122" s="389"/>
      <c r="AM122" s="389">
        <f>SUM('3 pr-2'!R123)</f>
        <v>3777</v>
      </c>
      <c r="AN122" s="389"/>
      <c r="AO122" s="389">
        <f>SUM('3 pr-2'!U123)</f>
        <v>0</v>
      </c>
      <c r="AP122" s="389"/>
      <c r="AQ122" s="389">
        <f>SUM('3 pr-2'!X123)</f>
        <v>0</v>
      </c>
      <c r="AR122" s="888"/>
      <c r="AS122" s="48">
        <f>SUM('3 pr-2'!AA123)</f>
        <v>42802</v>
      </c>
      <c r="AT122" s="820"/>
      <c r="AU122" s="24">
        <v>0</v>
      </c>
      <c r="AV122" s="25">
        <v>0</v>
      </c>
      <c r="AW122" s="25">
        <v>0</v>
      </c>
      <c r="AX122" s="392">
        <v>0</v>
      </c>
      <c r="AY122" s="392">
        <v>0</v>
      </c>
      <c r="AZ122" s="392">
        <v>0</v>
      </c>
      <c r="BA122" s="392">
        <v>0</v>
      </c>
      <c r="BB122" s="25">
        <v>0</v>
      </c>
      <c r="BC122" s="25">
        <v>0</v>
      </c>
      <c r="BD122" s="392">
        <v>0</v>
      </c>
      <c r="BE122" s="392">
        <v>0</v>
      </c>
      <c r="BF122" s="392">
        <v>0</v>
      </c>
      <c r="BG122" s="392">
        <v>0</v>
      </c>
      <c r="BH122" s="25">
        <v>0</v>
      </c>
      <c r="BI122" s="25">
        <v>49.999999415680001</v>
      </c>
      <c r="BJ122" s="392">
        <v>49.999999415680001</v>
      </c>
      <c r="BK122" s="392">
        <v>49.999999415680001</v>
      </c>
      <c r="BL122" s="392">
        <v>49.999999415680001</v>
      </c>
      <c r="BM122" s="392">
        <v>49.999999415680001</v>
      </c>
      <c r="BN122" s="25">
        <v>50</v>
      </c>
      <c r="BO122" s="25">
        <v>49.999999415680001</v>
      </c>
      <c r="BP122" s="392">
        <v>49.999999415680001</v>
      </c>
      <c r="BQ122" s="392">
        <v>49.999999415680001</v>
      </c>
      <c r="BR122" s="392">
        <v>49.999999415680001</v>
      </c>
      <c r="BS122" s="392">
        <v>49.999999415680001</v>
      </c>
      <c r="BT122" s="25">
        <v>50</v>
      </c>
      <c r="BU122" s="25">
        <v>0</v>
      </c>
      <c r="BV122" s="392">
        <v>0</v>
      </c>
      <c r="BW122" s="392">
        <v>0</v>
      </c>
      <c r="BX122" s="392">
        <v>0</v>
      </c>
      <c r="BY122" s="392">
        <v>0</v>
      </c>
      <c r="BZ122" s="25">
        <v>0</v>
      </c>
      <c r="CA122" s="25">
        <v>100</v>
      </c>
      <c r="CB122" s="392">
        <v>100</v>
      </c>
      <c r="CC122" s="392">
        <v>100</v>
      </c>
      <c r="CD122" s="392">
        <v>100</v>
      </c>
      <c r="CE122" s="392">
        <v>100</v>
      </c>
      <c r="CF122" s="553">
        <v>100</v>
      </c>
      <c r="CG122" s="569">
        <f>SUM('3 pr-2'!AH123)</f>
        <v>43465</v>
      </c>
      <c r="CH122" s="569">
        <f>SUM('3 pr-2'!AJ123)</f>
        <v>44196</v>
      </c>
      <c r="CI122" s="561">
        <f>SUM(CH122-CG122)</f>
        <v>731</v>
      </c>
      <c r="CJ122" s="561">
        <f>SUM($W$3-CG122)</f>
        <v>365</v>
      </c>
      <c r="CK122" s="561">
        <f>SUM($AC$3-$W$3)</f>
        <v>366</v>
      </c>
      <c r="CL122" s="429">
        <f t="shared" si="283"/>
        <v>731</v>
      </c>
      <c r="CM122" s="429">
        <f t="shared" si="284"/>
        <v>58.552667578659374</v>
      </c>
      <c r="CN122" s="429"/>
      <c r="CO122" s="429"/>
      <c r="CP122" s="429"/>
      <c r="CQ122" s="429"/>
      <c r="CR122" s="429">
        <f t="shared" si="285"/>
        <v>5.1668946648426815</v>
      </c>
      <c r="CS122" s="429">
        <f t="shared" si="286"/>
        <v>5.1668946648426815</v>
      </c>
      <c r="CT122" s="429">
        <f>SUM(AO122/CL122)</f>
        <v>0</v>
      </c>
    </row>
    <row r="123" spans="1:98" ht="48.75" thickBot="1" x14ac:dyDescent="0.3">
      <c r="A123" s="91" t="str">
        <f>CONCATENATE('3 pr-2'!A124)</f>
        <v>2.1.2.1.3</v>
      </c>
      <c r="B123" s="34" t="str">
        <f>CONCATENATE('3 pr-2'!D124)</f>
        <v>UAB „MediCA klinika“ teikiamų pirminės asmens sveikatos priežiūros paslaugų efektyvumo didinimas Alytaus miesto savivaldybėje</v>
      </c>
      <c r="C123" s="111">
        <v>0</v>
      </c>
      <c r="D123" s="111">
        <v>0</v>
      </c>
      <c r="E123" s="111">
        <v>0</v>
      </c>
      <c r="F123" s="389">
        <v>0</v>
      </c>
      <c r="G123" s="389">
        <v>0</v>
      </c>
      <c r="H123" s="389">
        <v>0</v>
      </c>
      <c r="I123" s="389">
        <v>0</v>
      </c>
      <c r="J123" s="111">
        <v>0</v>
      </c>
      <c r="K123" s="111">
        <v>0</v>
      </c>
      <c r="L123" s="405">
        <v>0</v>
      </c>
      <c r="M123" s="405">
        <v>0</v>
      </c>
      <c r="N123" s="405">
        <v>0</v>
      </c>
      <c r="O123" s="405">
        <v>0</v>
      </c>
      <c r="P123" s="111">
        <v>0</v>
      </c>
      <c r="Q123" s="111">
        <v>0</v>
      </c>
      <c r="R123" s="405">
        <v>0</v>
      </c>
      <c r="S123" s="405">
        <v>0</v>
      </c>
      <c r="T123" s="405">
        <v>0</v>
      </c>
      <c r="U123" s="405">
        <v>0</v>
      </c>
      <c r="V123" s="111">
        <v>0</v>
      </c>
      <c r="W123" s="111">
        <f t="shared" si="274"/>
        <v>41676.908344733238</v>
      </c>
      <c r="X123" s="390">
        <f t="shared" si="275"/>
        <v>0</v>
      </c>
      <c r="Y123" s="390">
        <f t="shared" si="276"/>
        <v>3125.7181942544462</v>
      </c>
      <c r="Z123" s="405">
        <f t="shared" ref="Z123:Z132" si="288">SUM(CJ123*CT123)</f>
        <v>3125.7181942544462</v>
      </c>
      <c r="AA123" s="405">
        <v>0</v>
      </c>
      <c r="AB123" s="111">
        <f t="shared" si="277"/>
        <v>35425.471956224348</v>
      </c>
      <c r="AC123" s="111">
        <f t="shared" si="278"/>
        <v>41791.091655266755</v>
      </c>
      <c r="AD123" s="390">
        <f t="shared" si="279"/>
        <v>0</v>
      </c>
      <c r="AE123" s="390">
        <f t="shared" si="280"/>
        <v>3134.2818057455543</v>
      </c>
      <c r="AF123" s="405">
        <f t="shared" ref="AF123:AF132" si="289">SUM(CT123*CK123)</f>
        <v>3134.2818057455543</v>
      </c>
      <c r="AG123" s="390">
        <v>0</v>
      </c>
      <c r="AH123" s="111">
        <f t="shared" si="282"/>
        <v>35522.528043775645</v>
      </c>
      <c r="AI123" s="1186">
        <f>SUM('3 pr-2'!L124)</f>
        <v>83468</v>
      </c>
      <c r="AJ123" s="137"/>
      <c r="AK123" s="389">
        <f>SUM('3 pr-2'!O124)</f>
        <v>0</v>
      </c>
      <c r="AL123" s="389"/>
      <c r="AM123" s="389">
        <f>SUM('3 pr-2'!R124)</f>
        <v>6260</v>
      </c>
      <c r="AN123" s="389"/>
      <c r="AO123" s="389">
        <f>SUM('3 pr-2'!U124)</f>
        <v>6260</v>
      </c>
      <c r="AP123" s="389"/>
      <c r="AQ123" s="389">
        <f>SUM('3 pr-2'!X124)</f>
        <v>0</v>
      </c>
      <c r="AR123" s="888"/>
      <c r="AS123" s="168">
        <f>SUM('3 pr-2'!AA124)</f>
        <v>70948</v>
      </c>
      <c r="AT123" s="822"/>
      <c r="AU123" s="24">
        <v>0</v>
      </c>
      <c r="AV123" s="25">
        <v>0</v>
      </c>
      <c r="AW123" s="25">
        <v>0</v>
      </c>
      <c r="AX123" s="392">
        <v>0</v>
      </c>
      <c r="AY123" s="392">
        <v>0</v>
      </c>
      <c r="AZ123" s="392">
        <v>0</v>
      </c>
      <c r="BA123" s="392">
        <v>0</v>
      </c>
      <c r="BB123" s="25">
        <v>0</v>
      </c>
      <c r="BC123" s="25">
        <v>0</v>
      </c>
      <c r="BD123" s="392">
        <v>0</v>
      </c>
      <c r="BE123" s="392">
        <v>0</v>
      </c>
      <c r="BF123" s="392">
        <v>0</v>
      </c>
      <c r="BG123" s="392">
        <v>0</v>
      </c>
      <c r="BH123" s="25">
        <v>0</v>
      </c>
      <c r="BI123" s="25">
        <v>49.999999415680001</v>
      </c>
      <c r="BJ123" s="392">
        <v>49.999999415680001</v>
      </c>
      <c r="BK123" s="392">
        <v>49.999999415680001</v>
      </c>
      <c r="BL123" s="392">
        <v>49.999999415680001</v>
      </c>
      <c r="BM123" s="392">
        <v>49.999999415680001</v>
      </c>
      <c r="BN123" s="25">
        <v>50</v>
      </c>
      <c r="BO123" s="25">
        <v>49.999999415680001</v>
      </c>
      <c r="BP123" s="392">
        <v>49.999999415680001</v>
      </c>
      <c r="BQ123" s="392">
        <v>49.999999415680001</v>
      </c>
      <c r="BR123" s="392">
        <v>49.999999415680001</v>
      </c>
      <c r="BS123" s="392">
        <v>49.999999415680001</v>
      </c>
      <c r="BT123" s="25">
        <v>50</v>
      </c>
      <c r="BU123" s="25">
        <v>0</v>
      </c>
      <c r="BV123" s="391">
        <v>0</v>
      </c>
      <c r="BW123" s="391">
        <v>0</v>
      </c>
      <c r="BX123" s="391">
        <v>0</v>
      </c>
      <c r="BY123" s="391">
        <v>0</v>
      </c>
      <c r="BZ123" s="25">
        <v>0</v>
      </c>
      <c r="CA123" s="25">
        <v>100</v>
      </c>
      <c r="CB123" s="391">
        <v>100</v>
      </c>
      <c r="CC123" s="391">
        <v>100</v>
      </c>
      <c r="CD123" s="391">
        <v>100</v>
      </c>
      <c r="CE123" s="391">
        <v>100</v>
      </c>
      <c r="CF123" s="553">
        <v>100</v>
      </c>
      <c r="CG123" s="569">
        <f>SUM('3 pr-2'!AH124)</f>
        <v>43465</v>
      </c>
      <c r="CH123" s="569">
        <f>SUM('3 pr-2'!AJ124)</f>
        <v>44196</v>
      </c>
      <c r="CI123" s="561">
        <f>SUM(CH123-CG123)</f>
        <v>731</v>
      </c>
      <c r="CJ123" s="561">
        <f>SUM($W$3-CG123)</f>
        <v>365</v>
      </c>
      <c r="CK123" s="561">
        <f>SUM($AC$3-$W$3)</f>
        <v>366</v>
      </c>
      <c r="CL123" s="429">
        <f t="shared" si="283"/>
        <v>731</v>
      </c>
      <c r="CM123" s="429">
        <f t="shared" si="284"/>
        <v>97.056087551299584</v>
      </c>
      <c r="CN123" s="429"/>
      <c r="CO123" s="429"/>
      <c r="CP123" s="429"/>
      <c r="CQ123" s="429"/>
      <c r="CR123" s="429">
        <f t="shared" si="285"/>
        <v>8.5636114911080714</v>
      </c>
      <c r="CS123" s="429">
        <f t="shared" si="286"/>
        <v>0</v>
      </c>
      <c r="CT123" s="429">
        <f>SUM(AO123/CL123)</f>
        <v>8.5636114911080714</v>
      </c>
    </row>
    <row r="124" spans="1:98" ht="24.75" thickBot="1" x14ac:dyDescent="0.3">
      <c r="A124" s="91" t="str">
        <f>CONCATENATE('3 pr-2'!A125)</f>
        <v>2.1.2.1.4</v>
      </c>
      <c r="B124" s="34" t="str">
        <f>CONCATENATE('3 pr-2'!D125)</f>
        <v>UAB "Pagalba ligoniui" teikiamų paslaugų efektyvumo didinimas</v>
      </c>
      <c r="C124" s="111">
        <v>0</v>
      </c>
      <c r="D124" s="111">
        <v>0</v>
      </c>
      <c r="E124" s="111">
        <v>0</v>
      </c>
      <c r="F124" s="389">
        <v>0</v>
      </c>
      <c r="G124" s="389">
        <v>0</v>
      </c>
      <c r="H124" s="389">
        <v>0</v>
      </c>
      <c r="I124" s="389">
        <v>0</v>
      </c>
      <c r="J124" s="111">
        <v>0</v>
      </c>
      <c r="K124" s="111">
        <v>0</v>
      </c>
      <c r="L124" s="405">
        <v>0</v>
      </c>
      <c r="M124" s="405">
        <v>0</v>
      </c>
      <c r="N124" s="405">
        <v>0</v>
      </c>
      <c r="O124" s="405">
        <v>0</v>
      </c>
      <c r="P124" s="111">
        <v>0</v>
      </c>
      <c r="Q124" s="111">
        <v>0</v>
      </c>
      <c r="R124" s="405">
        <v>0</v>
      </c>
      <c r="S124" s="405">
        <v>0</v>
      </c>
      <c r="T124" s="405">
        <v>0</v>
      </c>
      <c r="U124" s="405">
        <v>0</v>
      </c>
      <c r="V124" s="111">
        <v>0</v>
      </c>
      <c r="W124" s="111">
        <f t="shared" si="274"/>
        <v>14683.590328467151</v>
      </c>
      <c r="X124" s="390">
        <f t="shared" si="275"/>
        <v>0</v>
      </c>
      <c r="Y124" s="390">
        <f t="shared" si="276"/>
        <v>1101.3275547445255</v>
      </c>
      <c r="Z124" s="405">
        <f t="shared" si="288"/>
        <v>1100.9945255474452</v>
      </c>
      <c r="AA124" s="405">
        <v>0</v>
      </c>
      <c r="AB124" s="111">
        <f t="shared" si="277"/>
        <v>12481.268248175182</v>
      </c>
      <c r="AC124" s="111">
        <f t="shared" si="278"/>
        <v>29407.409671532845</v>
      </c>
      <c r="AD124" s="390">
        <f t="shared" si="279"/>
        <v>0</v>
      </c>
      <c r="AE124" s="390">
        <f t="shared" si="280"/>
        <v>2205.6724452554745</v>
      </c>
      <c r="AF124" s="405">
        <f t="shared" si="289"/>
        <v>2205.0054744525546</v>
      </c>
      <c r="AG124" s="390">
        <v>0</v>
      </c>
      <c r="AH124" s="111">
        <f t="shared" si="282"/>
        <v>24996.731751824816</v>
      </c>
      <c r="AI124" s="1186">
        <f>SUM('3 pr-2'!L125)</f>
        <v>44091</v>
      </c>
      <c r="AJ124" s="137"/>
      <c r="AK124" s="389">
        <f>SUM('3 pr-2'!O125)</f>
        <v>0</v>
      </c>
      <c r="AL124" s="389"/>
      <c r="AM124" s="389">
        <f>SUM('3 pr-2'!R125)</f>
        <v>3307</v>
      </c>
      <c r="AN124" s="389"/>
      <c r="AO124" s="389">
        <f>SUM('3 pr-2'!U125)</f>
        <v>3306</v>
      </c>
      <c r="AP124" s="389"/>
      <c r="AQ124" s="389">
        <f>SUM('3 pr-2'!X125)</f>
        <v>0</v>
      </c>
      <c r="AR124" s="888"/>
      <c r="AS124" s="168">
        <f>SUM('3 pr-2'!AA125)</f>
        <v>37478</v>
      </c>
      <c r="AT124" s="822"/>
      <c r="AU124" s="24">
        <v>0</v>
      </c>
      <c r="AV124" s="25">
        <v>0</v>
      </c>
      <c r="AW124" s="25">
        <v>0</v>
      </c>
      <c r="AX124" s="392">
        <v>0</v>
      </c>
      <c r="AY124" s="392">
        <v>0</v>
      </c>
      <c r="AZ124" s="392">
        <v>0</v>
      </c>
      <c r="BA124" s="392">
        <v>0</v>
      </c>
      <c r="BB124" s="25">
        <v>0</v>
      </c>
      <c r="BC124" s="25">
        <v>0</v>
      </c>
      <c r="BD124" s="392">
        <v>0</v>
      </c>
      <c r="BE124" s="392">
        <v>0</v>
      </c>
      <c r="BF124" s="392">
        <v>0</v>
      </c>
      <c r="BG124" s="392">
        <v>0</v>
      </c>
      <c r="BH124" s="25">
        <v>0</v>
      </c>
      <c r="BI124" s="25">
        <v>49.999999415680001</v>
      </c>
      <c r="BJ124" s="392">
        <v>49.999999415680001</v>
      </c>
      <c r="BK124" s="392">
        <v>49.999999415680001</v>
      </c>
      <c r="BL124" s="392">
        <v>49.999999415680001</v>
      </c>
      <c r="BM124" s="392">
        <v>49.999999415680001</v>
      </c>
      <c r="BN124" s="25">
        <v>50</v>
      </c>
      <c r="BO124" s="25">
        <v>49.999999415680001</v>
      </c>
      <c r="BP124" s="392">
        <v>49.999999415680001</v>
      </c>
      <c r="BQ124" s="392">
        <v>49.999999415680001</v>
      </c>
      <c r="BR124" s="392">
        <v>49.999999415680001</v>
      </c>
      <c r="BS124" s="392">
        <v>49.999999415680001</v>
      </c>
      <c r="BT124" s="25">
        <v>50</v>
      </c>
      <c r="BU124" s="25">
        <v>0</v>
      </c>
      <c r="BV124" s="391">
        <v>0</v>
      </c>
      <c r="BW124" s="391">
        <v>0</v>
      </c>
      <c r="BX124" s="391">
        <v>0</v>
      </c>
      <c r="BY124" s="391">
        <v>0</v>
      </c>
      <c r="BZ124" s="25">
        <v>0</v>
      </c>
      <c r="CA124" s="25">
        <v>100</v>
      </c>
      <c r="CB124" s="391">
        <v>100</v>
      </c>
      <c r="CC124" s="391">
        <v>100</v>
      </c>
      <c r="CD124" s="391">
        <v>100</v>
      </c>
      <c r="CE124" s="391">
        <v>100</v>
      </c>
      <c r="CF124" s="553">
        <v>100</v>
      </c>
      <c r="CG124" s="569">
        <f>SUM('3 pr-2'!AH125)</f>
        <v>43465</v>
      </c>
      <c r="CH124" s="569">
        <f>SUM('3 pr-2'!AJ125)</f>
        <v>44561</v>
      </c>
      <c r="CI124" s="561">
        <f>SUM(CH124-CG124)</f>
        <v>1096</v>
      </c>
      <c r="CJ124" s="561">
        <f t="shared" ref="CJ124:CJ132" si="290">SUM($W$3-CG124)</f>
        <v>365</v>
      </c>
      <c r="CK124" s="561">
        <f>SUM(CH124-$W$3)</f>
        <v>731</v>
      </c>
      <c r="CL124" s="429">
        <f t="shared" si="283"/>
        <v>1096</v>
      </c>
      <c r="CM124" s="429">
        <f t="shared" si="284"/>
        <v>34.195255474452551</v>
      </c>
      <c r="CN124" s="429"/>
      <c r="CO124" s="429"/>
      <c r="CP124" s="429"/>
      <c r="CQ124" s="429"/>
      <c r="CR124" s="429">
        <f t="shared" si="285"/>
        <v>3.0173357664233578</v>
      </c>
      <c r="CS124" s="429">
        <f t="shared" si="286"/>
        <v>0</v>
      </c>
      <c r="CT124" s="429">
        <f>SUM(AO124/CL124)</f>
        <v>3.0164233576642334</v>
      </c>
    </row>
    <row r="125" spans="1:98" ht="36.75" thickBot="1" x14ac:dyDescent="0.3">
      <c r="A125" s="91" t="str">
        <f>CONCATENATE('3 pr-2'!A126)</f>
        <v>2.1.2.1.5</v>
      </c>
      <c r="B125" s="34" t="str">
        <f>CONCATENATE('3 pr-2'!D126)</f>
        <v>Pirminės asmens sveikatos priežiūros veiklos efektyvumo didinimas Alytaus rajono savivaldybėje</v>
      </c>
      <c r="C125" s="111">
        <v>0</v>
      </c>
      <c r="D125" s="111">
        <v>0</v>
      </c>
      <c r="E125" s="111">
        <v>0</v>
      </c>
      <c r="F125" s="389">
        <v>0</v>
      </c>
      <c r="G125" s="389">
        <v>0</v>
      </c>
      <c r="H125" s="389">
        <v>0</v>
      </c>
      <c r="I125" s="389">
        <v>0</v>
      </c>
      <c r="J125" s="111">
        <v>0</v>
      </c>
      <c r="K125" s="111">
        <v>0</v>
      </c>
      <c r="L125" s="405">
        <v>0</v>
      </c>
      <c r="M125" s="405">
        <v>0</v>
      </c>
      <c r="N125" s="405">
        <v>0</v>
      </c>
      <c r="O125" s="405">
        <v>0</v>
      </c>
      <c r="P125" s="111">
        <v>0</v>
      </c>
      <c r="Q125" s="111">
        <v>0</v>
      </c>
      <c r="R125" s="405">
        <v>0</v>
      </c>
      <c r="S125" s="405">
        <v>0</v>
      </c>
      <c r="T125" s="405">
        <v>0</v>
      </c>
      <c r="U125" s="405">
        <v>0</v>
      </c>
      <c r="V125" s="111">
        <v>0</v>
      </c>
      <c r="W125" s="111">
        <f t="shared" si="274"/>
        <v>89853.329153605024</v>
      </c>
      <c r="X125" s="390">
        <f t="shared" si="275"/>
        <v>6739.1567398119123</v>
      </c>
      <c r="Y125" s="390">
        <f t="shared" si="276"/>
        <v>6739.1567398119123</v>
      </c>
      <c r="Z125" s="405">
        <f t="shared" si="288"/>
        <v>0</v>
      </c>
      <c r="AA125" s="405">
        <v>0</v>
      </c>
      <c r="AB125" s="111">
        <f t="shared" si="277"/>
        <v>76375.015673981194</v>
      </c>
      <c r="AC125" s="111">
        <f t="shared" si="278"/>
        <v>81782.670846394976</v>
      </c>
      <c r="AD125" s="390">
        <f t="shared" si="279"/>
        <v>6133.8432601880877</v>
      </c>
      <c r="AE125" s="390">
        <f t="shared" si="280"/>
        <v>6133.8432601880877</v>
      </c>
      <c r="AF125" s="405">
        <f t="shared" si="289"/>
        <v>0</v>
      </c>
      <c r="AG125" s="390">
        <v>0</v>
      </c>
      <c r="AH125" s="111">
        <f t="shared" si="282"/>
        <v>69514.984326018806</v>
      </c>
      <c r="AI125" s="1186">
        <f>SUM('3 pr-2'!L126)</f>
        <v>171636</v>
      </c>
      <c r="AJ125" s="137"/>
      <c r="AK125" s="389">
        <f>SUM('3 pr-2'!O126)</f>
        <v>12873</v>
      </c>
      <c r="AL125" s="389"/>
      <c r="AM125" s="389">
        <f>SUM('3 pr-2'!R126)</f>
        <v>12873</v>
      </c>
      <c r="AN125" s="389"/>
      <c r="AO125" s="389">
        <f>SUM('3 pr-2'!U126)</f>
        <v>0</v>
      </c>
      <c r="AP125" s="389"/>
      <c r="AQ125" s="389">
        <f>SUM('3 pr-2'!X126)</f>
        <v>0</v>
      </c>
      <c r="AR125" s="888"/>
      <c r="AS125" s="168">
        <f>SUM('3 pr-2'!AA126)</f>
        <v>145890</v>
      </c>
      <c r="AT125" s="822"/>
      <c r="AU125" s="24">
        <v>0</v>
      </c>
      <c r="AV125" s="25">
        <v>0</v>
      </c>
      <c r="AW125" s="25">
        <v>0</v>
      </c>
      <c r="AX125" s="392">
        <v>0</v>
      </c>
      <c r="AY125" s="392">
        <v>0</v>
      </c>
      <c r="AZ125" s="392">
        <v>0</v>
      </c>
      <c r="BA125" s="392">
        <v>0</v>
      </c>
      <c r="BB125" s="25">
        <v>0</v>
      </c>
      <c r="BC125" s="25">
        <v>0</v>
      </c>
      <c r="BD125" s="392">
        <v>0</v>
      </c>
      <c r="BE125" s="392">
        <v>0</v>
      </c>
      <c r="BF125" s="392">
        <v>0</v>
      </c>
      <c r="BG125" s="392">
        <v>0</v>
      </c>
      <c r="BH125" s="25">
        <v>0</v>
      </c>
      <c r="BI125" s="25">
        <v>49.999999415680001</v>
      </c>
      <c r="BJ125" s="392">
        <v>49.999999415680001</v>
      </c>
      <c r="BK125" s="392">
        <v>49.999999415680001</v>
      </c>
      <c r="BL125" s="392">
        <v>49.999999415680001</v>
      </c>
      <c r="BM125" s="392">
        <v>49.999999415680001</v>
      </c>
      <c r="BN125" s="25">
        <v>50</v>
      </c>
      <c r="BO125" s="25">
        <v>49.999999415680001</v>
      </c>
      <c r="BP125" s="392">
        <v>49.999999415680001</v>
      </c>
      <c r="BQ125" s="392">
        <v>49.999999415680001</v>
      </c>
      <c r="BR125" s="392">
        <v>49.999999415680001</v>
      </c>
      <c r="BS125" s="392">
        <v>49.999999415680001</v>
      </c>
      <c r="BT125" s="25">
        <v>50</v>
      </c>
      <c r="BU125" s="25">
        <v>0</v>
      </c>
      <c r="BV125" s="391">
        <v>0</v>
      </c>
      <c r="BW125" s="391">
        <v>0</v>
      </c>
      <c r="BX125" s="391">
        <v>0</v>
      </c>
      <c r="BY125" s="391">
        <v>0</v>
      </c>
      <c r="BZ125" s="25">
        <v>0</v>
      </c>
      <c r="CA125" s="25">
        <v>100</v>
      </c>
      <c r="CB125" s="391">
        <v>100</v>
      </c>
      <c r="CC125" s="391">
        <v>100</v>
      </c>
      <c r="CD125" s="391">
        <v>100</v>
      </c>
      <c r="CE125" s="391">
        <v>100</v>
      </c>
      <c r="CF125" s="553">
        <v>100</v>
      </c>
      <c r="CG125" s="569">
        <f>SUM('3 pr-2'!AH126)</f>
        <v>43496</v>
      </c>
      <c r="CH125" s="569">
        <f>SUM('3 pr-2'!AJ126)</f>
        <v>44134</v>
      </c>
      <c r="CI125" s="561">
        <f>SUM(CH125-CG125)</f>
        <v>638</v>
      </c>
      <c r="CJ125" s="561">
        <f t="shared" si="290"/>
        <v>334</v>
      </c>
      <c r="CK125" s="561">
        <f>SUM(CH125-$W$3)</f>
        <v>304</v>
      </c>
      <c r="CL125" s="429">
        <f t="shared" si="283"/>
        <v>638</v>
      </c>
      <c r="CM125" s="429">
        <f t="shared" si="284"/>
        <v>228.66771159874608</v>
      </c>
      <c r="CN125" s="429"/>
      <c r="CO125" s="429"/>
      <c r="CP125" s="429"/>
      <c r="CQ125" s="429"/>
      <c r="CR125" s="429">
        <f t="shared" si="285"/>
        <v>20.177115987460816</v>
      </c>
      <c r="CS125" s="429">
        <f t="shared" si="286"/>
        <v>20.177115987460816</v>
      </c>
      <c r="CT125" s="429">
        <f t="shared" ref="CT125:CT126" si="291">SUM(AO125/CL125)</f>
        <v>0</v>
      </c>
    </row>
    <row r="126" spans="1:98" ht="24.75" thickBot="1" x14ac:dyDescent="0.3">
      <c r="A126" s="91" t="str">
        <f>CONCATENATE('3 pr-2'!A127)</f>
        <v>2.1.2.1.6</v>
      </c>
      <c r="B126" s="34" t="str">
        <f>CONCATENATE('3 pr-2'!D127)</f>
        <v>Sveikatos priežiūros paslaugų gerinimas "UAB "Disolis"</v>
      </c>
      <c r="C126" s="111">
        <v>0</v>
      </c>
      <c r="D126" s="111">
        <v>0</v>
      </c>
      <c r="E126" s="111">
        <v>0</v>
      </c>
      <c r="F126" s="389">
        <v>0</v>
      </c>
      <c r="G126" s="389">
        <v>0</v>
      </c>
      <c r="H126" s="389">
        <v>0</v>
      </c>
      <c r="I126" s="389">
        <v>0</v>
      </c>
      <c r="J126" s="111">
        <v>0</v>
      </c>
      <c r="K126" s="111">
        <v>0</v>
      </c>
      <c r="L126" s="405">
        <v>0</v>
      </c>
      <c r="M126" s="405">
        <v>0</v>
      </c>
      <c r="N126" s="405">
        <v>0</v>
      </c>
      <c r="O126" s="405">
        <v>0</v>
      </c>
      <c r="P126" s="111">
        <v>0</v>
      </c>
      <c r="Q126" s="111">
        <v>0</v>
      </c>
      <c r="R126" s="405">
        <v>0</v>
      </c>
      <c r="S126" s="405">
        <v>0</v>
      </c>
      <c r="T126" s="405">
        <v>0</v>
      </c>
      <c r="U126" s="405">
        <v>0</v>
      </c>
      <c r="V126" s="111">
        <v>0</v>
      </c>
      <c r="W126" s="111">
        <f t="shared" si="274"/>
        <v>17386</v>
      </c>
      <c r="X126" s="390">
        <f t="shared" si="275"/>
        <v>0</v>
      </c>
      <c r="Y126" s="390">
        <f t="shared" si="276"/>
        <v>1304</v>
      </c>
      <c r="Z126" s="405">
        <f t="shared" si="288"/>
        <v>1304</v>
      </c>
      <c r="AA126" s="405">
        <v>0</v>
      </c>
      <c r="AB126" s="111">
        <f t="shared" si="277"/>
        <v>14778</v>
      </c>
      <c r="AC126" s="111">
        <f t="shared" si="278"/>
        <v>0</v>
      </c>
      <c r="AD126" s="390">
        <f t="shared" si="279"/>
        <v>0</v>
      </c>
      <c r="AE126" s="390">
        <f t="shared" si="280"/>
        <v>0</v>
      </c>
      <c r="AF126" s="405">
        <f t="shared" si="289"/>
        <v>0</v>
      </c>
      <c r="AG126" s="390">
        <v>0</v>
      </c>
      <c r="AH126" s="111">
        <f t="shared" si="282"/>
        <v>0</v>
      </c>
      <c r="AI126" s="1186">
        <f>SUM('3 pr-2'!L127)</f>
        <v>17386</v>
      </c>
      <c r="AJ126" s="137"/>
      <c r="AK126" s="389">
        <f>SUM('3 pr-2'!O127)</f>
        <v>0</v>
      </c>
      <c r="AL126" s="389"/>
      <c r="AM126" s="389">
        <f>SUM('3 pr-2'!R127)</f>
        <v>1304</v>
      </c>
      <c r="AN126" s="389"/>
      <c r="AO126" s="389">
        <f>SUM('3 pr-2'!U127)</f>
        <v>1304</v>
      </c>
      <c r="AP126" s="389"/>
      <c r="AQ126" s="389">
        <f>SUM('3 pr-2'!X127)</f>
        <v>0</v>
      </c>
      <c r="AR126" s="888"/>
      <c r="AS126" s="168">
        <f>SUM('3 pr-2'!AA127)</f>
        <v>14778</v>
      </c>
      <c r="AT126" s="822"/>
      <c r="AU126" s="24">
        <v>0</v>
      </c>
      <c r="AV126" s="25">
        <v>0</v>
      </c>
      <c r="AW126" s="25">
        <v>0</v>
      </c>
      <c r="AX126" s="392">
        <v>0</v>
      </c>
      <c r="AY126" s="392">
        <v>0</v>
      </c>
      <c r="AZ126" s="392">
        <v>0</v>
      </c>
      <c r="BA126" s="392">
        <v>0</v>
      </c>
      <c r="BB126" s="25">
        <v>0</v>
      </c>
      <c r="BC126" s="25">
        <v>0</v>
      </c>
      <c r="BD126" s="392">
        <v>0</v>
      </c>
      <c r="BE126" s="392">
        <v>0</v>
      </c>
      <c r="BF126" s="392">
        <v>0</v>
      </c>
      <c r="BG126" s="392">
        <v>0</v>
      </c>
      <c r="BH126" s="25">
        <v>0</v>
      </c>
      <c r="BI126" s="25">
        <v>49.999999415680001</v>
      </c>
      <c r="BJ126" s="392">
        <v>49.999999415680001</v>
      </c>
      <c r="BK126" s="392">
        <v>49.999999415680001</v>
      </c>
      <c r="BL126" s="392">
        <v>49.999999415680001</v>
      </c>
      <c r="BM126" s="392">
        <v>49.999999415680001</v>
      </c>
      <c r="BN126" s="25">
        <v>50</v>
      </c>
      <c r="BO126" s="25">
        <v>49.999999415680001</v>
      </c>
      <c r="BP126" s="392">
        <v>49.999999415680001</v>
      </c>
      <c r="BQ126" s="392">
        <v>49.999999415680001</v>
      </c>
      <c r="BR126" s="392">
        <v>49.999999415680001</v>
      </c>
      <c r="BS126" s="392">
        <v>49.999999415680001</v>
      </c>
      <c r="BT126" s="25">
        <v>50</v>
      </c>
      <c r="BU126" s="25">
        <v>0</v>
      </c>
      <c r="BV126" s="391">
        <v>0</v>
      </c>
      <c r="BW126" s="391">
        <v>0</v>
      </c>
      <c r="BX126" s="391">
        <v>0</v>
      </c>
      <c r="BY126" s="391">
        <v>0</v>
      </c>
      <c r="BZ126" s="25">
        <v>0</v>
      </c>
      <c r="CA126" s="25">
        <v>100</v>
      </c>
      <c r="CB126" s="391">
        <v>100</v>
      </c>
      <c r="CC126" s="391">
        <v>100</v>
      </c>
      <c r="CD126" s="391">
        <v>100</v>
      </c>
      <c r="CE126" s="391">
        <v>100</v>
      </c>
      <c r="CF126" s="553">
        <v>100</v>
      </c>
      <c r="CG126" s="569">
        <f>SUM('3 pr-2'!AH127)</f>
        <v>43495</v>
      </c>
      <c r="CH126" s="569">
        <f>SUM('3 pr-2'!AJ127)</f>
        <v>43830</v>
      </c>
      <c r="CI126" s="561">
        <f t="shared" ref="CI126:CI132" si="292">SUM(CH126-CG126)</f>
        <v>335</v>
      </c>
      <c r="CJ126" s="561">
        <f t="shared" si="290"/>
        <v>335</v>
      </c>
      <c r="CK126" s="561">
        <f>SUM(CH126-$W$3)</f>
        <v>0</v>
      </c>
      <c r="CL126" s="429">
        <f t="shared" si="283"/>
        <v>335</v>
      </c>
      <c r="CM126" s="429">
        <f t="shared" si="284"/>
        <v>44.113432835820895</v>
      </c>
      <c r="CN126" s="429"/>
      <c r="CO126" s="429"/>
      <c r="CP126" s="429"/>
      <c r="CQ126" s="429"/>
      <c r="CR126" s="429">
        <f t="shared" si="285"/>
        <v>3.8925373134328356</v>
      </c>
      <c r="CS126" s="429">
        <f t="shared" si="286"/>
        <v>0</v>
      </c>
      <c r="CT126" s="429">
        <f t="shared" si="291"/>
        <v>3.8925373134328356</v>
      </c>
    </row>
    <row r="127" spans="1:98" ht="36.75" thickBot="1" x14ac:dyDescent="0.3">
      <c r="A127" s="91" t="str">
        <f>CONCATENATE('3 pr-2'!A128)</f>
        <v>2.1.2.1.7</v>
      </c>
      <c r="B127" s="34" t="str">
        <f>CONCATENATE('3 pr-2'!D128)</f>
        <v>Pirminės asmens sveikatos priežiūros kokybės ir prieinamumo gerinimas Druskininkų savivaldybėje</v>
      </c>
      <c r="C127" s="111">
        <v>0</v>
      </c>
      <c r="D127" s="111">
        <v>0</v>
      </c>
      <c r="E127" s="111">
        <v>0</v>
      </c>
      <c r="F127" s="389">
        <v>0</v>
      </c>
      <c r="G127" s="389">
        <v>0</v>
      </c>
      <c r="H127" s="389">
        <v>0</v>
      </c>
      <c r="I127" s="389">
        <v>0</v>
      </c>
      <c r="J127" s="111">
        <v>0</v>
      </c>
      <c r="K127" s="111">
        <v>0</v>
      </c>
      <c r="L127" s="405">
        <v>0</v>
      </c>
      <c r="M127" s="405">
        <v>0</v>
      </c>
      <c r="N127" s="405">
        <v>0</v>
      </c>
      <c r="O127" s="405">
        <v>0</v>
      </c>
      <c r="P127" s="111">
        <v>0</v>
      </c>
      <c r="Q127" s="111">
        <v>0</v>
      </c>
      <c r="R127" s="405">
        <v>0</v>
      </c>
      <c r="S127" s="405">
        <v>0</v>
      </c>
      <c r="T127" s="405">
        <v>0</v>
      </c>
      <c r="U127" s="405">
        <v>0</v>
      </c>
      <c r="V127" s="111">
        <v>0</v>
      </c>
      <c r="W127" s="111">
        <f t="shared" si="274"/>
        <v>81654.145006839943</v>
      </c>
      <c r="X127" s="390">
        <f t="shared" si="275"/>
        <v>0</v>
      </c>
      <c r="Y127" s="390">
        <f t="shared" si="276"/>
        <v>6124.1108071135441</v>
      </c>
      <c r="Z127" s="405">
        <f t="shared" si="288"/>
        <v>6124.1108071135441</v>
      </c>
      <c r="AA127" s="405">
        <v>0</v>
      </c>
      <c r="AB127" s="111">
        <f t="shared" si="277"/>
        <v>69405.923392612851</v>
      </c>
      <c r="AC127" s="111">
        <f t="shared" si="278"/>
        <v>81877.854993160057</v>
      </c>
      <c r="AD127" s="390">
        <f t="shared" si="279"/>
        <v>0</v>
      </c>
      <c r="AE127" s="390">
        <f t="shared" si="280"/>
        <v>6140.8891928864577</v>
      </c>
      <c r="AF127" s="405">
        <f t="shared" si="289"/>
        <v>6140.8891928864577</v>
      </c>
      <c r="AG127" s="390">
        <v>0</v>
      </c>
      <c r="AH127" s="111">
        <f t="shared" si="282"/>
        <v>69596.076607387135</v>
      </c>
      <c r="AI127" s="1186">
        <f>SUM('3 pr-2'!L128)</f>
        <v>163532</v>
      </c>
      <c r="AJ127" s="137"/>
      <c r="AK127" s="389">
        <f>SUM('3 pr-2'!O128)</f>
        <v>0</v>
      </c>
      <c r="AL127" s="389"/>
      <c r="AM127" s="389">
        <f>SUM('3 pr-2'!R128)</f>
        <v>12265</v>
      </c>
      <c r="AN127" s="389"/>
      <c r="AO127" s="389">
        <f>SUM('3 pr-2'!U128)</f>
        <v>12265</v>
      </c>
      <c r="AP127" s="389"/>
      <c r="AQ127" s="389">
        <f>SUM('3 pr-2'!X128)</f>
        <v>0</v>
      </c>
      <c r="AR127" s="888"/>
      <c r="AS127" s="168">
        <f>SUM('3 pr-2'!AA128)</f>
        <v>139002</v>
      </c>
      <c r="AT127" s="822"/>
      <c r="AU127" s="24">
        <v>0</v>
      </c>
      <c r="AV127" s="25">
        <v>0</v>
      </c>
      <c r="AW127" s="25">
        <v>0</v>
      </c>
      <c r="AX127" s="392">
        <v>0</v>
      </c>
      <c r="AY127" s="392">
        <v>0</v>
      </c>
      <c r="AZ127" s="392">
        <v>0</v>
      </c>
      <c r="BA127" s="392">
        <v>0</v>
      </c>
      <c r="BB127" s="25">
        <v>0</v>
      </c>
      <c r="BC127" s="25">
        <v>0</v>
      </c>
      <c r="BD127" s="392">
        <v>0</v>
      </c>
      <c r="BE127" s="392">
        <v>0</v>
      </c>
      <c r="BF127" s="392">
        <v>0</v>
      </c>
      <c r="BG127" s="392">
        <v>0</v>
      </c>
      <c r="BH127" s="25">
        <v>0</v>
      </c>
      <c r="BI127" s="25">
        <v>49.999999415680001</v>
      </c>
      <c r="BJ127" s="392">
        <v>49.999999415680001</v>
      </c>
      <c r="BK127" s="392">
        <v>49.999999415680001</v>
      </c>
      <c r="BL127" s="392">
        <v>49.999999415680001</v>
      </c>
      <c r="BM127" s="392">
        <v>49.999999415680001</v>
      </c>
      <c r="BN127" s="25">
        <v>50</v>
      </c>
      <c r="BO127" s="25">
        <v>49.999999415680001</v>
      </c>
      <c r="BP127" s="392">
        <v>49.999999415680001</v>
      </c>
      <c r="BQ127" s="392">
        <v>49.999999415680001</v>
      </c>
      <c r="BR127" s="392">
        <v>49.999999415680001</v>
      </c>
      <c r="BS127" s="392">
        <v>49.999999415680001</v>
      </c>
      <c r="BT127" s="25">
        <v>50</v>
      </c>
      <c r="BU127" s="25">
        <v>0</v>
      </c>
      <c r="BV127" s="391">
        <v>0</v>
      </c>
      <c r="BW127" s="391">
        <v>0</v>
      </c>
      <c r="BX127" s="391">
        <v>0</v>
      </c>
      <c r="BY127" s="391">
        <v>0</v>
      </c>
      <c r="BZ127" s="25">
        <v>0</v>
      </c>
      <c r="CA127" s="25">
        <v>100</v>
      </c>
      <c r="CB127" s="391">
        <v>100</v>
      </c>
      <c r="CC127" s="391">
        <v>100</v>
      </c>
      <c r="CD127" s="391">
        <v>100</v>
      </c>
      <c r="CE127" s="391">
        <v>100</v>
      </c>
      <c r="CF127" s="553">
        <v>100</v>
      </c>
      <c r="CG127" s="569">
        <f>SUM('3 pr-2'!AH128)</f>
        <v>43465</v>
      </c>
      <c r="CH127" s="569">
        <f>SUM('3 pr-2'!AJ128)</f>
        <v>44196</v>
      </c>
      <c r="CI127" s="561">
        <f t="shared" si="292"/>
        <v>731</v>
      </c>
      <c r="CJ127" s="561">
        <f t="shared" si="290"/>
        <v>365</v>
      </c>
      <c r="CK127" s="561">
        <f t="shared" ref="CK127:CK130" si="293">SUM($AC$3-$W$3)</f>
        <v>366</v>
      </c>
      <c r="CL127" s="429">
        <f t="shared" si="283"/>
        <v>731</v>
      </c>
      <c r="CM127" s="429">
        <f t="shared" si="284"/>
        <v>190.15321477428179</v>
      </c>
      <c r="CN127" s="429"/>
      <c r="CO127" s="429"/>
      <c r="CP127" s="429"/>
      <c r="CQ127" s="429"/>
      <c r="CR127" s="429">
        <f t="shared" si="285"/>
        <v>16.778385772913818</v>
      </c>
      <c r="CS127" s="429">
        <f t="shared" si="286"/>
        <v>0</v>
      </c>
      <c r="CT127" s="429">
        <f t="shared" ref="CT127:CT137" si="294">SUM(AO127/CL127)</f>
        <v>16.778385772913818</v>
      </c>
    </row>
    <row r="128" spans="1:98" ht="36.75" thickBot="1" x14ac:dyDescent="0.3">
      <c r="A128" s="91" t="str">
        <f>CONCATENATE('3 pr-2'!A129)</f>
        <v>2.1.2.1.8</v>
      </c>
      <c r="B128" s="34" t="str">
        <f>CONCATENATE('3 pr-2'!D129)</f>
        <v>UAB "Druskininkų šeimos klinika" asmens sveikatos priežiūros paslaugų prieinamumo ir efektyvumo didinimas</v>
      </c>
      <c r="C128" s="111">
        <v>0</v>
      </c>
      <c r="D128" s="111">
        <v>0</v>
      </c>
      <c r="E128" s="111">
        <v>0</v>
      </c>
      <c r="F128" s="389">
        <v>0</v>
      </c>
      <c r="G128" s="389">
        <v>0</v>
      </c>
      <c r="H128" s="389">
        <v>0</v>
      </c>
      <c r="I128" s="389">
        <v>0</v>
      </c>
      <c r="J128" s="111">
        <v>0</v>
      </c>
      <c r="K128" s="111">
        <v>0</v>
      </c>
      <c r="L128" s="405">
        <v>0</v>
      </c>
      <c r="M128" s="405">
        <v>0</v>
      </c>
      <c r="N128" s="405">
        <v>0</v>
      </c>
      <c r="O128" s="405">
        <v>0</v>
      </c>
      <c r="P128" s="111">
        <v>0</v>
      </c>
      <c r="Q128" s="111">
        <v>0</v>
      </c>
      <c r="R128" s="405">
        <v>0</v>
      </c>
      <c r="S128" s="405">
        <v>0</v>
      </c>
      <c r="T128" s="405">
        <v>0</v>
      </c>
      <c r="U128" s="405">
        <v>0</v>
      </c>
      <c r="V128" s="111">
        <v>0</v>
      </c>
      <c r="W128" s="111">
        <f t="shared" si="274"/>
        <v>9641.2529274004683</v>
      </c>
      <c r="X128" s="390">
        <f t="shared" si="275"/>
        <v>0</v>
      </c>
      <c r="Y128" s="390">
        <f t="shared" si="276"/>
        <v>723.3489461358314</v>
      </c>
      <c r="Z128" s="405">
        <f t="shared" si="288"/>
        <v>723.3489461358314</v>
      </c>
      <c r="AA128" s="405">
        <v>0</v>
      </c>
      <c r="AB128" s="111">
        <f t="shared" si="277"/>
        <v>8194.5550351288057</v>
      </c>
      <c r="AC128" s="111">
        <f t="shared" si="278"/>
        <v>2647.7470725995317</v>
      </c>
      <c r="AD128" s="390">
        <f t="shared" si="279"/>
        <v>0</v>
      </c>
      <c r="AE128" s="390">
        <f t="shared" si="280"/>
        <v>198.65105386416863</v>
      </c>
      <c r="AF128" s="405">
        <f t="shared" si="289"/>
        <v>198.65105386416863</v>
      </c>
      <c r="AG128" s="390">
        <v>0</v>
      </c>
      <c r="AH128" s="111">
        <f t="shared" si="282"/>
        <v>2250.4449648711943</v>
      </c>
      <c r="AI128" s="1186">
        <f>SUM('3 pr-2'!L129)</f>
        <v>12289</v>
      </c>
      <c r="AJ128" s="137"/>
      <c r="AK128" s="389">
        <f>SUM('3 pr-2'!O129)</f>
        <v>0</v>
      </c>
      <c r="AL128" s="389"/>
      <c r="AM128" s="389">
        <f>SUM('3 pr-2'!R129)</f>
        <v>922</v>
      </c>
      <c r="AN128" s="389"/>
      <c r="AO128" s="389">
        <f>SUM('3 pr-2'!U129)</f>
        <v>922</v>
      </c>
      <c r="AP128" s="389"/>
      <c r="AQ128" s="389">
        <f>SUM('3 pr-2'!X129)</f>
        <v>0</v>
      </c>
      <c r="AR128" s="888"/>
      <c r="AS128" s="168">
        <f>SUM('3 pr-2'!AA129)</f>
        <v>10445</v>
      </c>
      <c r="AT128" s="822"/>
      <c r="AU128" s="24">
        <v>0</v>
      </c>
      <c r="AV128" s="25">
        <v>0</v>
      </c>
      <c r="AW128" s="25">
        <v>0</v>
      </c>
      <c r="AX128" s="392">
        <v>0</v>
      </c>
      <c r="AY128" s="392">
        <v>0</v>
      </c>
      <c r="AZ128" s="392">
        <v>0</v>
      </c>
      <c r="BA128" s="392">
        <v>0</v>
      </c>
      <c r="BB128" s="25">
        <v>0</v>
      </c>
      <c r="BC128" s="25">
        <v>0</v>
      </c>
      <c r="BD128" s="392">
        <v>0</v>
      </c>
      <c r="BE128" s="392">
        <v>0</v>
      </c>
      <c r="BF128" s="392">
        <v>0</v>
      </c>
      <c r="BG128" s="392">
        <v>0</v>
      </c>
      <c r="BH128" s="25">
        <v>0</v>
      </c>
      <c r="BI128" s="25">
        <v>49.999999415680001</v>
      </c>
      <c r="BJ128" s="392">
        <v>49.999999415680001</v>
      </c>
      <c r="BK128" s="392">
        <v>49.999999415680001</v>
      </c>
      <c r="BL128" s="392">
        <v>49.999999415680001</v>
      </c>
      <c r="BM128" s="392">
        <v>49.999999415680001</v>
      </c>
      <c r="BN128" s="25">
        <v>50</v>
      </c>
      <c r="BO128" s="25">
        <v>49.999999415680001</v>
      </c>
      <c r="BP128" s="392">
        <v>49.999999415680001</v>
      </c>
      <c r="BQ128" s="392">
        <v>49.999999415680001</v>
      </c>
      <c r="BR128" s="392">
        <v>49.999999415680001</v>
      </c>
      <c r="BS128" s="392">
        <v>49.999999415680001</v>
      </c>
      <c r="BT128" s="25">
        <v>50</v>
      </c>
      <c r="BU128" s="25">
        <v>0</v>
      </c>
      <c r="BV128" s="391">
        <v>0</v>
      </c>
      <c r="BW128" s="391">
        <v>0</v>
      </c>
      <c r="BX128" s="391">
        <v>0</v>
      </c>
      <c r="BY128" s="391">
        <v>0</v>
      </c>
      <c r="BZ128" s="25">
        <v>0</v>
      </c>
      <c r="CA128" s="25">
        <v>100</v>
      </c>
      <c r="CB128" s="391">
        <v>100</v>
      </c>
      <c r="CC128" s="391">
        <v>100</v>
      </c>
      <c r="CD128" s="391">
        <v>100</v>
      </c>
      <c r="CE128" s="391">
        <v>100</v>
      </c>
      <c r="CF128" s="553">
        <v>100</v>
      </c>
      <c r="CG128" s="569">
        <f>SUM('3 pr-2'!AH129)</f>
        <v>43495</v>
      </c>
      <c r="CH128" s="569">
        <f>SUM('3 pr-2'!AJ129)</f>
        <v>43922</v>
      </c>
      <c r="CI128" s="561">
        <f t="shared" si="292"/>
        <v>427</v>
      </c>
      <c r="CJ128" s="561">
        <f t="shared" si="290"/>
        <v>335</v>
      </c>
      <c r="CK128" s="561">
        <f>SUM(CH128-$W$3)</f>
        <v>92</v>
      </c>
      <c r="CL128" s="429">
        <f t="shared" si="283"/>
        <v>427</v>
      </c>
      <c r="CM128" s="429">
        <f t="shared" si="284"/>
        <v>24.461358313817332</v>
      </c>
      <c r="CN128" s="429"/>
      <c r="CO128" s="429"/>
      <c r="CP128" s="429"/>
      <c r="CQ128" s="429"/>
      <c r="CR128" s="429">
        <f t="shared" si="285"/>
        <v>2.1592505854800939</v>
      </c>
      <c r="CS128" s="429">
        <f t="shared" si="286"/>
        <v>0</v>
      </c>
      <c r="CT128" s="429">
        <f t="shared" si="294"/>
        <v>2.1592505854800939</v>
      </c>
    </row>
    <row r="129" spans="1:98" ht="48.75" thickBot="1" x14ac:dyDescent="0.3">
      <c r="A129" s="91" t="str">
        <f>CONCATENATE('3 pr-2'!A130)</f>
        <v>2.1.2.1.9</v>
      </c>
      <c r="B129" s="34" t="str">
        <f>CONCATENATE('3 pr-2'!D130)</f>
        <v>I. S. Kavaliauskienės įmonės teikiamų pirminės ambulatorinės asmens sveikatos priežiūros paslaugų kokybės ir prieinamumo gerinimas.</v>
      </c>
      <c r="C129" s="111">
        <v>0</v>
      </c>
      <c r="D129" s="111">
        <v>0</v>
      </c>
      <c r="E129" s="111">
        <v>0</v>
      </c>
      <c r="F129" s="389">
        <v>0</v>
      </c>
      <c r="G129" s="389">
        <v>0</v>
      </c>
      <c r="H129" s="389">
        <v>0</v>
      </c>
      <c r="I129" s="389">
        <v>0</v>
      </c>
      <c r="J129" s="111">
        <v>0</v>
      </c>
      <c r="K129" s="111">
        <v>0</v>
      </c>
      <c r="L129" s="405">
        <v>0</v>
      </c>
      <c r="M129" s="405">
        <v>0</v>
      </c>
      <c r="N129" s="405">
        <v>0</v>
      </c>
      <c r="O129" s="405">
        <v>0</v>
      </c>
      <c r="P129" s="111">
        <v>0</v>
      </c>
      <c r="Q129" s="111">
        <v>0</v>
      </c>
      <c r="R129" s="405">
        <v>0</v>
      </c>
      <c r="S129" s="405">
        <v>0</v>
      </c>
      <c r="T129" s="405">
        <v>0</v>
      </c>
      <c r="U129" s="405">
        <v>0</v>
      </c>
      <c r="V129" s="111">
        <v>0</v>
      </c>
      <c r="W129" s="111">
        <f t="shared" si="274"/>
        <v>25517</v>
      </c>
      <c r="X129" s="390">
        <f t="shared" si="275"/>
        <v>0</v>
      </c>
      <c r="Y129" s="390">
        <f t="shared" si="276"/>
        <v>1914</v>
      </c>
      <c r="Z129" s="405">
        <f t="shared" si="288"/>
        <v>1914</v>
      </c>
      <c r="AA129" s="405">
        <v>0</v>
      </c>
      <c r="AB129" s="111">
        <f t="shared" si="277"/>
        <v>21689</v>
      </c>
      <c r="AC129" s="111">
        <f t="shared" si="278"/>
        <v>0</v>
      </c>
      <c r="AD129" s="390">
        <f t="shared" si="279"/>
        <v>0</v>
      </c>
      <c r="AE129" s="390">
        <f t="shared" si="280"/>
        <v>0</v>
      </c>
      <c r="AF129" s="405">
        <f t="shared" si="289"/>
        <v>0</v>
      </c>
      <c r="AG129" s="390">
        <v>0</v>
      </c>
      <c r="AH129" s="111">
        <f t="shared" si="282"/>
        <v>0</v>
      </c>
      <c r="AI129" s="1186">
        <f>SUM('3 pr-2'!L130)</f>
        <v>25517</v>
      </c>
      <c r="AJ129" s="137"/>
      <c r="AK129" s="389">
        <f>SUM('3 pr-2'!O130)</f>
        <v>0</v>
      </c>
      <c r="AL129" s="389"/>
      <c r="AM129" s="389">
        <f>SUM('3 pr-2'!R130)</f>
        <v>1914</v>
      </c>
      <c r="AN129" s="389"/>
      <c r="AO129" s="389">
        <f>SUM('3 pr-2'!U130)</f>
        <v>1914</v>
      </c>
      <c r="AP129" s="389"/>
      <c r="AQ129" s="389">
        <f>SUM('3 pr-2'!X130)</f>
        <v>0</v>
      </c>
      <c r="AR129" s="888"/>
      <c r="AS129" s="168">
        <f>SUM('3 pr-2'!AA130)</f>
        <v>21689</v>
      </c>
      <c r="AT129" s="822"/>
      <c r="AU129" s="24"/>
      <c r="AV129" s="25"/>
      <c r="AW129" s="25"/>
      <c r="AX129" s="392"/>
      <c r="AY129" s="392"/>
      <c r="AZ129" s="392"/>
      <c r="BA129" s="392"/>
      <c r="BB129" s="25"/>
      <c r="BC129" s="25"/>
      <c r="BD129" s="392"/>
      <c r="BE129" s="392"/>
      <c r="BF129" s="392"/>
      <c r="BG129" s="392"/>
      <c r="BH129" s="25"/>
      <c r="BI129" s="25"/>
      <c r="BJ129" s="392"/>
      <c r="BK129" s="392"/>
      <c r="BL129" s="392"/>
      <c r="BM129" s="392"/>
      <c r="BN129" s="25"/>
      <c r="BO129" s="25"/>
      <c r="BP129" s="392"/>
      <c r="BQ129" s="392"/>
      <c r="BR129" s="392"/>
      <c r="BS129" s="392"/>
      <c r="BT129" s="25"/>
      <c r="BU129" s="25"/>
      <c r="BV129" s="391"/>
      <c r="BW129" s="391"/>
      <c r="BX129" s="391"/>
      <c r="BY129" s="391"/>
      <c r="BZ129" s="25"/>
      <c r="CA129" s="25"/>
      <c r="CB129" s="391"/>
      <c r="CC129" s="391"/>
      <c r="CD129" s="391"/>
      <c r="CE129" s="391"/>
      <c r="CF129" s="553"/>
      <c r="CG129" s="569">
        <f>SUM('3 pr-2'!AH130)</f>
        <v>43464</v>
      </c>
      <c r="CH129" s="569">
        <f>SUM('3 pr-2'!AJ130)</f>
        <v>43830</v>
      </c>
      <c r="CI129" s="561">
        <f t="shared" si="292"/>
        <v>366</v>
      </c>
      <c r="CJ129" s="561">
        <f t="shared" si="290"/>
        <v>366</v>
      </c>
      <c r="CK129" s="561">
        <f>SUM(CH129-$W$3)</f>
        <v>0</v>
      </c>
      <c r="CL129" s="429">
        <f t="shared" si="283"/>
        <v>366</v>
      </c>
      <c r="CM129" s="429">
        <f t="shared" si="284"/>
        <v>59.259562841530055</v>
      </c>
      <c r="CN129" s="429"/>
      <c r="CO129" s="429"/>
      <c r="CP129" s="429"/>
      <c r="CQ129" s="429"/>
      <c r="CR129" s="429">
        <f t="shared" si="285"/>
        <v>5.2295081967213113</v>
      </c>
      <c r="CS129" s="429">
        <f t="shared" si="286"/>
        <v>0</v>
      </c>
      <c r="CT129" s="429">
        <f t="shared" si="294"/>
        <v>5.2295081967213113</v>
      </c>
    </row>
    <row r="130" spans="1:98" ht="60.75" thickBot="1" x14ac:dyDescent="0.3">
      <c r="A130" s="91" t="str">
        <f>CONCATENATE('3 pr-2'!A131)</f>
        <v>2.1.2.1.10</v>
      </c>
      <c r="B130" s="34" t="str">
        <f>CONCATENATE('3 pr-2'!D131)</f>
        <v>Pirminės ambulatorinės asmens sveikatos priežiūros efektyvumo didinimas R.Ambrazaitienės ir L. Puzinovienės šeimos gydytojų kabinetuose</v>
      </c>
      <c r="C130" s="111">
        <v>0</v>
      </c>
      <c r="D130" s="111">
        <v>0</v>
      </c>
      <c r="E130" s="111">
        <v>0</v>
      </c>
      <c r="F130" s="389">
        <v>0</v>
      </c>
      <c r="G130" s="389">
        <v>0</v>
      </c>
      <c r="H130" s="389">
        <v>0</v>
      </c>
      <c r="I130" s="389">
        <v>0</v>
      </c>
      <c r="J130" s="111">
        <v>0</v>
      </c>
      <c r="K130" s="111">
        <v>0</v>
      </c>
      <c r="L130" s="405">
        <v>0</v>
      </c>
      <c r="M130" s="405">
        <v>0</v>
      </c>
      <c r="N130" s="405">
        <v>0</v>
      </c>
      <c r="O130" s="405">
        <v>0</v>
      </c>
      <c r="P130" s="111">
        <v>0</v>
      </c>
      <c r="Q130" s="111">
        <v>0</v>
      </c>
      <c r="R130" s="405">
        <v>0</v>
      </c>
      <c r="S130" s="405">
        <v>0</v>
      </c>
      <c r="T130" s="405">
        <v>0</v>
      </c>
      <c r="U130" s="405">
        <v>0</v>
      </c>
      <c r="V130" s="111">
        <v>0</v>
      </c>
      <c r="W130" s="111">
        <f t="shared" si="274"/>
        <v>13335.962910128388</v>
      </c>
      <c r="X130" s="390">
        <f t="shared" si="275"/>
        <v>0</v>
      </c>
      <c r="Y130" s="390">
        <f t="shared" si="276"/>
        <v>1000.2211126961483</v>
      </c>
      <c r="Z130" s="405">
        <f t="shared" si="288"/>
        <v>1000.2211126961483</v>
      </c>
      <c r="AA130" s="405">
        <v>0</v>
      </c>
      <c r="AB130" s="111">
        <f t="shared" si="277"/>
        <v>11335.520684736091</v>
      </c>
      <c r="AC130" s="111">
        <f t="shared" si="278"/>
        <v>14570.037089871612</v>
      </c>
      <c r="AD130" s="390">
        <f t="shared" si="279"/>
        <v>0</v>
      </c>
      <c r="AE130" s="390">
        <f t="shared" si="280"/>
        <v>1092.7788873038517</v>
      </c>
      <c r="AF130" s="405">
        <f t="shared" si="289"/>
        <v>1092.7788873038517</v>
      </c>
      <c r="AG130" s="390">
        <v>0</v>
      </c>
      <c r="AH130" s="111">
        <f t="shared" si="282"/>
        <v>12384.479315263909</v>
      </c>
      <c r="AI130" s="1186">
        <f>SUM('3 pr-2'!L131)</f>
        <v>27906</v>
      </c>
      <c r="AJ130" s="137"/>
      <c r="AK130" s="389">
        <f>SUM('3 pr-2'!O131)</f>
        <v>0</v>
      </c>
      <c r="AL130" s="389"/>
      <c r="AM130" s="389">
        <f>SUM('3 pr-2'!R131)</f>
        <v>2093</v>
      </c>
      <c r="AN130" s="389"/>
      <c r="AO130" s="389">
        <f>SUM('3 pr-2'!U131)</f>
        <v>2093</v>
      </c>
      <c r="AP130" s="389"/>
      <c r="AQ130" s="389">
        <f>SUM('3 pr-2'!X131)</f>
        <v>0</v>
      </c>
      <c r="AR130" s="888"/>
      <c r="AS130" s="168">
        <f>SUM('3 pr-2'!AA131)</f>
        <v>23720</v>
      </c>
      <c r="AT130" s="822"/>
      <c r="AU130" s="24"/>
      <c r="AV130" s="25"/>
      <c r="AW130" s="25"/>
      <c r="AX130" s="392"/>
      <c r="AY130" s="392"/>
      <c r="AZ130" s="392"/>
      <c r="BA130" s="392"/>
      <c r="BB130" s="25"/>
      <c r="BC130" s="25"/>
      <c r="BD130" s="392"/>
      <c r="BE130" s="392"/>
      <c r="BF130" s="392"/>
      <c r="BG130" s="392"/>
      <c r="BH130" s="25"/>
      <c r="BI130" s="25"/>
      <c r="BJ130" s="392"/>
      <c r="BK130" s="392"/>
      <c r="BL130" s="392"/>
      <c r="BM130" s="392"/>
      <c r="BN130" s="25"/>
      <c r="BO130" s="25"/>
      <c r="BP130" s="392"/>
      <c r="BQ130" s="392"/>
      <c r="BR130" s="392"/>
      <c r="BS130" s="392"/>
      <c r="BT130" s="25"/>
      <c r="BU130" s="25"/>
      <c r="BV130" s="391"/>
      <c r="BW130" s="391"/>
      <c r="BX130" s="391"/>
      <c r="BY130" s="391"/>
      <c r="BZ130" s="25"/>
      <c r="CA130" s="25"/>
      <c r="CB130" s="391"/>
      <c r="CC130" s="391"/>
      <c r="CD130" s="391"/>
      <c r="CE130" s="391"/>
      <c r="CF130" s="553"/>
      <c r="CG130" s="569">
        <f>SUM('3 pr-2'!AH131)</f>
        <v>43495</v>
      </c>
      <c r="CH130" s="569">
        <f>SUM('3 pr-2'!AJ131)</f>
        <v>44196</v>
      </c>
      <c r="CI130" s="561">
        <f t="shared" si="292"/>
        <v>701</v>
      </c>
      <c r="CJ130" s="561">
        <f t="shared" si="290"/>
        <v>335</v>
      </c>
      <c r="CK130" s="561">
        <f t="shared" si="293"/>
        <v>366</v>
      </c>
      <c r="CL130" s="429">
        <f t="shared" si="283"/>
        <v>701</v>
      </c>
      <c r="CM130" s="429">
        <f t="shared" si="284"/>
        <v>33.837375178316691</v>
      </c>
      <c r="CN130" s="429"/>
      <c r="CO130" s="429"/>
      <c r="CP130" s="429"/>
      <c r="CQ130" s="429"/>
      <c r="CR130" s="429">
        <f t="shared" si="285"/>
        <v>2.9857346647646219</v>
      </c>
      <c r="CS130" s="429">
        <f t="shared" si="286"/>
        <v>0</v>
      </c>
      <c r="CT130" s="429">
        <f t="shared" si="294"/>
        <v>2.9857346647646219</v>
      </c>
    </row>
    <row r="131" spans="1:98" ht="36.75" thickBot="1" x14ac:dyDescent="0.3">
      <c r="A131" s="91" t="str">
        <f>CONCATENATE('3 pr-2'!A132)</f>
        <v>2.1.2.1.11</v>
      </c>
      <c r="B131" s="34" t="str">
        <f>CONCATENATE('3 pr-2'!D132)</f>
        <v xml:space="preserve">Pirminės asmens sveikatos priežiūros veiklos efektyvumo didinimas Lazdijų rajono savivaldybėje </v>
      </c>
      <c r="C131" s="111">
        <v>0</v>
      </c>
      <c r="D131" s="111">
        <v>0</v>
      </c>
      <c r="E131" s="111">
        <v>0</v>
      </c>
      <c r="F131" s="389">
        <v>0</v>
      </c>
      <c r="G131" s="389">
        <v>0</v>
      </c>
      <c r="H131" s="389">
        <v>0</v>
      </c>
      <c r="I131" s="389">
        <v>0</v>
      </c>
      <c r="J131" s="111">
        <v>0</v>
      </c>
      <c r="K131" s="111">
        <v>0</v>
      </c>
      <c r="L131" s="405">
        <v>0</v>
      </c>
      <c r="M131" s="405">
        <v>0</v>
      </c>
      <c r="N131" s="405">
        <v>0</v>
      </c>
      <c r="O131" s="405">
        <v>0</v>
      </c>
      <c r="P131" s="111">
        <v>0</v>
      </c>
      <c r="Q131" s="111">
        <v>0</v>
      </c>
      <c r="R131" s="405">
        <v>0</v>
      </c>
      <c r="S131" s="405">
        <v>0</v>
      </c>
      <c r="T131" s="405">
        <v>0</v>
      </c>
      <c r="U131" s="405">
        <v>0</v>
      </c>
      <c r="V131" s="111">
        <v>0</v>
      </c>
      <c r="W131" s="111">
        <f t="shared" si="274"/>
        <v>62191.445410628017</v>
      </c>
      <c r="X131" s="390">
        <f t="shared" si="275"/>
        <v>962.62995169082137</v>
      </c>
      <c r="Y131" s="390">
        <f t="shared" si="276"/>
        <v>4664.3826086956524</v>
      </c>
      <c r="Z131" s="405">
        <f t="shared" si="288"/>
        <v>3701.7526570048308</v>
      </c>
      <c r="AA131" s="405">
        <v>0</v>
      </c>
      <c r="AB131" s="111">
        <f t="shared" si="277"/>
        <v>52862.680193236716</v>
      </c>
      <c r="AC131" s="111">
        <f t="shared" si="278"/>
        <v>130527.55458937198</v>
      </c>
      <c r="AD131" s="390">
        <f t="shared" si="279"/>
        <v>2020.3700483091789</v>
      </c>
      <c r="AE131" s="390">
        <f t="shared" si="280"/>
        <v>9789.6173913043476</v>
      </c>
      <c r="AF131" s="405">
        <f t="shared" si="289"/>
        <v>7769.2473429951688</v>
      </c>
      <c r="AG131" s="390">
        <v>0</v>
      </c>
      <c r="AH131" s="111">
        <f t="shared" si="282"/>
        <v>110948.31980676329</v>
      </c>
      <c r="AI131" s="1190">
        <f>SUM('3 pr-2'!L132)</f>
        <v>192719</v>
      </c>
      <c r="AJ131" s="137"/>
      <c r="AK131" s="389">
        <f>SUM('3 pr-2'!O132)</f>
        <v>2983</v>
      </c>
      <c r="AL131" s="389"/>
      <c r="AM131" s="389">
        <f>SUM('3 pr-2'!R132)</f>
        <v>14454</v>
      </c>
      <c r="AN131" s="389"/>
      <c r="AO131" s="389">
        <f>SUM('3 pr-2'!U132)</f>
        <v>11471</v>
      </c>
      <c r="AP131" s="389"/>
      <c r="AQ131" s="389">
        <f>SUM('3 pr-2'!X132)</f>
        <v>0</v>
      </c>
      <c r="AR131" s="888"/>
      <c r="AS131" s="168">
        <f>SUM('3 pr-2'!AA132)</f>
        <v>163811</v>
      </c>
      <c r="AT131" s="822"/>
      <c r="AU131" s="24"/>
      <c r="AV131" s="25"/>
      <c r="AW131" s="25"/>
      <c r="AX131" s="392"/>
      <c r="AY131" s="392"/>
      <c r="AZ131" s="392"/>
      <c r="BA131" s="392"/>
      <c r="BB131" s="25"/>
      <c r="BC131" s="25"/>
      <c r="BD131" s="392"/>
      <c r="BE131" s="392"/>
      <c r="BF131" s="392"/>
      <c r="BG131" s="392"/>
      <c r="BH131" s="25"/>
      <c r="BI131" s="25"/>
      <c r="BJ131" s="392"/>
      <c r="BK131" s="392"/>
      <c r="BL131" s="392"/>
      <c r="BM131" s="392"/>
      <c r="BN131" s="25"/>
      <c r="BO131" s="25"/>
      <c r="BP131" s="392"/>
      <c r="BQ131" s="392"/>
      <c r="BR131" s="392"/>
      <c r="BS131" s="392"/>
      <c r="BT131" s="25"/>
      <c r="BU131" s="25"/>
      <c r="BV131" s="391"/>
      <c r="BW131" s="391"/>
      <c r="BX131" s="391"/>
      <c r="BY131" s="391"/>
      <c r="BZ131" s="25"/>
      <c r="CA131" s="25"/>
      <c r="CB131" s="391"/>
      <c r="CC131" s="391"/>
      <c r="CD131" s="391"/>
      <c r="CE131" s="391"/>
      <c r="CF131" s="553"/>
      <c r="CG131" s="569">
        <f>SUM('3 pr-2'!AH132)</f>
        <v>43496</v>
      </c>
      <c r="CH131" s="569">
        <f>SUM('3 pr-2'!AJ132)</f>
        <v>44531</v>
      </c>
      <c r="CI131" s="561">
        <f t="shared" si="292"/>
        <v>1035</v>
      </c>
      <c r="CJ131" s="561">
        <f t="shared" si="290"/>
        <v>334</v>
      </c>
      <c r="CK131" s="561">
        <f>SUM(CH131-$W$3)</f>
        <v>701</v>
      </c>
      <c r="CL131" s="429">
        <f t="shared" si="283"/>
        <v>1035</v>
      </c>
      <c r="CM131" s="429">
        <f t="shared" si="284"/>
        <v>158.27149758454107</v>
      </c>
      <c r="CN131" s="429"/>
      <c r="CO131" s="429"/>
      <c r="CP131" s="429"/>
      <c r="CQ131" s="429"/>
      <c r="CR131" s="429">
        <f t="shared" si="285"/>
        <v>13.965217391304348</v>
      </c>
      <c r="CS131" s="429">
        <f t="shared" si="286"/>
        <v>2.8821256038647345</v>
      </c>
      <c r="CT131" s="429">
        <f t="shared" si="294"/>
        <v>11.083091787439614</v>
      </c>
    </row>
    <row r="132" spans="1:98" ht="36.75" thickBot="1" x14ac:dyDescent="0.3">
      <c r="A132" s="91" t="str">
        <f>CONCATENATE('3 pr-2'!A133)</f>
        <v>2.1.2.1.12</v>
      </c>
      <c r="B132" s="34" t="str">
        <f>CONCATENATE('3 pr-2'!D133)</f>
        <v>Pirminės asmens sveikatos priežiūros veiklos efektyvumo didinimas Varėnos rajono savivaldybėje</v>
      </c>
      <c r="C132" s="111">
        <v>0</v>
      </c>
      <c r="D132" s="111">
        <v>0</v>
      </c>
      <c r="E132" s="111">
        <v>0</v>
      </c>
      <c r="F132" s="389">
        <v>0</v>
      </c>
      <c r="G132" s="389">
        <v>0</v>
      </c>
      <c r="H132" s="389">
        <v>0</v>
      </c>
      <c r="I132" s="389">
        <v>0</v>
      </c>
      <c r="J132" s="111">
        <v>0</v>
      </c>
      <c r="K132" s="111">
        <v>0</v>
      </c>
      <c r="L132" s="405">
        <v>0</v>
      </c>
      <c r="M132" s="405">
        <v>0</v>
      </c>
      <c r="N132" s="405">
        <v>0</v>
      </c>
      <c r="O132" s="405">
        <v>0</v>
      </c>
      <c r="P132" s="111">
        <v>0</v>
      </c>
      <c r="Q132" s="111">
        <v>0</v>
      </c>
      <c r="R132" s="405">
        <v>0</v>
      </c>
      <c r="S132" s="405">
        <v>0</v>
      </c>
      <c r="T132" s="405">
        <v>0</v>
      </c>
      <c r="U132" s="405">
        <v>0</v>
      </c>
      <c r="V132" s="111">
        <v>0</v>
      </c>
      <c r="W132" s="111">
        <f t="shared" si="274"/>
        <v>88036.186046511633</v>
      </c>
      <c r="X132" s="390">
        <f t="shared" si="275"/>
        <v>6602.7824897400824</v>
      </c>
      <c r="Y132" s="390">
        <f t="shared" si="276"/>
        <v>6602.7824897400824</v>
      </c>
      <c r="Z132" s="405">
        <f t="shared" si="288"/>
        <v>0</v>
      </c>
      <c r="AA132" s="405">
        <v>0</v>
      </c>
      <c r="AB132" s="111">
        <f t="shared" si="277"/>
        <v>74830.621067031461</v>
      </c>
      <c r="AC132" s="111">
        <f t="shared" si="278"/>
        <v>104641.81395348838</v>
      </c>
      <c r="AD132" s="390">
        <f t="shared" si="279"/>
        <v>7848.2175102599185</v>
      </c>
      <c r="AE132" s="390">
        <f t="shared" si="280"/>
        <v>7848.2175102599185</v>
      </c>
      <c r="AF132" s="405">
        <f t="shared" si="289"/>
        <v>0</v>
      </c>
      <c r="AG132" s="390">
        <v>0</v>
      </c>
      <c r="AH132" s="111">
        <f t="shared" si="282"/>
        <v>88945.378932968539</v>
      </c>
      <c r="AI132" s="1190">
        <f>SUM('3 pr-2'!L133)</f>
        <v>192678</v>
      </c>
      <c r="AJ132" s="137"/>
      <c r="AK132" s="389">
        <f>SUM('3 pr-2'!O133)</f>
        <v>14451</v>
      </c>
      <c r="AL132" s="389"/>
      <c r="AM132" s="389">
        <f>SUM('3 pr-2'!R133)</f>
        <v>14451</v>
      </c>
      <c r="AN132" s="389"/>
      <c r="AO132" s="389">
        <f>SUM('3 pr-2'!U133)</f>
        <v>0</v>
      </c>
      <c r="AP132" s="389"/>
      <c r="AQ132" s="389">
        <f>SUM('3 pr-2'!X133)</f>
        <v>0</v>
      </c>
      <c r="AR132" s="888"/>
      <c r="AS132" s="168">
        <f>SUM('3 pr-2'!AA133)</f>
        <v>163776</v>
      </c>
      <c r="AT132" s="822"/>
      <c r="AU132" s="24"/>
      <c r="AV132" s="25"/>
      <c r="AW132" s="25"/>
      <c r="AX132" s="392"/>
      <c r="AY132" s="392"/>
      <c r="AZ132" s="392"/>
      <c r="BA132" s="392"/>
      <c r="BB132" s="25"/>
      <c r="BC132" s="25"/>
      <c r="BD132" s="392"/>
      <c r="BE132" s="392"/>
      <c r="BF132" s="392"/>
      <c r="BG132" s="392"/>
      <c r="BH132" s="25"/>
      <c r="BI132" s="25"/>
      <c r="BJ132" s="392"/>
      <c r="BK132" s="392"/>
      <c r="BL132" s="392"/>
      <c r="BM132" s="392"/>
      <c r="BN132" s="25"/>
      <c r="BO132" s="25"/>
      <c r="BP132" s="392"/>
      <c r="BQ132" s="392"/>
      <c r="BR132" s="392"/>
      <c r="BS132" s="392"/>
      <c r="BT132" s="25"/>
      <c r="BU132" s="25"/>
      <c r="BV132" s="391"/>
      <c r="BW132" s="391"/>
      <c r="BX132" s="391"/>
      <c r="BY132" s="391"/>
      <c r="BZ132" s="25"/>
      <c r="CA132" s="25"/>
      <c r="CB132" s="391"/>
      <c r="CC132" s="391"/>
      <c r="CD132" s="391"/>
      <c r="CE132" s="391"/>
      <c r="CF132" s="553"/>
      <c r="CG132" s="569">
        <f>SUM('3 pr-2'!AH133)</f>
        <v>43496</v>
      </c>
      <c r="CH132" s="569">
        <f>SUM('3 pr-2'!AJ133)</f>
        <v>44227</v>
      </c>
      <c r="CI132" s="561">
        <f t="shared" si="292"/>
        <v>731</v>
      </c>
      <c r="CJ132" s="561">
        <f t="shared" si="290"/>
        <v>334</v>
      </c>
      <c r="CK132" s="561">
        <f>SUM(CH132-$W$3)</f>
        <v>397</v>
      </c>
      <c r="CL132" s="429">
        <f t="shared" si="283"/>
        <v>731</v>
      </c>
      <c r="CM132" s="429">
        <f t="shared" si="284"/>
        <v>224.04377564979481</v>
      </c>
      <c r="CN132" s="429"/>
      <c r="CO132" s="429"/>
      <c r="CP132" s="429"/>
      <c r="CQ132" s="429"/>
      <c r="CR132" s="429">
        <f t="shared" si="285"/>
        <v>19.768809849521205</v>
      </c>
      <c r="CS132" s="429">
        <f t="shared" si="286"/>
        <v>19.768809849521205</v>
      </c>
      <c r="CT132" s="429">
        <f t="shared" si="294"/>
        <v>0</v>
      </c>
    </row>
    <row r="133" spans="1:98" ht="36.75" thickBot="1" x14ac:dyDescent="0.3">
      <c r="A133" s="91" t="str">
        <f>CONCATENATE('3 pr-2'!A134)</f>
        <v>2.1.2.1.13</v>
      </c>
      <c r="B133" s="34" t="str">
        <f>CONCATENATE('3 pr-2'!D134)</f>
        <v>Pirminės asmens sveikatos priežiūros veiklos efektyvumo didinimas N. Jarašienės personalinėje įmonėje</v>
      </c>
      <c r="C133" s="111">
        <v>0</v>
      </c>
      <c r="D133" s="111">
        <v>0</v>
      </c>
      <c r="E133" s="111">
        <v>0</v>
      </c>
      <c r="F133" s="389">
        <v>0</v>
      </c>
      <c r="G133" s="389">
        <v>0</v>
      </c>
      <c r="H133" s="389">
        <v>0</v>
      </c>
      <c r="I133" s="389">
        <v>0</v>
      </c>
      <c r="J133" s="111">
        <v>0</v>
      </c>
      <c r="K133" s="111">
        <v>0</v>
      </c>
      <c r="L133" s="405">
        <v>0</v>
      </c>
      <c r="M133" s="405">
        <v>0</v>
      </c>
      <c r="N133" s="405">
        <v>0</v>
      </c>
      <c r="O133" s="405">
        <v>0</v>
      </c>
      <c r="P133" s="111">
        <v>0</v>
      </c>
      <c r="Q133" s="111">
        <v>0</v>
      </c>
      <c r="R133" s="405">
        <v>0</v>
      </c>
      <c r="S133" s="405">
        <v>0</v>
      </c>
      <c r="T133" s="405">
        <v>0</v>
      </c>
      <c r="U133" s="405">
        <v>0</v>
      </c>
      <c r="V133" s="111">
        <v>0</v>
      </c>
      <c r="W133" s="111">
        <f>SUM(AI133)</f>
        <v>8305</v>
      </c>
      <c r="X133" s="390">
        <f>SUM(AK133)</f>
        <v>0</v>
      </c>
      <c r="Y133" s="390">
        <f>SUM(AM133)</f>
        <v>623</v>
      </c>
      <c r="Z133" s="405">
        <f>SUM(AO133)</f>
        <v>623</v>
      </c>
      <c r="AA133" s="405">
        <f>SUM(AQ133)</f>
        <v>0</v>
      </c>
      <c r="AB133" s="111">
        <f>SUM(AS133)</f>
        <v>7059</v>
      </c>
      <c r="AC133" s="111">
        <v>0</v>
      </c>
      <c r="AD133" s="390">
        <v>0</v>
      </c>
      <c r="AE133" s="390">
        <v>0</v>
      </c>
      <c r="AF133" s="405">
        <v>0</v>
      </c>
      <c r="AG133" s="390">
        <v>0</v>
      </c>
      <c r="AH133" s="111">
        <v>0</v>
      </c>
      <c r="AI133" s="1190">
        <f>SUM('3 pr-2'!L134)</f>
        <v>8305</v>
      </c>
      <c r="AJ133" s="137"/>
      <c r="AK133" s="389">
        <f>SUM('3 pr-2'!O134)</f>
        <v>0</v>
      </c>
      <c r="AL133" s="389"/>
      <c r="AM133" s="389">
        <f>SUM('3 pr-2'!R134)</f>
        <v>623</v>
      </c>
      <c r="AN133" s="389"/>
      <c r="AO133" s="389">
        <f>SUM('3 pr-2'!U134)</f>
        <v>623</v>
      </c>
      <c r="AP133" s="389"/>
      <c r="AQ133" s="389">
        <f>SUM('3 pr-2'!X134)</f>
        <v>0</v>
      </c>
      <c r="AR133" s="888"/>
      <c r="AS133" s="168">
        <f>SUM('3 pr-2'!AA134)</f>
        <v>7059</v>
      </c>
      <c r="AT133" s="822"/>
      <c r="AU133" s="24"/>
      <c r="AV133" s="25"/>
      <c r="AW133" s="25"/>
      <c r="AX133" s="392"/>
      <c r="AY133" s="392"/>
      <c r="AZ133" s="392"/>
      <c r="BA133" s="392"/>
      <c r="BB133" s="25"/>
      <c r="BC133" s="25"/>
      <c r="BD133" s="392"/>
      <c r="BE133" s="392"/>
      <c r="BF133" s="392"/>
      <c r="BG133" s="392"/>
      <c r="BH133" s="25"/>
      <c r="BI133" s="25"/>
      <c r="BJ133" s="392"/>
      <c r="BK133" s="392"/>
      <c r="BL133" s="392"/>
      <c r="BM133" s="392"/>
      <c r="BN133" s="25"/>
      <c r="BO133" s="25"/>
      <c r="BP133" s="392"/>
      <c r="BQ133" s="392"/>
      <c r="BR133" s="392"/>
      <c r="BS133" s="392"/>
      <c r="BT133" s="25"/>
      <c r="BU133" s="25"/>
      <c r="BV133" s="391"/>
      <c r="BW133" s="391"/>
      <c r="BX133" s="391"/>
      <c r="BY133" s="391"/>
      <c r="BZ133" s="25"/>
      <c r="CA133" s="25"/>
      <c r="CB133" s="391"/>
      <c r="CC133" s="391"/>
      <c r="CD133" s="391"/>
      <c r="CE133" s="391"/>
      <c r="CF133" s="553"/>
      <c r="CG133" s="569">
        <f>SUM('3 pr-2'!AH134)</f>
        <v>43496</v>
      </c>
      <c r="CH133" s="569">
        <f>SUM('3 pr-2'!AJ134)</f>
        <v>43830</v>
      </c>
      <c r="CI133" s="561"/>
      <c r="CJ133" s="561"/>
      <c r="CK133" s="561"/>
      <c r="CL133" s="429"/>
      <c r="CM133" s="429"/>
      <c r="CN133" s="429"/>
      <c r="CO133" s="429"/>
      <c r="CP133" s="429"/>
      <c r="CQ133" s="429"/>
      <c r="CR133" s="429"/>
      <c r="CS133" s="429"/>
      <c r="CT133" s="429"/>
    </row>
    <row r="134" spans="1:98" ht="16.5" thickBot="1" x14ac:dyDescent="0.3">
      <c r="A134" s="383" t="str">
        <f>CONCATENATE('3 pr-2'!A135)</f>
        <v>2.1.2.2</v>
      </c>
      <c r="B134" s="182" t="str">
        <f>CONCATENATE('3 pr-2'!D135)</f>
        <v/>
      </c>
      <c r="C134" s="113">
        <f>SUM(C135:C139)</f>
        <v>0</v>
      </c>
      <c r="D134" s="113">
        <f>SUM(D135:D139)</f>
        <v>0</v>
      </c>
      <c r="E134" s="113">
        <f>SUM(E135:E139)</f>
        <v>0</v>
      </c>
      <c r="F134" s="113">
        <f>SUM(F135:F139)</f>
        <v>0</v>
      </c>
      <c r="G134" s="113"/>
      <c r="H134" s="113"/>
      <c r="I134" s="113"/>
      <c r="J134" s="113">
        <f t="shared" ref="J134:Q134" si="295">SUM(J135:J139)</f>
        <v>0</v>
      </c>
      <c r="K134" s="113">
        <f t="shared" si="295"/>
        <v>0</v>
      </c>
      <c r="L134" s="407">
        <f t="shared" si="295"/>
        <v>0</v>
      </c>
      <c r="M134" s="407">
        <f t="shared" si="295"/>
        <v>0</v>
      </c>
      <c r="N134" s="407">
        <f t="shared" si="295"/>
        <v>0</v>
      </c>
      <c r="O134" s="407">
        <f t="shared" si="295"/>
        <v>0</v>
      </c>
      <c r="P134" s="113">
        <f t="shared" si="295"/>
        <v>0</v>
      </c>
      <c r="Q134" s="113">
        <f t="shared" si="295"/>
        <v>106838.75578549532</v>
      </c>
      <c r="R134" s="407"/>
      <c r="S134" s="407"/>
      <c r="T134" s="407"/>
      <c r="U134" s="407"/>
      <c r="V134" s="113">
        <f>SUM(V135:V139)</f>
        <v>90812.940807013685</v>
      </c>
      <c r="W134" s="113">
        <f>SUM(W135:W139)</f>
        <v>364449.96132435324</v>
      </c>
      <c r="X134" s="407"/>
      <c r="Y134" s="407"/>
      <c r="Z134" s="407"/>
      <c r="AA134" s="407"/>
      <c r="AB134" s="113">
        <f>SUM(AB135:AB139)</f>
        <v>309782.46163140185</v>
      </c>
      <c r="AC134" s="113">
        <f>SUM(AC135:AC139)</f>
        <v>523697.18289015139</v>
      </c>
      <c r="AD134" s="407"/>
      <c r="AE134" s="407"/>
      <c r="AF134" s="407"/>
      <c r="AG134" s="407"/>
      <c r="AH134" s="113">
        <f>SUM(AH135:AH139)</f>
        <v>445142.59756158449</v>
      </c>
      <c r="AI134" s="1173">
        <f>SUM(AI135:AI139)</f>
        <v>994985.89999999991</v>
      </c>
      <c r="AJ134" s="113"/>
      <c r="AK134" s="113"/>
      <c r="AL134" s="113"/>
      <c r="AM134" s="113"/>
      <c r="AN134" s="113"/>
      <c r="AO134" s="113"/>
      <c r="AP134" s="113"/>
      <c r="AQ134" s="113"/>
      <c r="AR134" s="113"/>
      <c r="AS134" s="113">
        <f>SUM(AS135:AS139)</f>
        <v>845738</v>
      </c>
      <c r="AT134" s="113"/>
      <c r="AU134" s="24">
        <v>0</v>
      </c>
      <c r="AV134" s="25">
        <v>0</v>
      </c>
      <c r="AW134" s="25">
        <v>0</v>
      </c>
      <c r="AX134" s="113">
        <v>0</v>
      </c>
      <c r="AY134" s="113">
        <v>0</v>
      </c>
      <c r="AZ134" s="113">
        <v>0</v>
      </c>
      <c r="BA134" s="113">
        <v>0</v>
      </c>
      <c r="BB134" s="25">
        <v>0</v>
      </c>
      <c r="BC134" s="25">
        <v>50</v>
      </c>
      <c r="BD134" s="113">
        <v>50</v>
      </c>
      <c r="BE134" s="113">
        <v>50</v>
      </c>
      <c r="BF134" s="113">
        <v>50</v>
      </c>
      <c r="BG134" s="113">
        <v>50</v>
      </c>
      <c r="BH134" s="25">
        <v>50</v>
      </c>
      <c r="BI134" s="25">
        <v>50</v>
      </c>
      <c r="BJ134" s="113">
        <v>50</v>
      </c>
      <c r="BK134" s="113">
        <v>50</v>
      </c>
      <c r="BL134" s="113">
        <v>50</v>
      </c>
      <c r="BM134" s="113">
        <v>50</v>
      </c>
      <c r="BN134" s="25">
        <v>50</v>
      </c>
      <c r="BO134" s="25">
        <v>0</v>
      </c>
      <c r="BP134" s="113">
        <v>0</v>
      </c>
      <c r="BQ134" s="113">
        <v>0</v>
      </c>
      <c r="BR134" s="113">
        <v>0</v>
      </c>
      <c r="BS134" s="113">
        <v>0</v>
      </c>
      <c r="BT134" s="25">
        <v>0</v>
      </c>
      <c r="BU134" s="25">
        <v>0</v>
      </c>
      <c r="BV134" s="113">
        <v>0</v>
      </c>
      <c r="BW134" s="113">
        <v>0</v>
      </c>
      <c r="BX134" s="113">
        <v>0</v>
      </c>
      <c r="BY134" s="113">
        <v>0</v>
      </c>
      <c r="BZ134" s="25">
        <v>0</v>
      </c>
      <c r="CA134" s="25">
        <v>100</v>
      </c>
      <c r="CB134" s="113">
        <v>100</v>
      </c>
      <c r="CC134" s="113">
        <v>100</v>
      </c>
      <c r="CD134" s="113">
        <v>100</v>
      </c>
      <c r="CE134" s="113">
        <v>100</v>
      </c>
      <c r="CF134" s="554">
        <v>100</v>
      </c>
      <c r="CG134" s="561"/>
      <c r="CH134" s="561"/>
      <c r="CI134" s="561"/>
      <c r="CJ134" s="561"/>
      <c r="CK134" s="561"/>
      <c r="CL134" s="561"/>
      <c r="CM134" s="561"/>
      <c r="CN134" s="561"/>
      <c r="CO134" s="561"/>
      <c r="CP134" s="561"/>
      <c r="CQ134" s="561"/>
      <c r="CR134" s="561"/>
      <c r="CS134" s="561"/>
      <c r="CT134" s="429" t="e">
        <f t="shared" si="294"/>
        <v>#DIV/0!</v>
      </c>
    </row>
    <row r="135" spans="1:98" ht="24.75" thickBot="1" x14ac:dyDescent="0.3">
      <c r="A135" s="91" t="str">
        <f>CONCATENATE('3 pr-2'!A136)</f>
        <v>2.1.2.2.1</v>
      </c>
      <c r="B135" s="34" t="str">
        <f>CONCATENATE('3 pr-2'!D136)</f>
        <v>Sveikos gyvensenos skatinimas Alytaus rajone</v>
      </c>
      <c r="C135" s="51">
        <v>0</v>
      </c>
      <c r="D135" s="51">
        <v>0</v>
      </c>
      <c r="E135" s="51">
        <v>0</v>
      </c>
      <c r="F135" s="389">
        <v>0</v>
      </c>
      <c r="G135" s="389">
        <v>0</v>
      </c>
      <c r="H135" s="389">
        <v>0</v>
      </c>
      <c r="I135" s="389">
        <v>0</v>
      </c>
      <c r="J135" s="51">
        <v>0</v>
      </c>
      <c r="K135" s="51">
        <v>0</v>
      </c>
      <c r="L135" s="405">
        <v>0</v>
      </c>
      <c r="M135" s="405">
        <v>0</v>
      </c>
      <c r="N135" s="405">
        <v>0</v>
      </c>
      <c r="O135" s="405">
        <v>0</v>
      </c>
      <c r="P135" s="51">
        <v>0</v>
      </c>
      <c r="Q135" s="140">
        <f>IF(YEAR($CG$135)=2018,($BI$4-$CG$135)*AI$135/($CH$135-$CG$135))</f>
        <v>19427.644397810218</v>
      </c>
      <c r="R135" s="405">
        <f>IF(YEAR($CG$135)=2018,($BI$4-$CG$135)*AK$135/($CH$135-$CG$135))</f>
        <v>1457.0734762773723</v>
      </c>
      <c r="S135" s="405">
        <f>IF(YEAR($CG$135)=2018,($BI$4-$CG$135)*AM$135/($CH$135-$CG$135))</f>
        <v>1457.0734762773723</v>
      </c>
      <c r="T135" s="405">
        <f>IF(YEAR($CG$135)=2018,($BI$4-$CG$135)*AO$135/($CH$135-$CG$135))</f>
        <v>0</v>
      </c>
      <c r="U135" s="405">
        <f>IF(YEAR($CG$135)=2018,($BI$4-$CG$135)*AQ$135/($CH$135-$CG$135))</f>
        <v>0</v>
      </c>
      <c r="V135" s="406">
        <f>IF(YEAR($CG$135)=2018,($BI$4-$CG$135)*AS$135/($CH$135-$CG$135))</f>
        <v>16513.497445255474</v>
      </c>
      <c r="W135" s="140">
        <f>IF(YEAR($CH135)&gt;2018,($BO$4-$BI$4)*$AI135/($CH135-$CG135),0)</f>
        <v>66271.871076642332</v>
      </c>
      <c r="X135" s="422">
        <f>IF(YEAR($CH135)&gt;2018,($BO$4-$BI$4)*$AK135/($CH135-$CG135),0)</f>
        <v>4970.3908302919717</v>
      </c>
      <c r="Y135" s="422">
        <f>IF(YEAR($CH135)&gt;2018,($BO$4-$BI$4)*$AM135/($CH135-$CG135),0)</f>
        <v>4970.3908302919717</v>
      </c>
      <c r="Z135" s="422">
        <f>IF(YEAR($CH135)&gt;2018,($BO$4-$BI$4)*$AO135/($CH135-$CG135),0)</f>
        <v>0</v>
      </c>
      <c r="AA135" s="422">
        <f>IF(YEAR($CH135)&gt;2018,($BO$4-$BI$4)*$AQ135/($CH135-$CG135),0)</f>
        <v>0</v>
      </c>
      <c r="AB135" s="406">
        <f>IF(YEAR($CH135)&gt;2018,($BO$4-$BI$4)*$AS135/($CH135-$CG135),0)</f>
        <v>56331.089416058392</v>
      </c>
      <c r="AC135" s="572">
        <f>IF(YEAR($CH135)&gt;2018,($CH135-$BO$4)*$AI135/($CH135-$CG135),0)</f>
        <v>113297.66452554744</v>
      </c>
      <c r="AD135" s="422">
        <f>IF(YEAR($CH135)&gt;2018,($CH135-$BO$4)*$AK135/($CH135-$CG135),0)</f>
        <v>8497.3256934306573</v>
      </c>
      <c r="AE135" s="422">
        <f>IF(YEAR($CH135)&gt;2018,($CH135-$BO$4)*$AM135/($CH135-$CG135),0)</f>
        <v>8497.3256934306573</v>
      </c>
      <c r="AF135" s="422">
        <f>IF(YEAR($CH135)&gt;2018,($CH135-$BO$4)*$AO135/($CH135-$CG135),0)</f>
        <v>0</v>
      </c>
      <c r="AG135" s="422">
        <f>IF(YEAR($CH135)&gt;2018,($CH135-$BO$4)*$AQ135/($CH135-$CG135),0)</f>
        <v>0</v>
      </c>
      <c r="AH135" s="406">
        <f>IF(YEAR($CH135)&gt;2018,($CH135-$BO$4)*$AS135/($CH135-$CG135),0)</f>
        <v>96303.013138686132</v>
      </c>
      <c r="AI135" s="1188">
        <f>SUM('3 pr-2'!L136)</f>
        <v>198997.18</v>
      </c>
      <c r="AJ135" s="52"/>
      <c r="AK135" s="389">
        <f>SUM('3 pr-2'!O136)</f>
        <v>14924.79</v>
      </c>
      <c r="AL135" s="389"/>
      <c r="AM135" s="389">
        <f>SUM('3 pr-2'!R136)</f>
        <v>14924.79</v>
      </c>
      <c r="AN135" s="389"/>
      <c r="AO135" s="389">
        <f>SUM('3 pr-2'!U136)</f>
        <v>0</v>
      </c>
      <c r="AP135" s="389"/>
      <c r="AQ135" s="389">
        <f>SUM('3 pr-2'!X136)</f>
        <v>0</v>
      </c>
      <c r="AR135" s="888"/>
      <c r="AS135" s="48">
        <f>SUM('3 pr-2'!AA136)</f>
        <v>169147.6</v>
      </c>
      <c r="AT135" s="820"/>
      <c r="AU135" s="24"/>
      <c r="AV135" s="25"/>
      <c r="AW135" s="25"/>
      <c r="AX135" s="392"/>
      <c r="AY135" s="392"/>
      <c r="AZ135" s="392"/>
      <c r="BA135" s="392"/>
      <c r="BB135" s="25"/>
      <c r="BC135" s="25"/>
      <c r="BD135" s="392"/>
      <c r="BE135" s="392"/>
      <c r="BF135" s="392"/>
      <c r="BG135" s="392"/>
      <c r="BH135" s="25"/>
      <c r="BI135" s="25"/>
      <c r="BJ135" s="392"/>
      <c r="BK135" s="392"/>
      <c r="BL135" s="392"/>
      <c r="BM135" s="392"/>
      <c r="BN135" s="25"/>
      <c r="BO135" s="25"/>
      <c r="BP135" s="392"/>
      <c r="BQ135" s="392"/>
      <c r="BR135" s="392"/>
      <c r="BS135" s="392"/>
      <c r="BT135" s="25"/>
      <c r="BU135" s="25"/>
      <c r="BV135" s="392"/>
      <c r="BW135" s="392"/>
      <c r="BX135" s="392"/>
      <c r="BY135" s="392"/>
      <c r="BZ135" s="25"/>
      <c r="CA135" s="25"/>
      <c r="CB135" s="392"/>
      <c r="CC135" s="392"/>
      <c r="CD135" s="392"/>
      <c r="CE135" s="392"/>
      <c r="CF135" s="554"/>
      <c r="CG135" s="566">
        <v>43358</v>
      </c>
      <c r="CH135" s="566">
        <v>44454</v>
      </c>
      <c r="CI135" s="561" t="str">
        <f>CONCATENATE(D135+J135+P135+V135+AB135+AH135)</f>
        <v>169147,6</v>
      </c>
      <c r="CJ135" s="563">
        <f>SUM(CI135-AS135)</f>
        <v>0</v>
      </c>
      <c r="CK135" s="561"/>
      <c r="CL135" s="561"/>
      <c r="CM135" s="561"/>
      <c r="CN135" s="561"/>
      <c r="CO135" s="561"/>
      <c r="CP135" s="561"/>
      <c r="CQ135" s="561"/>
      <c r="CR135" s="561"/>
      <c r="CS135" s="561"/>
      <c r="CT135" s="429" t="e">
        <f t="shared" si="294"/>
        <v>#DIV/0!</v>
      </c>
    </row>
    <row r="136" spans="1:98" ht="24.75" thickBot="1" x14ac:dyDescent="0.3">
      <c r="A136" s="91" t="str">
        <f>CONCATENATE('3 pr-2'!A137)</f>
        <v>2.1.2.2.2</v>
      </c>
      <c r="B136" s="34" t="str">
        <f>CONCATENATE('3 pr-2'!D137)</f>
        <v>Mažais žingsneliais – sveikos gyvensenos link</v>
      </c>
      <c r="C136" s="51">
        <v>0</v>
      </c>
      <c r="D136" s="51">
        <v>0</v>
      </c>
      <c r="E136" s="51">
        <v>0</v>
      </c>
      <c r="F136" s="389">
        <v>0</v>
      </c>
      <c r="G136" s="389">
        <v>0</v>
      </c>
      <c r="H136" s="389">
        <v>0</v>
      </c>
      <c r="I136" s="389">
        <v>0</v>
      </c>
      <c r="J136" s="51">
        <v>0</v>
      </c>
      <c r="K136" s="51">
        <v>0</v>
      </c>
      <c r="L136" s="405">
        <v>0</v>
      </c>
      <c r="M136" s="405">
        <v>0</v>
      </c>
      <c r="N136" s="405">
        <v>0</v>
      </c>
      <c r="O136" s="405">
        <v>0</v>
      </c>
      <c r="P136" s="51">
        <v>0</v>
      </c>
      <c r="Q136" s="140">
        <f>IF(YEAR($CG136)=2018,($BI$4-$CG136)*$AI136/($CH136-$CG136))</f>
        <v>29128.178194254444</v>
      </c>
      <c r="R136" s="405">
        <f>IF(YEAR($CG136)=2018,($BI$4-$CG136)*$AK136/($CH136-$CG136))</f>
        <v>2184.6135841313271</v>
      </c>
      <c r="S136" s="405">
        <f>IF(YEAR($CG136)=2018,($BI$4-$CG136)*$AM136/($CH136-$CG136))</f>
        <v>2184.6135841313271</v>
      </c>
      <c r="T136" s="405">
        <f>IF(YEAR($CG136)=2018,($BI$4-$CG136)*$AO136/($CH136-$CG136))</f>
        <v>0</v>
      </c>
      <c r="U136" s="405">
        <f>IF(YEAR($CG136)=2018,($BI$4-$CG136)*$AQ136/($CH136-$CG136))</f>
        <v>0</v>
      </c>
      <c r="V136" s="406">
        <f>IF(YEAR($CG136)=2018,($BI$4-$CG136)*$AS136/($CH136-$CG136))</f>
        <v>24758.951025991792</v>
      </c>
      <c r="W136" s="140">
        <f>IF(YEAR($CH136)&gt;2018,($BO$4-$BI$4)*$AI136/($CH136-$CG136),0)</f>
        <v>99362.477017783865</v>
      </c>
      <c r="X136" s="422">
        <f>IF(YEAR($CH136)&gt;2018,($BO$4-$BI$4)*$AK136/($CH136-$CG136),0)</f>
        <v>7452.1865253077985</v>
      </c>
      <c r="Y136" s="422">
        <f>IF(YEAR($CH136)&gt;2018,($BO$4-$BI$4)*$AM136/($CH136-$CG136),0)</f>
        <v>7452.1865253077985</v>
      </c>
      <c r="Z136" s="422">
        <f t="shared" ref="Z136:Z139" si="296">IF(YEAR($CH136)&gt;2018,($BO$4-$BI$4)*$AO136/($CH136-$CG136),0)</f>
        <v>0</v>
      </c>
      <c r="AA136" s="422">
        <f t="shared" ref="AA136:AA139" si="297">IF(YEAR($CH136)&gt;2018,($BO$4-$BI$4)*$AQ136/($CH136-$CG136),0)</f>
        <v>0</v>
      </c>
      <c r="AB136" s="406">
        <f t="shared" ref="AB136:AB139" si="298">IF(YEAR($CH136)&gt;2018,($BO$4-$BI$4)*$AS136/($CH136-$CG136),0)</f>
        <v>84458.103967168267</v>
      </c>
      <c r="AC136" s="572">
        <f>IF(YEAR($CH136)&gt;2018,($CH136-$BO$4)*$AI136/($CH136-$CG136),0)</f>
        <v>70506.524787961695</v>
      </c>
      <c r="AD136" s="422">
        <f t="shared" ref="AD136:AD139" si="299">IF(YEAR($CH136)&gt;2018,($CH136-$BO$4)*$AK136/($CH136-$CG136),0)</f>
        <v>5287.9898905608761</v>
      </c>
      <c r="AE136" s="422">
        <f t="shared" ref="AE136:AE139" si="300">IF(YEAR($CH136)&gt;2018,($CH136-$BO$4)*$AM136/($CH136-$CG136),0)</f>
        <v>5287.9898905608761</v>
      </c>
      <c r="AF136" s="422">
        <f t="shared" ref="AF136:AF139" si="301">IF(YEAR($CH136)&gt;2018,($CH136-$BO$4)*$AO136/($CH136-$CG136),0)</f>
        <v>0</v>
      </c>
      <c r="AG136" s="422">
        <f t="shared" ref="AG136:AG139" si="302">IF(YEAR($CH136)&gt;2018,($CH136-$BO$4)*$AQ136/($CH136-$CG136),0)</f>
        <v>0</v>
      </c>
      <c r="AH136" s="406">
        <f t="shared" ref="AH136:AH139" si="303">IF(YEAR($CH136)&gt;2018,($CH136-$BO$4)*$AS136/($CH136-$CG136),0)</f>
        <v>59930.545006839944</v>
      </c>
      <c r="AI136" s="1188">
        <f>SUM('3 pr-2'!L137)</f>
        <v>198997.18</v>
      </c>
      <c r="AJ136" s="52"/>
      <c r="AK136" s="389">
        <f>SUM('3 pr-2'!O137)</f>
        <v>14924.79</v>
      </c>
      <c r="AL136" s="389"/>
      <c r="AM136" s="389">
        <f>SUM('3 pr-2'!R137)</f>
        <v>14924.79</v>
      </c>
      <c r="AN136" s="389"/>
      <c r="AO136" s="389">
        <f>SUM('3 pr-2'!U137)</f>
        <v>0</v>
      </c>
      <c r="AP136" s="389"/>
      <c r="AQ136" s="389">
        <f>SUM('3 pr-2'!X137)</f>
        <v>0</v>
      </c>
      <c r="AR136" s="888"/>
      <c r="AS136" s="48">
        <f>SUM('3 pr-2'!AA137)</f>
        <v>169147.6</v>
      </c>
      <c r="AT136" s="820"/>
      <c r="AU136" s="24"/>
      <c r="AV136" s="25"/>
      <c r="AW136" s="25"/>
      <c r="AX136" s="392"/>
      <c r="AY136" s="392"/>
      <c r="AZ136" s="392"/>
      <c r="BA136" s="392"/>
      <c r="BB136" s="25"/>
      <c r="BC136" s="25"/>
      <c r="BD136" s="392"/>
      <c r="BE136" s="392"/>
      <c r="BF136" s="392"/>
      <c r="BG136" s="392"/>
      <c r="BH136" s="25"/>
      <c r="BI136" s="25"/>
      <c r="BJ136" s="392"/>
      <c r="BK136" s="392"/>
      <c r="BL136" s="392"/>
      <c r="BM136" s="392"/>
      <c r="BN136" s="25"/>
      <c r="BO136" s="25"/>
      <c r="BP136" s="392"/>
      <c r="BQ136" s="392"/>
      <c r="BR136" s="392"/>
      <c r="BS136" s="392"/>
      <c r="BT136" s="25"/>
      <c r="BU136" s="25"/>
      <c r="BV136" s="392"/>
      <c r="BW136" s="392"/>
      <c r="BX136" s="392"/>
      <c r="BY136" s="392"/>
      <c r="BZ136" s="25"/>
      <c r="CA136" s="25"/>
      <c r="CB136" s="392"/>
      <c r="CC136" s="392"/>
      <c r="CD136" s="392"/>
      <c r="CE136" s="392"/>
      <c r="CF136" s="554"/>
      <c r="CG136" s="566">
        <v>43358</v>
      </c>
      <c r="CH136" s="566">
        <v>44089</v>
      </c>
      <c r="CI136" s="561" t="str">
        <f t="shared" ref="CI136:CI137" si="304">CONCATENATE(D136+J136+P136+V136+AB136+AH136)</f>
        <v>169147,6</v>
      </c>
      <c r="CJ136" s="563">
        <f t="shared" ref="CJ136:CJ137" si="305">SUM(CI136-AS136)</f>
        <v>0</v>
      </c>
      <c r="CK136" s="561"/>
      <c r="CL136" s="561"/>
      <c r="CM136" s="561"/>
      <c r="CN136" s="561"/>
      <c r="CO136" s="561"/>
      <c r="CP136" s="561"/>
      <c r="CQ136" s="561"/>
      <c r="CR136" s="561"/>
      <c r="CS136" s="561"/>
      <c r="CT136" s="429" t="e">
        <f t="shared" si="294"/>
        <v>#DIV/0!</v>
      </c>
    </row>
    <row r="137" spans="1:98" ht="24.75" thickBot="1" x14ac:dyDescent="0.3">
      <c r="A137" s="91" t="str">
        <f>CONCATENATE('3 pr-2'!A138)</f>
        <v>2.1.2.2.3</v>
      </c>
      <c r="B137" s="34" t="str">
        <f>CONCATENATE('3 pr-2'!D138)</f>
        <v>Sveikos gyvensenos skatinimas Varėnos rajono savivaldybėje</v>
      </c>
      <c r="C137" s="114">
        <v>0</v>
      </c>
      <c r="D137" s="114">
        <v>0</v>
      </c>
      <c r="E137" s="114">
        <v>0</v>
      </c>
      <c r="F137" s="389">
        <v>0</v>
      </c>
      <c r="G137" s="389">
        <v>0</v>
      </c>
      <c r="H137" s="389">
        <v>0</v>
      </c>
      <c r="I137" s="389">
        <v>0</v>
      </c>
      <c r="J137" s="114">
        <v>0</v>
      </c>
      <c r="K137" s="114">
        <v>0</v>
      </c>
      <c r="L137" s="405">
        <v>0</v>
      </c>
      <c r="M137" s="405">
        <v>0</v>
      </c>
      <c r="N137" s="405">
        <v>0</v>
      </c>
      <c r="O137" s="405">
        <v>0</v>
      </c>
      <c r="P137" s="114">
        <v>0</v>
      </c>
      <c r="Q137" s="140">
        <f>IF(YEAR($CG137)=2018,($BI$4-$CG137)*$AI137/($CH137-$CG137))</f>
        <v>19427.644397810218</v>
      </c>
      <c r="R137" s="405">
        <f>IF(YEAR($CG137)=2018,($BI$4-$CG137)*$AK137/($CH137-$CG137))</f>
        <v>1457.0734762773723</v>
      </c>
      <c r="S137" s="405">
        <f>IF(YEAR($CG137)=2018,($BI$4-$CG137)*$AM137/($CH137-$CG137))</f>
        <v>1457.0734762773723</v>
      </c>
      <c r="T137" s="405">
        <f>IF(YEAR($CG137)=2018,($BI$4-$CG137)*$AO137/($CH137-$CG137))</f>
        <v>0</v>
      </c>
      <c r="U137" s="405">
        <f>IF(YEAR($CG137)=2018,($BI$4-$CG137)*$AQ137/($CH137-$CG137))</f>
        <v>0</v>
      </c>
      <c r="V137" s="406">
        <f>IF(YEAR($CG137)=2018,($BI$4-$CG137)*$AS137/($CH137-$CG137))</f>
        <v>16513.497445255474</v>
      </c>
      <c r="W137" s="140">
        <f>IF(YEAR($CH137)&gt;2018,($BO$4-$BI$4)*$AI137/($CH137-$CG137),0)</f>
        <v>66271.871076642332</v>
      </c>
      <c r="X137" s="422">
        <f>IF(YEAR($CH137)&gt;2018,($BO$4-$BI$4)*$AK137/($CH137-$CG137),0)</f>
        <v>4970.3908302919717</v>
      </c>
      <c r="Y137" s="422">
        <f>IF(YEAR($CH137)&gt;2018,($BO$4-$BI$4)*$AM137/($CH137-$CG137),0)</f>
        <v>4970.3908302919717</v>
      </c>
      <c r="Z137" s="422">
        <f t="shared" si="296"/>
        <v>0</v>
      </c>
      <c r="AA137" s="422">
        <f t="shared" si="297"/>
        <v>0</v>
      </c>
      <c r="AB137" s="406">
        <f t="shared" si="298"/>
        <v>56331.089416058392</v>
      </c>
      <c r="AC137" s="572">
        <f>IF(YEAR($CH137)&gt;2018,($CH137-$BO$4)*$AI137/($CH137-$CG137),0)</f>
        <v>113297.66452554744</v>
      </c>
      <c r="AD137" s="422">
        <f t="shared" si="299"/>
        <v>8497.3256934306573</v>
      </c>
      <c r="AE137" s="422">
        <f t="shared" si="300"/>
        <v>8497.3256934306573</v>
      </c>
      <c r="AF137" s="422">
        <f t="shared" si="301"/>
        <v>0</v>
      </c>
      <c r="AG137" s="422">
        <f t="shared" si="302"/>
        <v>0</v>
      </c>
      <c r="AH137" s="406">
        <f t="shared" si="303"/>
        <v>96303.013138686132</v>
      </c>
      <c r="AI137" s="1190">
        <f>SUM('3 pr-2'!L138)</f>
        <v>198997.18</v>
      </c>
      <c r="AJ137" s="137"/>
      <c r="AK137" s="389">
        <f>SUM('3 pr-2'!O138)</f>
        <v>14924.79</v>
      </c>
      <c r="AL137" s="389"/>
      <c r="AM137" s="389">
        <f>SUM('3 pr-2'!R138)</f>
        <v>14924.79</v>
      </c>
      <c r="AN137" s="389"/>
      <c r="AO137" s="389">
        <f>SUM('3 pr-2'!U138)</f>
        <v>0</v>
      </c>
      <c r="AP137" s="389"/>
      <c r="AQ137" s="389">
        <f>SUM('3 pr-2'!X138)</f>
        <v>0</v>
      </c>
      <c r="AR137" s="888"/>
      <c r="AS137" s="168">
        <f>SUM('3 pr-2'!AA138)</f>
        <v>169147.6</v>
      </c>
      <c r="AT137" s="822"/>
      <c r="AU137" s="24"/>
      <c r="AV137" s="25"/>
      <c r="AW137" s="25"/>
      <c r="AX137" s="392"/>
      <c r="AY137" s="392"/>
      <c r="AZ137" s="392"/>
      <c r="BA137" s="392"/>
      <c r="BB137" s="25"/>
      <c r="BC137" s="25"/>
      <c r="BD137" s="392"/>
      <c r="BE137" s="392"/>
      <c r="BF137" s="392"/>
      <c r="BG137" s="392"/>
      <c r="BH137" s="25"/>
      <c r="BI137" s="25"/>
      <c r="BJ137" s="392"/>
      <c r="BK137" s="392"/>
      <c r="BL137" s="392"/>
      <c r="BM137" s="392"/>
      <c r="BN137" s="25"/>
      <c r="BO137" s="25"/>
      <c r="BP137" s="392"/>
      <c r="BQ137" s="392"/>
      <c r="BR137" s="392"/>
      <c r="BS137" s="392"/>
      <c r="BT137" s="25"/>
      <c r="BU137" s="25"/>
      <c r="BV137" s="391"/>
      <c r="BW137" s="391"/>
      <c r="BX137" s="391"/>
      <c r="BY137" s="391"/>
      <c r="BZ137" s="25"/>
      <c r="CA137" s="25"/>
      <c r="CB137" s="391"/>
      <c r="CC137" s="391"/>
      <c r="CD137" s="391"/>
      <c r="CE137" s="391"/>
      <c r="CF137" s="554"/>
      <c r="CG137" s="566">
        <v>43358</v>
      </c>
      <c r="CH137" s="566">
        <v>44454</v>
      </c>
      <c r="CI137" s="561" t="str">
        <f t="shared" si="304"/>
        <v>169147,6</v>
      </c>
      <c r="CJ137" s="563">
        <f t="shared" si="305"/>
        <v>0</v>
      </c>
      <c r="CK137" s="561"/>
      <c r="CL137" s="561"/>
      <c r="CM137" s="561"/>
      <c r="CN137" s="561"/>
      <c r="CO137" s="561"/>
      <c r="CP137" s="561"/>
      <c r="CQ137" s="561"/>
      <c r="CR137" s="561"/>
      <c r="CS137" s="561"/>
      <c r="CT137" s="429" t="e">
        <f t="shared" si="294"/>
        <v>#DIV/0!</v>
      </c>
    </row>
    <row r="138" spans="1:98" ht="16.5" thickBot="1" x14ac:dyDescent="0.3">
      <c r="A138" s="91" t="str">
        <f>CONCATENATE('3 pr-2'!A139)</f>
        <v>2.1.2.2.4.</v>
      </c>
      <c r="B138" s="34" t="str">
        <f>CONCATENATE('3 pr-2'!D139)</f>
        <v>Sveika bendruomenė – stipri visuomenė</v>
      </c>
      <c r="C138" s="114">
        <v>0</v>
      </c>
      <c r="D138" s="114">
        <v>0</v>
      </c>
      <c r="E138" s="114">
        <v>0</v>
      </c>
      <c r="F138" s="389">
        <v>0</v>
      </c>
      <c r="G138" s="389">
        <v>0</v>
      </c>
      <c r="H138" s="389">
        <v>0</v>
      </c>
      <c r="I138" s="389">
        <v>0</v>
      </c>
      <c r="J138" s="114">
        <v>0</v>
      </c>
      <c r="K138" s="114">
        <v>0</v>
      </c>
      <c r="L138" s="405">
        <v>0</v>
      </c>
      <c r="M138" s="405">
        <v>0</v>
      </c>
      <c r="N138" s="405">
        <v>0</v>
      </c>
      <c r="O138" s="405">
        <v>0</v>
      </c>
      <c r="P138" s="114">
        <v>0</v>
      </c>
      <c r="Q138" s="140">
        <f>IF(YEAR($CG138)=2018,($BI$4-$CG138)*$AI138/($CH138-$CG138))</f>
        <v>19427.644397810218</v>
      </c>
      <c r="R138" s="405">
        <f t="shared" ref="R138:R139" si="306">IF(YEAR($CG138)=2018,($BI$4-$CG138)*$AK138/($CH138-$CG138))</f>
        <v>1457.0734762773723</v>
      </c>
      <c r="S138" s="405">
        <f t="shared" ref="S138:S139" si="307">IF(YEAR($CG138)=2018,($BI$4-$CG138)*$AM138/($CH138-$CG138))</f>
        <v>1457.0734762773723</v>
      </c>
      <c r="T138" s="405">
        <f t="shared" ref="T138:T139" si="308">IF(YEAR($CG138)=2018,($BI$4-$CG138)*$AO138/($CH138-$CG138))</f>
        <v>0</v>
      </c>
      <c r="U138" s="405">
        <f t="shared" ref="U138:U139" si="309">IF(YEAR($CG138)=2018,($BI$4-$CG138)*$AQ138/($CH138-$CG138))</f>
        <v>0</v>
      </c>
      <c r="V138" s="406">
        <f t="shared" ref="V138:V139" si="310">IF(YEAR($CG138)=2018,($BI$4-$CG138)*$AS138/($CH138-$CG138))</f>
        <v>16513.497445255474</v>
      </c>
      <c r="W138" s="140">
        <f t="shared" ref="W138:W139" si="311">IF(YEAR($CH138)&gt;2018,($BO$4-$BI$4)*$AI138/($CH138-$CG138),0)</f>
        <v>66271.871076642332</v>
      </c>
      <c r="X138" s="422">
        <f t="shared" ref="X138:X139" si="312">IF(YEAR($CH138)&gt;2018,($BO$4-$BI$4)*$AK138/($CH138-$CG138),0)</f>
        <v>4970.3908302919717</v>
      </c>
      <c r="Y138" s="422">
        <f t="shared" ref="Y138:Y139" si="313">IF(YEAR($CH138)&gt;2018,($BO$4-$BI$4)*$AM138/($CH138-$CG138),0)</f>
        <v>4970.3908302919717</v>
      </c>
      <c r="Z138" s="422">
        <f t="shared" si="296"/>
        <v>0</v>
      </c>
      <c r="AA138" s="422">
        <f t="shared" si="297"/>
        <v>0</v>
      </c>
      <c r="AB138" s="406">
        <f t="shared" si="298"/>
        <v>56331.089416058392</v>
      </c>
      <c r="AC138" s="572">
        <f t="shared" ref="AC138:AC139" si="314">IF(YEAR($CH138)&gt;2018,($CH138-$BO$4)*$AI138/($CH138-$CG138),0)</f>
        <v>113297.66452554744</v>
      </c>
      <c r="AD138" s="422">
        <f t="shared" si="299"/>
        <v>8497.3256934306573</v>
      </c>
      <c r="AE138" s="422">
        <f t="shared" si="300"/>
        <v>8497.3256934306573</v>
      </c>
      <c r="AF138" s="422">
        <f t="shared" si="301"/>
        <v>0</v>
      </c>
      <c r="AG138" s="422">
        <f t="shared" si="302"/>
        <v>0</v>
      </c>
      <c r="AH138" s="406">
        <f t="shared" si="303"/>
        <v>96303.013138686132</v>
      </c>
      <c r="AI138" s="1190">
        <f>SUM('3 pr-2'!L139)</f>
        <v>198997.18</v>
      </c>
      <c r="AJ138" s="137"/>
      <c r="AK138" s="389">
        <f>SUM('3 pr-2'!O139)</f>
        <v>14924.79</v>
      </c>
      <c r="AL138" s="389"/>
      <c r="AM138" s="389">
        <f>SUM('3 pr-2'!R139)</f>
        <v>14924.79</v>
      </c>
      <c r="AN138" s="389"/>
      <c r="AO138" s="389">
        <f>SUM('3 pr-2'!U139)</f>
        <v>0</v>
      </c>
      <c r="AP138" s="389"/>
      <c r="AQ138" s="389">
        <f>SUM('3 pr-2'!X139)</f>
        <v>0</v>
      </c>
      <c r="AR138" s="888"/>
      <c r="AS138" s="168">
        <f>SUM('3 pr-2'!AA139)</f>
        <v>169147.6</v>
      </c>
      <c r="AT138" s="822"/>
      <c r="AU138" s="24"/>
      <c r="AV138" s="25"/>
      <c r="AW138" s="25"/>
      <c r="AX138" s="392"/>
      <c r="AY138" s="392"/>
      <c r="AZ138" s="392"/>
      <c r="BA138" s="392"/>
      <c r="BB138" s="25"/>
      <c r="BC138" s="25"/>
      <c r="BD138" s="392"/>
      <c r="BE138" s="392"/>
      <c r="BF138" s="392"/>
      <c r="BG138" s="392"/>
      <c r="BH138" s="25"/>
      <c r="BI138" s="25"/>
      <c r="BJ138" s="392"/>
      <c r="BK138" s="392"/>
      <c r="BL138" s="392"/>
      <c r="BM138" s="392"/>
      <c r="BN138" s="25"/>
      <c r="BO138" s="25"/>
      <c r="BP138" s="392"/>
      <c r="BQ138" s="392"/>
      <c r="BR138" s="392"/>
      <c r="BS138" s="392"/>
      <c r="BT138" s="25"/>
      <c r="BU138" s="25"/>
      <c r="BV138" s="391"/>
      <c r="BW138" s="391"/>
      <c r="BX138" s="391"/>
      <c r="BY138" s="391"/>
      <c r="BZ138" s="25"/>
      <c r="CA138" s="25"/>
      <c r="CB138" s="391"/>
      <c r="CC138" s="391"/>
      <c r="CD138" s="391"/>
      <c r="CE138" s="391"/>
      <c r="CF138" s="558"/>
      <c r="CG138" s="566">
        <v>43358</v>
      </c>
      <c r="CH138" s="566">
        <v>44454</v>
      </c>
      <c r="CI138" s="561"/>
      <c r="CJ138" s="561"/>
      <c r="CK138" s="561"/>
    </row>
    <row r="139" spans="1:98" ht="24.75" thickBot="1" x14ac:dyDescent="0.3">
      <c r="A139" s="91" t="str">
        <f>CONCATENATE('3 pr-2'!A140)</f>
        <v>2.1.2.2.5</v>
      </c>
      <c r="B139" s="34" t="str">
        <f>CONCATENATE('3 pr-2'!D140)</f>
        <v>Sveikos gyvensenos skatinimas Lazdijų rajono savivaldybėje</v>
      </c>
      <c r="C139" s="114">
        <v>0</v>
      </c>
      <c r="D139" s="114">
        <v>0</v>
      </c>
      <c r="E139" s="114">
        <v>0</v>
      </c>
      <c r="F139" s="389">
        <v>0</v>
      </c>
      <c r="G139" s="389">
        <v>0</v>
      </c>
      <c r="H139" s="389">
        <v>0</v>
      </c>
      <c r="I139" s="389">
        <v>0</v>
      </c>
      <c r="J139" s="114">
        <v>0</v>
      </c>
      <c r="K139" s="114">
        <v>0</v>
      </c>
      <c r="L139" s="405">
        <v>0</v>
      </c>
      <c r="M139" s="405">
        <v>0</v>
      </c>
      <c r="N139" s="405">
        <v>0</v>
      </c>
      <c r="O139" s="405">
        <v>0</v>
      </c>
      <c r="P139" s="114">
        <v>0</v>
      </c>
      <c r="Q139" s="140">
        <f>IF(YEAR($CG139)=2018,($BI$4-$CG139)*$AI139/($CH139-$CG139))</f>
        <v>19427.644397810218</v>
      </c>
      <c r="R139" s="405">
        <f t="shared" si="306"/>
        <v>1457.0734762773723</v>
      </c>
      <c r="S139" s="405">
        <f t="shared" si="307"/>
        <v>1457.0734762773723</v>
      </c>
      <c r="T139" s="405">
        <f t="shared" si="308"/>
        <v>0</v>
      </c>
      <c r="U139" s="405">
        <f t="shared" si="309"/>
        <v>0</v>
      </c>
      <c r="V139" s="406">
        <f t="shared" si="310"/>
        <v>16513.497445255474</v>
      </c>
      <c r="W139" s="140">
        <f t="shared" si="311"/>
        <v>66271.871076642332</v>
      </c>
      <c r="X139" s="422">
        <f t="shared" si="312"/>
        <v>4970.3908302919717</v>
      </c>
      <c r="Y139" s="422">
        <f t="shared" si="313"/>
        <v>4970.3908302919717</v>
      </c>
      <c r="Z139" s="422">
        <f t="shared" si="296"/>
        <v>0</v>
      </c>
      <c r="AA139" s="422">
        <f t="shared" si="297"/>
        <v>0</v>
      </c>
      <c r="AB139" s="406">
        <f t="shared" si="298"/>
        <v>56331.089416058392</v>
      </c>
      <c r="AC139" s="572">
        <f t="shared" si="314"/>
        <v>113297.66452554744</v>
      </c>
      <c r="AD139" s="422">
        <f t="shared" si="299"/>
        <v>8497.3256934306573</v>
      </c>
      <c r="AE139" s="422">
        <f t="shared" si="300"/>
        <v>8497.3256934306573</v>
      </c>
      <c r="AF139" s="422">
        <f t="shared" si="301"/>
        <v>0</v>
      </c>
      <c r="AG139" s="422">
        <f t="shared" si="302"/>
        <v>0</v>
      </c>
      <c r="AH139" s="406">
        <f t="shared" si="303"/>
        <v>96303.013138686132</v>
      </c>
      <c r="AI139" s="1190">
        <f>SUM('3 pr-2'!L140)</f>
        <v>198997.18</v>
      </c>
      <c r="AJ139" s="137"/>
      <c r="AK139" s="389">
        <f>SUM('3 pr-2'!O140)</f>
        <v>14924.79</v>
      </c>
      <c r="AL139" s="389"/>
      <c r="AM139" s="389">
        <f>SUM('3 pr-2'!R140)</f>
        <v>14924.79</v>
      </c>
      <c r="AN139" s="389"/>
      <c r="AO139" s="389">
        <f>SUM('3 pr-2'!U140)</f>
        <v>0</v>
      </c>
      <c r="AP139" s="389"/>
      <c r="AQ139" s="389">
        <f>SUM('3 pr-2'!X140)</f>
        <v>0</v>
      </c>
      <c r="AR139" s="888"/>
      <c r="AS139" s="168">
        <f>SUM('3 pr-2'!AA140)</f>
        <v>169147.6</v>
      </c>
      <c r="AT139" s="822"/>
      <c r="AU139" s="24"/>
      <c r="AV139" s="25"/>
      <c r="AW139" s="25"/>
      <c r="AX139" s="392"/>
      <c r="AY139" s="392"/>
      <c r="AZ139" s="392"/>
      <c r="BA139" s="392"/>
      <c r="BB139" s="25"/>
      <c r="BC139" s="25"/>
      <c r="BD139" s="392"/>
      <c r="BE139" s="392"/>
      <c r="BF139" s="392"/>
      <c r="BG139" s="392"/>
      <c r="BH139" s="25"/>
      <c r="BI139" s="25"/>
      <c r="BJ139" s="392"/>
      <c r="BK139" s="392"/>
      <c r="BL139" s="392"/>
      <c r="BM139" s="392"/>
      <c r="BN139" s="25"/>
      <c r="BO139" s="25"/>
      <c r="BP139" s="392"/>
      <c r="BQ139" s="392"/>
      <c r="BR139" s="392"/>
      <c r="BS139" s="392"/>
      <c r="BT139" s="25"/>
      <c r="BU139" s="25"/>
      <c r="BV139" s="391"/>
      <c r="BW139" s="391"/>
      <c r="BX139" s="391"/>
      <c r="BY139" s="391"/>
      <c r="BZ139" s="25"/>
      <c r="CA139" s="25"/>
      <c r="CB139" s="391"/>
      <c r="CC139" s="391"/>
      <c r="CD139" s="391"/>
      <c r="CE139" s="391"/>
      <c r="CF139" s="558"/>
      <c r="CG139" s="566">
        <v>43358</v>
      </c>
      <c r="CH139" s="566">
        <v>44454</v>
      </c>
      <c r="CI139" s="561"/>
      <c r="CJ139" s="561"/>
      <c r="CK139" s="561"/>
    </row>
    <row r="140" spans="1:98" ht="16.5" thickBot="1" x14ac:dyDescent="0.3">
      <c r="A140" s="383" t="str">
        <f>CONCATENATE('3 pr-2'!A141)</f>
        <v>2.1.2.3</v>
      </c>
      <c r="B140" s="182" t="str">
        <f>CONCATENATE('3 pr-2'!D141)</f>
        <v/>
      </c>
      <c r="C140" s="113">
        <f>SUM(C141:C145)</f>
        <v>0</v>
      </c>
      <c r="D140" s="113">
        <f t="shared" ref="D140:AT140" si="315">SUM(D141:D145)</f>
        <v>0</v>
      </c>
      <c r="E140" s="113">
        <f t="shared" si="315"/>
        <v>0</v>
      </c>
      <c r="F140" s="113">
        <f t="shared" si="315"/>
        <v>0</v>
      </c>
      <c r="G140" s="113">
        <f t="shared" si="315"/>
        <v>0</v>
      </c>
      <c r="H140" s="113">
        <f t="shared" si="315"/>
        <v>0</v>
      </c>
      <c r="I140" s="113">
        <f t="shared" si="315"/>
        <v>0</v>
      </c>
      <c r="J140" s="113">
        <f t="shared" si="315"/>
        <v>0</v>
      </c>
      <c r="K140" s="113">
        <f t="shared" si="315"/>
        <v>0</v>
      </c>
      <c r="L140" s="113">
        <f t="shared" si="315"/>
        <v>0</v>
      </c>
      <c r="M140" s="113">
        <f t="shared" si="315"/>
        <v>0</v>
      </c>
      <c r="N140" s="113">
        <f t="shared" si="315"/>
        <v>0</v>
      </c>
      <c r="O140" s="113">
        <f t="shared" si="315"/>
        <v>0</v>
      </c>
      <c r="P140" s="113">
        <f t="shared" si="315"/>
        <v>0</v>
      </c>
      <c r="Q140" s="113">
        <f t="shared" si="315"/>
        <v>7197.271423445035</v>
      </c>
      <c r="R140" s="113">
        <f t="shared" si="315"/>
        <v>539.80336213266503</v>
      </c>
      <c r="S140" s="113">
        <f t="shared" si="315"/>
        <v>539.80238585529275</v>
      </c>
      <c r="T140" s="113">
        <f t="shared" si="315"/>
        <v>0</v>
      </c>
      <c r="U140" s="113">
        <f t="shared" si="315"/>
        <v>0</v>
      </c>
      <c r="V140" s="113">
        <f t="shared" si="315"/>
        <v>6117.6656754570795</v>
      </c>
      <c r="W140" s="113">
        <f t="shared" si="315"/>
        <v>24551.439902405964</v>
      </c>
      <c r="X140" s="113">
        <f t="shared" si="315"/>
        <v>1841.3853007329226</v>
      </c>
      <c r="Y140" s="113">
        <f t="shared" si="315"/>
        <v>1841.3819704409516</v>
      </c>
      <c r="Z140" s="113">
        <f t="shared" si="315"/>
        <v>0</v>
      </c>
      <c r="AA140" s="113">
        <f t="shared" si="315"/>
        <v>0</v>
      </c>
      <c r="AB140" s="113">
        <f t="shared" si="315"/>
        <v>20868.67263123209</v>
      </c>
      <c r="AC140" s="113">
        <f t="shared" si="315"/>
        <v>33463.938674149002</v>
      </c>
      <c r="AD140" s="113">
        <f t="shared" si="315"/>
        <v>2509.8413371344122</v>
      </c>
      <c r="AE140" s="113">
        <f t="shared" si="315"/>
        <v>2509.8356437037555</v>
      </c>
      <c r="AF140" s="113">
        <f t="shared" si="315"/>
        <v>0</v>
      </c>
      <c r="AG140" s="113">
        <f t="shared" si="315"/>
        <v>0</v>
      </c>
      <c r="AH140" s="113">
        <f t="shared" si="315"/>
        <v>28444.261693310833</v>
      </c>
      <c r="AI140" s="1173">
        <f t="shared" si="315"/>
        <v>65212.65</v>
      </c>
      <c r="AJ140" s="113">
        <f t="shared" si="315"/>
        <v>0</v>
      </c>
      <c r="AK140" s="113">
        <f t="shared" si="315"/>
        <v>4891.03</v>
      </c>
      <c r="AL140" s="113">
        <f t="shared" si="315"/>
        <v>0</v>
      </c>
      <c r="AM140" s="113">
        <f t="shared" si="315"/>
        <v>4891.0199999999995</v>
      </c>
      <c r="AN140" s="113">
        <f t="shared" si="315"/>
        <v>0</v>
      </c>
      <c r="AO140" s="113">
        <f t="shared" si="315"/>
        <v>0</v>
      </c>
      <c r="AP140" s="113">
        <f t="shared" si="315"/>
        <v>0</v>
      </c>
      <c r="AQ140" s="113">
        <f t="shared" si="315"/>
        <v>0</v>
      </c>
      <c r="AR140" s="113"/>
      <c r="AS140" s="113">
        <f t="shared" si="315"/>
        <v>55430.6</v>
      </c>
      <c r="AT140" s="113">
        <f t="shared" si="315"/>
        <v>0</v>
      </c>
      <c r="AU140" s="24">
        <v>0</v>
      </c>
      <c r="AV140" s="25">
        <v>0</v>
      </c>
      <c r="AW140" s="25">
        <v>0</v>
      </c>
      <c r="AX140" s="113">
        <v>0</v>
      </c>
      <c r="AY140" s="113">
        <v>0</v>
      </c>
      <c r="AZ140" s="113">
        <v>0</v>
      </c>
      <c r="BA140" s="113">
        <v>0</v>
      </c>
      <c r="BB140" s="25">
        <v>0</v>
      </c>
      <c r="BC140" s="25">
        <v>50</v>
      </c>
      <c r="BD140" s="113">
        <v>50</v>
      </c>
      <c r="BE140" s="113">
        <v>50</v>
      </c>
      <c r="BF140" s="113">
        <v>50</v>
      </c>
      <c r="BG140" s="113">
        <v>50</v>
      </c>
      <c r="BH140" s="25">
        <v>50</v>
      </c>
      <c r="BI140" s="25">
        <v>50</v>
      </c>
      <c r="BJ140" s="113">
        <v>50</v>
      </c>
      <c r="BK140" s="113">
        <v>50</v>
      </c>
      <c r="BL140" s="113">
        <v>50</v>
      </c>
      <c r="BM140" s="113">
        <v>50</v>
      </c>
      <c r="BN140" s="25">
        <v>50</v>
      </c>
      <c r="BO140" s="25">
        <v>0</v>
      </c>
      <c r="BP140" s="113">
        <v>0</v>
      </c>
      <c r="BQ140" s="113">
        <v>0</v>
      </c>
      <c r="BR140" s="113">
        <v>0</v>
      </c>
      <c r="BS140" s="113">
        <v>0</v>
      </c>
      <c r="BT140" s="25">
        <v>0</v>
      </c>
      <c r="BU140" s="25">
        <v>0</v>
      </c>
      <c r="BV140" s="113">
        <v>0</v>
      </c>
      <c r="BW140" s="113">
        <v>0</v>
      </c>
      <c r="BX140" s="113">
        <v>0</v>
      </c>
      <c r="BY140" s="113">
        <v>0</v>
      </c>
      <c r="BZ140" s="25">
        <v>0</v>
      </c>
      <c r="CA140" s="25">
        <v>100</v>
      </c>
      <c r="CB140" s="113">
        <v>100</v>
      </c>
      <c r="CC140" s="113">
        <v>100</v>
      </c>
      <c r="CD140" s="113">
        <v>100</v>
      </c>
      <c r="CE140" s="113">
        <v>100</v>
      </c>
      <c r="CF140" s="554">
        <v>100</v>
      </c>
      <c r="CG140" s="561"/>
      <c r="CH140" s="561"/>
    </row>
    <row r="141" spans="1:98" ht="60.75" thickBot="1" x14ac:dyDescent="0.3">
      <c r="A141" s="91" t="str">
        <f>CONCATENATE('3 pr-2'!A142)</f>
        <v>2.1.2.3.1</v>
      </c>
      <c r="B141" s="34" t="str">
        <f>CONCATENATE('3 pr-2'!D142)</f>
        <v>Priemonių gerinančių ambulatorinių sveikatos priežiūros paslaugų prieinamumą tuberkulioze sergantiems asmenims, Alytaus rajone įgyvendinimas</v>
      </c>
      <c r="C141" s="51">
        <v>0</v>
      </c>
      <c r="D141" s="51">
        <v>0</v>
      </c>
      <c r="E141" s="51">
        <v>0</v>
      </c>
      <c r="F141" s="389">
        <v>0</v>
      </c>
      <c r="G141" s="389">
        <v>0</v>
      </c>
      <c r="H141" s="389">
        <v>0</v>
      </c>
      <c r="I141" s="389">
        <v>0</v>
      </c>
      <c r="J141" s="51">
        <v>0</v>
      </c>
      <c r="K141" s="51">
        <v>0</v>
      </c>
      <c r="L141" s="405">
        <v>0</v>
      </c>
      <c r="M141" s="405">
        <v>0</v>
      </c>
      <c r="N141" s="405">
        <v>0</v>
      </c>
      <c r="O141" s="405">
        <v>0</v>
      </c>
      <c r="P141" s="51">
        <v>0</v>
      </c>
      <c r="Q141" s="140">
        <f>IF(YEAR($CG141)=2018,($BI$4-$CG141)*$AI141/($CH141-$CG141))</f>
        <v>1020.4968795620439</v>
      </c>
      <c r="R141" s="405">
        <f>IF(YEAR($CG141)=2018,($BI$4-$CG141)*$AK141/($CH141-$CG141))</f>
        <v>76.537217153284672</v>
      </c>
      <c r="S141" s="405">
        <f>IF(YEAR($CG141)=2018,($BI$4-$CG141)*$AM141/($CH141-$CG141))</f>
        <v>76.537217153284672</v>
      </c>
      <c r="T141" s="405">
        <f>IF(YEAR($CG141)=2018,($BI$4-$CG141)*$AO141/($CH141-$CG141))</f>
        <v>0</v>
      </c>
      <c r="U141" s="405">
        <f>IF(YEAR($CG141)=2018,($BI$4-$CG141)*$AQ141/($CH141-$CG141))</f>
        <v>0</v>
      </c>
      <c r="V141" s="406">
        <f>IF(YEAR($CG141)=2018,($BI$4-$CG141)*$AS141/($CH141-$CG141))</f>
        <v>867.42244525547449</v>
      </c>
      <c r="W141" s="140">
        <f>IF(YEAR($CH141)&gt;2018,($BO$4-$BI$4)*$AI141/($CH141-$CG141),0)</f>
        <v>3481.1342153284672</v>
      </c>
      <c r="X141" s="422">
        <f>IF(YEAR($CH141)&gt;2018,($BO$4-$BI$4)*$AK141/($CH141-$CG141),0)</f>
        <v>261.08489963503649</v>
      </c>
      <c r="Y141" s="422">
        <f>IF(YEAR($CH141)&gt;2018,($BO$4-$BI$4)*$AM141/($CH141-$CG141),0)</f>
        <v>261.08489963503649</v>
      </c>
      <c r="Z141" s="422">
        <f>IF(YEAR($CH141)&gt;2018,($BO$4-$BI$4)*$AO141/($CH141-$CG141),0)</f>
        <v>0</v>
      </c>
      <c r="AA141" s="422">
        <f>IF(YEAR($CH141)&gt;2018,($BO$4-$BI$4)*$AQ141/($CH141-$CG141),0)</f>
        <v>0</v>
      </c>
      <c r="AB141" s="406">
        <f>IF(YEAR($CH141)&gt;2018,($BO$4-$BI$4)*$AS141/($CH141-$CG141),0)</f>
        <v>2958.9644160583944</v>
      </c>
      <c r="AC141" s="572">
        <f>IF(YEAR($CH141)&gt;2018,($CH141-$BO$4)*$AI141/($CH141-$CG141),0)</f>
        <v>5951.3089051094894</v>
      </c>
      <c r="AD141" s="422">
        <f>IF(YEAR($CH141)&gt;2018,($CH141-$BO$4)*$AK141/($CH141-$CG141),0)</f>
        <v>446.34788321167883</v>
      </c>
      <c r="AE141" s="422">
        <f>IF(YEAR($CH141)&gt;2018,($CH141-$BO$4)*$AM141/($CH141-$CG141),0)</f>
        <v>446.34788321167883</v>
      </c>
      <c r="AF141" s="422">
        <f>IF(YEAR($CH141)&gt;2018,($CH141-$BO$4)*$AO141/($CH141-$CG141),0)</f>
        <v>0</v>
      </c>
      <c r="AG141" s="422">
        <f>IF(YEAR($CH141)&gt;2018,($CH141-$BO$4)*$AQ141/($CH141-$CG141),0)</f>
        <v>0</v>
      </c>
      <c r="AH141" s="406">
        <f>IF(YEAR($CH141)&gt;2018,($CH141-$BO$4)*$AS141/($CH141-$CG141),0)</f>
        <v>5058.6131386861316</v>
      </c>
      <c r="AI141" s="1188">
        <f>SUM('3 pr-2'!L142)</f>
        <v>10452.94</v>
      </c>
      <c r="AJ141" s="52"/>
      <c r="AK141" s="389">
        <f>SUM('3 pr-2'!O142)</f>
        <v>783.97</v>
      </c>
      <c r="AL141" s="389"/>
      <c r="AM141" s="389">
        <f>SUM('3 pr-2'!R142)</f>
        <v>783.97</v>
      </c>
      <c r="AN141" s="389"/>
      <c r="AO141" s="389">
        <f>SUM('3 pr-2'!U142)</f>
        <v>0</v>
      </c>
      <c r="AP141" s="389"/>
      <c r="AQ141" s="389">
        <f>SUM('3 pr-2'!X142)</f>
        <v>0</v>
      </c>
      <c r="AR141" s="888"/>
      <c r="AS141" s="48">
        <f>SUM('3 pr-2'!AA142)</f>
        <v>8885</v>
      </c>
      <c r="AT141" s="820"/>
      <c r="AU141" s="24"/>
      <c r="AV141" s="25"/>
      <c r="AW141" s="25"/>
      <c r="AX141" s="392"/>
      <c r="AY141" s="392"/>
      <c r="AZ141" s="392"/>
      <c r="BA141" s="392"/>
      <c r="BB141" s="25"/>
      <c r="BC141" s="25"/>
      <c r="BD141" s="392"/>
      <c r="BE141" s="392"/>
      <c r="BF141" s="392"/>
      <c r="BG141" s="392"/>
      <c r="BH141" s="25"/>
      <c r="BI141" s="25"/>
      <c r="BJ141" s="392"/>
      <c r="BK141" s="392"/>
      <c r="BL141" s="392"/>
      <c r="BM141" s="392"/>
      <c r="BN141" s="25"/>
      <c r="BO141" s="25"/>
      <c r="BP141" s="392"/>
      <c r="BQ141" s="392"/>
      <c r="BR141" s="392"/>
      <c r="BS141" s="392"/>
      <c r="BT141" s="25"/>
      <c r="BU141" s="25"/>
      <c r="BV141" s="392"/>
      <c r="BW141" s="392"/>
      <c r="BX141" s="392"/>
      <c r="BY141" s="392"/>
      <c r="BZ141" s="25"/>
      <c r="CA141" s="25"/>
      <c r="CB141" s="392"/>
      <c r="CC141" s="392"/>
      <c r="CD141" s="392"/>
      <c r="CE141" s="392"/>
      <c r="CF141" s="554"/>
      <c r="CG141" s="566">
        <v>43358</v>
      </c>
      <c r="CH141" s="566">
        <v>44454</v>
      </c>
      <c r="CI141" t="str">
        <f>CONCATENATE(D141+J141+P141+V141+AB141+AH141)</f>
        <v>8885</v>
      </c>
      <c r="CJ141" s="30">
        <f>SUM(CI141-AS141)</f>
        <v>0</v>
      </c>
    </row>
    <row r="142" spans="1:98" ht="36.75" thickBot="1" x14ac:dyDescent="0.3">
      <c r="A142" s="91" t="str">
        <f>CONCATENATE('3 pr-2'!A143)</f>
        <v>2.1.2.3.2</v>
      </c>
      <c r="B142" s="34" t="str">
        <f>CONCATENATE('3 pr-2'!D143)</f>
        <v>Ambulatorinių sveikatos priežiūros paslaugų gerinimas tuberkulioze sergantiems asmenims</v>
      </c>
      <c r="C142" s="51">
        <v>0</v>
      </c>
      <c r="D142" s="51">
        <v>0</v>
      </c>
      <c r="E142" s="51">
        <v>0</v>
      </c>
      <c r="F142" s="389">
        <v>0</v>
      </c>
      <c r="G142" s="389">
        <v>0</v>
      </c>
      <c r="H142" s="389">
        <v>0</v>
      </c>
      <c r="I142" s="389">
        <v>0</v>
      </c>
      <c r="J142" s="51">
        <v>0</v>
      </c>
      <c r="K142" s="51">
        <v>0</v>
      </c>
      <c r="L142" s="405">
        <v>0</v>
      </c>
      <c r="M142" s="405">
        <v>0</v>
      </c>
      <c r="N142" s="405">
        <v>0</v>
      </c>
      <c r="O142" s="405">
        <v>0</v>
      </c>
      <c r="P142" s="51">
        <v>0</v>
      </c>
      <c r="Q142" s="140">
        <f>IF(YEAR($CG142)=2018,($BI$4-$CG142)*$AI142/($CH142-$CG142))</f>
        <v>2494.3998084815321</v>
      </c>
      <c r="R142" s="405">
        <f>IF(YEAR($CG142)=2018,($BI$4-$CG142)*$AK142/($CH142-$CG142))</f>
        <v>187.08020519835841</v>
      </c>
      <c r="S142" s="405">
        <f>IF(YEAR($CG142)=2018,($BI$4-$CG142)*$AM142/($CH142-$CG142))</f>
        <v>187.08020519835841</v>
      </c>
      <c r="T142" s="405">
        <f>IF(YEAR($CG142)=2018,($BI$4-$CG142)*$AO142/($CH142-$CG142))</f>
        <v>0</v>
      </c>
      <c r="U142" s="405">
        <f>IF(YEAR($CG142)=2018,($BI$4-$CG142)*$AQ142/($CH142-$CG142))</f>
        <v>0</v>
      </c>
      <c r="V142" s="406">
        <f>IF(YEAR($CG142)=2018,($BI$4-$CG142)*$AS142/($CH142-$CG142))</f>
        <v>2120.2393980848155</v>
      </c>
      <c r="W142" s="140">
        <f>IF(YEAR($CH142)&gt;2018,($BO$4-$BI$4)*$AI142/($CH142-$CG142),0)</f>
        <v>8508.9339261285913</v>
      </c>
      <c r="X142" s="422">
        <f>IF(YEAR($CH142)&gt;2018,($BO$4-$BI$4)*$AK142/($CH142-$CG142),0)</f>
        <v>638.17079343365253</v>
      </c>
      <c r="Y142" s="422">
        <f>IF(YEAR($CH142)&gt;2018,($BO$4-$BI$4)*$AM142/($CH142-$CG142),0)</f>
        <v>638.17079343365253</v>
      </c>
      <c r="Z142" s="422">
        <f t="shared" ref="Z142:Z145" si="316">IF(YEAR($CH142)&gt;2018,($BO$4-$BI$4)*$AO142/($CH142-$CG142),0)</f>
        <v>0</v>
      </c>
      <c r="AA142" s="422">
        <f t="shared" ref="AA142:AA145" si="317">IF(YEAR($CH142)&gt;2018,($BO$4-$BI$4)*$AQ142/($CH142-$CG142),0)</f>
        <v>0</v>
      </c>
      <c r="AB142" s="406">
        <f t="shared" ref="AB142:AB145" si="318">IF(YEAR($CH142)&gt;2018,($BO$4-$BI$4)*$AS142/($CH142-$CG142),0)</f>
        <v>7232.5923392612858</v>
      </c>
      <c r="AC142" s="572">
        <f>IF(YEAR($CH142)&gt;2018,($CH142-$BO$4)*$AI142/($CH142-$CG142),0)</f>
        <v>6037.8462653898769</v>
      </c>
      <c r="AD142" s="422">
        <f t="shared" ref="AD142:AD145" si="319">IF(YEAR($CH142)&gt;2018,($CH142-$BO$4)*$AK142/($CH142-$CG142),0)</f>
        <v>452.83900136798906</v>
      </c>
      <c r="AE142" s="422">
        <f t="shared" ref="AE142:AE145" si="320">IF(YEAR($CH142)&gt;2018,($CH142-$BO$4)*$AM142/($CH142-$CG142),0)</f>
        <v>452.83900136798906</v>
      </c>
      <c r="AF142" s="422">
        <f t="shared" ref="AF142:AF145" si="321">IF(YEAR($CH142)&gt;2018,($CH142-$BO$4)*$AO142/($CH142-$CG142),0)</f>
        <v>0</v>
      </c>
      <c r="AG142" s="422">
        <f t="shared" ref="AG142:AG145" si="322">IF(YEAR($CH142)&gt;2018,($CH142-$BO$4)*$AQ142/($CH142-$CG142),0)</f>
        <v>0</v>
      </c>
      <c r="AH142" s="406">
        <f t="shared" ref="AH142:AH145" si="323">IF(YEAR($CH142)&gt;2018,($CH142-$BO$4)*$AS142/($CH142-$CG142),0)</f>
        <v>5132.1682626538986</v>
      </c>
      <c r="AI142" s="1188">
        <f>SUM('3 pr-2'!L143)</f>
        <v>17041.18</v>
      </c>
      <c r="AJ142" s="52"/>
      <c r="AK142" s="389">
        <f>SUM('3 pr-2'!O143)</f>
        <v>1278.0899999999999</v>
      </c>
      <c r="AL142" s="389"/>
      <c r="AM142" s="389">
        <f>SUM('3 pr-2'!R143)</f>
        <v>1278.0899999999999</v>
      </c>
      <c r="AN142" s="389"/>
      <c r="AO142" s="389">
        <f>SUM('3 pr-2'!U143)</f>
        <v>0</v>
      </c>
      <c r="AP142" s="389"/>
      <c r="AQ142" s="389">
        <f>SUM('3 pr-2'!X143)</f>
        <v>0</v>
      </c>
      <c r="AR142" s="888"/>
      <c r="AS142" s="48">
        <f>SUM('3 pr-2'!AA143)</f>
        <v>14485</v>
      </c>
      <c r="AT142" s="820"/>
      <c r="AU142" s="24"/>
      <c r="AV142" s="25"/>
      <c r="AW142" s="25"/>
      <c r="AX142" s="392"/>
      <c r="AY142" s="392"/>
      <c r="AZ142" s="392"/>
      <c r="BA142" s="392"/>
      <c r="BB142" s="25"/>
      <c r="BC142" s="25"/>
      <c r="BD142" s="392"/>
      <c r="BE142" s="392"/>
      <c r="BF142" s="392"/>
      <c r="BG142" s="392"/>
      <c r="BH142" s="25"/>
      <c r="BI142" s="25"/>
      <c r="BJ142" s="392"/>
      <c r="BK142" s="392"/>
      <c r="BL142" s="392"/>
      <c r="BM142" s="392"/>
      <c r="BN142" s="25"/>
      <c r="BO142" s="25"/>
      <c r="BP142" s="392"/>
      <c r="BQ142" s="392"/>
      <c r="BR142" s="392"/>
      <c r="BS142" s="392"/>
      <c r="BT142" s="25"/>
      <c r="BU142" s="25"/>
      <c r="BV142" s="392"/>
      <c r="BW142" s="392"/>
      <c r="BX142" s="392"/>
      <c r="BY142" s="392"/>
      <c r="BZ142" s="25"/>
      <c r="CA142" s="25"/>
      <c r="CB142" s="392"/>
      <c r="CC142" s="392"/>
      <c r="CD142" s="392"/>
      <c r="CE142" s="392"/>
      <c r="CF142" s="554"/>
      <c r="CG142" s="566">
        <v>43358</v>
      </c>
      <c r="CH142" s="566">
        <v>44089</v>
      </c>
      <c r="CI142" t="str">
        <f t="shared" ref="CI142:CI145" si="324">CONCATENATE(D142+J142+P142+V142+AB142+AH142)</f>
        <v>14485</v>
      </c>
      <c r="CJ142" s="30">
        <f t="shared" ref="CJ142:CJ143" si="325">SUM(CI142-AS142)</f>
        <v>0</v>
      </c>
    </row>
    <row r="143" spans="1:98" ht="36.75" thickBot="1" x14ac:dyDescent="0.3">
      <c r="A143" s="91" t="str">
        <f>CONCATENATE('3 pr-2'!A144)</f>
        <v>2.1.2.3.3</v>
      </c>
      <c r="B143" s="34" t="str">
        <f>CONCATENATE('3 pr-2'!D144)</f>
        <v xml:space="preserve">Paslaugų tuberkulioze sergantiems asmenims gerinimas Lazdijų rajono savivaldybėje </v>
      </c>
      <c r="C143" s="114">
        <v>0</v>
      </c>
      <c r="D143" s="114">
        <v>0</v>
      </c>
      <c r="E143" s="114">
        <v>0</v>
      </c>
      <c r="F143" s="389">
        <v>0</v>
      </c>
      <c r="G143" s="389">
        <v>0</v>
      </c>
      <c r="H143" s="389">
        <v>0</v>
      </c>
      <c r="I143" s="389">
        <v>0</v>
      </c>
      <c r="J143" s="114">
        <v>0</v>
      </c>
      <c r="K143" s="114">
        <v>0</v>
      </c>
      <c r="L143" s="405">
        <v>0</v>
      </c>
      <c r="M143" s="405">
        <v>0</v>
      </c>
      <c r="N143" s="405">
        <v>0</v>
      </c>
      <c r="O143" s="405">
        <v>0</v>
      </c>
      <c r="P143" s="114">
        <v>0</v>
      </c>
      <c r="Q143" s="140">
        <f>IF(YEAR($CG143)=2018,($BI$4-$CG143)*$AI143/($CH143-$CG143))</f>
        <v>1486.2387864963503</v>
      </c>
      <c r="R143" s="405">
        <f>IF(YEAR($CG143)=2018,($BI$4-$CG143)*$AK143/($CH143-$CG143))</f>
        <v>111.46842153284672</v>
      </c>
      <c r="S143" s="405">
        <f>IF(YEAR($CG143)=2018,($BI$4-$CG143)*$AM143/($CH143-$CG143))</f>
        <v>111.46744525547444</v>
      </c>
      <c r="T143" s="405">
        <f>IF(YEAR($CG143)=2018,($BI$4-$CG143)*$AO143/($CH143-$CG143))</f>
        <v>0</v>
      </c>
      <c r="U143" s="405">
        <f>IF(YEAR($CG143)=2018,($BI$4-$CG143)*$AQ143/($CH143-$CG143))</f>
        <v>0</v>
      </c>
      <c r="V143" s="406">
        <f>IF(YEAR($CG143)=2018,($BI$4-$CG143)*$AS143/($CH143-$CG143))</f>
        <v>1263.3029197080291</v>
      </c>
      <c r="W143" s="140">
        <f>IF(YEAR($CH143)&gt;2018,($BO$4-$BI$4)*$AI143/($CH143-$CG143),0)</f>
        <v>5069.8799726277375</v>
      </c>
      <c r="X143" s="422">
        <f>IF(YEAR($CH143)&gt;2018,($BO$4-$BI$4)*$AK143/($CH143-$CG143),0)</f>
        <v>380.24274635036494</v>
      </c>
      <c r="Y143" s="422">
        <f>IF(YEAR($CH143)&gt;2018,($BO$4-$BI$4)*$AM143/($CH143-$CG143),0)</f>
        <v>380.23941605839417</v>
      </c>
      <c r="Z143" s="422">
        <f t="shared" si="316"/>
        <v>0</v>
      </c>
      <c r="AA143" s="422">
        <f t="shared" si="317"/>
        <v>0</v>
      </c>
      <c r="AB143" s="406">
        <f t="shared" si="318"/>
        <v>4309.3978102189785</v>
      </c>
      <c r="AC143" s="572">
        <f>IF(YEAR($CH143)&gt;2018,($CH143-$BO$4)*$AI143/($CH143-$CG143),0)</f>
        <v>8667.4112408759138</v>
      </c>
      <c r="AD143" s="422">
        <f t="shared" si="319"/>
        <v>650.05883211678827</v>
      </c>
      <c r="AE143" s="422">
        <f t="shared" si="320"/>
        <v>650.05313868613143</v>
      </c>
      <c r="AF143" s="422">
        <f t="shared" si="321"/>
        <v>0</v>
      </c>
      <c r="AG143" s="422">
        <f t="shared" si="322"/>
        <v>0</v>
      </c>
      <c r="AH143" s="406">
        <f t="shared" si="323"/>
        <v>7367.2992700729928</v>
      </c>
      <c r="AI143" s="1190">
        <f>SUM('3 pr-2'!L144)</f>
        <v>15223.53</v>
      </c>
      <c r="AJ143" s="137"/>
      <c r="AK143" s="389">
        <f>SUM('3 pr-2'!O144)</f>
        <v>1141.77</v>
      </c>
      <c r="AL143" s="389"/>
      <c r="AM143" s="389">
        <f>SUM('3 pr-2'!R144)</f>
        <v>1141.76</v>
      </c>
      <c r="AN143" s="389"/>
      <c r="AO143" s="389">
        <f>SUM('3 pr-2'!U144)</f>
        <v>0</v>
      </c>
      <c r="AP143" s="389"/>
      <c r="AQ143" s="389">
        <f>SUM('3 pr-2'!X144)</f>
        <v>0</v>
      </c>
      <c r="AR143" s="888"/>
      <c r="AS143" s="168">
        <f>SUM('3 pr-2'!AA144)</f>
        <v>12940</v>
      </c>
      <c r="AT143" s="822"/>
      <c r="AU143" s="24"/>
      <c r="AV143" s="25"/>
      <c r="AW143" s="25"/>
      <c r="AX143" s="392"/>
      <c r="AY143" s="392"/>
      <c r="AZ143" s="392"/>
      <c r="BA143" s="392"/>
      <c r="BB143" s="25"/>
      <c r="BC143" s="25"/>
      <c r="BD143" s="392"/>
      <c r="BE143" s="392"/>
      <c r="BF143" s="392"/>
      <c r="BG143" s="392"/>
      <c r="BH143" s="25"/>
      <c r="BI143" s="25"/>
      <c r="BJ143" s="392"/>
      <c r="BK143" s="392"/>
      <c r="BL143" s="392"/>
      <c r="BM143" s="392"/>
      <c r="BN143" s="25"/>
      <c r="BO143" s="25"/>
      <c r="BP143" s="392"/>
      <c r="BQ143" s="392"/>
      <c r="BR143" s="392"/>
      <c r="BS143" s="392"/>
      <c r="BT143" s="25"/>
      <c r="BU143" s="25"/>
      <c r="BV143" s="391"/>
      <c r="BW143" s="391"/>
      <c r="BX143" s="391"/>
      <c r="BY143" s="391"/>
      <c r="BZ143" s="25"/>
      <c r="CA143" s="25"/>
      <c r="CB143" s="391"/>
      <c r="CC143" s="391"/>
      <c r="CD143" s="391"/>
      <c r="CE143" s="391"/>
      <c r="CF143" s="554"/>
      <c r="CG143" s="566">
        <v>43358</v>
      </c>
      <c r="CH143" s="566">
        <v>44454</v>
      </c>
      <c r="CI143" t="str">
        <f t="shared" si="324"/>
        <v>12940</v>
      </c>
      <c r="CJ143" s="30">
        <f t="shared" si="325"/>
        <v>0</v>
      </c>
    </row>
    <row r="144" spans="1:98" ht="48.75" thickBot="1" x14ac:dyDescent="0.3">
      <c r="A144" s="91" t="str">
        <f>CONCATENATE('3 pr-2'!A145)</f>
        <v>2.1.2.3.4</v>
      </c>
      <c r="B144" s="34" t="str">
        <f>CONCATENATE('3 pr-2'!D145)</f>
        <v>Ambulatorinių sveikatos priežiūros paslaugų tuberkulioze sergantiems asmenims prieinamumo gerinimas Druskininkų savivaldybėje</v>
      </c>
      <c r="C144" s="114">
        <v>0</v>
      </c>
      <c r="D144" s="114">
        <v>0</v>
      </c>
      <c r="E144" s="114">
        <v>0</v>
      </c>
      <c r="F144" s="389">
        <v>0</v>
      </c>
      <c r="G144" s="389">
        <v>0</v>
      </c>
      <c r="H144" s="389">
        <v>0</v>
      </c>
      <c r="I144" s="389">
        <v>0</v>
      </c>
      <c r="J144" s="114">
        <v>0</v>
      </c>
      <c r="K144" s="114">
        <v>0</v>
      </c>
      <c r="L144" s="405">
        <v>0</v>
      </c>
      <c r="M144" s="405">
        <v>0</v>
      </c>
      <c r="N144" s="405">
        <v>0</v>
      </c>
      <c r="O144" s="405">
        <v>0</v>
      </c>
      <c r="P144" s="114">
        <v>0</v>
      </c>
      <c r="Q144" s="140">
        <f>IF(YEAR($CG144)=2018,($BI$4-$CG144)*$AI144/($CH144-$CG144))</f>
        <v>665.43065693430663</v>
      </c>
      <c r="R144" s="405">
        <f t="shared" ref="R144:R145" si="326">IF(YEAR($CG144)=2018,($BI$4-$CG144)*$AK144/($CH144-$CG144))</f>
        <v>49.907299270072997</v>
      </c>
      <c r="S144" s="405">
        <f t="shared" ref="S144:S145" si="327">IF(YEAR($CG144)=2018,($BI$4-$CG144)*$AM144/($CH144-$CG144))</f>
        <v>49.907299270072997</v>
      </c>
      <c r="T144" s="405">
        <f t="shared" ref="T144:T145" si="328">IF(YEAR($CG144)=2018,($BI$4-$CG144)*$AO144/($CH144-$CG144))</f>
        <v>0</v>
      </c>
      <c r="U144" s="405">
        <f t="shared" ref="U144:U145" si="329">IF(YEAR($CG144)=2018,($BI$4-$CG144)*$AQ144/($CH144-$CG144))</f>
        <v>0</v>
      </c>
      <c r="V144" s="406">
        <f t="shared" ref="V144:V145" si="330">IF(YEAR($CG144)=2018,($BI$4-$CG144)*$AS144/($CH144-$CG144))</f>
        <v>565.61605839416063</v>
      </c>
      <c r="W144" s="140">
        <f t="shared" ref="W144:W145" si="331">IF(YEAR($CH144)&gt;2018,($BO$4-$BI$4)*$AI144/($CH144-$CG144),0)</f>
        <v>2269.9270072992699</v>
      </c>
      <c r="X144" s="422">
        <f t="shared" ref="X144:X145" si="332">IF(YEAR($CH144)&gt;2018,($BO$4-$BI$4)*$AK144/($CH144-$CG144),0)</f>
        <v>170.24452554744525</v>
      </c>
      <c r="Y144" s="422">
        <f t="shared" ref="Y144:Y145" si="333">IF(YEAR($CH144)&gt;2018,($BO$4-$BI$4)*$AM144/($CH144-$CG144),0)</f>
        <v>170.24452554744525</v>
      </c>
      <c r="Z144" s="422">
        <f t="shared" si="316"/>
        <v>0</v>
      </c>
      <c r="AA144" s="422">
        <f t="shared" si="317"/>
        <v>0</v>
      </c>
      <c r="AB144" s="406">
        <f t="shared" si="318"/>
        <v>1929.4379562043796</v>
      </c>
      <c r="AC144" s="572">
        <f t="shared" ref="AC144:AC145" si="334">IF(YEAR($CH144)&gt;2018,($CH144-$BO$4)*$AI144/($CH144-$CG144),0)</f>
        <v>3880.6423357664235</v>
      </c>
      <c r="AD144" s="422">
        <f t="shared" si="319"/>
        <v>291.04817518248171</v>
      </c>
      <c r="AE144" s="422">
        <f t="shared" si="320"/>
        <v>291.04817518248171</v>
      </c>
      <c r="AF144" s="422">
        <f t="shared" si="321"/>
        <v>0</v>
      </c>
      <c r="AG144" s="422">
        <f t="shared" si="322"/>
        <v>0</v>
      </c>
      <c r="AH144" s="406">
        <f t="shared" si="323"/>
        <v>3298.5459854014603</v>
      </c>
      <c r="AI144" s="1190">
        <f>SUM('3 pr-2'!L145)</f>
        <v>6816</v>
      </c>
      <c r="AJ144" s="137"/>
      <c r="AK144" s="389">
        <f>SUM('3 pr-2'!O145)</f>
        <v>511.2</v>
      </c>
      <c r="AL144" s="389"/>
      <c r="AM144" s="389">
        <f>SUM('3 pr-2'!R145)</f>
        <v>511.2</v>
      </c>
      <c r="AN144" s="389"/>
      <c r="AO144" s="389">
        <f>SUM('3 pr-2'!U145)</f>
        <v>0</v>
      </c>
      <c r="AP144" s="389"/>
      <c r="AQ144" s="389">
        <f>SUM('3 pr-2'!X145)</f>
        <v>0</v>
      </c>
      <c r="AR144" s="888"/>
      <c r="AS144" s="168">
        <f>SUM('3 pr-2'!AA145)</f>
        <v>5793.6</v>
      </c>
      <c r="AT144" s="822"/>
      <c r="AU144" s="24"/>
      <c r="AV144" s="25"/>
      <c r="AW144" s="25"/>
      <c r="AX144" s="392"/>
      <c r="AY144" s="392"/>
      <c r="AZ144" s="392"/>
      <c r="BA144" s="392"/>
      <c r="BB144" s="25"/>
      <c r="BC144" s="25"/>
      <c r="BD144" s="392"/>
      <c r="BE144" s="392"/>
      <c r="BF144" s="392"/>
      <c r="BG144" s="392"/>
      <c r="BH144" s="25"/>
      <c r="BI144" s="25"/>
      <c r="BJ144" s="392"/>
      <c r="BK144" s="392"/>
      <c r="BL144" s="392"/>
      <c r="BM144" s="392"/>
      <c r="BN144" s="25"/>
      <c r="BO144" s="25"/>
      <c r="BP144" s="392"/>
      <c r="BQ144" s="392"/>
      <c r="BR144" s="392"/>
      <c r="BS144" s="392"/>
      <c r="BT144" s="25"/>
      <c r="BU144" s="25"/>
      <c r="BV144" s="391"/>
      <c r="BW144" s="391"/>
      <c r="BX144" s="391"/>
      <c r="BY144" s="391"/>
      <c r="BZ144" s="25"/>
      <c r="CA144" s="25"/>
      <c r="CB144" s="391"/>
      <c r="CC144" s="391"/>
      <c r="CD144" s="391"/>
      <c r="CE144" s="391"/>
      <c r="CF144" s="558"/>
      <c r="CG144" s="566">
        <v>43358</v>
      </c>
      <c r="CH144" s="566">
        <v>44454</v>
      </c>
      <c r="CI144" t="str">
        <f t="shared" si="324"/>
        <v>5793,6</v>
      </c>
    </row>
    <row r="145" spans="1:96" ht="48.75" thickBot="1" x14ac:dyDescent="0.3">
      <c r="A145" s="91" t="str">
        <f>CONCATENATE('3 pr-2'!A146)</f>
        <v>2.1.2.3.5</v>
      </c>
      <c r="B145" s="34" t="str">
        <f>CONCATENATE('3 pr-2'!D146)</f>
        <v>Ambulatorinių sveikatos priežiūros paslaugų prieinamumo gerinimas tuberkulioze sergantiems asmenims Varėnos rajono savivaldybėje</v>
      </c>
      <c r="C145" s="114">
        <v>0</v>
      </c>
      <c r="D145" s="114">
        <v>0</v>
      </c>
      <c r="E145" s="114">
        <v>0</v>
      </c>
      <c r="F145" s="389">
        <v>0</v>
      </c>
      <c r="G145" s="389">
        <v>0</v>
      </c>
      <c r="H145" s="389">
        <v>0</v>
      </c>
      <c r="I145" s="389">
        <v>0</v>
      </c>
      <c r="J145" s="114">
        <v>0</v>
      </c>
      <c r="K145" s="114">
        <v>0</v>
      </c>
      <c r="L145" s="405">
        <v>0</v>
      </c>
      <c r="M145" s="405">
        <v>0</v>
      </c>
      <c r="N145" s="405">
        <v>0</v>
      </c>
      <c r="O145" s="405">
        <v>0</v>
      </c>
      <c r="P145" s="114">
        <v>0</v>
      </c>
      <c r="Q145" s="140">
        <f>IF(YEAR($CG145)=2018,($BI$4-$CG145)*$AI145/($CH145-$CG145))</f>
        <v>1530.7052919708028</v>
      </c>
      <c r="R145" s="405">
        <f t="shared" si="326"/>
        <v>114.81021897810218</v>
      </c>
      <c r="S145" s="405">
        <f t="shared" si="327"/>
        <v>114.81021897810218</v>
      </c>
      <c r="T145" s="405">
        <f t="shared" si="328"/>
        <v>0</v>
      </c>
      <c r="U145" s="405">
        <f t="shared" si="329"/>
        <v>0</v>
      </c>
      <c r="V145" s="406">
        <f t="shared" si="330"/>
        <v>1301.0848540145985</v>
      </c>
      <c r="W145" s="140">
        <f t="shared" si="331"/>
        <v>5221.5647810218979</v>
      </c>
      <c r="X145" s="422">
        <f t="shared" si="332"/>
        <v>391.64233576642334</v>
      </c>
      <c r="Y145" s="422">
        <f t="shared" si="333"/>
        <v>391.64233576642334</v>
      </c>
      <c r="Z145" s="422">
        <f t="shared" si="316"/>
        <v>0</v>
      </c>
      <c r="AA145" s="422">
        <f t="shared" si="317"/>
        <v>0</v>
      </c>
      <c r="AB145" s="406">
        <f t="shared" si="318"/>
        <v>4438.280109489051</v>
      </c>
      <c r="AC145" s="572">
        <f t="shared" si="334"/>
        <v>8926.7299270072999</v>
      </c>
      <c r="AD145" s="422">
        <f t="shared" si="319"/>
        <v>669.54744525547449</v>
      </c>
      <c r="AE145" s="422">
        <f t="shared" si="320"/>
        <v>669.54744525547449</v>
      </c>
      <c r="AF145" s="422">
        <f t="shared" si="321"/>
        <v>0</v>
      </c>
      <c r="AG145" s="422">
        <f t="shared" si="322"/>
        <v>0</v>
      </c>
      <c r="AH145" s="406">
        <f t="shared" si="323"/>
        <v>7587.63503649635</v>
      </c>
      <c r="AI145" s="1190">
        <f>SUM('3 pr-2'!L146)</f>
        <v>15679</v>
      </c>
      <c r="AJ145" s="137"/>
      <c r="AK145" s="389">
        <f>SUM('3 pr-2'!O146)</f>
        <v>1176</v>
      </c>
      <c r="AL145" s="389"/>
      <c r="AM145" s="389">
        <f>SUM('3 pr-2'!R146)</f>
        <v>1176</v>
      </c>
      <c r="AN145" s="389"/>
      <c r="AO145" s="389">
        <f>SUM('3 pr-2'!U146)</f>
        <v>0</v>
      </c>
      <c r="AP145" s="389"/>
      <c r="AQ145" s="389">
        <f>SUM('3 pr-2'!X146)</f>
        <v>0</v>
      </c>
      <c r="AR145" s="888"/>
      <c r="AS145" s="168">
        <f>SUM('3 pr-2'!AA146)</f>
        <v>13327</v>
      </c>
      <c r="AT145" s="822"/>
      <c r="AU145" s="24"/>
      <c r="AV145" s="25"/>
      <c r="AW145" s="25"/>
      <c r="AX145" s="392"/>
      <c r="AY145" s="392"/>
      <c r="AZ145" s="392"/>
      <c r="BA145" s="392"/>
      <c r="BB145" s="25"/>
      <c r="BC145" s="25"/>
      <c r="BD145" s="392"/>
      <c r="BE145" s="392"/>
      <c r="BF145" s="392"/>
      <c r="BG145" s="392"/>
      <c r="BH145" s="25"/>
      <c r="BI145" s="25"/>
      <c r="BJ145" s="392"/>
      <c r="BK145" s="392"/>
      <c r="BL145" s="392"/>
      <c r="BM145" s="392"/>
      <c r="BN145" s="25"/>
      <c r="BO145" s="25"/>
      <c r="BP145" s="392"/>
      <c r="BQ145" s="392"/>
      <c r="BR145" s="392"/>
      <c r="BS145" s="392"/>
      <c r="BT145" s="25"/>
      <c r="BU145" s="25"/>
      <c r="BV145" s="391"/>
      <c r="BW145" s="391"/>
      <c r="BX145" s="391"/>
      <c r="BY145" s="391"/>
      <c r="BZ145" s="25"/>
      <c r="CA145" s="25"/>
      <c r="CB145" s="391"/>
      <c r="CC145" s="391"/>
      <c r="CD145" s="391"/>
      <c r="CE145" s="391"/>
      <c r="CF145" s="558"/>
      <c r="CG145" s="566">
        <v>43358</v>
      </c>
      <c r="CH145" s="566">
        <v>44454</v>
      </c>
      <c r="CI145" t="str">
        <f t="shared" si="324"/>
        <v>13327</v>
      </c>
    </row>
    <row r="146" spans="1:96" ht="16.5" thickBot="1" x14ac:dyDescent="0.3">
      <c r="A146" s="384" t="str">
        <f>CONCATENATE('3 pr-2'!A147)</f>
        <v>2.1.3.</v>
      </c>
      <c r="B146" s="181" t="str">
        <f>CONCATENATE('3 pr-2'!D147)</f>
        <v/>
      </c>
      <c r="C146" s="50">
        <f>SUM(C147+C153)</f>
        <v>0</v>
      </c>
      <c r="D146" s="50">
        <f>SUM(D147+D153)</f>
        <v>0</v>
      </c>
      <c r="E146" s="50">
        <f>SUM(E147+E153)</f>
        <v>272169.55999999994</v>
      </c>
      <c r="F146" s="50">
        <f>SUM(F147+F153)</f>
        <v>32621.908409610434</v>
      </c>
      <c r="G146" s="50"/>
      <c r="H146" s="50"/>
      <c r="I146" s="50"/>
      <c r="J146" s="50">
        <f t="shared" ref="J146:Q146" si="335">SUM(J147+J153)</f>
        <v>239547.65159038958</v>
      </c>
      <c r="K146" s="50">
        <f t="shared" si="335"/>
        <v>1171598</v>
      </c>
      <c r="L146" s="414">
        <f t="shared" si="335"/>
        <v>107101.09159038957</v>
      </c>
      <c r="M146" s="414">
        <f t="shared" si="335"/>
        <v>2764.7</v>
      </c>
      <c r="N146" s="414">
        <f t="shared" si="335"/>
        <v>0</v>
      </c>
      <c r="O146" s="414">
        <f t="shared" si="335"/>
        <v>0</v>
      </c>
      <c r="P146" s="50">
        <f t="shared" si="335"/>
        <v>1061732.2084096104</v>
      </c>
      <c r="Q146" s="50">
        <f t="shared" si="335"/>
        <v>2173186.2740949546</v>
      </c>
      <c r="R146" s="414"/>
      <c r="S146" s="414"/>
      <c r="T146" s="414"/>
      <c r="U146" s="414"/>
      <c r="V146" s="50">
        <f>SUM(V147+V153)</f>
        <v>1653250.2634060779</v>
      </c>
      <c r="W146" s="50">
        <f>SUM(W147+W153)</f>
        <v>621736.71590504551</v>
      </c>
      <c r="X146" s="414"/>
      <c r="Y146" s="414"/>
      <c r="Z146" s="414"/>
      <c r="AA146" s="414"/>
      <c r="AB146" s="50">
        <f>SUM(AB147+AB153)</f>
        <v>452204.87659392226</v>
      </c>
      <c r="AC146" s="50">
        <f>SUM(AC147+AC153)</f>
        <v>0</v>
      </c>
      <c r="AD146" s="414"/>
      <c r="AE146" s="414"/>
      <c r="AF146" s="414"/>
      <c r="AG146" s="414"/>
      <c r="AH146" s="50">
        <f>SUM(AH147+AH153)</f>
        <v>0</v>
      </c>
      <c r="AI146" s="1189">
        <f>SUM(AI147+AI153)</f>
        <v>4238690.55</v>
      </c>
      <c r="AJ146" s="50"/>
      <c r="AK146" s="50"/>
      <c r="AL146" s="50"/>
      <c r="AM146" s="50"/>
      <c r="AN146" s="50"/>
      <c r="AO146" s="50"/>
      <c r="AP146" s="50"/>
      <c r="AQ146" s="50"/>
      <c r="AR146" s="50"/>
      <c r="AS146" s="50">
        <f>SUM(AS147+AS153)</f>
        <v>3406735</v>
      </c>
      <c r="AT146" s="821"/>
      <c r="AX146" s="50"/>
      <c r="AY146" s="50"/>
      <c r="AZ146" s="50"/>
      <c r="BA146" s="50"/>
      <c r="BD146" s="50"/>
      <c r="BE146" s="50"/>
      <c r="BF146" s="50"/>
      <c r="BG146" s="50"/>
      <c r="BJ146" s="50"/>
      <c r="BK146" s="50"/>
      <c r="BL146" s="50"/>
      <c r="BM146" s="50"/>
      <c r="BP146" s="50"/>
      <c r="BQ146" s="50"/>
      <c r="BR146" s="50"/>
      <c r="BS146" s="50"/>
      <c r="BV146" s="50"/>
      <c r="BW146" s="50"/>
      <c r="BX146" s="50"/>
      <c r="BY146" s="50"/>
      <c r="CB146" s="50"/>
      <c r="CC146" s="50"/>
      <c r="CD146" s="50"/>
      <c r="CE146" s="50"/>
      <c r="CG146" s="561"/>
      <c r="CH146" s="561"/>
    </row>
    <row r="147" spans="1:96" ht="29.25" customHeight="1" thickBot="1" x14ac:dyDescent="0.3">
      <c r="A147" s="383" t="str">
        <f>CONCATENATE('3 pr-2'!A148)</f>
        <v>2.1.3.1</v>
      </c>
      <c r="B147" s="182" t="str">
        <f>CONCATENATE('3 pr-2'!D148)</f>
        <v/>
      </c>
      <c r="C147" s="113">
        <f>SUM(C148:C152)</f>
        <v>0</v>
      </c>
      <c r="D147" s="113">
        <f>SUM(D148:D152)</f>
        <v>0</v>
      </c>
      <c r="E147" s="113">
        <f>SUM(E148:E152)</f>
        <v>0</v>
      </c>
      <c r="F147" s="113">
        <f>SUM(F148:F152)</f>
        <v>0</v>
      </c>
      <c r="G147" s="113"/>
      <c r="H147" s="113"/>
      <c r="I147" s="113"/>
      <c r="J147" s="113">
        <f t="shared" ref="J147:Q147" si="336">SUM(J148:J152)</f>
        <v>0</v>
      </c>
      <c r="K147" s="113">
        <f t="shared" si="336"/>
        <v>25688.32</v>
      </c>
      <c r="L147" s="407">
        <f t="shared" si="336"/>
        <v>0</v>
      </c>
      <c r="M147" s="407">
        <f t="shared" si="336"/>
        <v>2764.7</v>
      </c>
      <c r="N147" s="407">
        <f t="shared" si="336"/>
        <v>0</v>
      </c>
      <c r="O147" s="407">
        <f t="shared" si="336"/>
        <v>0</v>
      </c>
      <c r="P147" s="113">
        <f t="shared" si="336"/>
        <v>22923.620000000003</v>
      </c>
      <c r="Q147" s="113">
        <f t="shared" si="336"/>
        <v>862676.28722733411</v>
      </c>
      <c r="R147" s="407"/>
      <c r="S147" s="407"/>
      <c r="T147" s="407"/>
      <c r="U147" s="407"/>
      <c r="V147" s="113">
        <f>SUM(V148:V152)</f>
        <v>601723.33576780837</v>
      </c>
      <c r="W147" s="113">
        <f>SUM(W148:W152)</f>
        <v>384124.94277266593</v>
      </c>
      <c r="X147" s="407"/>
      <c r="Y147" s="407"/>
      <c r="Z147" s="407"/>
      <c r="AA147" s="407"/>
      <c r="AB147" s="113">
        <f>SUM(AB148:AB152)</f>
        <v>261114.04423219166</v>
      </c>
      <c r="AC147" s="113">
        <f>SUM(AC148:AC152)</f>
        <v>0</v>
      </c>
      <c r="AD147" s="407"/>
      <c r="AE147" s="407"/>
      <c r="AF147" s="407"/>
      <c r="AG147" s="407"/>
      <c r="AH147" s="113">
        <f>SUM(AH148:AH152)</f>
        <v>0</v>
      </c>
      <c r="AI147" s="1173">
        <f>SUM(AI148:AI152)</f>
        <v>1272489.55</v>
      </c>
      <c r="AJ147" s="113"/>
      <c r="AK147" s="113"/>
      <c r="AL147" s="113"/>
      <c r="AM147" s="113"/>
      <c r="AN147" s="113"/>
      <c r="AO147" s="113"/>
      <c r="AP147" s="113"/>
      <c r="AQ147" s="113"/>
      <c r="AR147" s="113"/>
      <c r="AS147" s="113">
        <f>SUM(AS148:AS152)</f>
        <v>885761</v>
      </c>
      <c r="AT147" s="113"/>
      <c r="AU147" s="24"/>
      <c r="AV147" s="25"/>
      <c r="AW147" s="25"/>
      <c r="AX147" s="113"/>
      <c r="AY147" s="113"/>
      <c r="AZ147" s="113"/>
      <c r="BA147" s="113"/>
      <c r="BB147" s="25"/>
      <c r="BC147" s="25"/>
      <c r="BD147" s="113"/>
      <c r="BE147" s="113"/>
      <c r="BF147" s="113"/>
      <c r="BG147" s="113"/>
      <c r="BH147" s="25"/>
      <c r="BI147" s="25"/>
      <c r="BJ147" s="113"/>
      <c r="BK147" s="113"/>
      <c r="BL147" s="113"/>
      <c r="BM147" s="113"/>
      <c r="BN147" s="25"/>
      <c r="BO147" s="25"/>
      <c r="BP147" s="113"/>
      <c r="BQ147" s="113"/>
      <c r="BR147" s="113"/>
      <c r="BS147" s="113"/>
      <c r="BT147" s="25"/>
      <c r="BU147" s="25"/>
      <c r="BV147" s="113"/>
      <c r="BW147" s="113"/>
      <c r="BX147" s="113"/>
      <c r="BY147" s="113"/>
      <c r="BZ147" s="25"/>
      <c r="CA147" s="25"/>
      <c r="CB147" s="113"/>
      <c r="CC147" s="113"/>
      <c r="CD147" s="113"/>
      <c r="CE147" s="113"/>
      <c r="CF147" s="553"/>
      <c r="CG147" s="561"/>
      <c r="CH147" s="561"/>
    </row>
    <row r="148" spans="1:96" ht="41.25" customHeight="1" thickBot="1" x14ac:dyDescent="0.3">
      <c r="A148" s="43" t="str">
        <f>CONCATENATE('3 pr-2'!A149)</f>
        <v>2.1.3.1.1</v>
      </c>
      <c r="B148" s="47" t="str">
        <f>CONCATENATE('3 pr-2'!D149)</f>
        <v>Socialinių paslaugų infrastruktūros plėtra Varėnos rajono savivaldybėje</v>
      </c>
      <c r="C148" s="120">
        <v>0</v>
      </c>
      <c r="D148" s="120">
        <v>0</v>
      </c>
      <c r="E148" s="120">
        <v>0</v>
      </c>
      <c r="F148" s="389">
        <v>0</v>
      </c>
      <c r="G148" s="389">
        <v>0</v>
      </c>
      <c r="H148" s="389">
        <v>0</v>
      </c>
      <c r="I148" s="389">
        <v>0</v>
      </c>
      <c r="J148" s="120">
        <v>0</v>
      </c>
      <c r="K148" s="111">
        <f>SUM(L148:P148)</f>
        <v>0</v>
      </c>
      <c r="L148" s="405">
        <f>SUM('ketv. 7 lent'!N146)</f>
        <v>0</v>
      </c>
      <c r="M148" s="405">
        <f>SUM('ketv. 7 lent'!Q146)</f>
        <v>0</v>
      </c>
      <c r="N148" s="405">
        <f>SUM('ketv. 7 lent'!T146)</f>
        <v>0</v>
      </c>
      <c r="O148" s="405">
        <f>SUM('ketv. 7 lent'!W146)</f>
        <v>0</v>
      </c>
      <c r="P148" s="119">
        <f>SUM('ketv. 7 lent'!Z146)</f>
        <v>0</v>
      </c>
      <c r="Q148" s="111">
        <f>IF(YEAR($CH148)&gt;2018,($BI$4-$BC$4)*$AJ148/($CH148-$BC$4),0)</f>
        <v>137203.03797468354</v>
      </c>
      <c r="R148" s="405">
        <f>IF(YEAR($CH148)&gt;2018,($BI$4-$BC$4)*$AL148/($CH148-$BC$4),0)</f>
        <v>20580.455696202531</v>
      </c>
      <c r="S148" s="405">
        <f>IF(YEAR($CH148)&gt;2018,($BI$4-$BC$4)*$AN148/($CH148-$BC$4),0)</f>
        <v>0</v>
      </c>
      <c r="T148" s="405">
        <f>IF(YEAR($CH148)&gt;2018,($BI$4-$BC$4)*$AP148/($CH148-$BC$4),0)</f>
        <v>0</v>
      </c>
      <c r="U148" s="405">
        <f>IF(YEAR($CH148)&gt;2018,($BI$4-$BC$4)*$AR148/($CH148-$BC$4),0)</f>
        <v>0</v>
      </c>
      <c r="V148" s="119">
        <f>IF(YEAR($CH148)&gt;2018,($BI$4-$BC$4)*$AT148/($CH148-$BC$4),0)</f>
        <v>116622.58227848102</v>
      </c>
      <c r="W148" s="111">
        <f>IF(YEAR($CH148)=2019,($CH148-$BI$4)*$AJ148/($CH148-$BC$4),0)</f>
        <v>11276.962025316456</v>
      </c>
      <c r="X148" s="422">
        <f>IF(YEAR($CH148)=2019,($CH148-$BI$4)*$AL148/($CH148-$BC$4),0)</f>
        <v>1691.5443037974683</v>
      </c>
      <c r="Y148" s="422">
        <f>IF(YEAR($CH148)=2019,($CH148-$BI$4)*$AN148/($CH148-$BC$4),0)</f>
        <v>0</v>
      </c>
      <c r="Z148" s="422">
        <f>IF(YEAR($CH148)=2019,($CH148-$BI$4)*$AP148/($CH148-$BC$4),0)</f>
        <v>0</v>
      </c>
      <c r="AA148" s="422">
        <f>IF(YEAR($CH148)=2019,($CH148-$BI$4)*$AR148/($CH148-$BC$4),0)</f>
        <v>0</v>
      </c>
      <c r="AB148" s="119">
        <f>IF(YEAR($CH148)=2019,($CH148-$BI$4)*$AT148/($CH148-$BC$4),0)</f>
        <v>9585.4177215189866</v>
      </c>
      <c r="AC148" s="120">
        <v>0</v>
      </c>
      <c r="AD148" s="405">
        <v>0</v>
      </c>
      <c r="AE148" s="405">
        <v>0</v>
      </c>
      <c r="AF148" s="405">
        <v>0</v>
      </c>
      <c r="AG148" s="405">
        <v>0</v>
      </c>
      <c r="AH148" s="120">
        <v>0</v>
      </c>
      <c r="AI148" s="1181">
        <f>SUM('3 pr-2'!L149)</f>
        <v>148480</v>
      </c>
      <c r="AJ148" s="834">
        <f>SUM(AI148-K148)</f>
        <v>148480</v>
      </c>
      <c r="AK148" s="389">
        <f>SUM('3 pr-2'!O149)</f>
        <v>22272</v>
      </c>
      <c r="AL148" s="834">
        <f>SUM(AK148-L148)</f>
        <v>22272</v>
      </c>
      <c r="AM148" s="389">
        <f>SUM('3 pr-2'!R149)</f>
        <v>0</v>
      </c>
      <c r="AN148" s="834">
        <f>SUM(AM148-M148)</f>
        <v>0</v>
      </c>
      <c r="AO148" s="389">
        <f>SUM('3 pr-2'!U149)</f>
        <v>0</v>
      </c>
      <c r="AP148" s="834">
        <f>SUM(AO148-N148)</f>
        <v>0</v>
      </c>
      <c r="AQ148" s="389">
        <f>SUM('3 pr-2'!X149)</f>
        <v>0</v>
      </c>
      <c r="AR148" s="834">
        <f>SUM(AQ148-O148)</f>
        <v>0</v>
      </c>
      <c r="AS148" s="112">
        <f>SUM('3 pr-2'!AA149)</f>
        <v>126208</v>
      </c>
      <c r="AT148" s="834">
        <f>SUM(AS148-P148)</f>
        <v>126208</v>
      </c>
      <c r="AU148" s="24"/>
      <c r="AV148" s="25"/>
      <c r="AW148" s="25"/>
      <c r="AX148" s="390"/>
      <c r="AY148" s="390"/>
      <c r="AZ148" s="390"/>
      <c r="BA148" s="390"/>
      <c r="BB148" s="25"/>
      <c r="BC148" s="25"/>
      <c r="BD148" s="390"/>
      <c r="BE148" s="390"/>
      <c r="BF148" s="390"/>
      <c r="BG148" s="390"/>
      <c r="BH148" s="25"/>
      <c r="BI148" s="25"/>
      <c r="BJ148" s="390"/>
      <c r="BK148" s="390"/>
      <c r="BL148" s="390"/>
      <c r="BM148" s="390"/>
      <c r="BN148" s="25"/>
      <c r="BO148" s="25"/>
      <c r="BP148" s="390"/>
      <c r="BQ148" s="390"/>
      <c r="BR148" s="390"/>
      <c r="BS148" s="390"/>
      <c r="BT148" s="25"/>
      <c r="BU148" s="25"/>
      <c r="BV148" s="390"/>
      <c r="BW148" s="390"/>
      <c r="BX148" s="390"/>
      <c r="BY148" s="390"/>
      <c r="BZ148" s="25"/>
      <c r="CA148" s="25"/>
      <c r="CB148" s="390"/>
      <c r="CC148" s="390"/>
      <c r="CD148" s="390"/>
      <c r="CE148" s="390"/>
      <c r="CF148" s="553"/>
      <c r="CG148" s="800">
        <v>42826</v>
      </c>
      <c r="CH148" s="800">
        <v>43495</v>
      </c>
      <c r="CI148" s="801">
        <f>SUM(J148+P148+V148+AB148+AH148)</f>
        <v>126208</v>
      </c>
    </row>
    <row r="149" spans="1:96" ht="29.25" customHeight="1" thickBot="1" x14ac:dyDescent="0.3">
      <c r="A149" s="43" t="str">
        <f>CONCATENATE('3 pr-2'!A150)</f>
        <v>2.1.3.1.2</v>
      </c>
      <c r="B149" s="47" t="str">
        <f>CONCATENATE('3 pr-2'!D150)</f>
        <v>Psichosocialinės pagalbos centro įkūrimas</v>
      </c>
      <c r="C149" s="120">
        <v>0</v>
      </c>
      <c r="D149" s="120">
        <v>0</v>
      </c>
      <c r="E149" s="120">
        <v>0</v>
      </c>
      <c r="F149" s="389">
        <v>0</v>
      </c>
      <c r="G149" s="389">
        <v>0</v>
      </c>
      <c r="H149" s="389">
        <v>0</v>
      </c>
      <c r="I149" s="389">
        <v>0</v>
      </c>
      <c r="J149" s="120">
        <v>0</v>
      </c>
      <c r="K149" s="111">
        <f t="shared" ref="K149:K152" si="337">SUM(L149:P149)</f>
        <v>0</v>
      </c>
      <c r="L149" s="405">
        <f>SUM('ketv. 7 lent'!N147)</f>
        <v>0</v>
      </c>
      <c r="M149" s="405">
        <f>SUM('ketv. 7 lent'!Q147)</f>
        <v>0</v>
      </c>
      <c r="N149" s="405">
        <f>SUM('ketv. 7 lent'!T147)</f>
        <v>0</v>
      </c>
      <c r="O149" s="405">
        <f>SUM('ketv. 7 lent'!W147)</f>
        <v>0</v>
      </c>
      <c r="P149" s="119">
        <f>SUM('ketv. 7 lent'!Z147)</f>
        <v>0</v>
      </c>
      <c r="Q149" s="111">
        <f t="shared" ref="Q149:Q152" si="338">IF(YEAR($CH149)&gt;2018,($BI$4-$BC$4)*$AJ149/($CH149-$BC$4),0)</f>
        <v>125913.63553113553</v>
      </c>
      <c r="R149" s="405">
        <f t="shared" ref="R149:R152" si="339">IF(YEAR($CH149)&gt;2018,($BI$4-$BC$4)*$AL149/($CH149-$BC$4),0)</f>
        <v>18887.078754578753</v>
      </c>
      <c r="S149" s="405">
        <f t="shared" ref="S149:S152" si="340">IF(YEAR($CH149)&gt;2018,($BI$4-$BC$4)*$AN149/($CH149-$BC$4),0)</f>
        <v>0</v>
      </c>
      <c r="T149" s="405">
        <f t="shared" ref="T149:T152" si="341">IF(YEAR($CH149)&gt;2018,($BI$4-$BC$4)*$AP149/($CH149-$BC$4),0)</f>
        <v>0</v>
      </c>
      <c r="U149" s="405">
        <f t="shared" ref="U149:U152" si="342">IF(YEAR($CH149)&gt;2018,($BI$4-$BC$4)*$AR149/($CH149-$BC$4),0)</f>
        <v>0</v>
      </c>
      <c r="V149" s="119">
        <f t="shared" ref="V149:V152" si="343">IF(YEAR($CH149)&gt;2018,($BI$4-$BC$4)*$AT149/($CH149-$BC$4),0)</f>
        <v>107026.55677655678</v>
      </c>
      <c r="W149" s="111">
        <f t="shared" ref="W149:W152" si="344">IF(YEAR($CH149)=2019,($CH149-$BI$4)*$AJ149/($CH149-$BC$4),0)</f>
        <v>62439.364468864471</v>
      </c>
      <c r="X149" s="422">
        <f t="shared" ref="X149:X152" si="345">IF(YEAR($CH149)=2019,($CH149-$BI$4)*$AL149/($CH149-$BC$4),0)</f>
        <v>9365.9212454212447</v>
      </c>
      <c r="Y149" s="422">
        <f t="shared" ref="Y149:Y152" si="346">IF(YEAR($CH149)=2019,($CH149-$BI$4)*$AN149/($CH149-$BC$4),0)</f>
        <v>0</v>
      </c>
      <c r="Z149" s="422">
        <f t="shared" ref="Z149:Z152" si="347">IF(YEAR($CH149)=2019,($CH149-$BI$4)*$AP149/($CH149-$BC$4),0)</f>
        <v>0</v>
      </c>
      <c r="AA149" s="422">
        <f t="shared" ref="AA149:AA152" si="348">IF(YEAR($CH149)=2019,($CH149-$BI$4)*$AR149/($CH149-$BC$4),0)</f>
        <v>0</v>
      </c>
      <c r="AB149" s="119">
        <f t="shared" ref="AB149:AB152" si="349">IF(YEAR($CH149)=2019,($CH149-$BI$4)*$AT149/($CH149-$BC$4),0)</f>
        <v>53073.443223443224</v>
      </c>
      <c r="AC149" s="120">
        <v>0</v>
      </c>
      <c r="AD149" s="405">
        <v>0</v>
      </c>
      <c r="AE149" s="405">
        <v>0</v>
      </c>
      <c r="AF149" s="405">
        <v>0</v>
      </c>
      <c r="AG149" s="405">
        <v>0</v>
      </c>
      <c r="AH149" s="120">
        <v>0</v>
      </c>
      <c r="AI149" s="1181">
        <f>SUM('3 pr-2'!L150)</f>
        <v>188353</v>
      </c>
      <c r="AJ149" s="834">
        <f t="shared" ref="AJ149:AJ152" si="350">SUM(AI149-K149)</f>
        <v>188353</v>
      </c>
      <c r="AK149" s="389">
        <f>SUM('3 pr-2'!O150)</f>
        <v>28253</v>
      </c>
      <c r="AL149" s="834">
        <f t="shared" ref="AL149:AL152" si="351">SUM(AK149-L149)</f>
        <v>28253</v>
      </c>
      <c r="AM149" s="389">
        <f>SUM('3 pr-2'!R150)</f>
        <v>0</v>
      </c>
      <c r="AN149" s="834">
        <f t="shared" ref="AN149:AN152" si="352">SUM(AM149-M149)</f>
        <v>0</v>
      </c>
      <c r="AO149" s="389">
        <f>SUM('3 pr-2'!U150)</f>
        <v>0</v>
      </c>
      <c r="AP149" s="834">
        <f t="shared" ref="AP149:AP152" si="353">SUM(AO149-N149)</f>
        <v>0</v>
      </c>
      <c r="AQ149" s="389">
        <f>SUM('3 pr-2'!X150)</f>
        <v>0</v>
      </c>
      <c r="AR149" s="834">
        <f t="shared" ref="AR149:AR152" si="354">SUM(AQ149-O149)</f>
        <v>0</v>
      </c>
      <c r="AS149" s="112">
        <f>SUM('3 pr-2'!AA150)</f>
        <v>160100</v>
      </c>
      <c r="AT149" s="834">
        <f t="shared" ref="AT149:AT152" si="355">SUM(AS149-P149)</f>
        <v>160100</v>
      </c>
      <c r="AU149" s="24"/>
      <c r="AV149" s="25"/>
      <c r="AW149" s="25"/>
      <c r="AX149" s="390"/>
      <c r="AY149" s="390"/>
      <c r="AZ149" s="390"/>
      <c r="BA149" s="390"/>
      <c r="BB149" s="25"/>
      <c r="BC149" s="25"/>
      <c r="BD149" s="390"/>
      <c r="BE149" s="390"/>
      <c r="BF149" s="390"/>
      <c r="BG149" s="390"/>
      <c r="BH149" s="25"/>
      <c r="BI149" s="25"/>
      <c r="BJ149" s="390"/>
      <c r="BK149" s="390"/>
      <c r="BL149" s="390"/>
      <c r="BM149" s="390"/>
      <c r="BN149" s="25"/>
      <c r="BO149" s="25"/>
      <c r="BP149" s="390"/>
      <c r="BQ149" s="390"/>
      <c r="BR149" s="390"/>
      <c r="BS149" s="390"/>
      <c r="BT149" s="25"/>
      <c r="BU149" s="25"/>
      <c r="BV149" s="390"/>
      <c r="BW149" s="390"/>
      <c r="BX149" s="390"/>
      <c r="BY149" s="390"/>
      <c r="BZ149" s="25"/>
      <c r="CA149" s="25"/>
      <c r="CB149" s="390"/>
      <c r="CC149" s="390"/>
      <c r="CD149" s="390"/>
      <c r="CE149" s="390"/>
      <c r="CF149" s="553"/>
      <c r="CG149" s="800">
        <v>42887</v>
      </c>
      <c r="CH149" s="800">
        <v>43646</v>
      </c>
      <c r="CI149" s="801">
        <f>SUM(J149+P149+V149+AB149+AH149)</f>
        <v>160100</v>
      </c>
    </row>
    <row r="150" spans="1:96" ht="29.25" customHeight="1" thickBot="1" x14ac:dyDescent="0.3">
      <c r="A150" s="43" t="str">
        <f>CONCATENATE('3 pr-2'!A151)</f>
        <v>2.1.3.1.3</v>
      </c>
      <c r="B150" s="47" t="str">
        <f>CONCATENATE('3 pr-2'!D151)</f>
        <v>Socialinių paslaugų plėtra Alytaus mieste</v>
      </c>
      <c r="C150" s="120">
        <v>0</v>
      </c>
      <c r="D150" s="120">
        <v>0</v>
      </c>
      <c r="E150" s="120">
        <v>0</v>
      </c>
      <c r="F150" s="389">
        <v>0</v>
      </c>
      <c r="G150" s="389">
        <v>0</v>
      </c>
      <c r="H150" s="389">
        <v>0</v>
      </c>
      <c r="I150" s="389">
        <v>0</v>
      </c>
      <c r="J150" s="120">
        <v>0</v>
      </c>
      <c r="K150" s="111">
        <f t="shared" si="337"/>
        <v>0</v>
      </c>
      <c r="L150" s="405">
        <f>SUM('ketv. 7 lent'!N148)</f>
        <v>0</v>
      </c>
      <c r="M150" s="405">
        <f>SUM('ketv. 7 lent'!Q148)</f>
        <v>0</v>
      </c>
      <c r="N150" s="405">
        <f>SUM('ketv. 7 lent'!T148)</f>
        <v>0</v>
      </c>
      <c r="O150" s="405">
        <f>SUM('ketv. 7 lent'!W148)</f>
        <v>0</v>
      </c>
      <c r="P150" s="119">
        <f>SUM('ketv. 7 lent'!Z148)</f>
        <v>0</v>
      </c>
      <c r="Q150" s="111">
        <f t="shared" si="338"/>
        <v>426435.34935897443</v>
      </c>
      <c r="R150" s="405">
        <f t="shared" si="339"/>
        <v>194893.65521978025</v>
      </c>
      <c r="S150" s="405">
        <f t="shared" si="340"/>
        <v>0</v>
      </c>
      <c r="T150" s="405">
        <f t="shared" si="341"/>
        <v>0</v>
      </c>
      <c r="U150" s="405">
        <f t="shared" si="342"/>
        <v>0</v>
      </c>
      <c r="V150" s="119">
        <f t="shared" si="343"/>
        <v>231541.69413919415</v>
      </c>
      <c r="W150" s="111">
        <f t="shared" si="344"/>
        <v>211465.20064102567</v>
      </c>
      <c r="X150" s="422">
        <f t="shared" si="345"/>
        <v>96645.894780219809</v>
      </c>
      <c r="Y150" s="422">
        <f t="shared" si="346"/>
        <v>0</v>
      </c>
      <c r="Z150" s="422">
        <f t="shared" si="347"/>
        <v>0</v>
      </c>
      <c r="AA150" s="422">
        <f t="shared" si="348"/>
        <v>0</v>
      </c>
      <c r="AB150" s="119">
        <f t="shared" si="349"/>
        <v>114819.30586080586</v>
      </c>
      <c r="AC150" s="120">
        <v>0</v>
      </c>
      <c r="AD150" s="405">
        <v>0</v>
      </c>
      <c r="AE150" s="405">
        <v>0</v>
      </c>
      <c r="AF150" s="405">
        <v>0</v>
      </c>
      <c r="AG150" s="405">
        <v>0</v>
      </c>
      <c r="AH150" s="120">
        <v>0</v>
      </c>
      <c r="AI150" s="1191">
        <f>SUM('3 pr-2'!L151)</f>
        <v>637900.55000000005</v>
      </c>
      <c r="AJ150" s="834">
        <f t="shared" si="350"/>
        <v>637900.55000000005</v>
      </c>
      <c r="AK150" s="389">
        <f>SUM('3 pr-2'!O151)</f>
        <v>291539.55000000005</v>
      </c>
      <c r="AL150" s="834">
        <f t="shared" si="351"/>
        <v>291539.55000000005</v>
      </c>
      <c r="AM150" s="389">
        <f>SUM('3 pr-2'!R151)</f>
        <v>0</v>
      </c>
      <c r="AN150" s="834">
        <f t="shared" si="352"/>
        <v>0</v>
      </c>
      <c r="AO150" s="389">
        <f>SUM('3 pr-2'!U151)</f>
        <v>0</v>
      </c>
      <c r="AP150" s="834">
        <f t="shared" si="353"/>
        <v>0</v>
      </c>
      <c r="AQ150" s="389">
        <f>SUM('3 pr-2'!X151)</f>
        <v>0</v>
      </c>
      <c r="AR150" s="834">
        <f t="shared" si="354"/>
        <v>0</v>
      </c>
      <c r="AS150" s="802">
        <f>SUM('3 pr-2'!AA151)</f>
        <v>346361</v>
      </c>
      <c r="AT150" s="834">
        <f t="shared" si="355"/>
        <v>346361</v>
      </c>
      <c r="AU150" s="24"/>
      <c r="AV150" s="25"/>
      <c r="AW150" s="25"/>
      <c r="AX150" s="393"/>
      <c r="AY150" s="393"/>
      <c r="AZ150" s="393"/>
      <c r="BA150" s="393"/>
      <c r="BB150" s="25"/>
      <c r="BC150" s="25"/>
      <c r="BD150" s="393"/>
      <c r="BE150" s="393"/>
      <c r="BF150" s="393"/>
      <c r="BG150" s="393"/>
      <c r="BH150" s="25"/>
      <c r="BI150" s="25"/>
      <c r="BJ150" s="393"/>
      <c r="BK150" s="393"/>
      <c r="BL150" s="393"/>
      <c r="BM150" s="393"/>
      <c r="BN150" s="25"/>
      <c r="BO150" s="25"/>
      <c r="BP150" s="393"/>
      <c r="BQ150" s="393"/>
      <c r="BR150" s="393"/>
      <c r="BS150" s="393"/>
      <c r="BT150" s="25"/>
      <c r="BU150" s="25"/>
      <c r="BV150" s="393"/>
      <c r="BW150" s="393"/>
      <c r="BX150" s="393"/>
      <c r="BY150" s="393"/>
      <c r="BZ150" s="25"/>
      <c r="CA150" s="25"/>
      <c r="CB150" s="393"/>
      <c r="CC150" s="393"/>
      <c r="CD150" s="393"/>
      <c r="CE150" s="393"/>
      <c r="CF150" s="553"/>
      <c r="CG150" s="800">
        <v>42917</v>
      </c>
      <c r="CH150" s="800">
        <v>43646</v>
      </c>
      <c r="CI150" s="801">
        <f>SUM(J150+P150+V150+AB150+AH150)</f>
        <v>346361</v>
      </c>
    </row>
    <row r="151" spans="1:96" ht="29.25" customHeight="1" thickBot="1" x14ac:dyDescent="0.3">
      <c r="A151" s="43" t="str">
        <f>CONCATENATE('3 pr-2'!A152)</f>
        <v>2.1.3.1.4</v>
      </c>
      <c r="B151" s="47" t="str">
        <f>CONCATENATE('3 pr-2'!D152)</f>
        <v>Socialinių paslaugų infrastruktūros plėtra Druskininkų savivaldybėje</v>
      </c>
      <c r="C151" s="120">
        <v>0</v>
      </c>
      <c r="D151" s="120">
        <v>0</v>
      </c>
      <c r="E151" s="120">
        <v>0</v>
      </c>
      <c r="F151" s="389">
        <v>0</v>
      </c>
      <c r="G151" s="389">
        <v>0</v>
      </c>
      <c r="H151" s="389">
        <v>0</v>
      </c>
      <c r="I151" s="389">
        <v>0</v>
      </c>
      <c r="J151" s="120">
        <v>0</v>
      </c>
      <c r="K151" s="111">
        <f t="shared" si="337"/>
        <v>7257</v>
      </c>
      <c r="L151" s="405">
        <f>SUM('ketv. 7 lent'!N149)</f>
        <v>0</v>
      </c>
      <c r="M151" s="405">
        <f>SUM('ketv. 7 lent'!Q149)</f>
        <v>0</v>
      </c>
      <c r="N151" s="405">
        <f>SUM('ketv. 7 lent'!T149)</f>
        <v>0</v>
      </c>
      <c r="O151" s="405">
        <f>SUM('ketv. 7 lent'!W149)</f>
        <v>0</v>
      </c>
      <c r="P151" s="119">
        <f>SUM('ketv. 7 lent'!Z149)</f>
        <v>7257</v>
      </c>
      <c r="Q151" s="111">
        <f t="shared" si="338"/>
        <v>82485.423197492157</v>
      </c>
      <c r="R151" s="405">
        <f t="shared" si="339"/>
        <v>12995.830721003134</v>
      </c>
      <c r="S151" s="405">
        <f t="shared" si="340"/>
        <v>0</v>
      </c>
      <c r="T151" s="405">
        <f t="shared" si="341"/>
        <v>0</v>
      </c>
      <c r="U151" s="405">
        <f t="shared" si="342"/>
        <v>0</v>
      </c>
      <c r="V151" s="119">
        <f t="shared" si="343"/>
        <v>69489.592476489022</v>
      </c>
      <c r="W151" s="111">
        <f t="shared" si="344"/>
        <v>61694.576802507836</v>
      </c>
      <c r="X151" s="422">
        <f t="shared" si="345"/>
        <v>9720.1692789968656</v>
      </c>
      <c r="Y151" s="422">
        <f t="shared" si="346"/>
        <v>0</v>
      </c>
      <c r="Z151" s="422">
        <f t="shared" si="347"/>
        <v>0</v>
      </c>
      <c r="AA151" s="422">
        <f t="shared" si="348"/>
        <v>0</v>
      </c>
      <c r="AB151" s="119">
        <f t="shared" si="349"/>
        <v>51974.40752351097</v>
      </c>
      <c r="AC151" s="120">
        <v>0</v>
      </c>
      <c r="AD151" s="405">
        <v>0</v>
      </c>
      <c r="AE151" s="405">
        <v>0</v>
      </c>
      <c r="AF151" s="405">
        <v>0</v>
      </c>
      <c r="AG151" s="405">
        <v>0</v>
      </c>
      <c r="AH151" s="120">
        <v>0</v>
      </c>
      <c r="AI151" s="1191">
        <f>SUM('3 pr-2'!L152)</f>
        <v>151437</v>
      </c>
      <c r="AJ151" s="834">
        <f t="shared" si="350"/>
        <v>144180</v>
      </c>
      <c r="AK151" s="389">
        <f>SUM('3 pr-2'!O152)</f>
        <v>22716</v>
      </c>
      <c r="AL151" s="834">
        <f t="shared" si="351"/>
        <v>22716</v>
      </c>
      <c r="AM151" s="389">
        <f>SUM('3 pr-2'!R152)</f>
        <v>0</v>
      </c>
      <c r="AN151" s="834">
        <f t="shared" si="352"/>
        <v>0</v>
      </c>
      <c r="AO151" s="389">
        <f>SUM('3 pr-2'!U152)</f>
        <v>0</v>
      </c>
      <c r="AP151" s="834">
        <f t="shared" si="353"/>
        <v>0</v>
      </c>
      <c r="AQ151" s="389">
        <f>SUM('3 pr-2'!X152)</f>
        <v>0</v>
      </c>
      <c r="AR151" s="834">
        <f t="shared" si="354"/>
        <v>0</v>
      </c>
      <c r="AS151" s="802">
        <f>SUM('3 pr-2'!AA152)</f>
        <v>128721</v>
      </c>
      <c r="AT151" s="834">
        <f t="shared" si="355"/>
        <v>121464</v>
      </c>
      <c r="AU151" s="24"/>
      <c r="AV151" s="25"/>
      <c r="AW151" s="23"/>
      <c r="AX151" s="389"/>
      <c r="AY151" s="389"/>
      <c r="AZ151" s="389"/>
      <c r="BA151" s="389"/>
      <c r="BB151" s="23"/>
      <c r="BC151" s="23"/>
      <c r="BD151" s="389"/>
      <c r="BE151" s="389"/>
      <c r="BF151" s="389"/>
      <c r="BG151" s="389"/>
      <c r="BH151" s="23"/>
      <c r="BI151" s="23"/>
      <c r="BJ151" s="389"/>
      <c r="BK151" s="389"/>
      <c r="BL151" s="389"/>
      <c r="BM151" s="389"/>
      <c r="BN151" s="23"/>
      <c r="BO151" s="23"/>
      <c r="BP151" s="389"/>
      <c r="BQ151" s="389"/>
      <c r="BR151" s="389"/>
      <c r="BS151" s="389"/>
      <c r="BT151" s="23"/>
      <c r="BU151" s="23"/>
      <c r="BV151" s="389"/>
      <c r="BW151" s="389"/>
      <c r="BX151" s="389"/>
      <c r="BY151" s="389"/>
      <c r="BZ151" s="23"/>
      <c r="CA151" s="25"/>
      <c r="CB151" s="389"/>
      <c r="CC151" s="389"/>
      <c r="CD151" s="389"/>
      <c r="CE151" s="389"/>
      <c r="CF151" s="553"/>
      <c r="CG151" s="800">
        <v>42826</v>
      </c>
      <c r="CH151" s="800">
        <v>43738</v>
      </c>
      <c r="CI151" s="801">
        <f>SUM(J151+P151+V151+AB151+AH151)</f>
        <v>128721</v>
      </c>
    </row>
    <row r="152" spans="1:96" ht="47.25" customHeight="1" thickBot="1" x14ac:dyDescent="0.3">
      <c r="A152" s="43" t="str">
        <f>CONCATENATE('3 pr-2'!A153)</f>
        <v>2.1.3.1.5</v>
      </c>
      <c r="B152" s="47" t="str">
        <f>CONCATENATE('3 pr-2'!D153)</f>
        <v>Socialinių paslaugų infrastruktūros modernizavimas ir plėtra VšĮ Kapčiamiesčio globos namuose</v>
      </c>
      <c r="C152" s="120">
        <v>0</v>
      </c>
      <c r="D152" s="120">
        <v>0</v>
      </c>
      <c r="E152" s="120">
        <v>0</v>
      </c>
      <c r="F152" s="389">
        <v>0</v>
      </c>
      <c r="G152" s="389">
        <v>0</v>
      </c>
      <c r="H152" s="389">
        <v>0</v>
      </c>
      <c r="I152" s="389">
        <v>0</v>
      </c>
      <c r="J152" s="120">
        <v>0</v>
      </c>
      <c r="K152" s="111">
        <f t="shared" si="337"/>
        <v>18431.32</v>
      </c>
      <c r="L152" s="405">
        <f>SUM('ketv. 7 lent'!N150)</f>
        <v>0</v>
      </c>
      <c r="M152" s="405">
        <f>SUM('ketv. 7 lent'!Q150)</f>
        <v>2764.7</v>
      </c>
      <c r="N152" s="405">
        <f>SUM('ketv. 7 lent'!T150)</f>
        <v>0</v>
      </c>
      <c r="O152" s="405">
        <f>SUM('ketv. 7 lent'!W150)</f>
        <v>0</v>
      </c>
      <c r="P152" s="119">
        <f>SUM('ketv. 7 lent'!Z150)</f>
        <v>15666.62</v>
      </c>
      <c r="Q152" s="111">
        <f t="shared" si="338"/>
        <v>90638.841165048536</v>
      </c>
      <c r="R152" s="405">
        <f t="shared" si="339"/>
        <v>0</v>
      </c>
      <c r="S152" s="405">
        <f t="shared" si="340"/>
        <v>13595.931067961164</v>
      </c>
      <c r="T152" s="405">
        <f t="shared" si="341"/>
        <v>0</v>
      </c>
      <c r="U152" s="405">
        <f t="shared" si="342"/>
        <v>0</v>
      </c>
      <c r="V152" s="119">
        <f t="shared" si="343"/>
        <v>77042.910097087384</v>
      </c>
      <c r="W152" s="111">
        <f t="shared" si="344"/>
        <v>37248.838834951457</v>
      </c>
      <c r="X152" s="422">
        <f t="shared" si="345"/>
        <v>0</v>
      </c>
      <c r="Y152" s="422">
        <f t="shared" si="346"/>
        <v>5587.3689320388348</v>
      </c>
      <c r="Z152" s="422">
        <f t="shared" si="347"/>
        <v>0</v>
      </c>
      <c r="AA152" s="422">
        <f t="shared" si="348"/>
        <v>0</v>
      </c>
      <c r="AB152" s="119">
        <f t="shared" si="349"/>
        <v>31661.46990291262</v>
      </c>
      <c r="AC152" s="120">
        <v>0</v>
      </c>
      <c r="AD152" s="405">
        <v>0</v>
      </c>
      <c r="AE152" s="405">
        <v>0</v>
      </c>
      <c r="AF152" s="405">
        <v>0</v>
      </c>
      <c r="AG152" s="405">
        <v>0</v>
      </c>
      <c r="AH152" s="120">
        <v>0</v>
      </c>
      <c r="AI152" s="1191">
        <f>SUM('3 pr-2'!L153)</f>
        <v>146319</v>
      </c>
      <c r="AJ152" s="834">
        <f t="shared" si="350"/>
        <v>127887.67999999999</v>
      </c>
      <c r="AK152" s="389">
        <f>SUM('3 pr-2'!O153)</f>
        <v>0</v>
      </c>
      <c r="AL152" s="834">
        <f t="shared" si="351"/>
        <v>0</v>
      </c>
      <c r="AM152" s="389">
        <f>SUM('3 pr-2'!R153)</f>
        <v>21948</v>
      </c>
      <c r="AN152" s="834">
        <f t="shared" si="352"/>
        <v>19183.3</v>
      </c>
      <c r="AO152" s="389">
        <f>SUM('3 pr-2'!U153)</f>
        <v>0</v>
      </c>
      <c r="AP152" s="834">
        <f t="shared" si="353"/>
        <v>0</v>
      </c>
      <c r="AQ152" s="389">
        <f>SUM('3 pr-2'!X153)</f>
        <v>0</v>
      </c>
      <c r="AR152" s="834">
        <f t="shared" si="354"/>
        <v>0</v>
      </c>
      <c r="AS152" s="802">
        <f>SUM('3 pr-2'!AA153)</f>
        <v>124371</v>
      </c>
      <c r="AT152" s="834">
        <f t="shared" si="355"/>
        <v>108704.38</v>
      </c>
      <c r="AU152" s="24"/>
      <c r="AV152" s="25"/>
      <c r="AW152" s="25"/>
      <c r="AX152" s="389"/>
      <c r="AY152" s="389"/>
      <c r="AZ152" s="389"/>
      <c r="BA152" s="389"/>
      <c r="BB152" s="25"/>
      <c r="BC152" s="25"/>
      <c r="BD152" s="389"/>
      <c r="BE152" s="389"/>
      <c r="BF152" s="389"/>
      <c r="BG152" s="389"/>
      <c r="BH152" s="25"/>
      <c r="BI152" s="25"/>
      <c r="BJ152" s="389"/>
      <c r="BK152" s="389"/>
      <c r="BL152" s="389"/>
      <c r="BM152" s="389"/>
      <c r="BN152" s="25"/>
      <c r="BO152" s="25"/>
      <c r="BP152" s="389"/>
      <c r="BQ152" s="389"/>
      <c r="BR152" s="389"/>
      <c r="BS152" s="389"/>
      <c r="BT152" s="25"/>
      <c r="BU152" s="25"/>
      <c r="BV152" s="389"/>
      <c r="BW152" s="389"/>
      <c r="BX152" s="389"/>
      <c r="BY152" s="389"/>
      <c r="BZ152" s="25"/>
      <c r="CA152" s="25"/>
      <c r="CB152" s="389"/>
      <c r="CC152" s="389"/>
      <c r="CD152" s="389"/>
      <c r="CE152" s="389"/>
      <c r="CF152" s="553"/>
      <c r="CG152" s="566">
        <v>42826</v>
      </c>
      <c r="CH152" s="566">
        <v>43615</v>
      </c>
      <c r="CI152" s="801">
        <f>SUM(J152+P152+V152+AB152+AH152)</f>
        <v>124371</v>
      </c>
    </row>
    <row r="153" spans="1:96" ht="29.25" customHeight="1" thickBot="1" x14ac:dyDescent="0.3">
      <c r="A153" s="383" t="str">
        <f>CONCATENATE('3 pr-2'!A154)</f>
        <v>2.1.3.2</v>
      </c>
      <c r="B153" s="182" t="str">
        <f>CONCATENATE('3 pr-2'!D154)</f>
        <v/>
      </c>
      <c r="C153" s="113">
        <f t="shared" ref="C153" si="356">SUM(C154:C158)</f>
        <v>0</v>
      </c>
      <c r="D153" s="113">
        <f t="shared" ref="D153" si="357">SUM(D154:D158)</f>
        <v>0</v>
      </c>
      <c r="E153" s="105">
        <f t="shared" ref="E153" si="358">SUM(E154:E158)</f>
        <v>272169.55999999994</v>
      </c>
      <c r="F153" s="105">
        <f t="shared" ref="F153:I153" si="359">SUM(F154:F158)</f>
        <v>32621.908409610434</v>
      </c>
      <c r="G153" s="105">
        <f t="shared" si="359"/>
        <v>0</v>
      </c>
      <c r="H153" s="105">
        <f t="shared" si="359"/>
        <v>0</v>
      </c>
      <c r="I153" s="105">
        <f t="shared" si="359"/>
        <v>0</v>
      </c>
      <c r="J153" s="105">
        <f t="shared" ref="J153" si="360">SUM(J154:J158)</f>
        <v>239547.65159038958</v>
      </c>
      <c r="K153" s="105">
        <f t="shared" ref="K153" si="361">SUM(K154:K158)</f>
        <v>1145909.68</v>
      </c>
      <c r="L153" s="416">
        <f t="shared" ref="L153:O153" si="362">SUM(L154:L158)</f>
        <v>107101.09159038957</v>
      </c>
      <c r="M153" s="416">
        <f t="shared" si="362"/>
        <v>0</v>
      </c>
      <c r="N153" s="416">
        <f t="shared" si="362"/>
        <v>0</v>
      </c>
      <c r="O153" s="416">
        <f t="shared" si="362"/>
        <v>0</v>
      </c>
      <c r="P153" s="105">
        <f t="shared" ref="P153" si="363">SUM(P154:P158)</f>
        <v>1038808.5884096104</v>
      </c>
      <c r="Q153" s="105">
        <f t="shared" ref="Q153:U153" si="364">SUM(Q154:Q158)</f>
        <v>1310509.9868676206</v>
      </c>
      <c r="R153" s="105">
        <f t="shared" si="364"/>
        <v>258983.05922935109</v>
      </c>
      <c r="S153" s="105">
        <f t="shared" si="364"/>
        <v>0</v>
      </c>
      <c r="T153" s="105">
        <f t="shared" si="364"/>
        <v>0</v>
      </c>
      <c r="U153" s="105">
        <f t="shared" si="364"/>
        <v>0</v>
      </c>
      <c r="V153" s="105">
        <f t="shared" ref="V153:W153" si="365">SUM(V154:V158)</f>
        <v>1051526.9276382695</v>
      </c>
      <c r="W153" s="105">
        <f t="shared" si="365"/>
        <v>237611.77313237955</v>
      </c>
      <c r="X153" s="105">
        <f t="shared" ref="X153:AA153" si="366">SUM(X154:X158)</f>
        <v>46520.940770648922</v>
      </c>
      <c r="Y153" s="105">
        <f t="shared" si="366"/>
        <v>0</v>
      </c>
      <c r="Z153" s="105">
        <f t="shared" si="366"/>
        <v>0</v>
      </c>
      <c r="AA153" s="105">
        <f t="shared" si="366"/>
        <v>0</v>
      </c>
      <c r="AB153" s="113">
        <f t="shared" ref="AB153" si="367">SUM(AB154:AB158)</f>
        <v>191090.83236173063</v>
      </c>
      <c r="AC153" s="113">
        <f t="shared" ref="AC153" si="368">SUM(AC154:AC158)</f>
        <v>0</v>
      </c>
      <c r="AD153" s="416"/>
      <c r="AE153" s="416"/>
      <c r="AF153" s="416"/>
      <c r="AG153" s="416"/>
      <c r="AH153" s="113">
        <f t="shared" ref="AH153" si="369">SUM(AH154:AH158)</f>
        <v>0</v>
      </c>
      <c r="AI153" s="1173">
        <f>SUM(AI154:AI158)</f>
        <v>2966201</v>
      </c>
      <c r="AJ153" s="113"/>
      <c r="AK153" s="105"/>
      <c r="AL153" s="105"/>
      <c r="AM153" s="105"/>
      <c r="AN153" s="105"/>
      <c r="AO153" s="105"/>
      <c r="AP153" s="105"/>
      <c r="AQ153" s="105"/>
      <c r="AR153" s="105"/>
      <c r="AS153" s="113">
        <f>SUM(AS154:AS158)</f>
        <v>2520974</v>
      </c>
      <c r="AT153" s="113"/>
      <c r="AU153" s="104">
        <f>SUM(AU154:AU158)</f>
        <v>2966201</v>
      </c>
      <c r="AV153" s="104">
        <f>SUM(AV154:AV158)</f>
        <v>2520974</v>
      </c>
      <c r="AW153" s="23"/>
      <c r="AX153" s="105"/>
      <c r="AY153" s="105"/>
      <c r="AZ153" s="105"/>
      <c r="BA153" s="105"/>
      <c r="BB153" s="23"/>
      <c r="BC153" s="23"/>
      <c r="BD153" s="105"/>
      <c r="BE153" s="105"/>
      <c r="BF153" s="105"/>
      <c r="BG153" s="105"/>
      <c r="BH153" s="23"/>
      <c r="BI153" s="23"/>
      <c r="BJ153" s="105"/>
      <c r="BK153" s="105"/>
      <c r="BL153" s="105"/>
      <c r="BM153" s="105"/>
      <c r="BN153" s="23"/>
      <c r="BO153" s="23"/>
      <c r="BP153" s="105"/>
      <c r="BQ153" s="105"/>
      <c r="BR153" s="105"/>
      <c r="BS153" s="105"/>
      <c r="BT153" s="23"/>
      <c r="BU153" s="23"/>
      <c r="BV153" s="105"/>
      <c r="BW153" s="105"/>
      <c r="BX153" s="105"/>
      <c r="BY153" s="105"/>
      <c r="BZ153" s="23"/>
      <c r="CA153" s="23"/>
      <c r="CB153" s="105"/>
      <c r="CC153" s="105"/>
      <c r="CD153" s="105"/>
      <c r="CE153" s="105"/>
      <c r="CF153" s="555"/>
      <c r="CG153" s="561"/>
      <c r="CH153" s="561"/>
    </row>
    <row r="154" spans="1:96" ht="26.25" thickBot="1" x14ac:dyDescent="0.3">
      <c r="A154" s="91" t="str">
        <f>CONCATENATE('3 pr-2'!A155)</f>
        <v>2.1.3.2.1</v>
      </c>
      <c r="B154" s="46" t="str">
        <f>CONCATENATE('3 pr-2'!D155)</f>
        <v>Socialinio būsto plėtra Varėnos rajone</v>
      </c>
      <c r="C154" s="51">
        <v>0</v>
      </c>
      <c r="D154" s="51">
        <v>0</v>
      </c>
      <c r="E154" s="453">
        <v>127124.84</v>
      </c>
      <c r="F154" s="423">
        <f>SUM(E154-J154)</f>
        <v>19068.725999999995</v>
      </c>
      <c r="G154" s="423">
        <v>0</v>
      </c>
      <c r="H154" s="423">
        <v>0</v>
      </c>
      <c r="I154" s="423">
        <v>0</v>
      </c>
      <c r="J154" s="453">
        <v>108056.114</v>
      </c>
      <c r="K154" s="453">
        <f>SUM('ketv. 7 lent'!K152-'IV-1 su proj'!E154)</f>
        <v>291725.48</v>
      </c>
      <c r="L154" s="423">
        <f>SUM('ketv. 7 lent'!N152-'IV-1 su proj'!F154)</f>
        <v>23770.204000000005</v>
      </c>
      <c r="M154" s="423">
        <v>0</v>
      </c>
      <c r="N154" s="423">
        <v>0</v>
      </c>
      <c r="O154" s="423">
        <v>0</v>
      </c>
      <c r="P154" s="453">
        <f>SUM('ketv. 7 lent'!Z152-'IV-1 su proj'!J154)</f>
        <v>267955.27600000001</v>
      </c>
      <c r="Q154" s="453">
        <f>IF(YEAR($CG154)=2015,($BI$4-$BC$4)*$AJ154/($CH154-$BC$4))</f>
        <v>181726.90940438875</v>
      </c>
      <c r="R154" s="423">
        <f>IF(YEAR($CG154)=2015,($BI$4-$BC$4)*$AL154/($CH154-$BC$4))</f>
        <v>38694.616849529782</v>
      </c>
      <c r="S154" s="423">
        <v>0</v>
      </c>
      <c r="T154" s="423">
        <v>0</v>
      </c>
      <c r="U154" s="423">
        <v>0</v>
      </c>
      <c r="V154" s="453">
        <f>IF(YEAR($CG154)=2015,($BI$4-$BC$4)*$AT154/($CH154-$BC$4))</f>
        <v>143032.29255485893</v>
      </c>
      <c r="W154" s="406">
        <f>IF(YEAR($CH154)=2019,($CH154-$BI$4)*$AJ154/($CH154-$BC$4),0)</f>
        <v>135921.77059561131</v>
      </c>
      <c r="X154" s="423">
        <f>IF(YEAR($CH154)=2019,($CH154-$BI$4)*$AL154/($CH154-$BC$4),0)</f>
        <v>28941.453150470225</v>
      </c>
      <c r="Y154" s="423">
        <v>0</v>
      </c>
      <c r="Z154" s="423">
        <v>0</v>
      </c>
      <c r="AA154" s="423">
        <v>0</v>
      </c>
      <c r="AB154" s="453">
        <f>IF(YEAR($CH154)=2019,($CH154-$BI$4)*$AT154/($CH154-$BC$4),0)</f>
        <v>106980.31744514107</v>
      </c>
      <c r="AC154" s="406">
        <v>0</v>
      </c>
      <c r="AD154" s="424">
        <v>0</v>
      </c>
      <c r="AE154" s="424">
        <v>0</v>
      </c>
      <c r="AF154" s="424">
        <v>0</v>
      </c>
      <c r="AG154" s="424">
        <v>0</v>
      </c>
      <c r="AH154" s="111">
        <v>0</v>
      </c>
      <c r="AI154" s="1188">
        <f>SUM('3 pr-2'!L155)</f>
        <v>736499</v>
      </c>
      <c r="AJ154" s="805">
        <f>SUM(AI154-E154-K154)</f>
        <v>317648.68000000005</v>
      </c>
      <c r="AK154" s="389">
        <f>SUM('3 pr-2'!O155)</f>
        <v>110475</v>
      </c>
      <c r="AL154" s="805">
        <f>SUM(AK154-F154-L154)</f>
        <v>67636.070000000007</v>
      </c>
      <c r="AM154" s="389">
        <f>SUM('3 pr-2'!R155)</f>
        <v>0</v>
      </c>
      <c r="AN154" s="805"/>
      <c r="AO154" s="389">
        <f>SUM('3 pr-2'!U155)</f>
        <v>0</v>
      </c>
      <c r="AP154" s="805"/>
      <c r="AQ154" s="389">
        <f>SUM('3 pr-2'!X155)</f>
        <v>0</v>
      </c>
      <c r="AR154" s="805"/>
      <c r="AS154" s="48">
        <f>SUM('3 pr-2'!AA155)</f>
        <v>626024</v>
      </c>
      <c r="AT154" s="805">
        <f>SUM(AS154-J154-P154)</f>
        <v>250012.61</v>
      </c>
      <c r="AU154" s="104">
        <f>SUM(E154+K154+Q154+W154+AC154)</f>
        <v>736499</v>
      </c>
      <c r="AV154" s="104">
        <f>SUM(J154+P154+V154+AB154+AH154)</f>
        <v>626024</v>
      </c>
      <c r="AW154" s="23"/>
      <c r="AX154" s="394"/>
      <c r="AY154" s="394"/>
      <c r="AZ154" s="394"/>
      <c r="BA154" s="394"/>
      <c r="BB154" s="23"/>
      <c r="BC154" s="23"/>
      <c r="BD154" s="394"/>
      <c r="BE154" s="394"/>
      <c r="BF154" s="394"/>
      <c r="BG154" s="394"/>
      <c r="BH154" s="23"/>
      <c r="BI154" s="23"/>
      <c r="BJ154" s="394"/>
      <c r="BK154" s="394"/>
      <c r="BL154" s="394"/>
      <c r="BM154" s="394"/>
      <c r="BN154" s="23"/>
      <c r="BO154" s="23"/>
      <c r="BP154" s="394"/>
      <c r="BQ154" s="394"/>
      <c r="BR154" s="394"/>
      <c r="BS154" s="394"/>
      <c r="BT154" s="23"/>
      <c r="BU154" s="23"/>
      <c r="BV154" s="394"/>
      <c r="BW154" s="394"/>
      <c r="BX154" s="394"/>
      <c r="BY154" s="394"/>
      <c r="BZ154" s="23"/>
      <c r="CA154" s="23"/>
      <c r="CB154" s="394"/>
      <c r="CC154" s="394"/>
      <c r="CD154" s="394"/>
      <c r="CE154" s="394"/>
      <c r="CF154" s="555"/>
      <c r="CG154" s="830">
        <v>42296</v>
      </c>
      <c r="CH154" s="830">
        <v>43738</v>
      </c>
      <c r="CI154" s="801">
        <f>SUM(J154+P154+V154+AB154+AH154)</f>
        <v>626024</v>
      </c>
      <c r="CJ154" s="30">
        <f>SUM(AS154-CI154)</f>
        <v>0</v>
      </c>
      <c r="CQ154" s="1520">
        <f t="shared" ref="CQ154:CQ155" si="370">SUM(E154+K154+Q154+W154+AC154)</f>
        <v>736499</v>
      </c>
      <c r="CR154" s="1521">
        <f t="shared" ref="CR154:CR155" si="371">SUM(J154+P154+V154+AB154+AH154)</f>
        <v>626024</v>
      </c>
    </row>
    <row r="155" spans="1:96" ht="41.25" customHeight="1" thickBot="1" x14ac:dyDescent="0.3">
      <c r="A155" s="91" t="str">
        <f>CONCATENATE('3 pr-2'!A156)</f>
        <v>2.1.3.2.2</v>
      </c>
      <c r="B155" s="46" t="str">
        <f>CONCATENATE('3 pr-2'!D156)</f>
        <v>Būsto prieinamumo pažeidžiamoms gyventojų grupėms didinimas Alytaus rajone</v>
      </c>
      <c r="C155" s="829">
        <v>0</v>
      </c>
      <c r="D155" s="829">
        <v>0</v>
      </c>
      <c r="E155" s="453">
        <v>0</v>
      </c>
      <c r="F155" s="423">
        <v>0</v>
      </c>
      <c r="G155" s="423">
        <v>0</v>
      </c>
      <c r="H155" s="423">
        <v>0</v>
      </c>
      <c r="I155" s="423">
        <v>0</v>
      </c>
      <c r="J155" s="453">
        <v>0</v>
      </c>
      <c r="K155" s="453">
        <f>SUM('ketv. 7 lent'!K153-'IV-1 su proj'!E155)</f>
        <v>104787.71</v>
      </c>
      <c r="L155" s="423">
        <f>SUM('ketv. 7 lent'!N153-'IV-1 su proj'!F155)</f>
        <v>15718.16</v>
      </c>
      <c r="M155" s="423">
        <v>0</v>
      </c>
      <c r="N155" s="423">
        <v>0</v>
      </c>
      <c r="O155" s="423">
        <v>0</v>
      </c>
      <c r="P155" s="453">
        <f>SUM('ketv. 7 lent'!Z153-'IV-1 su proj'!J155)</f>
        <v>89069.55</v>
      </c>
      <c r="Q155" s="453">
        <f>SUM(R155:V155)</f>
        <v>78435.69098746081</v>
      </c>
      <c r="R155" s="423">
        <f>SUM(V155*AL155/AT155)</f>
        <v>11765.151410658307</v>
      </c>
      <c r="S155" s="405">
        <v>0</v>
      </c>
      <c r="T155" s="405">
        <v>0</v>
      </c>
      <c r="U155" s="405">
        <v>0</v>
      </c>
      <c r="V155" s="453">
        <f>IF(YEAR($CG155)=2016,($BI$4-$BC$4)*$AT155/($CH155-$BC$4))</f>
        <v>66670.539576802505</v>
      </c>
      <c r="W155" s="453">
        <f>SUM(X155:AB155)</f>
        <v>58665.599012539176</v>
      </c>
      <c r="X155" s="423">
        <f>SUM(AB155*AL155/AT155)</f>
        <v>8799.6885893416911</v>
      </c>
      <c r="Y155" s="405">
        <v>0</v>
      </c>
      <c r="Z155" s="405">
        <v>0</v>
      </c>
      <c r="AA155" s="405">
        <v>0</v>
      </c>
      <c r="AB155" s="453">
        <f>IF(YEAR($CH155)=2019,($CH155-$BI$4)*$AT155/($CH155-$BC$4),0)</f>
        <v>49865.910423197485</v>
      </c>
      <c r="AC155" s="406">
        <v>0</v>
      </c>
      <c r="AD155" s="424">
        <v>0</v>
      </c>
      <c r="AE155" s="424">
        <v>0</v>
      </c>
      <c r="AF155" s="424">
        <v>0</v>
      </c>
      <c r="AG155" s="424">
        <v>0</v>
      </c>
      <c r="AH155" s="111">
        <v>0</v>
      </c>
      <c r="AI155" s="1190">
        <f>SUM('3 pr-2'!L156)</f>
        <v>241889</v>
      </c>
      <c r="AJ155" s="805">
        <f>SUM(AI155-E155)</f>
        <v>241889</v>
      </c>
      <c r="AK155" s="389">
        <f>SUM('3 pr-2'!O156)</f>
        <v>36283</v>
      </c>
      <c r="AL155" s="805">
        <f t="shared" ref="AL155:AL158" si="372">SUM(AK155-F155-L155)</f>
        <v>20564.84</v>
      </c>
      <c r="AM155" s="389">
        <f>SUM('3 pr-2'!R156)</f>
        <v>0</v>
      </c>
      <c r="AN155" s="805"/>
      <c r="AO155" s="389">
        <f>SUM('3 pr-2'!U156)</f>
        <v>0</v>
      </c>
      <c r="AP155" s="805"/>
      <c r="AQ155" s="389">
        <f>SUM('3 pr-2'!X156)</f>
        <v>0</v>
      </c>
      <c r="AR155" s="805"/>
      <c r="AS155" s="168">
        <f>SUM('3 pr-2'!AA156)</f>
        <v>205606</v>
      </c>
      <c r="AT155" s="805">
        <f t="shared" ref="AT155:AT158" si="373">SUM(AS155-J155-P155)</f>
        <v>116536.45</v>
      </c>
      <c r="AU155" s="104">
        <f>SUM(E155+K155+Q155+W155+AC155)</f>
        <v>241888.99999999997</v>
      </c>
      <c r="AV155" s="104">
        <f>SUM(J155+P155+V155+AB155+AH155)</f>
        <v>205606</v>
      </c>
      <c r="AW155" s="23"/>
      <c r="AX155" s="394"/>
      <c r="AY155" s="394"/>
      <c r="AZ155" s="394"/>
      <c r="BA155" s="394"/>
      <c r="BB155" s="23"/>
      <c r="BC155" s="23"/>
      <c r="BD155" s="394"/>
      <c r="BE155" s="394"/>
      <c r="BF155" s="394"/>
      <c r="BG155" s="394"/>
      <c r="BH155" s="23"/>
      <c r="BI155" s="23"/>
      <c r="BJ155" s="394"/>
      <c r="BK155" s="394"/>
      <c r="BL155" s="394"/>
      <c r="BM155" s="394"/>
      <c r="BN155" s="23"/>
      <c r="BO155" s="23"/>
      <c r="BP155" s="394"/>
      <c r="BQ155" s="394"/>
      <c r="BR155" s="394"/>
      <c r="BS155" s="394"/>
      <c r="BT155" s="23"/>
      <c r="BU155" s="23"/>
      <c r="BV155" s="394"/>
      <c r="BW155" s="394"/>
      <c r="BX155" s="394"/>
      <c r="BY155" s="394"/>
      <c r="BZ155" s="23"/>
      <c r="CA155" s="23"/>
      <c r="CB155" s="394"/>
      <c r="CC155" s="394"/>
      <c r="CD155" s="394"/>
      <c r="CE155" s="394"/>
      <c r="CF155" s="555"/>
      <c r="CG155" s="566">
        <v>42522</v>
      </c>
      <c r="CH155" s="830">
        <v>43738</v>
      </c>
      <c r="CI155" s="801">
        <f>SUM(J155+P155+V155+AB155+AH155)</f>
        <v>205606</v>
      </c>
      <c r="CJ155" s="30">
        <f>SUM(AS155-CI155)</f>
        <v>0</v>
      </c>
      <c r="CQ155" s="1520">
        <f t="shared" si="370"/>
        <v>241888.99999999997</v>
      </c>
      <c r="CR155" s="1521">
        <f t="shared" si="371"/>
        <v>205606</v>
      </c>
    </row>
    <row r="156" spans="1:96" ht="29.25" customHeight="1" thickBot="1" x14ac:dyDescent="0.3">
      <c r="A156" s="91" t="str">
        <f>CONCATENATE('3 pr-2'!A157)</f>
        <v>2.1.3.1.3</v>
      </c>
      <c r="B156" s="46" t="str">
        <f>CONCATENATE('3 pr-2'!D157)</f>
        <v>Socialinio būsto plėtra Alytaus mieste</v>
      </c>
      <c r="C156" s="111">
        <v>0</v>
      </c>
      <c r="D156" s="111">
        <v>0</v>
      </c>
      <c r="E156" s="151">
        <v>140910</v>
      </c>
      <c r="F156" s="393">
        <v>13512.41182894586</v>
      </c>
      <c r="G156" s="393">
        <v>0</v>
      </c>
      <c r="H156" s="393">
        <v>0</v>
      </c>
      <c r="I156" s="393">
        <v>0</v>
      </c>
      <c r="J156" s="151">
        <f>SUM(E156-F156)</f>
        <v>127397.58817105414</v>
      </c>
      <c r="K156" s="453">
        <f>SUM('ketv. 7 lent'!K154-'IV-1 su proj'!E156)</f>
        <v>450698.44999999995</v>
      </c>
      <c r="L156" s="423">
        <f>SUM('ketv. 7 lent'!N154-'IV-1 su proj'!F156)</f>
        <v>54092.358171054148</v>
      </c>
      <c r="M156" s="423">
        <v>0</v>
      </c>
      <c r="N156" s="423">
        <v>0</v>
      </c>
      <c r="O156" s="423">
        <v>0</v>
      </c>
      <c r="P156" s="453">
        <f>SUM('ketv. 7 lent'!Z154-'IV-1 su proj'!J156)</f>
        <v>396606.09182894585</v>
      </c>
      <c r="Q156" s="453">
        <f>SUM(R156:V156)</f>
        <v>300132.55</v>
      </c>
      <c r="R156" s="423">
        <f>SUM(V156*AL156/AT156)</f>
        <v>66156.23</v>
      </c>
      <c r="S156" s="423">
        <v>0</v>
      </c>
      <c r="T156" s="423">
        <v>0</v>
      </c>
      <c r="U156" s="423">
        <v>0</v>
      </c>
      <c r="V156" s="453">
        <f>IF(YEAR($CG156)=2016,($CH$156-$BC$4)*$AT156/($CH156-$BC$4))</f>
        <v>233976.32000000001</v>
      </c>
      <c r="W156" s="406">
        <v>0</v>
      </c>
      <c r="X156" s="423">
        <v>0</v>
      </c>
      <c r="Y156" s="423">
        <v>0</v>
      </c>
      <c r="Z156" s="423">
        <v>0</v>
      </c>
      <c r="AA156" s="423">
        <v>0</v>
      </c>
      <c r="AB156" s="829">
        <v>0</v>
      </c>
      <c r="AC156" s="406">
        <v>0</v>
      </c>
      <c r="AD156" s="423">
        <v>0</v>
      </c>
      <c r="AE156" s="423">
        <v>0</v>
      </c>
      <c r="AF156" s="423">
        <v>0</v>
      </c>
      <c r="AG156" s="423">
        <v>0</v>
      </c>
      <c r="AH156" s="829">
        <v>0</v>
      </c>
      <c r="AI156" s="1190">
        <f>SUM('3 pr-2'!L157)</f>
        <v>891741</v>
      </c>
      <c r="AJ156" s="805">
        <f>SUM(AI156-E156)</f>
        <v>750831</v>
      </c>
      <c r="AK156" s="389">
        <f>SUM('3 pr-2'!O157)</f>
        <v>133761</v>
      </c>
      <c r="AL156" s="805">
        <f t="shared" si="372"/>
        <v>66156.23</v>
      </c>
      <c r="AM156" s="389">
        <f>SUM('3 pr-2'!R157)</f>
        <v>0</v>
      </c>
      <c r="AN156" s="805"/>
      <c r="AO156" s="389">
        <f>SUM('3 pr-2'!U157)</f>
        <v>0</v>
      </c>
      <c r="AP156" s="805"/>
      <c r="AQ156" s="389">
        <f>SUM('3 pr-2'!X157)</f>
        <v>0</v>
      </c>
      <c r="AR156" s="805"/>
      <c r="AS156" s="168">
        <f>SUM('3 pr-2'!AA157)</f>
        <v>757980</v>
      </c>
      <c r="AT156" s="805">
        <f t="shared" si="373"/>
        <v>233976.32000000001</v>
      </c>
      <c r="AU156" s="104">
        <f>SUM(E156+K156+Q156+W156+AC156)</f>
        <v>891741</v>
      </c>
      <c r="AV156" s="104">
        <f>SUM(J156+P156+V156+AB156+AH156)</f>
        <v>757980</v>
      </c>
      <c r="AW156" s="23"/>
      <c r="AX156" s="394"/>
      <c r="AY156" s="394"/>
      <c r="AZ156" s="394"/>
      <c r="BA156" s="394"/>
      <c r="BB156" s="23"/>
      <c r="BC156" s="23"/>
      <c r="BD156" s="394"/>
      <c r="BE156" s="394"/>
      <c r="BF156" s="394"/>
      <c r="BG156" s="394"/>
      <c r="BH156" s="23"/>
      <c r="BI156" s="23"/>
      <c r="BJ156" s="394"/>
      <c r="BK156" s="394"/>
      <c r="BL156" s="394"/>
      <c r="BM156" s="394"/>
      <c r="BN156" s="23"/>
      <c r="BO156" s="23"/>
      <c r="BP156" s="394"/>
      <c r="BQ156" s="394"/>
      <c r="BR156" s="394"/>
      <c r="BS156" s="394"/>
      <c r="BT156" s="23"/>
      <c r="BU156" s="23"/>
      <c r="BV156" s="394"/>
      <c r="BW156" s="394"/>
      <c r="BX156" s="394"/>
      <c r="BY156" s="394"/>
      <c r="BZ156" s="23"/>
      <c r="CA156" s="23"/>
      <c r="CB156" s="394"/>
      <c r="CC156" s="394"/>
      <c r="CD156" s="394"/>
      <c r="CE156" s="394"/>
      <c r="CF156" s="555"/>
      <c r="CG156" s="566">
        <v>42583</v>
      </c>
      <c r="CH156" s="566">
        <v>43464</v>
      </c>
      <c r="CI156" s="801">
        <f>SUM(J156+P156+V156+AB156+AH156)</f>
        <v>757980</v>
      </c>
      <c r="CJ156" s="30">
        <f>SUM(AS156-CI156)</f>
        <v>0</v>
      </c>
      <c r="CQ156" s="1520">
        <f t="shared" ref="CQ156:CQ158" si="374">SUM(E156+K156+Q156+W156+AC156)</f>
        <v>891741</v>
      </c>
      <c r="CR156" s="1521">
        <f t="shared" ref="CR156:CR158" si="375">SUM(J156+P156+V156+AB156+AH156)</f>
        <v>757980</v>
      </c>
    </row>
    <row r="157" spans="1:96" ht="26.25" thickBot="1" x14ac:dyDescent="0.3">
      <c r="A157" s="91" t="str">
        <f>CONCATENATE('3 pr-2'!A158)</f>
        <v>2.1.3.2.4</v>
      </c>
      <c r="B157" s="46" t="str">
        <f>CONCATENATE('3 pr-2'!D158)</f>
        <v>Socialinio būsto fondo plėtra Druskininkų savivaldybėje</v>
      </c>
      <c r="C157" s="51">
        <v>0</v>
      </c>
      <c r="D157" s="51">
        <v>0</v>
      </c>
      <c r="E157" s="452">
        <v>0</v>
      </c>
      <c r="F157" s="405">
        <v>0</v>
      </c>
      <c r="G157" s="405">
        <v>0</v>
      </c>
      <c r="H157" s="405">
        <v>0</v>
      </c>
      <c r="I157" s="405">
        <v>0</v>
      </c>
      <c r="J157" s="452">
        <v>0</v>
      </c>
      <c r="K157" s="453">
        <f>SUM('ketv. 7 lent'!K155-'IV-1 su proj'!E157)</f>
        <v>153706.56</v>
      </c>
      <c r="L157" s="423">
        <f>SUM('ketv. 7 lent'!N155-'IV-1 su proj'!F157)</f>
        <v>2760.98</v>
      </c>
      <c r="M157" s="423">
        <v>0</v>
      </c>
      <c r="N157" s="423">
        <v>0</v>
      </c>
      <c r="O157" s="423">
        <v>0</v>
      </c>
      <c r="P157" s="453">
        <f>SUM('ketv. 7 lent'!Z155-'IV-1 su proj'!J157)</f>
        <v>150945.57999999999</v>
      </c>
      <c r="Q157" s="453">
        <f>SUM(R157:V157)</f>
        <v>573766.43999999994</v>
      </c>
      <c r="R157" s="423">
        <f>SUM(V157*AL157/AT157)</f>
        <v>106360.01999999999</v>
      </c>
      <c r="S157" s="423">
        <v>0</v>
      </c>
      <c r="T157" s="423">
        <v>0</v>
      </c>
      <c r="U157" s="423">
        <v>0</v>
      </c>
      <c r="V157" s="453">
        <f>IF(YEAR($CG157)=2016,($CH157-$BC$4)*$AT157/($CH157-$BC$4))</f>
        <v>467406.42</v>
      </c>
      <c r="W157" s="450">
        <v>0</v>
      </c>
      <c r="X157" s="423">
        <v>0</v>
      </c>
      <c r="Y157" s="423">
        <v>0</v>
      </c>
      <c r="Z157" s="423">
        <v>0</v>
      </c>
      <c r="AA157" s="423">
        <v>0</v>
      </c>
      <c r="AB157" s="450">
        <v>0</v>
      </c>
      <c r="AC157" s="406">
        <v>0</v>
      </c>
      <c r="AD157" s="424">
        <v>0</v>
      </c>
      <c r="AE157" s="424">
        <v>0</v>
      </c>
      <c r="AF157" s="424">
        <v>0</v>
      </c>
      <c r="AG157" s="424">
        <v>0</v>
      </c>
      <c r="AH157" s="111">
        <v>0</v>
      </c>
      <c r="AI157" s="1190">
        <f>SUM('3 pr-2'!L158)</f>
        <v>727473</v>
      </c>
      <c r="AJ157" s="805">
        <f>SUM(AI157-E157)</f>
        <v>727473</v>
      </c>
      <c r="AK157" s="389">
        <f>SUM('3 pr-2'!O158)</f>
        <v>109121</v>
      </c>
      <c r="AL157" s="805">
        <f t="shared" si="372"/>
        <v>106360.02</v>
      </c>
      <c r="AM157" s="389">
        <f>SUM('3 pr-2'!R158)</f>
        <v>0</v>
      </c>
      <c r="AN157" s="805"/>
      <c r="AO157" s="389">
        <f>SUM('3 pr-2'!U158)</f>
        <v>0</v>
      </c>
      <c r="AP157" s="805"/>
      <c r="AQ157" s="389">
        <f>SUM('3 pr-2'!X158)</f>
        <v>0</v>
      </c>
      <c r="AR157" s="805"/>
      <c r="AS157" s="168">
        <f>SUM('3 pr-2'!AA158)</f>
        <v>618352</v>
      </c>
      <c r="AT157" s="805">
        <f t="shared" si="373"/>
        <v>467406.42000000004</v>
      </c>
      <c r="AU157" s="104">
        <f>SUM(E157+K157+Q157+W157+AC157)</f>
        <v>727473</v>
      </c>
      <c r="AV157" s="104">
        <f>SUM(J157+P157+V157+AB157+AH157)</f>
        <v>618352</v>
      </c>
      <c r="AW157" s="23"/>
      <c r="AX157" s="394"/>
      <c r="AY157" s="394"/>
      <c r="AZ157" s="394"/>
      <c r="BA157" s="394"/>
      <c r="BB157" s="23"/>
      <c r="BC157" s="23"/>
      <c r="BD157" s="394"/>
      <c r="BE157" s="394"/>
      <c r="BF157" s="394"/>
      <c r="BG157" s="394"/>
      <c r="BH157" s="23"/>
      <c r="BI157" s="23"/>
      <c r="BJ157" s="394"/>
      <c r="BK157" s="394"/>
      <c r="BL157" s="394"/>
      <c r="BM157" s="394"/>
      <c r="BN157" s="23"/>
      <c r="BO157" s="23"/>
      <c r="BP157" s="394"/>
      <c r="BQ157" s="394"/>
      <c r="BR157" s="394"/>
      <c r="BS157" s="394"/>
      <c r="BT157" s="23"/>
      <c r="BU157" s="23"/>
      <c r="BV157" s="394"/>
      <c r="BW157" s="394"/>
      <c r="BX157" s="394"/>
      <c r="BY157" s="394"/>
      <c r="BZ157" s="23"/>
      <c r="CA157" s="23"/>
      <c r="CB157" s="394"/>
      <c r="CC157" s="394"/>
      <c r="CD157" s="394"/>
      <c r="CE157" s="394"/>
      <c r="CF157" s="555"/>
      <c r="CG157" s="566">
        <v>42583</v>
      </c>
      <c r="CH157" s="566">
        <v>43250</v>
      </c>
      <c r="CI157" s="801">
        <f>SUM(J157+P157+V157+AB157+AH157)</f>
        <v>618352</v>
      </c>
      <c r="CJ157" s="30">
        <f>SUM(AS157-CI157)</f>
        <v>0</v>
      </c>
      <c r="CQ157" s="1520">
        <f t="shared" si="374"/>
        <v>727473</v>
      </c>
      <c r="CR157" s="1521">
        <f t="shared" si="375"/>
        <v>618352</v>
      </c>
    </row>
    <row r="158" spans="1:96" ht="42.75" customHeight="1" thickBot="1" x14ac:dyDescent="0.3">
      <c r="A158" s="91" t="str">
        <f>CONCATENATE('3 pr-2'!A159)</f>
        <v>2.1.3.2.5</v>
      </c>
      <c r="B158" s="46" t="str">
        <f>CONCATENATE('3 pr-2'!D159)</f>
        <v>Socialinio būsto fondo plėtra Lazdijų rajono savivaldybėje</v>
      </c>
      <c r="C158" s="111">
        <v>0</v>
      </c>
      <c r="D158" s="111">
        <v>0</v>
      </c>
      <c r="E158" s="453">
        <v>4134.72</v>
      </c>
      <c r="F158" s="423">
        <v>40.770580664578119</v>
      </c>
      <c r="G158" s="423">
        <v>0</v>
      </c>
      <c r="H158" s="423">
        <v>0</v>
      </c>
      <c r="I158" s="423">
        <v>0</v>
      </c>
      <c r="J158" s="453">
        <v>4093.9494193354221</v>
      </c>
      <c r="K158" s="453">
        <f>SUM('ketv. 7 lent'!K156-'IV-1 su proj'!E158)</f>
        <v>144991.48000000001</v>
      </c>
      <c r="L158" s="423">
        <f>SUM('ketv. 7 lent'!N156-'IV-1 su proj'!F158)</f>
        <v>10759.389419335421</v>
      </c>
      <c r="M158" s="423">
        <v>0</v>
      </c>
      <c r="N158" s="423">
        <v>0</v>
      </c>
      <c r="O158" s="423">
        <v>0</v>
      </c>
      <c r="P158" s="453">
        <f>SUM('ketv. 7 lent'!Z156-'IV-1 su proj'!J158)</f>
        <v>134232.09058066458</v>
      </c>
      <c r="Q158" s="453">
        <f>SUM(R158:V158)</f>
        <v>176448.39647577095</v>
      </c>
      <c r="R158" s="423">
        <f>SUM(V158*AL158/AT158)</f>
        <v>36007.040969162997</v>
      </c>
      <c r="S158" s="405">
        <v>0</v>
      </c>
      <c r="T158" s="405">
        <v>0</v>
      </c>
      <c r="U158" s="405">
        <v>0</v>
      </c>
      <c r="V158" s="453">
        <f>IF(YEAR($CG158)=2016,($BI$4-$BC$4)*$AT158/($CH158-$BC$4))</f>
        <v>140441.35550660794</v>
      </c>
      <c r="W158" s="453">
        <f>SUM(X158:AB158)</f>
        <v>43024.403524229077</v>
      </c>
      <c r="X158" s="423">
        <f>SUM(AB158*AL158/AT158)</f>
        <v>8779.7990308370045</v>
      </c>
      <c r="Y158" s="405">
        <v>0</v>
      </c>
      <c r="Z158" s="405">
        <v>0</v>
      </c>
      <c r="AA158" s="405">
        <v>0</v>
      </c>
      <c r="AB158" s="453">
        <f>IF(YEAR($CH158)=2019,($CH158-$BI$4)*$AT158/($CH158-$BC$4),0)</f>
        <v>34244.604493392071</v>
      </c>
      <c r="AC158" s="406">
        <v>0</v>
      </c>
      <c r="AD158" s="424">
        <v>0</v>
      </c>
      <c r="AE158" s="424">
        <v>0</v>
      </c>
      <c r="AF158" s="424">
        <v>0</v>
      </c>
      <c r="AG158" s="424">
        <v>0</v>
      </c>
      <c r="AH158" s="111">
        <v>0</v>
      </c>
      <c r="AI158" s="1190">
        <f>SUM('3 pr-2'!L159)</f>
        <v>368599</v>
      </c>
      <c r="AJ158" s="805">
        <f>SUM(AI158-E158)</f>
        <v>364464.28</v>
      </c>
      <c r="AK158" s="389">
        <f>SUM('3 pr-2'!O159)</f>
        <v>55587</v>
      </c>
      <c r="AL158" s="805">
        <f t="shared" si="372"/>
        <v>44786.840000000004</v>
      </c>
      <c r="AM158" s="389">
        <f>SUM('3 pr-2'!R159)</f>
        <v>0</v>
      </c>
      <c r="AN158" s="805"/>
      <c r="AO158" s="389">
        <f>SUM('3 pr-2'!U159)</f>
        <v>0</v>
      </c>
      <c r="AP158" s="805"/>
      <c r="AQ158" s="389">
        <f>SUM('3 pr-2'!X159)</f>
        <v>0</v>
      </c>
      <c r="AR158" s="805"/>
      <c r="AS158" s="168">
        <f>SUM('3 pr-2'!AA159)</f>
        <v>313012</v>
      </c>
      <c r="AT158" s="805">
        <f t="shared" si="373"/>
        <v>174685.96000000002</v>
      </c>
      <c r="AU158" s="104">
        <f>SUM(E158+K158+Q158+W158+AC158)</f>
        <v>368599</v>
      </c>
      <c r="AV158" s="104">
        <f>SUM(J158+P158+V158+AB158+AH158)</f>
        <v>313012</v>
      </c>
      <c r="AW158" s="23"/>
      <c r="AX158" s="394"/>
      <c r="AY158" s="394"/>
      <c r="AZ158" s="394"/>
      <c r="BA158" s="394"/>
      <c r="BB158" s="23"/>
      <c r="BC158" s="23"/>
      <c r="BD158" s="394"/>
      <c r="BE158" s="394"/>
      <c r="BF158" s="394"/>
      <c r="BG158" s="394"/>
      <c r="BH158" s="23"/>
      <c r="BI158" s="23"/>
      <c r="BJ158" s="394"/>
      <c r="BK158" s="394"/>
      <c r="BL158" s="394"/>
      <c r="BM158" s="394"/>
      <c r="BN158" s="23"/>
      <c r="BO158" s="23"/>
      <c r="BP158" s="394"/>
      <c r="BQ158" s="394"/>
      <c r="BR158" s="394"/>
      <c r="BS158" s="394"/>
      <c r="BT158" s="23"/>
      <c r="BU158" s="23"/>
      <c r="BV158" s="394"/>
      <c r="BW158" s="394"/>
      <c r="BX158" s="394"/>
      <c r="BY158" s="394"/>
      <c r="BZ158" s="23"/>
      <c r="CA158" s="23"/>
      <c r="CB158" s="394"/>
      <c r="CC158" s="394"/>
      <c r="CD158" s="394"/>
      <c r="CE158" s="394"/>
      <c r="CF158" s="555"/>
      <c r="CG158" s="566">
        <v>42522</v>
      </c>
      <c r="CH158" s="566">
        <v>43554</v>
      </c>
      <c r="CI158" s="801">
        <f>SUM(J158+P158+V158+AB158+AH158)</f>
        <v>313012</v>
      </c>
      <c r="CJ158" s="30">
        <f>SUM(AS158-CI158)</f>
        <v>0</v>
      </c>
      <c r="CQ158" s="1520">
        <f t="shared" si="374"/>
        <v>368599</v>
      </c>
      <c r="CR158" s="1521">
        <f t="shared" si="375"/>
        <v>313012</v>
      </c>
    </row>
    <row r="159" spans="1:96" ht="16.5" thickBot="1" x14ac:dyDescent="0.3">
      <c r="A159" s="384" t="str">
        <f>CONCATENATE('3 pr-2'!A160)</f>
        <v>2.1.4.</v>
      </c>
      <c r="B159" s="181" t="str">
        <f>CONCATENATE('3 pr-2'!D160)</f>
        <v/>
      </c>
      <c r="C159" s="50">
        <f t="shared" ref="C159:AS159" si="376">SUM(C160)</f>
        <v>0</v>
      </c>
      <c r="D159" s="50">
        <f t="shared" si="376"/>
        <v>0</v>
      </c>
      <c r="E159" s="50">
        <f t="shared" si="376"/>
        <v>0</v>
      </c>
      <c r="F159" s="50">
        <f t="shared" si="376"/>
        <v>0</v>
      </c>
      <c r="G159" s="50"/>
      <c r="H159" s="50"/>
      <c r="I159" s="50"/>
      <c r="J159" s="50">
        <f t="shared" si="376"/>
        <v>0</v>
      </c>
      <c r="K159" s="50">
        <f t="shared" si="376"/>
        <v>0</v>
      </c>
      <c r="L159" s="414">
        <f t="shared" si="376"/>
        <v>0</v>
      </c>
      <c r="M159" s="414">
        <f t="shared" si="376"/>
        <v>0</v>
      </c>
      <c r="N159" s="414">
        <f t="shared" si="376"/>
        <v>0</v>
      </c>
      <c r="O159" s="414">
        <f t="shared" si="376"/>
        <v>0</v>
      </c>
      <c r="P159" s="50">
        <f t="shared" si="376"/>
        <v>0</v>
      </c>
      <c r="Q159" s="50">
        <f t="shared" si="376"/>
        <v>376210.06</v>
      </c>
      <c r="R159" s="414"/>
      <c r="S159" s="414"/>
      <c r="T159" s="414"/>
      <c r="U159" s="414"/>
      <c r="V159" s="50">
        <f t="shared" si="376"/>
        <v>319778.64500000002</v>
      </c>
      <c r="W159" s="50">
        <f t="shared" si="376"/>
        <v>534568.65999999992</v>
      </c>
      <c r="X159" s="414"/>
      <c r="Y159" s="414"/>
      <c r="Z159" s="414"/>
      <c r="AA159" s="414"/>
      <c r="AB159" s="50">
        <f t="shared" si="376"/>
        <v>454383.44500000001</v>
      </c>
      <c r="AC159" s="50">
        <f t="shared" si="376"/>
        <v>233355.8</v>
      </c>
      <c r="AD159" s="414"/>
      <c r="AE159" s="414"/>
      <c r="AF159" s="414"/>
      <c r="AG159" s="414"/>
      <c r="AH159" s="50">
        <f t="shared" si="376"/>
        <v>198352.40000000002</v>
      </c>
      <c r="AI159" s="1192">
        <f t="shared" si="376"/>
        <v>1144134.52</v>
      </c>
      <c r="AJ159" s="172">
        <v>404791.7</v>
      </c>
      <c r="AK159" s="50"/>
      <c r="AL159" s="50"/>
      <c r="AM159" s="50"/>
      <c r="AN159" s="50"/>
      <c r="AO159" s="50"/>
      <c r="AP159" s="50"/>
      <c r="AQ159" s="50"/>
      <c r="AR159" s="50"/>
      <c r="AS159" s="172">
        <f t="shared" si="376"/>
        <v>972514.49</v>
      </c>
      <c r="AT159" s="823"/>
      <c r="AX159" s="50"/>
      <c r="AY159" s="50"/>
      <c r="AZ159" s="50"/>
      <c r="BA159" s="50"/>
      <c r="BD159" s="50"/>
      <c r="BE159" s="50"/>
      <c r="BF159" s="50"/>
      <c r="BG159" s="50"/>
      <c r="BJ159" s="50"/>
      <c r="BK159" s="50"/>
      <c r="BL159" s="50"/>
      <c r="BM159" s="50"/>
      <c r="BP159" s="50"/>
      <c r="BQ159" s="50"/>
      <c r="BR159" s="50"/>
      <c r="BS159" s="50"/>
      <c r="BV159" s="50"/>
      <c r="BW159" s="50"/>
      <c r="BX159" s="50"/>
      <c r="BY159" s="50"/>
      <c r="CB159" s="50"/>
      <c r="CC159" s="50"/>
      <c r="CD159" s="50"/>
      <c r="CE159" s="50"/>
      <c r="CG159" s="561"/>
      <c r="CH159" s="561"/>
    </row>
    <row r="160" spans="1:96" ht="16.5" thickBot="1" x14ac:dyDescent="0.3">
      <c r="A160" s="383" t="str">
        <f>CONCATENATE('3 pr-2'!A161)</f>
        <v>2.1.4.1</v>
      </c>
      <c r="B160" s="182" t="str">
        <f>CONCATENATE('3 pr-2'!D161)</f>
        <v/>
      </c>
      <c r="C160" s="113">
        <f>SUM(C161:C166)</f>
        <v>0</v>
      </c>
      <c r="D160" s="113">
        <f t="shared" ref="D160:AS160" si="377">SUM(D161:D166)</f>
        <v>0</v>
      </c>
      <c r="E160" s="113">
        <f t="shared" si="377"/>
        <v>0</v>
      </c>
      <c r="F160" s="113">
        <f t="shared" si="377"/>
        <v>0</v>
      </c>
      <c r="G160" s="113">
        <f t="shared" si="377"/>
        <v>0</v>
      </c>
      <c r="H160" s="113">
        <f t="shared" si="377"/>
        <v>0</v>
      </c>
      <c r="I160" s="113">
        <f t="shared" si="377"/>
        <v>0</v>
      </c>
      <c r="J160" s="113">
        <f t="shared" si="377"/>
        <v>0</v>
      </c>
      <c r="K160" s="113">
        <f t="shared" si="377"/>
        <v>0</v>
      </c>
      <c r="L160" s="113">
        <f t="shared" si="377"/>
        <v>0</v>
      </c>
      <c r="M160" s="113">
        <f t="shared" si="377"/>
        <v>0</v>
      </c>
      <c r="N160" s="113">
        <f t="shared" si="377"/>
        <v>0</v>
      </c>
      <c r="O160" s="113">
        <f t="shared" si="377"/>
        <v>0</v>
      </c>
      <c r="P160" s="113">
        <f t="shared" si="377"/>
        <v>0</v>
      </c>
      <c r="Q160" s="113">
        <f t="shared" si="377"/>
        <v>376210.06</v>
      </c>
      <c r="R160" s="113">
        <f t="shared" si="377"/>
        <v>56431.414999999994</v>
      </c>
      <c r="S160" s="113">
        <f t="shared" si="377"/>
        <v>0</v>
      </c>
      <c r="T160" s="113">
        <f t="shared" si="377"/>
        <v>0</v>
      </c>
      <c r="U160" s="113">
        <f t="shared" si="377"/>
        <v>0</v>
      </c>
      <c r="V160" s="113">
        <f t="shared" si="377"/>
        <v>319778.64500000002</v>
      </c>
      <c r="W160" s="113">
        <f t="shared" si="377"/>
        <v>534568.65999999992</v>
      </c>
      <c r="X160" s="113">
        <f t="shared" si="377"/>
        <v>80185.214999999997</v>
      </c>
      <c r="Y160" s="113">
        <f t="shared" si="377"/>
        <v>0</v>
      </c>
      <c r="Z160" s="113">
        <f t="shared" si="377"/>
        <v>0</v>
      </c>
      <c r="AA160" s="113">
        <f t="shared" si="377"/>
        <v>0</v>
      </c>
      <c r="AB160" s="113">
        <f t="shared" si="377"/>
        <v>454383.44500000001</v>
      </c>
      <c r="AC160" s="113">
        <f t="shared" si="377"/>
        <v>233355.8</v>
      </c>
      <c r="AD160" s="113">
        <f t="shared" si="377"/>
        <v>35003.399999999994</v>
      </c>
      <c r="AE160" s="113">
        <f t="shared" si="377"/>
        <v>0</v>
      </c>
      <c r="AF160" s="113">
        <f t="shared" si="377"/>
        <v>0</v>
      </c>
      <c r="AG160" s="113">
        <f t="shared" si="377"/>
        <v>0</v>
      </c>
      <c r="AH160" s="113">
        <f t="shared" si="377"/>
        <v>198352.40000000002</v>
      </c>
      <c r="AI160" s="1173">
        <f t="shared" si="377"/>
        <v>1144134.52</v>
      </c>
      <c r="AJ160" s="113"/>
      <c r="AK160" s="113">
        <f t="shared" si="377"/>
        <v>171620.03</v>
      </c>
      <c r="AL160" s="113"/>
      <c r="AM160" s="113">
        <f t="shared" si="377"/>
        <v>0</v>
      </c>
      <c r="AN160" s="113"/>
      <c r="AO160" s="113">
        <f t="shared" si="377"/>
        <v>0</v>
      </c>
      <c r="AP160" s="113"/>
      <c r="AQ160" s="113">
        <f t="shared" si="377"/>
        <v>0</v>
      </c>
      <c r="AR160" s="113"/>
      <c r="AS160" s="113">
        <f t="shared" si="377"/>
        <v>972514.49</v>
      </c>
      <c r="AT160" s="113"/>
      <c r="AU160" s="28"/>
      <c r="AV160" s="29"/>
      <c r="AW160" s="29"/>
      <c r="AX160" s="113"/>
      <c r="AY160" s="113"/>
      <c r="AZ160" s="113"/>
      <c r="BA160" s="113"/>
      <c r="BB160" s="29"/>
      <c r="BC160" s="29"/>
      <c r="BD160" s="113"/>
      <c r="BE160" s="113"/>
      <c r="BF160" s="113"/>
      <c r="BG160" s="113"/>
      <c r="BH160" s="29"/>
      <c r="BI160" s="29"/>
      <c r="BJ160" s="113"/>
      <c r="BK160" s="113"/>
      <c r="BL160" s="113"/>
      <c r="BM160" s="113"/>
      <c r="BN160" s="29"/>
      <c r="BO160" s="29"/>
      <c r="BP160" s="113"/>
      <c r="BQ160" s="113"/>
      <c r="BR160" s="113"/>
      <c r="BS160" s="113"/>
      <c r="BT160" s="29"/>
      <c r="BU160" s="29"/>
      <c r="BV160" s="113"/>
      <c r="BW160" s="113"/>
      <c r="BX160" s="113"/>
      <c r="BY160" s="113"/>
      <c r="BZ160" s="29"/>
      <c r="CA160" s="29"/>
      <c r="CB160" s="113"/>
      <c r="CC160" s="113"/>
      <c r="CD160" s="113"/>
      <c r="CE160" s="113"/>
      <c r="CF160" s="559"/>
      <c r="CG160" s="561"/>
      <c r="CH160" s="561"/>
    </row>
    <row r="161" spans="1:96" ht="39" thickBot="1" x14ac:dyDescent="0.3">
      <c r="A161" s="91" t="str">
        <f>CONCATENATE('3 pr-2'!A162)</f>
        <v>2.1.4.1.1</v>
      </c>
      <c r="B161" s="46" t="str">
        <f>CONCATENATE('3 pr-2'!D162)</f>
        <v>Paslaugų teikimo ir asmenų aptarnavimo kokybės gerinimas Varėnos rajono savivaldybėje</v>
      </c>
      <c r="C161" s="51">
        <f t="shared" ref="C161:C166" si="378">SUM(AI161*AU161/CA161)</f>
        <v>0</v>
      </c>
      <c r="D161" s="51">
        <f>SUM(AS161*AV161/CF161)</f>
        <v>0</v>
      </c>
      <c r="E161" s="51">
        <f t="shared" ref="E161:E166" si="379">SUM(AI161*AW161/CA161)</f>
        <v>0</v>
      </c>
      <c r="F161" s="389">
        <f t="shared" ref="F161:F165" si="380">SUM(AK161*AX161/CB161)</f>
        <v>0</v>
      </c>
      <c r="G161" s="389">
        <f t="shared" ref="G161:G165" si="381">SUM(AM161*AY161/CC161)</f>
        <v>0</v>
      </c>
      <c r="H161" s="389">
        <f t="shared" ref="H161:H165" si="382">SUM(AO161*AZ161/CD161)</f>
        <v>0</v>
      </c>
      <c r="I161" s="389">
        <f t="shared" ref="I161:I165" si="383">SUM(AQ161*BA161/CE161)</f>
        <v>0</v>
      </c>
      <c r="J161" s="51">
        <f>SUM(AS161*BB161/CF161)</f>
        <v>0</v>
      </c>
      <c r="K161" s="51">
        <f t="shared" ref="K161:K166" si="384">SUM(AI161*BC161/CA161)</f>
        <v>0</v>
      </c>
      <c r="L161" s="405">
        <f t="shared" ref="L161:L165" si="385">SUM(AK161*BD161/CB161)</f>
        <v>0</v>
      </c>
      <c r="M161" s="405">
        <f t="shared" ref="M161:M165" si="386">SUM(AM161*BE161/CC161)</f>
        <v>0</v>
      </c>
      <c r="N161" s="405">
        <f t="shared" ref="N161:N165" si="387">SUM(AO161*BF161/CD161)</f>
        <v>0</v>
      </c>
      <c r="O161" s="405">
        <f t="shared" ref="O161:O165" si="388">SUM(AQ161*BG161/CE161)</f>
        <v>0</v>
      </c>
      <c r="P161" s="51">
        <f>SUM(AS161*BH161/CF161)</f>
        <v>0</v>
      </c>
      <c r="Q161" s="450">
        <f t="shared" ref="Q161:Q166" si="389">SUM(AI161*BI161/CA161)</f>
        <v>86366.76</v>
      </c>
      <c r="R161" s="421">
        <f t="shared" ref="R161:R165" si="390">SUM(AK161*BJ161/CB161)</f>
        <v>12955.014999999999</v>
      </c>
      <c r="S161" s="421">
        <f t="shared" ref="S161:S165" si="391">SUM(AM161*BK161/CC161)</f>
        <v>0</v>
      </c>
      <c r="T161" s="421">
        <f t="shared" ref="T161:T165" si="392">SUM(AO161*BL161/CD161)</f>
        <v>0</v>
      </c>
      <c r="U161" s="421">
        <f t="shared" ref="U161:U165" si="393">SUM(AQ161*BM161/CE161)</f>
        <v>0</v>
      </c>
      <c r="V161" s="450">
        <f>SUM(AS161*BN161/CF161)</f>
        <v>73411.744999999995</v>
      </c>
      <c r="W161" s="450">
        <f t="shared" ref="W161:W166" si="394">SUM(AI161*BO161/CA161)</f>
        <v>86366.76</v>
      </c>
      <c r="X161" s="421">
        <f t="shared" ref="X161:X165" si="395">SUM(AK161*BP161/CB161)</f>
        <v>12955.014999999999</v>
      </c>
      <c r="Y161" s="421">
        <f t="shared" ref="Y161:Y165" si="396">SUM(AM161*BQ161/CC161)</f>
        <v>0</v>
      </c>
      <c r="Z161" s="421">
        <f t="shared" ref="Z161:Z165" si="397">SUM(AO161*BR161/CD161)</f>
        <v>0</v>
      </c>
      <c r="AA161" s="421">
        <f t="shared" ref="AA161:AA165" si="398">SUM(AQ161*BS161/CE161)</f>
        <v>0</v>
      </c>
      <c r="AB161" s="450">
        <f>SUM(AS161*BT161/CF161)</f>
        <v>73411.744999999995</v>
      </c>
      <c r="AC161" s="450">
        <f t="shared" ref="AC161:AC166" si="399">SUM(AI161*BU161/CA161)</f>
        <v>0</v>
      </c>
      <c r="AD161" s="421">
        <f t="shared" ref="AD161:AD165" si="400">SUM(AK161*BV161/CB161)</f>
        <v>0</v>
      </c>
      <c r="AE161" s="421">
        <f t="shared" ref="AE161:AE165" si="401">SUM(AM161*BW161/CC161)</f>
        <v>0</v>
      </c>
      <c r="AF161" s="421">
        <f t="shared" ref="AF161:AF165" si="402">SUM(AO161*BX161/CD161)</f>
        <v>0</v>
      </c>
      <c r="AG161" s="421">
        <f t="shared" ref="AG161:AG165" si="403">SUM(AQ161*BY161/CE161)</f>
        <v>0</v>
      </c>
      <c r="AH161" s="450">
        <f>SUM(AS161*BZ161/CF161)</f>
        <v>0</v>
      </c>
      <c r="AI161" s="1188">
        <f>SUM('3 pr-2'!L162)</f>
        <v>172733.52</v>
      </c>
      <c r="AJ161" s="52"/>
      <c r="AK161" s="389">
        <f>SUM('3 pr-2'!O162)</f>
        <v>25910.03</v>
      </c>
      <c r="AL161" s="389"/>
      <c r="AM161" s="389">
        <f>SUM('3 pr-2'!R162)</f>
        <v>0</v>
      </c>
      <c r="AN161" s="389"/>
      <c r="AO161" s="389">
        <f>SUM('3 pr-2'!U162)</f>
        <v>0</v>
      </c>
      <c r="AP161" s="389"/>
      <c r="AQ161" s="389">
        <f>SUM('3 pr-2'!X162)</f>
        <v>0</v>
      </c>
      <c r="AR161" s="888"/>
      <c r="AS161" s="48">
        <f>SUM('3 pr-2'!AA162)</f>
        <v>146823.49</v>
      </c>
      <c r="AT161" s="820"/>
      <c r="AU161" s="28">
        <v>0</v>
      </c>
      <c r="AV161" s="29">
        <v>0</v>
      </c>
      <c r="AW161" s="29">
        <v>0</v>
      </c>
      <c r="AX161" s="392">
        <v>0</v>
      </c>
      <c r="AY161" s="392">
        <v>0</v>
      </c>
      <c r="AZ161" s="392">
        <v>0</v>
      </c>
      <c r="BA161" s="392">
        <v>0</v>
      </c>
      <c r="BB161" s="29">
        <v>0</v>
      </c>
      <c r="BC161" s="29">
        <v>0</v>
      </c>
      <c r="BD161" s="392">
        <v>0</v>
      </c>
      <c r="BE161" s="392">
        <v>0</v>
      </c>
      <c r="BF161" s="392">
        <v>0</v>
      </c>
      <c r="BG161" s="392">
        <v>0</v>
      </c>
      <c r="BH161" s="29">
        <v>0</v>
      </c>
      <c r="BI161" s="29">
        <v>50</v>
      </c>
      <c r="BJ161" s="392">
        <v>50</v>
      </c>
      <c r="BK161" s="392">
        <v>50</v>
      </c>
      <c r="BL161" s="392">
        <v>50</v>
      </c>
      <c r="BM161" s="392">
        <v>50</v>
      </c>
      <c r="BN161" s="29">
        <v>50</v>
      </c>
      <c r="BO161" s="29">
        <v>50</v>
      </c>
      <c r="BP161" s="392">
        <v>50</v>
      </c>
      <c r="BQ161" s="392">
        <v>50</v>
      </c>
      <c r="BR161" s="392">
        <v>50</v>
      </c>
      <c r="BS161" s="392">
        <v>50</v>
      </c>
      <c r="BT161" s="29">
        <v>50</v>
      </c>
      <c r="BU161" s="29">
        <v>0</v>
      </c>
      <c r="BV161" s="392">
        <v>0</v>
      </c>
      <c r="BW161" s="392">
        <v>0</v>
      </c>
      <c r="BX161" s="392">
        <v>0</v>
      </c>
      <c r="BY161" s="392">
        <v>0</v>
      </c>
      <c r="BZ161" s="29">
        <v>0</v>
      </c>
      <c r="CA161" s="29">
        <v>100</v>
      </c>
      <c r="CB161" s="392">
        <v>100</v>
      </c>
      <c r="CC161" s="392">
        <v>100</v>
      </c>
      <c r="CD161" s="392">
        <v>100</v>
      </c>
      <c r="CE161" s="392">
        <v>100</v>
      </c>
      <c r="CF161" s="559">
        <v>100</v>
      </c>
      <c r="CG161" s="561"/>
      <c r="CH161" s="561"/>
    </row>
    <row r="162" spans="1:96" ht="29.25" customHeight="1" thickBot="1" x14ac:dyDescent="0.3">
      <c r="A162" s="91" t="str">
        <f>CONCATENATE('3 pr-2'!A163)</f>
        <v>2.1.4.1.2</v>
      </c>
      <c r="B162" s="46" t="str">
        <f>CONCATENATE('3 pr-2'!D163)</f>
        <v>Paslaugų ir asmenų aptarnavimo kokybės gerinimas Alytaus rajono savivaldybėje</v>
      </c>
      <c r="C162" s="51">
        <f t="shared" si="378"/>
        <v>0</v>
      </c>
      <c r="D162" s="51">
        <f>SUM(AS162*AV162/CF162)</f>
        <v>0</v>
      </c>
      <c r="E162" s="51">
        <f t="shared" si="379"/>
        <v>0</v>
      </c>
      <c r="F162" s="389">
        <f t="shared" si="380"/>
        <v>0</v>
      </c>
      <c r="G162" s="389">
        <f t="shared" si="381"/>
        <v>0</v>
      </c>
      <c r="H162" s="389">
        <f t="shared" si="382"/>
        <v>0</v>
      </c>
      <c r="I162" s="389">
        <f t="shared" si="383"/>
        <v>0</v>
      </c>
      <c r="J162" s="51">
        <f>SUM(AS162*BB162/CF162)</f>
        <v>0</v>
      </c>
      <c r="K162" s="51">
        <f t="shared" si="384"/>
        <v>0</v>
      </c>
      <c r="L162" s="405">
        <f t="shared" si="385"/>
        <v>0</v>
      </c>
      <c r="M162" s="405">
        <f t="shared" si="386"/>
        <v>0</v>
      </c>
      <c r="N162" s="405">
        <f t="shared" si="387"/>
        <v>0</v>
      </c>
      <c r="O162" s="405">
        <f t="shared" si="388"/>
        <v>0</v>
      </c>
      <c r="P162" s="51">
        <f>SUM(AS162*BH162/CF162)</f>
        <v>0</v>
      </c>
      <c r="Q162" s="450">
        <f t="shared" si="389"/>
        <v>42199.8</v>
      </c>
      <c r="R162" s="421">
        <f t="shared" si="390"/>
        <v>6330</v>
      </c>
      <c r="S162" s="421">
        <f t="shared" si="391"/>
        <v>0</v>
      </c>
      <c r="T162" s="421">
        <f t="shared" si="392"/>
        <v>0</v>
      </c>
      <c r="U162" s="421">
        <f t="shared" si="393"/>
        <v>0</v>
      </c>
      <c r="V162" s="450">
        <f>SUM(AS162*BN162/CF162)</f>
        <v>35869.800000000003</v>
      </c>
      <c r="W162" s="450">
        <f t="shared" si="394"/>
        <v>84399.6</v>
      </c>
      <c r="X162" s="421">
        <f t="shared" si="395"/>
        <v>12660</v>
      </c>
      <c r="Y162" s="421">
        <f t="shared" si="396"/>
        <v>0</v>
      </c>
      <c r="Z162" s="421">
        <f t="shared" si="397"/>
        <v>0</v>
      </c>
      <c r="AA162" s="421">
        <f t="shared" si="398"/>
        <v>0</v>
      </c>
      <c r="AB162" s="450">
        <f>SUM(AS162*BT162/CF162)</f>
        <v>71739.600000000006</v>
      </c>
      <c r="AC162" s="450">
        <f t="shared" si="399"/>
        <v>84399.6</v>
      </c>
      <c r="AD162" s="421">
        <f t="shared" si="400"/>
        <v>12660</v>
      </c>
      <c r="AE162" s="421">
        <f t="shared" si="401"/>
        <v>0</v>
      </c>
      <c r="AF162" s="421">
        <f t="shared" si="402"/>
        <v>0</v>
      </c>
      <c r="AG162" s="421">
        <f t="shared" si="403"/>
        <v>0</v>
      </c>
      <c r="AH162" s="450">
        <f>SUM(AS162*BZ162/CF162)</f>
        <v>71739.600000000006</v>
      </c>
      <c r="AI162" s="1188">
        <f>SUM('3 pr-2'!L163)</f>
        <v>210999</v>
      </c>
      <c r="AJ162" s="52"/>
      <c r="AK162" s="389">
        <f>SUM('3 pr-2'!O163)</f>
        <v>31650</v>
      </c>
      <c r="AL162" s="389"/>
      <c r="AM162" s="389">
        <f>SUM('3 pr-2'!R163)</f>
        <v>0</v>
      </c>
      <c r="AN162" s="389"/>
      <c r="AO162" s="389">
        <f>SUM('3 pr-2'!U163)</f>
        <v>0</v>
      </c>
      <c r="AP162" s="389"/>
      <c r="AQ162" s="389">
        <f>SUM('3 pr-2'!X163)</f>
        <v>0</v>
      </c>
      <c r="AR162" s="888"/>
      <c r="AS162" s="48">
        <f>SUM('3 pr-2'!AA163)</f>
        <v>179349</v>
      </c>
      <c r="AT162" s="820"/>
      <c r="AU162" s="28">
        <v>0</v>
      </c>
      <c r="AV162" s="29">
        <v>0</v>
      </c>
      <c r="AW162" s="29">
        <v>0</v>
      </c>
      <c r="AX162" s="392">
        <v>0</v>
      </c>
      <c r="AY162" s="392">
        <v>0</v>
      </c>
      <c r="AZ162" s="392">
        <v>0</v>
      </c>
      <c r="BA162" s="392">
        <v>0</v>
      </c>
      <c r="BB162" s="29">
        <v>0</v>
      </c>
      <c r="BC162" s="29">
        <v>0</v>
      </c>
      <c r="BD162" s="392">
        <v>0</v>
      </c>
      <c r="BE162" s="392">
        <v>0</v>
      </c>
      <c r="BF162" s="392">
        <v>0</v>
      </c>
      <c r="BG162" s="392">
        <v>0</v>
      </c>
      <c r="BH162" s="29">
        <v>0</v>
      </c>
      <c r="BI162" s="29">
        <v>20</v>
      </c>
      <c r="BJ162" s="392">
        <v>20</v>
      </c>
      <c r="BK162" s="392">
        <v>20</v>
      </c>
      <c r="BL162" s="392">
        <v>20</v>
      </c>
      <c r="BM162" s="392">
        <v>20</v>
      </c>
      <c r="BN162" s="29">
        <v>20</v>
      </c>
      <c r="BO162" s="29">
        <v>40</v>
      </c>
      <c r="BP162" s="392">
        <v>40</v>
      </c>
      <c r="BQ162" s="392">
        <v>40</v>
      </c>
      <c r="BR162" s="392">
        <v>40</v>
      </c>
      <c r="BS162" s="392">
        <v>40</v>
      </c>
      <c r="BT162" s="29">
        <v>40</v>
      </c>
      <c r="BU162" s="29">
        <v>40</v>
      </c>
      <c r="BV162" s="392">
        <v>40</v>
      </c>
      <c r="BW162" s="392">
        <v>40</v>
      </c>
      <c r="BX162" s="392">
        <v>40</v>
      </c>
      <c r="BY162" s="392">
        <v>40</v>
      </c>
      <c r="BZ162" s="29">
        <v>40</v>
      </c>
      <c r="CA162" s="29">
        <v>100</v>
      </c>
      <c r="CB162" s="392">
        <v>100</v>
      </c>
      <c r="CC162" s="392">
        <v>100</v>
      </c>
      <c r="CD162" s="392">
        <v>100</v>
      </c>
      <c r="CE162" s="392">
        <v>100</v>
      </c>
      <c r="CF162" s="559">
        <v>100</v>
      </c>
      <c r="CG162" s="561"/>
      <c r="CH162" s="561"/>
    </row>
    <row r="163" spans="1:96" ht="51.75" thickBot="1" x14ac:dyDescent="0.3">
      <c r="A163" s="91" t="str">
        <f>CONCATENATE('3 pr-2'!A164)</f>
        <v>2.1.4.1.3</v>
      </c>
      <c r="B163" s="46" t="str">
        <f>CONCATENATE('3 pr-2'!D164)</f>
        <v>Lazdijų rajono savivaldybės administracijos ir jos viešojo valdymo institucijų teikiamų paslaugų procesų tobulinimas</v>
      </c>
      <c r="C163" s="51">
        <f t="shared" si="378"/>
        <v>0</v>
      </c>
      <c r="D163" s="51">
        <f>SUM(AS163*AV163/CF163)</f>
        <v>0</v>
      </c>
      <c r="E163" s="51">
        <f t="shared" si="379"/>
        <v>0</v>
      </c>
      <c r="F163" s="389">
        <f t="shared" si="380"/>
        <v>0</v>
      </c>
      <c r="G163" s="389">
        <f t="shared" si="381"/>
        <v>0</v>
      </c>
      <c r="H163" s="389">
        <f t="shared" si="382"/>
        <v>0</v>
      </c>
      <c r="I163" s="389">
        <f t="shared" si="383"/>
        <v>0</v>
      </c>
      <c r="J163" s="51">
        <f>SUM(AS163*BB163/CF163)</f>
        <v>0</v>
      </c>
      <c r="K163" s="51">
        <f t="shared" si="384"/>
        <v>0</v>
      </c>
      <c r="L163" s="405">
        <f t="shared" si="385"/>
        <v>0</v>
      </c>
      <c r="M163" s="405">
        <f t="shared" si="386"/>
        <v>0</v>
      </c>
      <c r="N163" s="405">
        <f t="shared" si="387"/>
        <v>0</v>
      </c>
      <c r="O163" s="405">
        <f t="shared" si="388"/>
        <v>0</v>
      </c>
      <c r="P163" s="51">
        <f>SUM(AS163*BH163/CF163)</f>
        <v>0</v>
      </c>
      <c r="Q163" s="450">
        <f t="shared" si="389"/>
        <v>65594.8</v>
      </c>
      <c r="R163" s="421">
        <f t="shared" si="390"/>
        <v>9839.2000000000007</v>
      </c>
      <c r="S163" s="421">
        <f t="shared" si="391"/>
        <v>0</v>
      </c>
      <c r="T163" s="421">
        <f t="shared" si="392"/>
        <v>0</v>
      </c>
      <c r="U163" s="421">
        <f t="shared" si="393"/>
        <v>0</v>
      </c>
      <c r="V163" s="450">
        <f>SUM(AS163*BN163/CF163)</f>
        <v>55755.6</v>
      </c>
      <c r="W163" s="450">
        <f t="shared" si="394"/>
        <v>65594.8</v>
      </c>
      <c r="X163" s="421">
        <f t="shared" si="395"/>
        <v>9839.2000000000007</v>
      </c>
      <c r="Y163" s="421">
        <f t="shared" si="396"/>
        <v>0</v>
      </c>
      <c r="Z163" s="421">
        <f t="shared" si="397"/>
        <v>0</v>
      </c>
      <c r="AA163" s="421">
        <f t="shared" si="398"/>
        <v>0</v>
      </c>
      <c r="AB163" s="450">
        <f>SUM(AS163*BT163/CF163)</f>
        <v>55755.6</v>
      </c>
      <c r="AC163" s="450">
        <f t="shared" si="399"/>
        <v>32797.4</v>
      </c>
      <c r="AD163" s="421">
        <f t="shared" si="400"/>
        <v>4919.6000000000004</v>
      </c>
      <c r="AE163" s="421">
        <f t="shared" si="401"/>
        <v>0</v>
      </c>
      <c r="AF163" s="421">
        <f t="shared" si="402"/>
        <v>0</v>
      </c>
      <c r="AG163" s="421">
        <f t="shared" si="403"/>
        <v>0</v>
      </c>
      <c r="AH163" s="450">
        <f>SUM(AS163*BZ163/CF163)</f>
        <v>27877.8</v>
      </c>
      <c r="AI163" s="1188">
        <f>SUM('3 pr-2'!L164)</f>
        <v>163987</v>
      </c>
      <c r="AJ163" s="52"/>
      <c r="AK163" s="389">
        <f>SUM('3 pr-2'!O164)</f>
        <v>24598</v>
      </c>
      <c r="AL163" s="389"/>
      <c r="AM163" s="389">
        <f>SUM('3 pr-2'!R164)</f>
        <v>0</v>
      </c>
      <c r="AN163" s="389"/>
      <c r="AO163" s="389">
        <f>SUM('3 pr-2'!U164)</f>
        <v>0</v>
      </c>
      <c r="AP163" s="389"/>
      <c r="AQ163" s="389">
        <f>SUM('3 pr-2'!X164)</f>
        <v>0</v>
      </c>
      <c r="AR163" s="888"/>
      <c r="AS163" s="48">
        <f>SUM('3 pr-2'!AA164)</f>
        <v>139389</v>
      </c>
      <c r="AT163" s="820"/>
      <c r="AU163" s="28">
        <v>0</v>
      </c>
      <c r="AV163" s="29">
        <v>0</v>
      </c>
      <c r="AW163" s="29">
        <v>0</v>
      </c>
      <c r="AX163" s="392">
        <v>0</v>
      </c>
      <c r="AY163" s="392">
        <v>0</v>
      </c>
      <c r="AZ163" s="392">
        <v>0</v>
      </c>
      <c r="BA163" s="392">
        <v>0</v>
      </c>
      <c r="BB163" s="29">
        <v>0</v>
      </c>
      <c r="BC163" s="29">
        <v>0</v>
      </c>
      <c r="BD163" s="392">
        <v>0</v>
      </c>
      <c r="BE163" s="392">
        <v>0</v>
      </c>
      <c r="BF163" s="392">
        <v>0</v>
      </c>
      <c r="BG163" s="392">
        <v>0</v>
      </c>
      <c r="BH163" s="29">
        <v>0</v>
      </c>
      <c r="BI163" s="29">
        <v>40</v>
      </c>
      <c r="BJ163" s="392">
        <v>40</v>
      </c>
      <c r="BK163" s="392">
        <v>40</v>
      </c>
      <c r="BL163" s="392">
        <v>40</v>
      </c>
      <c r="BM163" s="392">
        <v>40</v>
      </c>
      <c r="BN163" s="29">
        <v>40</v>
      </c>
      <c r="BO163" s="29">
        <v>40</v>
      </c>
      <c r="BP163" s="392">
        <v>40</v>
      </c>
      <c r="BQ163" s="392">
        <v>40</v>
      </c>
      <c r="BR163" s="392">
        <v>40</v>
      </c>
      <c r="BS163" s="392">
        <v>40</v>
      </c>
      <c r="BT163" s="29">
        <v>40</v>
      </c>
      <c r="BU163" s="29">
        <v>20</v>
      </c>
      <c r="BV163" s="392">
        <v>20</v>
      </c>
      <c r="BW163" s="392">
        <v>20</v>
      </c>
      <c r="BX163" s="392">
        <v>20</v>
      </c>
      <c r="BY163" s="392">
        <v>20</v>
      </c>
      <c r="BZ163" s="29">
        <v>20</v>
      </c>
      <c r="CA163" s="29">
        <v>100</v>
      </c>
      <c r="CB163" s="392">
        <v>100</v>
      </c>
      <c r="CC163" s="392">
        <v>100</v>
      </c>
      <c r="CD163" s="392">
        <v>100</v>
      </c>
      <c r="CE163" s="392">
        <v>100</v>
      </c>
      <c r="CF163" s="559">
        <v>100</v>
      </c>
      <c r="CG163" s="561"/>
      <c r="CH163" s="561"/>
    </row>
    <row r="164" spans="1:96" ht="64.5" thickBot="1" x14ac:dyDescent="0.3">
      <c r="A164" s="91" t="str">
        <f>CONCATENATE('3 pr-2'!A165)</f>
        <v>2.1.4.1.4</v>
      </c>
      <c r="B164" s="46" t="str">
        <f>CONCATENATE('3 pr-2'!D165)</f>
        <v>Teikiamų paslaugų procesų tobulinimas ir asmenų aptarnavimo kokybės gerinimas Alytaus miesto savivaldybės administracijoje ir jai pavaldžiose įstaigose. I etapas</v>
      </c>
      <c r="C164" s="114">
        <f t="shared" si="378"/>
        <v>0</v>
      </c>
      <c r="D164" s="114">
        <f t="shared" ref="D164" si="404">SUM(AS164*AV164/CF164)</f>
        <v>0</v>
      </c>
      <c r="E164" s="114">
        <f t="shared" si="379"/>
        <v>0</v>
      </c>
      <c r="F164" s="389">
        <f t="shared" si="380"/>
        <v>0</v>
      </c>
      <c r="G164" s="389">
        <f t="shared" si="381"/>
        <v>0</v>
      </c>
      <c r="H164" s="389">
        <f t="shared" si="382"/>
        <v>0</v>
      </c>
      <c r="I164" s="389">
        <f t="shared" si="383"/>
        <v>0</v>
      </c>
      <c r="J164" s="114">
        <f t="shared" ref="J164" si="405">SUM(AS164*BB164/CF164)</f>
        <v>0</v>
      </c>
      <c r="K164" s="114">
        <f t="shared" si="384"/>
        <v>0</v>
      </c>
      <c r="L164" s="405">
        <f t="shared" si="385"/>
        <v>0</v>
      </c>
      <c r="M164" s="405">
        <f t="shared" si="386"/>
        <v>0</v>
      </c>
      <c r="N164" s="405">
        <f t="shared" si="387"/>
        <v>0</v>
      </c>
      <c r="O164" s="405">
        <f t="shared" si="388"/>
        <v>0</v>
      </c>
      <c r="P164" s="114">
        <f t="shared" ref="P164" si="406">SUM(AS164*BH164/CF164)</f>
        <v>0</v>
      </c>
      <c r="Q164" s="451">
        <f t="shared" si="389"/>
        <v>117413.5</v>
      </c>
      <c r="R164" s="415">
        <f t="shared" si="390"/>
        <v>17612</v>
      </c>
      <c r="S164" s="415">
        <f t="shared" si="391"/>
        <v>0</v>
      </c>
      <c r="T164" s="415">
        <f t="shared" si="392"/>
        <v>0</v>
      </c>
      <c r="U164" s="415">
        <f>SUM(AQ164*BM164/CE164)</f>
        <v>0</v>
      </c>
      <c r="V164" s="451">
        <f t="shared" ref="V164" si="407">SUM(AS164*BN164/CF164)</f>
        <v>99801.5</v>
      </c>
      <c r="W164" s="451">
        <f t="shared" si="394"/>
        <v>117413.5</v>
      </c>
      <c r="X164" s="415">
        <f t="shared" si="395"/>
        <v>17612</v>
      </c>
      <c r="Y164" s="415">
        <f t="shared" si="396"/>
        <v>0</v>
      </c>
      <c r="Z164" s="415">
        <f t="shared" si="397"/>
        <v>0</v>
      </c>
      <c r="AA164" s="415">
        <f t="shared" si="398"/>
        <v>0</v>
      </c>
      <c r="AB164" s="451">
        <f t="shared" ref="AB164" si="408">SUM(AS164*BT164/CF164)</f>
        <v>99801.5</v>
      </c>
      <c r="AC164" s="451">
        <f t="shared" si="399"/>
        <v>0</v>
      </c>
      <c r="AD164" s="415">
        <f t="shared" si="400"/>
        <v>0</v>
      </c>
      <c r="AE164" s="415">
        <f t="shared" si="401"/>
        <v>0</v>
      </c>
      <c r="AF164" s="415">
        <f t="shared" si="402"/>
        <v>0</v>
      </c>
      <c r="AG164" s="415">
        <f t="shared" si="403"/>
        <v>0</v>
      </c>
      <c r="AH164" s="451">
        <f t="shared" ref="AH164" si="409">SUM(AS164*BZ164/CF164)</f>
        <v>0</v>
      </c>
      <c r="AI164" s="1190">
        <f>SUM('3 pr-2'!L165)</f>
        <v>234827</v>
      </c>
      <c r="AJ164" s="137"/>
      <c r="AK164" s="389">
        <f>SUM('3 pr-2'!O165)</f>
        <v>35224</v>
      </c>
      <c r="AL164" s="389"/>
      <c r="AM164" s="389">
        <f>SUM('3 pr-2'!R165)</f>
        <v>0</v>
      </c>
      <c r="AN164" s="389"/>
      <c r="AO164" s="389">
        <f>SUM('3 pr-2'!U165)</f>
        <v>0</v>
      </c>
      <c r="AP164" s="389"/>
      <c r="AQ164" s="389">
        <f>SUM('3 pr-2'!X165)</f>
        <v>0</v>
      </c>
      <c r="AR164" s="888"/>
      <c r="AS164" s="168">
        <f>SUM('3 pr-2'!AA165)</f>
        <v>199603</v>
      </c>
      <c r="AT164" s="822"/>
      <c r="AU164" s="28">
        <v>0</v>
      </c>
      <c r="AV164" s="29">
        <v>0</v>
      </c>
      <c r="AW164" s="29">
        <v>0</v>
      </c>
      <c r="AX164" s="391">
        <v>0</v>
      </c>
      <c r="AY164" s="391">
        <v>0</v>
      </c>
      <c r="AZ164" s="391">
        <v>0</v>
      </c>
      <c r="BA164" s="391">
        <v>0</v>
      </c>
      <c r="BB164" s="29">
        <v>0</v>
      </c>
      <c r="BC164" s="29">
        <v>0</v>
      </c>
      <c r="BD164" s="391">
        <v>0</v>
      </c>
      <c r="BE164" s="391">
        <v>0</v>
      </c>
      <c r="BF164" s="391">
        <v>0</v>
      </c>
      <c r="BG164" s="391">
        <v>0</v>
      </c>
      <c r="BH164" s="29">
        <v>0</v>
      </c>
      <c r="BI164" s="29">
        <v>50</v>
      </c>
      <c r="BJ164" s="391">
        <v>50</v>
      </c>
      <c r="BK164" s="391">
        <v>50</v>
      </c>
      <c r="BL164" s="391">
        <v>50</v>
      </c>
      <c r="BM164" s="391">
        <v>50</v>
      </c>
      <c r="BN164" s="29">
        <v>50</v>
      </c>
      <c r="BO164" s="29">
        <v>50</v>
      </c>
      <c r="BP164" s="391">
        <v>50</v>
      </c>
      <c r="BQ164" s="391">
        <v>50</v>
      </c>
      <c r="BR164" s="391">
        <v>50</v>
      </c>
      <c r="BS164" s="391">
        <v>50</v>
      </c>
      <c r="BT164" s="29">
        <v>50</v>
      </c>
      <c r="BU164" s="29">
        <v>0</v>
      </c>
      <c r="BV164" s="391">
        <v>0</v>
      </c>
      <c r="BW164" s="391">
        <v>0</v>
      </c>
      <c r="BX164" s="391">
        <v>0</v>
      </c>
      <c r="BY164" s="391">
        <v>0</v>
      </c>
      <c r="BZ164" s="29">
        <v>0</v>
      </c>
      <c r="CA164" s="29">
        <v>100</v>
      </c>
      <c r="CB164" s="391">
        <v>100</v>
      </c>
      <c r="CC164" s="391">
        <v>100</v>
      </c>
      <c r="CD164" s="391">
        <v>100</v>
      </c>
      <c r="CE164" s="391">
        <v>100</v>
      </c>
      <c r="CF164" s="559">
        <v>100</v>
      </c>
      <c r="CG164" s="561"/>
      <c r="CH164" s="561"/>
    </row>
    <row r="165" spans="1:96" ht="39" thickBot="1" x14ac:dyDescent="0.3">
      <c r="A165" s="91" t="str">
        <f>CONCATENATE('3 pr-2'!A166)</f>
        <v>2.1.4.1.5</v>
      </c>
      <c r="B165" s="46" t="str">
        <f>CONCATENATE('3 pr-2'!D166)</f>
        <v>Paslaugų teikimo ir asmenų aptarnavimo kokybės gerinimas Druskininkų savivaldybėje</v>
      </c>
      <c r="C165" s="114">
        <f t="shared" si="378"/>
        <v>0</v>
      </c>
      <c r="D165" s="114">
        <f t="shared" ref="D165" si="410">SUM(AS165*AV165/CF165)</f>
        <v>0</v>
      </c>
      <c r="E165" s="114">
        <f t="shared" si="379"/>
        <v>0</v>
      </c>
      <c r="F165" s="389">
        <f t="shared" si="380"/>
        <v>0</v>
      </c>
      <c r="G165" s="389">
        <f t="shared" si="381"/>
        <v>0</v>
      </c>
      <c r="H165" s="389">
        <f t="shared" si="382"/>
        <v>0</v>
      </c>
      <c r="I165" s="389">
        <f t="shared" si="383"/>
        <v>0</v>
      </c>
      <c r="J165" s="114">
        <f t="shared" ref="J165" si="411">SUM(AS165*BB165/CF165)</f>
        <v>0</v>
      </c>
      <c r="K165" s="114">
        <f t="shared" si="384"/>
        <v>0</v>
      </c>
      <c r="L165" s="405">
        <f t="shared" si="385"/>
        <v>0</v>
      </c>
      <c r="M165" s="405">
        <f t="shared" si="386"/>
        <v>0</v>
      </c>
      <c r="N165" s="405">
        <f t="shared" si="387"/>
        <v>0</v>
      </c>
      <c r="O165" s="405">
        <f t="shared" si="388"/>
        <v>0</v>
      </c>
      <c r="P165" s="114">
        <f t="shared" ref="P165" si="412">SUM(AS165*BH165/CF165)</f>
        <v>0</v>
      </c>
      <c r="Q165" s="451">
        <f t="shared" si="389"/>
        <v>64635.199999999997</v>
      </c>
      <c r="R165" s="415">
        <f t="shared" si="390"/>
        <v>9695.2000000000007</v>
      </c>
      <c r="S165" s="415">
        <f t="shared" si="391"/>
        <v>0</v>
      </c>
      <c r="T165" s="415">
        <f t="shared" si="392"/>
        <v>0</v>
      </c>
      <c r="U165" s="415">
        <f t="shared" si="393"/>
        <v>0</v>
      </c>
      <c r="V165" s="451">
        <f t="shared" ref="V165" si="413">SUM(AS165*BN165/CF165)</f>
        <v>54940</v>
      </c>
      <c r="W165" s="451">
        <f t="shared" si="394"/>
        <v>80794</v>
      </c>
      <c r="X165" s="415">
        <f t="shared" si="395"/>
        <v>12119</v>
      </c>
      <c r="Y165" s="415">
        <f t="shared" si="396"/>
        <v>0</v>
      </c>
      <c r="Z165" s="415">
        <f t="shared" si="397"/>
        <v>0</v>
      </c>
      <c r="AA165" s="415">
        <f t="shared" si="398"/>
        <v>0</v>
      </c>
      <c r="AB165" s="451">
        <f t="shared" ref="AB165" si="414">SUM(AS165*BT165/CF165)</f>
        <v>68675</v>
      </c>
      <c r="AC165" s="451">
        <f t="shared" si="399"/>
        <v>16158.8</v>
      </c>
      <c r="AD165" s="415">
        <f t="shared" si="400"/>
        <v>2423.8000000000002</v>
      </c>
      <c r="AE165" s="415">
        <f t="shared" si="401"/>
        <v>0</v>
      </c>
      <c r="AF165" s="415">
        <f t="shared" si="402"/>
        <v>0</v>
      </c>
      <c r="AG165" s="415">
        <f t="shared" si="403"/>
        <v>0</v>
      </c>
      <c r="AH165" s="451">
        <f t="shared" ref="AH165" si="415">SUM(AS165*BZ165/CF165)</f>
        <v>13735</v>
      </c>
      <c r="AI165" s="1190">
        <f>SUM('3 pr-2'!L166)</f>
        <v>161588</v>
      </c>
      <c r="AJ165" s="137"/>
      <c r="AK165" s="389">
        <f>SUM('3 pr-2'!O166)</f>
        <v>24238</v>
      </c>
      <c r="AL165" s="389"/>
      <c r="AM165" s="389">
        <f>SUM('3 pr-2'!R166)</f>
        <v>0</v>
      </c>
      <c r="AN165" s="389"/>
      <c r="AO165" s="389">
        <f>SUM('3 pr-2'!U166)</f>
        <v>0</v>
      </c>
      <c r="AP165" s="389"/>
      <c r="AQ165" s="389">
        <f>SUM('3 pr-2'!X166)</f>
        <v>0</v>
      </c>
      <c r="AR165" s="888"/>
      <c r="AS165" s="168">
        <f>SUM('3 pr-2'!AA166)</f>
        <v>137350</v>
      </c>
      <c r="AT165" s="822"/>
      <c r="AU165" s="28">
        <v>0</v>
      </c>
      <c r="AV165" s="29">
        <v>0</v>
      </c>
      <c r="AW165" s="29">
        <v>0</v>
      </c>
      <c r="AX165" s="391">
        <v>0</v>
      </c>
      <c r="AY165" s="391">
        <v>0</v>
      </c>
      <c r="AZ165" s="391">
        <v>0</v>
      </c>
      <c r="BA165" s="391">
        <v>0</v>
      </c>
      <c r="BB165" s="29">
        <v>0</v>
      </c>
      <c r="BC165" s="29">
        <v>0</v>
      </c>
      <c r="BD165" s="391">
        <v>0</v>
      </c>
      <c r="BE165" s="391">
        <v>0</v>
      </c>
      <c r="BF165" s="391">
        <v>0</v>
      </c>
      <c r="BG165" s="391">
        <v>0</v>
      </c>
      <c r="BH165" s="29">
        <v>0</v>
      </c>
      <c r="BI165" s="29">
        <v>40</v>
      </c>
      <c r="BJ165" s="391">
        <v>40</v>
      </c>
      <c r="BK165" s="391">
        <v>40</v>
      </c>
      <c r="BL165" s="391">
        <v>40</v>
      </c>
      <c r="BM165" s="391">
        <v>40</v>
      </c>
      <c r="BN165" s="29">
        <v>40</v>
      </c>
      <c r="BO165" s="29">
        <v>50</v>
      </c>
      <c r="BP165" s="391">
        <v>50</v>
      </c>
      <c r="BQ165" s="391">
        <v>50</v>
      </c>
      <c r="BR165" s="391">
        <v>50</v>
      </c>
      <c r="BS165" s="391">
        <v>50</v>
      </c>
      <c r="BT165" s="29">
        <v>50</v>
      </c>
      <c r="BU165" s="29">
        <v>10</v>
      </c>
      <c r="BV165" s="391">
        <v>10</v>
      </c>
      <c r="BW165" s="391">
        <v>10</v>
      </c>
      <c r="BX165" s="391">
        <v>10</v>
      </c>
      <c r="BY165" s="391">
        <v>10</v>
      </c>
      <c r="BZ165" s="29">
        <v>10</v>
      </c>
      <c r="CA165" s="29">
        <v>100</v>
      </c>
      <c r="CB165" s="391">
        <v>100</v>
      </c>
      <c r="CC165" s="391">
        <v>100</v>
      </c>
      <c r="CD165" s="391">
        <v>100</v>
      </c>
      <c r="CE165" s="391">
        <v>100</v>
      </c>
      <c r="CF165" s="559">
        <v>100</v>
      </c>
      <c r="CG165" s="561"/>
      <c r="CH165" s="561"/>
    </row>
    <row r="166" spans="1:96" ht="64.5" thickBot="1" x14ac:dyDescent="0.3">
      <c r="A166" s="91" t="str">
        <f>CONCATENATE('3 pr-2'!A167)</f>
        <v>2.1.4.1.6</v>
      </c>
      <c r="B166" s="46" t="str">
        <f>CONCATENATE('3 pr-2'!D167)</f>
        <v>Teikiamų paslaugų procesų tobulinimas ir asmenų aptarnavimo kokybės gerinimas Alytaus miesto savivaldybės administracijoje ir jai pavaldžiose įstaigose. II etapas</v>
      </c>
      <c r="C166" s="114">
        <f t="shared" si="378"/>
        <v>0</v>
      </c>
      <c r="D166" s="114">
        <f t="shared" ref="D166" si="416">SUM(AS166*AV166/CF166)</f>
        <v>0</v>
      </c>
      <c r="E166" s="114">
        <f t="shared" si="379"/>
        <v>0</v>
      </c>
      <c r="F166" s="389">
        <f t="shared" ref="F166" si="417">SUM(AK166*AX166/CB166)</f>
        <v>0</v>
      </c>
      <c r="G166" s="389">
        <f t="shared" ref="G166" si="418">SUM(AM166*AY166/CC166)</f>
        <v>0</v>
      </c>
      <c r="H166" s="389">
        <f t="shared" ref="H166" si="419">SUM(AO166*AZ166/CD166)</f>
        <v>0</v>
      </c>
      <c r="I166" s="389">
        <f t="shared" ref="I166" si="420">SUM(AQ166*BA166/CE166)</f>
        <v>0</v>
      </c>
      <c r="J166" s="114">
        <f t="shared" ref="J166" si="421">SUM(AS166*BB166/CF166)</f>
        <v>0</v>
      </c>
      <c r="K166" s="114">
        <f t="shared" si="384"/>
        <v>0</v>
      </c>
      <c r="L166" s="405">
        <f t="shared" ref="L166" si="422">SUM(AK166*BD166/CB166)</f>
        <v>0</v>
      </c>
      <c r="M166" s="405">
        <f t="shared" ref="M166" si="423">SUM(AM166*BE166/CC166)</f>
        <v>0</v>
      </c>
      <c r="N166" s="405">
        <f t="shared" ref="N166" si="424">SUM(AO166*BF166/CD166)</f>
        <v>0</v>
      </c>
      <c r="O166" s="405">
        <f t="shared" ref="O166" si="425">SUM(AQ166*BG166/CE166)</f>
        <v>0</v>
      </c>
      <c r="P166" s="114">
        <f t="shared" ref="P166" si="426">SUM(AS166*BH166/CF166)</f>
        <v>0</v>
      </c>
      <c r="Q166" s="451">
        <f t="shared" si="389"/>
        <v>0</v>
      </c>
      <c r="R166" s="415">
        <f t="shared" ref="R166" si="427">SUM(AK166*BJ166/CB166)</f>
        <v>0</v>
      </c>
      <c r="S166" s="415">
        <f t="shared" ref="S166" si="428">SUM(AM166*BK166/CC166)</f>
        <v>0</v>
      </c>
      <c r="T166" s="415">
        <f t="shared" ref="T166" si="429">SUM(AO166*BL166/CD166)</f>
        <v>0</v>
      </c>
      <c r="U166" s="415">
        <f t="shared" ref="U166" si="430">SUM(AQ166*BM166/CE166)</f>
        <v>0</v>
      </c>
      <c r="V166" s="451">
        <f t="shared" ref="V166" si="431">SUM(AS166*BN166/CF166)</f>
        <v>0</v>
      </c>
      <c r="W166" s="451">
        <f t="shared" si="394"/>
        <v>100000</v>
      </c>
      <c r="X166" s="415">
        <f t="shared" ref="X166" si="432">SUM(AK166*BP166/CB166)</f>
        <v>15000</v>
      </c>
      <c r="Y166" s="415">
        <f t="shared" ref="Y166" si="433">SUM(AM166*BQ166/CC166)</f>
        <v>0</v>
      </c>
      <c r="Z166" s="415">
        <f t="shared" ref="Z166" si="434">SUM(AO166*BR166/CD166)</f>
        <v>0</v>
      </c>
      <c r="AA166" s="415">
        <f t="shared" ref="AA166" si="435">SUM(AQ166*BS166/CE166)</f>
        <v>0</v>
      </c>
      <c r="AB166" s="451">
        <f t="shared" ref="AB166" si="436">SUM(AS166*BT166/CF166)</f>
        <v>85000</v>
      </c>
      <c r="AC166" s="451">
        <f t="shared" si="399"/>
        <v>100000</v>
      </c>
      <c r="AD166" s="415">
        <f t="shared" ref="AD166" si="437">SUM(AK166*BV166/CB166)</f>
        <v>15000</v>
      </c>
      <c r="AE166" s="415">
        <f t="shared" ref="AE166" si="438">SUM(AM166*BW166/CC166)</f>
        <v>0</v>
      </c>
      <c r="AF166" s="415">
        <f t="shared" ref="AF166" si="439">SUM(AO166*BX166/CD166)</f>
        <v>0</v>
      </c>
      <c r="AG166" s="415">
        <f t="shared" ref="AG166" si="440">SUM(AQ166*BY166/CE166)</f>
        <v>0</v>
      </c>
      <c r="AH166" s="451">
        <f t="shared" ref="AH166" si="441">SUM(AS166*BZ166/CF166)</f>
        <v>85000</v>
      </c>
      <c r="AI166" s="1190">
        <f>SUM('3 pr-2'!L167)</f>
        <v>200000</v>
      </c>
      <c r="AJ166" s="137"/>
      <c r="AK166" s="389">
        <f>SUM('3 pr-2'!O167)</f>
        <v>30000</v>
      </c>
      <c r="AL166" s="389"/>
      <c r="AM166" s="389">
        <f>SUM('3 pr-2'!R167)</f>
        <v>0</v>
      </c>
      <c r="AN166" s="389"/>
      <c r="AO166" s="389">
        <f>SUM('3 pr-2'!U167)</f>
        <v>0</v>
      </c>
      <c r="AP166" s="389"/>
      <c r="AQ166" s="389">
        <f>SUM('3 pr-2'!X167)</f>
        <v>0</v>
      </c>
      <c r="AR166" s="888"/>
      <c r="AS166" s="168">
        <f>SUM('3 pr-2'!AA167)</f>
        <v>170000</v>
      </c>
      <c r="AT166" s="822"/>
      <c r="AU166" s="28">
        <v>0</v>
      </c>
      <c r="AV166" s="29">
        <v>0</v>
      </c>
      <c r="AW166" s="29">
        <v>0</v>
      </c>
      <c r="AX166" s="391">
        <v>0</v>
      </c>
      <c r="AY166" s="391">
        <v>0</v>
      </c>
      <c r="AZ166" s="391">
        <v>0</v>
      </c>
      <c r="BA166" s="391">
        <v>0</v>
      </c>
      <c r="BB166" s="29">
        <v>0</v>
      </c>
      <c r="BC166" s="29">
        <v>0</v>
      </c>
      <c r="BD166" s="391">
        <v>0</v>
      </c>
      <c r="BE166" s="391">
        <v>0</v>
      </c>
      <c r="BF166" s="391">
        <v>0</v>
      </c>
      <c r="BG166" s="391">
        <v>0</v>
      </c>
      <c r="BH166" s="29">
        <v>0</v>
      </c>
      <c r="BI166" s="29">
        <v>0</v>
      </c>
      <c r="BJ166" s="391">
        <v>0</v>
      </c>
      <c r="BK166" s="391">
        <v>0</v>
      </c>
      <c r="BL166" s="391">
        <v>0</v>
      </c>
      <c r="BM166" s="391">
        <v>0</v>
      </c>
      <c r="BN166" s="29">
        <v>0</v>
      </c>
      <c r="BO166" s="29">
        <v>50</v>
      </c>
      <c r="BP166" s="391">
        <v>50</v>
      </c>
      <c r="BQ166" s="391">
        <v>50</v>
      </c>
      <c r="BR166" s="391">
        <v>50</v>
      </c>
      <c r="BS166" s="391">
        <v>50</v>
      </c>
      <c r="BT166" s="29">
        <v>50</v>
      </c>
      <c r="BU166" s="29">
        <v>50</v>
      </c>
      <c r="BV166" s="391">
        <v>50</v>
      </c>
      <c r="BW166" s="391">
        <v>50</v>
      </c>
      <c r="BX166" s="391">
        <v>50</v>
      </c>
      <c r="BY166" s="391">
        <v>50</v>
      </c>
      <c r="BZ166" s="29">
        <v>50</v>
      </c>
      <c r="CA166" s="29">
        <v>100</v>
      </c>
      <c r="CB166" s="391">
        <v>100</v>
      </c>
      <c r="CC166" s="391">
        <v>100</v>
      </c>
      <c r="CD166" s="391">
        <v>100</v>
      </c>
      <c r="CE166" s="391">
        <v>100</v>
      </c>
      <c r="CF166" s="559">
        <v>100</v>
      </c>
      <c r="CG166" s="561"/>
      <c r="CH166" s="561"/>
    </row>
    <row r="167" spans="1:96" ht="29.25" customHeight="1" thickBot="1" x14ac:dyDescent="0.3">
      <c r="A167" s="385" t="str">
        <f>CONCATENATE('3 pr-2'!A168)</f>
        <v>3.1.</v>
      </c>
      <c r="B167" s="386" t="str">
        <f>CONCATENATE('3 pr-2'!D168)</f>
        <v/>
      </c>
      <c r="C167" s="53">
        <f t="shared" ref="C167:AS167" si="442">SUM(C168+C172)</f>
        <v>0</v>
      </c>
      <c r="D167" s="53">
        <f t="shared" si="442"/>
        <v>0</v>
      </c>
      <c r="E167" s="53">
        <f t="shared" si="442"/>
        <v>0</v>
      </c>
      <c r="F167" s="53">
        <f t="shared" ref="F167" si="443">SUM(F168+F172)</f>
        <v>0</v>
      </c>
      <c r="G167" s="53"/>
      <c r="H167" s="53"/>
      <c r="I167" s="53"/>
      <c r="J167" s="53">
        <f t="shared" si="442"/>
        <v>0</v>
      </c>
      <c r="K167" s="53">
        <f t="shared" si="442"/>
        <v>281356.90848513809</v>
      </c>
      <c r="L167" s="417">
        <f t="shared" ref="L167:O167" si="444">SUM(L168+L172)</f>
        <v>8930.1967727707124</v>
      </c>
      <c r="M167" s="417">
        <f t="shared" si="444"/>
        <v>0</v>
      </c>
      <c r="N167" s="417">
        <f t="shared" si="444"/>
        <v>0</v>
      </c>
      <c r="O167" s="417">
        <f t="shared" si="444"/>
        <v>0</v>
      </c>
      <c r="P167" s="53">
        <f t="shared" si="442"/>
        <v>272426.602295327</v>
      </c>
      <c r="Q167" s="53">
        <f t="shared" si="442"/>
        <v>3682397.3091244292</v>
      </c>
      <c r="R167" s="417"/>
      <c r="S167" s="417"/>
      <c r="T167" s="417"/>
      <c r="U167" s="417"/>
      <c r="V167" s="53">
        <f t="shared" si="442"/>
        <v>2997417.4315914195</v>
      </c>
      <c r="W167" s="53">
        <f t="shared" si="442"/>
        <v>2495934.9415943832</v>
      </c>
      <c r="X167" s="417"/>
      <c r="Y167" s="417"/>
      <c r="Z167" s="417"/>
      <c r="AA167" s="417"/>
      <c r="AB167" s="53">
        <f t="shared" si="442"/>
        <v>2062615.1905366112</v>
      </c>
      <c r="AC167" s="53">
        <f t="shared" si="442"/>
        <v>178795.99197252039</v>
      </c>
      <c r="AD167" s="417"/>
      <c r="AE167" s="417"/>
      <c r="AF167" s="417"/>
      <c r="AG167" s="417"/>
      <c r="AH167" s="53">
        <f t="shared" si="442"/>
        <v>151976.59557664231</v>
      </c>
      <c r="AI167" s="1182">
        <f t="shared" si="442"/>
        <v>6638485.1511764703</v>
      </c>
      <c r="AJ167" s="53"/>
      <c r="AK167" s="53"/>
      <c r="AL167" s="53"/>
      <c r="AM167" s="53"/>
      <c r="AN167" s="53"/>
      <c r="AO167" s="53"/>
      <c r="AP167" s="53"/>
      <c r="AQ167" s="53"/>
      <c r="AR167" s="53"/>
      <c r="AS167" s="53">
        <f t="shared" si="442"/>
        <v>5484435.8200000003</v>
      </c>
      <c r="AT167" s="824"/>
      <c r="AX167" s="53"/>
      <c r="AY167" s="53"/>
      <c r="AZ167" s="53"/>
      <c r="BA167" s="53"/>
      <c r="BD167" s="53"/>
      <c r="BE167" s="53"/>
      <c r="BF167" s="53"/>
      <c r="BG167" s="53"/>
      <c r="BJ167" s="53"/>
      <c r="BK167" s="53"/>
      <c r="BL167" s="53"/>
      <c r="BM167" s="53"/>
      <c r="BP167" s="53"/>
      <c r="BQ167" s="53"/>
      <c r="BR167" s="53"/>
      <c r="BS167" s="53"/>
      <c r="BV167" s="53"/>
      <c r="BW167" s="53"/>
      <c r="BX167" s="53"/>
      <c r="BY167" s="53"/>
      <c r="CB167" s="53"/>
      <c r="CC167" s="53"/>
      <c r="CD167" s="53"/>
      <c r="CE167" s="53"/>
      <c r="CG167" s="561"/>
      <c r="CH167" s="561"/>
    </row>
    <row r="168" spans="1:96" ht="29.25" customHeight="1" thickBot="1" x14ac:dyDescent="0.3">
      <c r="A168" s="384" t="str">
        <f>CONCATENATE('3 pr-2'!A169)</f>
        <v>3.1.1.</v>
      </c>
      <c r="B168" s="181" t="str">
        <f>CONCATENATE('3 pr-2'!D169)</f>
        <v/>
      </c>
      <c r="C168" s="50">
        <f t="shared" ref="C168:AI168" si="445">SUM(C169)</f>
        <v>0</v>
      </c>
      <c r="D168" s="50">
        <f t="shared" si="445"/>
        <v>0</v>
      </c>
      <c r="E168" s="50">
        <f t="shared" si="445"/>
        <v>0</v>
      </c>
      <c r="F168" s="50">
        <f t="shared" si="445"/>
        <v>0</v>
      </c>
      <c r="G168" s="50"/>
      <c r="H168" s="50"/>
      <c r="I168" s="50"/>
      <c r="J168" s="50">
        <f t="shared" si="445"/>
        <v>0</v>
      </c>
      <c r="K168" s="50">
        <f t="shared" si="445"/>
        <v>0</v>
      </c>
      <c r="L168" s="414">
        <f t="shared" si="445"/>
        <v>0</v>
      </c>
      <c r="M168" s="414">
        <f t="shared" si="445"/>
        <v>0</v>
      </c>
      <c r="N168" s="414">
        <f t="shared" si="445"/>
        <v>0</v>
      </c>
      <c r="O168" s="414">
        <f t="shared" si="445"/>
        <v>0</v>
      </c>
      <c r="P168" s="50">
        <f t="shared" si="445"/>
        <v>0</v>
      </c>
      <c r="Q168" s="50">
        <f t="shared" si="445"/>
        <v>2756308.5434186473</v>
      </c>
      <c r="R168" s="414"/>
      <c r="S168" s="414"/>
      <c r="T168" s="414"/>
      <c r="U168" s="414"/>
      <c r="V168" s="50">
        <f t="shared" si="445"/>
        <v>2237248.3291590493</v>
      </c>
      <c r="W168" s="50">
        <f t="shared" si="445"/>
        <v>1374378.5065813528</v>
      </c>
      <c r="X168" s="414"/>
      <c r="Y168" s="414"/>
      <c r="Z168" s="414"/>
      <c r="AA168" s="414"/>
      <c r="AB168" s="50">
        <f t="shared" si="445"/>
        <v>1115559.4408409507</v>
      </c>
      <c r="AC168" s="50">
        <f t="shared" si="445"/>
        <v>0</v>
      </c>
      <c r="AD168" s="414"/>
      <c r="AE168" s="414"/>
      <c r="AF168" s="414"/>
      <c r="AG168" s="414"/>
      <c r="AH168" s="50">
        <f t="shared" si="445"/>
        <v>0</v>
      </c>
      <c r="AI168" s="1189">
        <f t="shared" si="445"/>
        <v>4130687.05</v>
      </c>
      <c r="AJ168" s="50"/>
      <c r="AK168" s="50"/>
      <c r="AL168" s="50"/>
      <c r="AM168" s="50"/>
      <c r="AN168" s="50"/>
      <c r="AO168" s="50"/>
      <c r="AP168" s="50"/>
      <c r="AQ168" s="50"/>
      <c r="AR168" s="50"/>
      <c r="AS168" s="50">
        <f>SUM(AS169)</f>
        <v>3352807.77</v>
      </c>
      <c r="AT168" s="821"/>
      <c r="AX168" s="50"/>
      <c r="AY168" s="50"/>
      <c r="AZ168" s="50"/>
      <c r="BA168" s="50"/>
      <c r="BD168" s="50"/>
      <c r="BE168" s="50"/>
      <c r="BF168" s="50"/>
      <c r="BG168" s="50"/>
      <c r="BJ168" s="50"/>
      <c r="BK168" s="50"/>
      <c r="BL168" s="50"/>
      <c r="BM168" s="50"/>
      <c r="BP168" s="50"/>
      <c r="BQ168" s="50"/>
      <c r="BR168" s="50"/>
      <c r="BS168" s="50"/>
      <c r="BV168" s="50"/>
      <c r="BW168" s="50"/>
      <c r="BX168" s="50"/>
      <c r="BY168" s="50"/>
      <c r="CB168" s="50"/>
      <c r="CC168" s="50"/>
      <c r="CD168" s="50"/>
      <c r="CE168" s="50"/>
      <c r="CG168" s="561"/>
      <c r="CH168" s="561"/>
    </row>
    <row r="169" spans="1:96" ht="29.25" customHeight="1" thickBot="1" x14ac:dyDescent="0.3">
      <c r="A169" s="383" t="str">
        <f>CONCATENATE('3 pr-2'!A170)</f>
        <v>3.1.1.1</v>
      </c>
      <c r="B169" s="182" t="str">
        <f>CONCATENATE('3 pr-2'!D170)</f>
        <v/>
      </c>
      <c r="C169" s="113">
        <f t="shared" ref="C169:AS169" si="446">SUM(C170:C171)</f>
        <v>0</v>
      </c>
      <c r="D169" s="113">
        <f t="shared" si="446"/>
        <v>0</v>
      </c>
      <c r="E169" s="113">
        <f t="shared" si="446"/>
        <v>0</v>
      </c>
      <c r="F169" s="113">
        <f t="shared" ref="F169" si="447">SUM(F170:F171)</f>
        <v>0</v>
      </c>
      <c r="G169" s="113"/>
      <c r="H169" s="113"/>
      <c r="I169" s="113"/>
      <c r="J169" s="113">
        <f t="shared" si="446"/>
        <v>0</v>
      </c>
      <c r="K169" s="113">
        <f t="shared" si="446"/>
        <v>0</v>
      </c>
      <c r="L169" s="407">
        <f t="shared" ref="L169:O169" si="448">SUM(L170:L171)</f>
        <v>0</v>
      </c>
      <c r="M169" s="407">
        <f t="shared" si="448"/>
        <v>0</v>
      </c>
      <c r="N169" s="407">
        <f t="shared" si="448"/>
        <v>0</v>
      </c>
      <c r="O169" s="407">
        <f t="shared" si="448"/>
        <v>0</v>
      </c>
      <c r="P169" s="113">
        <f t="shared" si="446"/>
        <v>0</v>
      </c>
      <c r="Q169" s="113">
        <f t="shared" si="446"/>
        <v>2756308.5434186473</v>
      </c>
      <c r="R169" s="407"/>
      <c r="S169" s="407"/>
      <c r="T169" s="407"/>
      <c r="U169" s="407"/>
      <c r="V169" s="113">
        <f t="shared" si="446"/>
        <v>2237248.3291590493</v>
      </c>
      <c r="W169" s="113">
        <f t="shared" si="446"/>
        <v>1374378.5065813528</v>
      </c>
      <c r="X169" s="407"/>
      <c r="Y169" s="407"/>
      <c r="Z169" s="407"/>
      <c r="AA169" s="407"/>
      <c r="AB169" s="113">
        <f t="shared" si="446"/>
        <v>1115559.4408409507</v>
      </c>
      <c r="AC169" s="113">
        <f t="shared" si="446"/>
        <v>0</v>
      </c>
      <c r="AD169" s="407"/>
      <c r="AE169" s="407"/>
      <c r="AF169" s="407"/>
      <c r="AG169" s="407"/>
      <c r="AH169" s="113">
        <f t="shared" si="446"/>
        <v>0</v>
      </c>
      <c r="AI169" s="1173">
        <f t="shared" si="446"/>
        <v>4130687.05</v>
      </c>
      <c r="AJ169" s="113"/>
      <c r="AK169" s="113"/>
      <c r="AL169" s="113"/>
      <c r="AM169" s="113"/>
      <c r="AN169" s="113"/>
      <c r="AO169" s="113"/>
      <c r="AP169" s="113"/>
      <c r="AQ169" s="113"/>
      <c r="AR169" s="113"/>
      <c r="AS169" s="113">
        <f t="shared" si="446"/>
        <v>3352807.77</v>
      </c>
      <c r="AT169" s="113"/>
      <c r="AU169" s="22">
        <v>0</v>
      </c>
      <c r="AV169" s="23">
        <v>0</v>
      </c>
      <c r="AW169" s="23">
        <v>100</v>
      </c>
      <c r="AX169" s="113">
        <v>100</v>
      </c>
      <c r="AY169" s="113">
        <v>100</v>
      </c>
      <c r="AZ169" s="113">
        <v>100</v>
      </c>
      <c r="BA169" s="113">
        <v>100</v>
      </c>
      <c r="BB169" s="23">
        <v>100</v>
      </c>
      <c r="BC169" s="23">
        <v>0</v>
      </c>
      <c r="BD169" s="113">
        <v>0</v>
      </c>
      <c r="BE169" s="113">
        <v>0</v>
      </c>
      <c r="BF169" s="113">
        <v>0</v>
      </c>
      <c r="BG169" s="113">
        <v>0</v>
      </c>
      <c r="BH169" s="23">
        <v>0</v>
      </c>
      <c r="BI169" s="23">
        <v>0</v>
      </c>
      <c r="BJ169" s="113">
        <v>0</v>
      </c>
      <c r="BK169" s="113">
        <v>0</v>
      </c>
      <c r="BL169" s="113">
        <v>0</v>
      </c>
      <c r="BM169" s="113">
        <v>0</v>
      </c>
      <c r="BN169" s="23">
        <v>0</v>
      </c>
      <c r="BO169" s="23">
        <v>0</v>
      </c>
      <c r="BP169" s="113">
        <v>0</v>
      </c>
      <c r="BQ169" s="113">
        <v>0</v>
      </c>
      <c r="BR169" s="113">
        <v>0</v>
      </c>
      <c r="BS169" s="113">
        <v>0</v>
      </c>
      <c r="BT169" s="23">
        <v>0</v>
      </c>
      <c r="BU169" s="23">
        <v>0</v>
      </c>
      <c r="BV169" s="113">
        <v>0</v>
      </c>
      <c r="BW169" s="113">
        <v>0</v>
      </c>
      <c r="BX169" s="113">
        <v>0</v>
      </c>
      <c r="BY169" s="113">
        <v>0</v>
      </c>
      <c r="BZ169" s="23">
        <v>0</v>
      </c>
      <c r="CA169" s="23">
        <v>100</v>
      </c>
      <c r="CB169" s="113">
        <v>100</v>
      </c>
      <c r="CC169" s="113">
        <v>100</v>
      </c>
      <c r="CD169" s="113">
        <v>100</v>
      </c>
      <c r="CE169" s="113">
        <v>100</v>
      </c>
      <c r="CF169" s="555">
        <v>100</v>
      </c>
      <c r="CG169" s="561"/>
      <c r="CH169" s="561"/>
    </row>
    <row r="170" spans="1:96" ht="26.25" thickBot="1" x14ac:dyDescent="0.3">
      <c r="A170" s="91" t="str">
        <f>CONCATENATE('3 pr-2'!A171)</f>
        <v>3.1.1.1.1</v>
      </c>
      <c r="B170" s="46" t="str">
        <f>CONCATENATE('3 pr-2'!D171)</f>
        <v>Komunalinių atliekų tvarkymo sistemos plėtra Alytaus regione</v>
      </c>
      <c r="C170" s="51">
        <v>0</v>
      </c>
      <c r="D170" s="51">
        <v>0</v>
      </c>
      <c r="E170" s="51">
        <v>0</v>
      </c>
      <c r="F170" s="389">
        <v>0</v>
      </c>
      <c r="G170" s="389">
        <v>0</v>
      </c>
      <c r="H170" s="389">
        <v>0</v>
      </c>
      <c r="I170" s="389">
        <v>0</v>
      </c>
      <c r="J170" s="51">
        <v>0</v>
      </c>
      <c r="K170" s="453">
        <f>SUM('ketv. 7 lent'!K168-'IV-1 su proj'!E170)</f>
        <v>0</v>
      </c>
      <c r="L170" s="423">
        <f>SUM('ketv. 7 lent'!N168-'IV-1 su proj'!F170)</f>
        <v>0</v>
      </c>
      <c r="M170" s="423">
        <v>0</v>
      </c>
      <c r="N170" s="423">
        <v>0</v>
      </c>
      <c r="O170" s="423">
        <v>0</v>
      </c>
      <c r="P170" s="453">
        <f>SUM('ketv. 7 lent'!Z168-'IV-1 su proj'!J170)</f>
        <v>0</v>
      </c>
      <c r="Q170" s="453">
        <f>IF(YEAR($CG170)=2017,($BI$4-$BC$4)*$AJ170/($CH170-$BC$4))</f>
        <v>2756308.5434186473</v>
      </c>
      <c r="R170" s="423">
        <f>IF(YEAR($CG170)=2017,($BI$4-$BC$4)*$AL170/($CH170-$BC$4))</f>
        <v>519060.21425959765</v>
      </c>
      <c r="S170" s="405">
        <v>0</v>
      </c>
      <c r="T170" s="405">
        <v>0</v>
      </c>
      <c r="U170" s="405">
        <v>0</v>
      </c>
      <c r="V170" s="453">
        <f>IF(YEAR($CG170)=2017,($BI$4-$BC$4)*$AT170/($CH170-$BC$4))</f>
        <v>2237248.3291590493</v>
      </c>
      <c r="W170" s="406">
        <f>IF(YEAR($CH170)=2019,($CH170-$BI$4)*$AJ170/($CH170-$BC$4),0)</f>
        <v>1374378.5065813528</v>
      </c>
      <c r="X170" s="423">
        <f>IF(YEAR($CH170)=2019,($CH170-$BI$4)*$AL170/($CH170-$BC$4),0)</f>
        <v>258819.06574040209</v>
      </c>
      <c r="Y170" s="405">
        <v>0</v>
      </c>
      <c r="Z170" s="405">
        <v>0</v>
      </c>
      <c r="AA170" s="405">
        <v>0</v>
      </c>
      <c r="AB170" s="453">
        <f>IF(YEAR($CH170)=2019,($CH170-$BI$4)*$AT170/($CH170-$BC$4),0)</f>
        <v>1115559.4408409507</v>
      </c>
      <c r="AC170" s="51">
        <f>SUM(AI170*BU170/CA170)</f>
        <v>0</v>
      </c>
      <c r="AD170" s="421">
        <f>SUM(AK170*BV170/CB170)</f>
        <v>0</v>
      </c>
      <c r="AE170" s="421">
        <f>SUM(AM170*BW170/CC170)</f>
        <v>0</v>
      </c>
      <c r="AF170" s="421">
        <f>SUM(AO170*BX170/CD170)</f>
        <v>0</v>
      </c>
      <c r="AG170" s="421">
        <f>SUM(AQ170*BY170/CE170)</f>
        <v>0</v>
      </c>
      <c r="AH170" s="51">
        <f>SUM(AS170*BZ170/CF170)</f>
        <v>0</v>
      </c>
      <c r="AI170" s="1188">
        <f>SUM('3 pr-2'!L171)</f>
        <v>4130687.05</v>
      </c>
      <c r="AJ170" s="805">
        <f>SUM(AI170-E170)</f>
        <v>4130687.05</v>
      </c>
      <c r="AK170" s="389">
        <f>SUM('3 pr-2'!O171)</f>
        <v>777879.2799999998</v>
      </c>
      <c r="AL170" s="805">
        <f t="shared" ref="AL170" si="449">SUM(AK170-F170-L170)</f>
        <v>777879.2799999998</v>
      </c>
      <c r="AM170" s="389">
        <f>SUM('3 pr-2'!R171)</f>
        <v>0</v>
      </c>
      <c r="AN170" s="805"/>
      <c r="AO170" s="389">
        <f>SUM('3 pr-2'!U171)</f>
        <v>0</v>
      </c>
      <c r="AP170" s="805"/>
      <c r="AQ170" s="389">
        <f>SUM('3 pr-2'!X171)</f>
        <v>0</v>
      </c>
      <c r="AR170" s="805"/>
      <c r="AS170" s="48">
        <f>SUM('3 pr-2'!AA171)</f>
        <v>3352807.77</v>
      </c>
      <c r="AT170" s="805">
        <f t="shared" ref="AT170" si="450">SUM(AS170-J170-P170)</f>
        <v>3352807.77</v>
      </c>
      <c r="AU170" s="22">
        <v>0</v>
      </c>
      <c r="AV170" s="23">
        <v>0</v>
      </c>
      <c r="AW170" s="23">
        <v>0</v>
      </c>
      <c r="AX170" s="392">
        <v>0</v>
      </c>
      <c r="AY170" s="392">
        <v>0</v>
      </c>
      <c r="AZ170" s="392">
        <v>0</v>
      </c>
      <c r="BA170" s="392">
        <v>0</v>
      </c>
      <c r="BB170" s="23">
        <v>0</v>
      </c>
      <c r="BC170" s="23">
        <v>0</v>
      </c>
      <c r="BD170" s="392">
        <v>0</v>
      </c>
      <c r="BE170" s="392">
        <v>0</v>
      </c>
      <c r="BF170" s="392">
        <v>0</v>
      </c>
      <c r="BG170" s="392">
        <v>0</v>
      </c>
      <c r="BH170" s="23">
        <v>0</v>
      </c>
      <c r="BI170" s="23">
        <v>50</v>
      </c>
      <c r="BJ170" s="392">
        <v>50</v>
      </c>
      <c r="BK170" s="392">
        <v>50</v>
      </c>
      <c r="BL170" s="392">
        <v>50</v>
      </c>
      <c r="BM170" s="392">
        <v>50</v>
      </c>
      <c r="BN170" s="23">
        <v>50</v>
      </c>
      <c r="BO170" s="23">
        <v>50</v>
      </c>
      <c r="BP170" s="392">
        <v>50</v>
      </c>
      <c r="BQ170" s="392">
        <v>50</v>
      </c>
      <c r="BR170" s="392">
        <v>50</v>
      </c>
      <c r="BS170" s="392">
        <v>50</v>
      </c>
      <c r="BT170" s="23">
        <v>50</v>
      </c>
      <c r="BU170" s="23">
        <v>0</v>
      </c>
      <c r="BV170" s="392">
        <v>0</v>
      </c>
      <c r="BW170" s="392">
        <v>0</v>
      </c>
      <c r="BX170" s="392">
        <v>0</v>
      </c>
      <c r="BY170" s="392">
        <v>0</v>
      </c>
      <c r="BZ170" s="23">
        <v>0</v>
      </c>
      <c r="CA170" s="23">
        <v>100</v>
      </c>
      <c r="CB170" s="392">
        <v>100</v>
      </c>
      <c r="CC170" s="392">
        <v>100</v>
      </c>
      <c r="CD170" s="392">
        <v>100</v>
      </c>
      <c r="CE170" s="392">
        <v>100</v>
      </c>
      <c r="CF170" s="555">
        <v>100</v>
      </c>
      <c r="CG170" s="566">
        <v>42979</v>
      </c>
      <c r="CH170" s="566">
        <v>43647</v>
      </c>
      <c r="CI170" s="801">
        <f>SUM(J170+P170+V170+AB170+AH170)</f>
        <v>3352807.77</v>
      </c>
    </row>
    <row r="171" spans="1:96" ht="16.5" thickBot="1" x14ac:dyDescent="0.3">
      <c r="A171" s="91"/>
      <c r="B171" s="46"/>
      <c r="C171" s="135">
        <f>SUM(AI171*AU171/CA171)</f>
        <v>0</v>
      </c>
      <c r="D171" s="135">
        <f>SUM(AS171*AV171/CF171)</f>
        <v>0</v>
      </c>
      <c r="E171" s="135">
        <f>SUM(AI171*AW171/CA171)</f>
        <v>0</v>
      </c>
      <c r="F171" s="395">
        <f>SUM(AK171*AX171/CB171)</f>
        <v>0</v>
      </c>
      <c r="G171" s="395"/>
      <c r="H171" s="395"/>
      <c r="I171" s="395"/>
      <c r="J171" s="135">
        <f>SUM(AS171*BB171/CF171)</f>
        <v>0</v>
      </c>
      <c r="K171" s="135">
        <f>SUM(AI171*BC171/CA171)</f>
        <v>0</v>
      </c>
      <c r="L171" s="418">
        <f>SUM(AK171*BD171/CB171)</f>
        <v>0</v>
      </c>
      <c r="M171" s="418">
        <f>SUM(AM171*BE171/CC171)</f>
        <v>0</v>
      </c>
      <c r="N171" s="418">
        <f>SUM(AO171*BF171/CD171)</f>
        <v>0</v>
      </c>
      <c r="O171" s="418">
        <f>SUM(AQ171*BG171/CE171)</f>
        <v>0</v>
      </c>
      <c r="P171" s="135">
        <f>SUM(AS171*BH171/CF171)</f>
        <v>0</v>
      </c>
      <c r="Q171" s="135">
        <f>SUM(AI171*BI171/CA171)</f>
        <v>0</v>
      </c>
      <c r="R171" s="418"/>
      <c r="S171" s="418"/>
      <c r="T171" s="418"/>
      <c r="U171" s="418"/>
      <c r="V171" s="135">
        <f>SUM(AS171*BN171/CF171)</f>
        <v>0</v>
      </c>
      <c r="W171" s="135">
        <f>SUM(AI171*BO171/CA171)</f>
        <v>0</v>
      </c>
      <c r="X171" s="418"/>
      <c r="Y171" s="418"/>
      <c r="Z171" s="418"/>
      <c r="AA171" s="418"/>
      <c r="AB171" s="135">
        <f>SUM(AS171*BT171/CF171)</f>
        <v>0</v>
      </c>
      <c r="AC171" s="135">
        <f>SUM(AI171*BU171/CA171)</f>
        <v>0</v>
      </c>
      <c r="AD171" s="418"/>
      <c r="AE171" s="418"/>
      <c r="AF171" s="418"/>
      <c r="AG171" s="418"/>
      <c r="AH171" s="135">
        <f>SUM(AS171*BZ171/CF171)</f>
        <v>0</v>
      </c>
      <c r="AI171" s="1193">
        <v>0</v>
      </c>
      <c r="AJ171" s="173"/>
      <c r="AK171" s="395"/>
      <c r="AL171" s="395"/>
      <c r="AM171" s="395"/>
      <c r="AN171" s="395"/>
      <c r="AO171" s="395"/>
      <c r="AP171" s="395"/>
      <c r="AQ171" s="395"/>
      <c r="AR171" s="890"/>
      <c r="AS171" s="174">
        <v>0</v>
      </c>
      <c r="AT171" s="825"/>
      <c r="AU171" s="22">
        <v>0</v>
      </c>
      <c r="AV171" s="23">
        <v>0</v>
      </c>
      <c r="AW171" s="23">
        <v>100</v>
      </c>
      <c r="AX171" s="395">
        <v>100</v>
      </c>
      <c r="AY171" s="395">
        <v>100</v>
      </c>
      <c r="AZ171" s="395">
        <v>100</v>
      </c>
      <c r="BA171" s="395">
        <v>100</v>
      </c>
      <c r="BB171" s="23">
        <v>100</v>
      </c>
      <c r="BC171" s="23">
        <v>0</v>
      </c>
      <c r="BD171" s="395">
        <v>0</v>
      </c>
      <c r="BE171" s="395">
        <v>0</v>
      </c>
      <c r="BF171" s="395">
        <v>0</v>
      </c>
      <c r="BG171" s="395">
        <v>0</v>
      </c>
      <c r="BH171" s="23">
        <v>0</v>
      </c>
      <c r="BI171" s="23">
        <v>0</v>
      </c>
      <c r="BJ171" s="395">
        <v>0</v>
      </c>
      <c r="BK171" s="395">
        <v>0</v>
      </c>
      <c r="BL171" s="395">
        <v>0</v>
      </c>
      <c r="BM171" s="395">
        <v>0</v>
      </c>
      <c r="BN171" s="23">
        <v>0</v>
      </c>
      <c r="BO171" s="23">
        <v>0</v>
      </c>
      <c r="BP171" s="395">
        <v>0</v>
      </c>
      <c r="BQ171" s="395">
        <v>0</v>
      </c>
      <c r="BR171" s="395">
        <v>0</v>
      </c>
      <c r="BS171" s="395">
        <v>0</v>
      </c>
      <c r="BT171" s="23">
        <v>0</v>
      </c>
      <c r="BU171" s="23">
        <v>0</v>
      </c>
      <c r="BV171" s="395">
        <v>0</v>
      </c>
      <c r="BW171" s="395">
        <v>0</v>
      </c>
      <c r="BX171" s="395">
        <v>0</v>
      </c>
      <c r="BY171" s="395">
        <v>0</v>
      </c>
      <c r="BZ171" s="23">
        <v>0</v>
      </c>
      <c r="CA171" s="23">
        <v>100</v>
      </c>
      <c r="CB171" s="395">
        <v>100</v>
      </c>
      <c r="CC171" s="395">
        <v>100</v>
      </c>
      <c r="CD171" s="395">
        <v>100</v>
      </c>
      <c r="CE171" s="395">
        <v>100</v>
      </c>
      <c r="CF171" s="555">
        <v>100</v>
      </c>
      <c r="CG171" s="561"/>
      <c r="CH171" s="561"/>
    </row>
    <row r="172" spans="1:96" ht="29.25" customHeight="1" thickBot="1" x14ac:dyDescent="0.3">
      <c r="A172" s="384" t="str">
        <f>CONCATENATE('3 pr-2'!A172)</f>
        <v>3.1.2.</v>
      </c>
      <c r="B172" s="181" t="str">
        <f>CONCATENATE('3 pr-2'!D172)</f>
        <v/>
      </c>
      <c r="C172" s="50">
        <f t="shared" ref="C172:AI172" si="451">SUM(C173)</f>
        <v>0</v>
      </c>
      <c r="D172" s="50">
        <f t="shared" si="451"/>
        <v>0</v>
      </c>
      <c r="E172" s="50">
        <f t="shared" si="451"/>
        <v>0</v>
      </c>
      <c r="F172" s="50">
        <f t="shared" si="451"/>
        <v>0</v>
      </c>
      <c r="G172" s="50">
        <f t="shared" si="451"/>
        <v>0</v>
      </c>
      <c r="H172" s="50">
        <f t="shared" si="451"/>
        <v>0</v>
      </c>
      <c r="I172" s="50">
        <f t="shared" si="451"/>
        <v>0</v>
      </c>
      <c r="J172" s="50">
        <f t="shared" si="451"/>
        <v>0</v>
      </c>
      <c r="K172" s="50">
        <f t="shared" si="451"/>
        <v>281356.90848513809</v>
      </c>
      <c r="L172" s="50">
        <f t="shared" si="451"/>
        <v>8930.1967727707124</v>
      </c>
      <c r="M172" s="50">
        <f t="shared" si="451"/>
        <v>0</v>
      </c>
      <c r="N172" s="50">
        <f t="shared" si="451"/>
        <v>0</v>
      </c>
      <c r="O172" s="50">
        <f t="shared" si="451"/>
        <v>0</v>
      </c>
      <c r="P172" s="50">
        <f t="shared" si="451"/>
        <v>272426.602295327</v>
      </c>
      <c r="Q172" s="50">
        <f t="shared" si="451"/>
        <v>926088.76570578199</v>
      </c>
      <c r="R172" s="50">
        <f t="shared" si="451"/>
        <v>165919.49959628173</v>
      </c>
      <c r="S172" s="50">
        <f t="shared" si="451"/>
        <v>0</v>
      </c>
      <c r="T172" s="50">
        <f t="shared" si="451"/>
        <v>0</v>
      </c>
      <c r="U172" s="50">
        <f t="shared" si="451"/>
        <v>0</v>
      </c>
      <c r="V172" s="50">
        <f t="shared" si="451"/>
        <v>760169.10243236995</v>
      </c>
      <c r="W172" s="50">
        <f t="shared" si="451"/>
        <v>1121556.4350130304</v>
      </c>
      <c r="X172" s="50">
        <f t="shared" si="451"/>
        <v>170053.86797361108</v>
      </c>
      <c r="Y172" s="50">
        <f t="shared" si="451"/>
        <v>0</v>
      </c>
      <c r="Z172" s="50">
        <f t="shared" si="451"/>
        <v>0</v>
      </c>
      <c r="AA172" s="50">
        <f t="shared" si="451"/>
        <v>0</v>
      </c>
      <c r="AB172" s="50">
        <f t="shared" si="451"/>
        <v>947055.74969566066</v>
      </c>
      <c r="AC172" s="50">
        <f t="shared" si="451"/>
        <v>178795.99197252039</v>
      </c>
      <c r="AD172" s="50">
        <f t="shared" si="451"/>
        <v>26819.396395878062</v>
      </c>
      <c r="AE172" s="50">
        <f t="shared" si="451"/>
        <v>0</v>
      </c>
      <c r="AF172" s="50">
        <f t="shared" si="451"/>
        <v>0</v>
      </c>
      <c r="AG172" s="50">
        <f t="shared" si="451"/>
        <v>0</v>
      </c>
      <c r="AH172" s="50">
        <f t="shared" si="451"/>
        <v>151976.59557664231</v>
      </c>
      <c r="AI172" s="1189">
        <f t="shared" si="451"/>
        <v>2507798.1011764705</v>
      </c>
      <c r="AJ172" s="50"/>
      <c r="AK172" s="50"/>
      <c r="AL172" s="50"/>
      <c r="AM172" s="50"/>
      <c r="AN172" s="50"/>
      <c r="AO172" s="50"/>
      <c r="AP172" s="50"/>
      <c r="AQ172" s="50"/>
      <c r="AR172" s="50"/>
      <c r="AS172" s="50">
        <f>SUM(AS173)</f>
        <v>2131628.0500000003</v>
      </c>
      <c r="AT172" s="826"/>
      <c r="AU172" s="22">
        <v>0</v>
      </c>
      <c r="AV172" s="23">
        <v>0</v>
      </c>
      <c r="AW172" s="23">
        <v>0</v>
      </c>
      <c r="AX172" s="50"/>
      <c r="AY172" s="50"/>
      <c r="AZ172" s="50"/>
      <c r="BA172" s="50"/>
      <c r="BB172" s="23">
        <v>0</v>
      </c>
      <c r="BC172" s="23">
        <v>0</v>
      </c>
      <c r="BD172" s="50"/>
      <c r="BE172" s="50"/>
      <c r="BF172" s="50"/>
      <c r="BG172" s="50"/>
      <c r="BH172" s="23">
        <v>0</v>
      </c>
      <c r="BI172" s="23">
        <v>25</v>
      </c>
      <c r="BJ172" s="50"/>
      <c r="BK172" s="50"/>
      <c r="BL172" s="50"/>
      <c r="BM172" s="50"/>
      <c r="BN172" s="23">
        <v>25</v>
      </c>
      <c r="BO172" s="23">
        <v>45</v>
      </c>
      <c r="BP172" s="50"/>
      <c r="BQ172" s="50"/>
      <c r="BR172" s="50"/>
      <c r="BS172" s="50"/>
      <c r="BT172" s="23">
        <v>45</v>
      </c>
      <c r="BU172" s="23">
        <v>30</v>
      </c>
      <c r="BV172" s="50"/>
      <c r="BW172" s="50"/>
      <c r="BX172" s="50"/>
      <c r="BY172" s="50"/>
      <c r="BZ172" s="23">
        <v>30</v>
      </c>
      <c r="CA172" s="23">
        <v>100</v>
      </c>
      <c r="CB172" s="50"/>
      <c r="CC172" s="50"/>
      <c r="CD172" s="50"/>
      <c r="CE172" s="50"/>
      <c r="CF172" s="555">
        <v>100</v>
      </c>
      <c r="CG172" s="564"/>
      <c r="CH172" s="561"/>
    </row>
    <row r="173" spans="1:96" ht="29.25" customHeight="1" thickBot="1" x14ac:dyDescent="0.3">
      <c r="A173" s="383" t="str">
        <f>CONCATENATE('3 pr-2'!A173)</f>
        <v>3.1.2.1</v>
      </c>
      <c r="B173" s="182" t="str">
        <f>CONCATENATE('3 pr-2'!D173)</f>
        <v/>
      </c>
      <c r="C173" s="113">
        <f t="shared" ref="C173:AH173" si="452">SUM(C174:C182)</f>
        <v>0</v>
      </c>
      <c r="D173" s="113">
        <f t="shared" si="452"/>
        <v>0</v>
      </c>
      <c r="E173" s="113">
        <f t="shared" si="452"/>
        <v>0</v>
      </c>
      <c r="F173" s="113">
        <f t="shared" si="452"/>
        <v>0</v>
      </c>
      <c r="G173" s="113">
        <f t="shared" si="452"/>
        <v>0</v>
      </c>
      <c r="H173" s="113">
        <f t="shared" si="452"/>
        <v>0</v>
      </c>
      <c r="I173" s="113">
        <f t="shared" si="452"/>
        <v>0</v>
      </c>
      <c r="J173" s="113">
        <f t="shared" si="452"/>
        <v>0</v>
      </c>
      <c r="K173" s="113">
        <f t="shared" si="452"/>
        <v>281356.90848513809</v>
      </c>
      <c r="L173" s="113">
        <f t="shared" si="452"/>
        <v>8930.1967727707124</v>
      </c>
      <c r="M173" s="113">
        <f t="shared" si="452"/>
        <v>0</v>
      </c>
      <c r="N173" s="113">
        <f t="shared" si="452"/>
        <v>0</v>
      </c>
      <c r="O173" s="113">
        <f t="shared" si="452"/>
        <v>0</v>
      </c>
      <c r="P173" s="113">
        <f t="shared" si="452"/>
        <v>272426.602295327</v>
      </c>
      <c r="Q173" s="113">
        <f t="shared" si="452"/>
        <v>926088.76570578199</v>
      </c>
      <c r="R173" s="113">
        <f t="shared" si="452"/>
        <v>165919.49959628173</v>
      </c>
      <c r="S173" s="113">
        <f t="shared" si="452"/>
        <v>0</v>
      </c>
      <c r="T173" s="113">
        <f t="shared" si="452"/>
        <v>0</v>
      </c>
      <c r="U173" s="113">
        <f t="shared" si="452"/>
        <v>0</v>
      </c>
      <c r="V173" s="113">
        <f t="shared" si="452"/>
        <v>760169.10243236995</v>
      </c>
      <c r="W173" s="113">
        <f t="shared" si="452"/>
        <v>1121556.4350130304</v>
      </c>
      <c r="X173" s="113">
        <f t="shared" si="452"/>
        <v>170053.86797361108</v>
      </c>
      <c r="Y173" s="113">
        <f t="shared" si="452"/>
        <v>0</v>
      </c>
      <c r="Z173" s="113">
        <f t="shared" si="452"/>
        <v>0</v>
      </c>
      <c r="AA173" s="113">
        <f t="shared" si="452"/>
        <v>0</v>
      </c>
      <c r="AB173" s="113">
        <f t="shared" si="452"/>
        <v>947055.74969566066</v>
      </c>
      <c r="AC173" s="113">
        <f t="shared" si="452"/>
        <v>178795.99197252039</v>
      </c>
      <c r="AD173" s="113">
        <f t="shared" si="452"/>
        <v>26819.396395878062</v>
      </c>
      <c r="AE173" s="113">
        <f t="shared" si="452"/>
        <v>0</v>
      </c>
      <c r="AF173" s="113">
        <f t="shared" si="452"/>
        <v>0</v>
      </c>
      <c r="AG173" s="113">
        <f t="shared" si="452"/>
        <v>0</v>
      </c>
      <c r="AH173" s="113">
        <f t="shared" si="452"/>
        <v>151976.59557664231</v>
      </c>
      <c r="AI173" s="1173">
        <f>SUM(AI174:AI182)</f>
        <v>2507798.1011764705</v>
      </c>
      <c r="AJ173" s="113"/>
      <c r="AK173" s="113"/>
      <c r="AL173" s="113"/>
      <c r="AM173" s="113"/>
      <c r="AN173" s="113"/>
      <c r="AO173" s="113"/>
      <c r="AP173" s="113"/>
      <c r="AQ173" s="113"/>
      <c r="AR173" s="113"/>
      <c r="AS173" s="113">
        <f>SUM(AS174:AS182)</f>
        <v>2131628.0500000003</v>
      </c>
      <c r="AT173" s="113"/>
      <c r="AU173" s="425"/>
      <c r="AV173" s="425"/>
      <c r="AW173" s="425"/>
      <c r="AX173" s="171"/>
      <c r="AY173" s="171"/>
      <c r="AZ173" s="171"/>
      <c r="BA173" s="171"/>
      <c r="BB173" s="426"/>
      <c r="BC173" s="426"/>
      <c r="BD173" s="427"/>
      <c r="BE173" s="427"/>
      <c r="BF173" s="427"/>
      <c r="BG173" s="427"/>
      <c r="BH173" s="426"/>
      <c r="BI173" s="426"/>
      <c r="BJ173" s="113"/>
      <c r="BK173" s="113"/>
      <c r="BL173" s="113"/>
      <c r="BM173" s="113"/>
      <c r="BN173" s="426"/>
      <c r="BO173" s="426"/>
      <c r="BP173" s="113"/>
      <c r="BQ173" s="113"/>
      <c r="BR173" s="113"/>
      <c r="BS173" s="113"/>
      <c r="BT173" s="426"/>
      <c r="BU173" s="426"/>
      <c r="BV173" s="113"/>
      <c r="BW173" s="113"/>
      <c r="BX173" s="113"/>
      <c r="BY173" s="113"/>
      <c r="BZ173" s="426"/>
      <c r="CA173" s="428"/>
      <c r="CB173" s="113">
        <v>100</v>
      </c>
      <c r="CC173" s="113">
        <v>100</v>
      </c>
      <c r="CD173" s="113">
        <v>100</v>
      </c>
      <c r="CE173" s="113">
        <v>100</v>
      </c>
      <c r="CF173" s="560">
        <v>100</v>
      </c>
      <c r="CG173" s="564"/>
      <c r="CH173" s="561"/>
    </row>
    <row r="174" spans="1:96" s="9" customFormat="1" ht="45.75" customHeight="1" thickBot="1" x14ac:dyDescent="0.3">
      <c r="A174" s="91" t="str">
        <f>CONCATENATE('3 pr-2'!A174)</f>
        <v>3.1.2.1.1</v>
      </c>
      <c r="B174" s="47" t="str">
        <f>CONCATENATE('3 pr-2'!D174)</f>
        <v>Kraštovaizdžio formavimas ir tvarkymas Varėnos r. savivaldybėje (I etapas)</v>
      </c>
      <c r="C174" s="51">
        <v>0</v>
      </c>
      <c r="D174" s="51">
        <v>0</v>
      </c>
      <c r="E174" s="51">
        <v>0</v>
      </c>
      <c r="F174" s="389">
        <v>0</v>
      </c>
      <c r="G174" s="389">
        <v>0</v>
      </c>
      <c r="H174" s="389">
        <v>0</v>
      </c>
      <c r="I174" s="389">
        <v>0</v>
      </c>
      <c r="J174" s="51">
        <v>0</v>
      </c>
      <c r="K174" s="453">
        <f>SUM('ketv. 7 lent'!K171-'IV-1 su proj'!E174)</f>
        <v>89683.650000000009</v>
      </c>
      <c r="L174" s="423">
        <f>SUM('ketv. 7 lent'!N171-'IV-1 su proj'!F174)</f>
        <v>1613.33</v>
      </c>
      <c r="M174" s="423">
        <v>0</v>
      </c>
      <c r="N174" s="423">
        <v>0</v>
      </c>
      <c r="O174" s="423">
        <v>0</v>
      </c>
      <c r="P174" s="453">
        <f>SUM('ketv. 7 lent'!Z171-'IV-1 su proj'!J174)</f>
        <v>88070.32</v>
      </c>
      <c r="Q174" s="453">
        <f>SUM(R174:V174)</f>
        <v>438383.70969773293</v>
      </c>
      <c r="R174" s="423">
        <f>SUM(V174*AL174/AT174)</f>
        <v>76642.341435768249</v>
      </c>
      <c r="S174" s="405">
        <v>0</v>
      </c>
      <c r="T174" s="405">
        <v>0</v>
      </c>
      <c r="U174" s="405">
        <v>0</v>
      </c>
      <c r="V174" s="453">
        <f>IF(YEAR($CG174)=2017,($BI$4-$BC$4)*$AT174/($CH174-$BC$4))</f>
        <v>361741.3682619647</v>
      </c>
      <c r="W174" s="453">
        <f>SUM(X174:AB174)</f>
        <v>38433.640302266998</v>
      </c>
      <c r="X174" s="423">
        <f>SUM(AB174*AL174/AT174)</f>
        <v>6719.3285642317378</v>
      </c>
      <c r="Y174" s="405">
        <v>0</v>
      </c>
      <c r="Z174" s="405">
        <v>0</v>
      </c>
      <c r="AA174" s="405">
        <v>0</v>
      </c>
      <c r="AB174" s="453">
        <f>IF(YEAR($CH174)=2019,($CH174-$BI$4)*$AT174/($CH174-$BC$4),0)</f>
        <v>31714.311738035263</v>
      </c>
      <c r="AC174" s="111">
        <v>0</v>
      </c>
      <c r="AD174" s="571">
        <v>0</v>
      </c>
      <c r="AE174" s="571">
        <v>0</v>
      </c>
      <c r="AF174" s="571">
        <v>0</v>
      </c>
      <c r="AG174" s="571">
        <v>0</v>
      </c>
      <c r="AH174" s="111">
        <v>0</v>
      </c>
      <c r="AI174" s="1185">
        <f>SUM('3 pr-2'!L174)</f>
        <v>566501</v>
      </c>
      <c r="AJ174" s="805">
        <f>SUM(AI174-E174)</f>
        <v>566501</v>
      </c>
      <c r="AK174" s="389">
        <f>SUM('3 pr-2'!O174)</f>
        <v>84975</v>
      </c>
      <c r="AL174" s="805">
        <f t="shared" ref="AL174:AL182" si="453">SUM(AK174-F174-L174)</f>
        <v>83361.67</v>
      </c>
      <c r="AM174" s="389">
        <f>SUM('3 pr-2'!R174)</f>
        <v>0</v>
      </c>
      <c r="AN174" s="805"/>
      <c r="AO174" s="389">
        <f>SUM('3 pr-2'!U174)</f>
        <v>0</v>
      </c>
      <c r="AP174" s="805"/>
      <c r="AQ174" s="389">
        <f>SUM('3 pr-2'!X174)</f>
        <v>0</v>
      </c>
      <c r="AR174" s="805"/>
      <c r="AS174" s="432">
        <f>SUM('3 pr-2'!AA174)</f>
        <v>481526</v>
      </c>
      <c r="AT174" s="805">
        <f t="shared" ref="AT174:AT182" si="454">SUM(AS174-J174-P174)</f>
        <v>393455.68</v>
      </c>
      <c r="AU174" s="106"/>
      <c r="AV174" s="106"/>
      <c r="AW174" s="106"/>
      <c r="AX174" s="430"/>
      <c r="AY174" s="430"/>
      <c r="AZ174" s="430"/>
      <c r="BA174" s="430"/>
      <c r="BB174" s="106"/>
      <c r="BC174" s="107"/>
      <c r="BD174" s="431"/>
      <c r="BE174" s="431"/>
      <c r="BF174" s="431"/>
      <c r="BG174" s="431"/>
      <c r="BH174" s="107"/>
      <c r="BI174" s="134"/>
      <c r="BJ174" s="431"/>
      <c r="BK174" s="431"/>
      <c r="BL174" s="431"/>
      <c r="BM174" s="431"/>
      <c r="BN174" s="134"/>
      <c r="BO174" s="134"/>
      <c r="BP174" s="431"/>
      <c r="BQ174" s="431"/>
      <c r="BR174" s="431"/>
      <c r="BS174" s="431"/>
      <c r="BT174" s="134"/>
      <c r="BU174" s="134"/>
      <c r="BV174" s="431"/>
      <c r="BW174" s="431"/>
      <c r="BX174" s="431"/>
      <c r="BY174" s="431"/>
      <c r="BZ174" s="134"/>
      <c r="CA174" s="23"/>
      <c r="CB174" s="431"/>
      <c r="CC174" s="431"/>
      <c r="CD174" s="431"/>
      <c r="CE174" s="431"/>
      <c r="CF174" s="555"/>
      <c r="CG174" s="570">
        <v>42887</v>
      </c>
      <c r="CH174" s="570">
        <v>43497</v>
      </c>
      <c r="CI174" s="801">
        <f t="shared" ref="CI174:CI179" si="455">SUM(J174+P174+V174+AB174+AH174)</f>
        <v>481526</v>
      </c>
      <c r="CQ174" s="564">
        <f>SUM(E174+K174+Q174+W174+AC174)</f>
        <v>566501</v>
      </c>
      <c r="CR174" s="1515">
        <f t="shared" ref="CR174:CR179" si="456">SUM(J174+P174+V174+AB174+AH174)</f>
        <v>481526</v>
      </c>
    </row>
    <row r="175" spans="1:96" s="9" customFormat="1" ht="38.25" customHeight="1" thickBot="1" x14ac:dyDescent="0.3">
      <c r="A175" s="91" t="str">
        <f>CONCATENATE('3 pr-2'!A175)</f>
        <v>3.1.2.1.2</v>
      </c>
      <c r="B175" s="47" t="str">
        <f>CONCATENATE('3 pr-2'!D175)</f>
        <v>Kraštovaizdžio formavimas ir tvarkymas Varėnos r. savivaldybėje (II etapas)</v>
      </c>
      <c r="C175" s="51">
        <f>SUM(AI175*AU175/CA175)</f>
        <v>0</v>
      </c>
      <c r="D175" s="51">
        <f t="shared" ref="D175" si="457">SUM(AS175*AV175/CF175)</f>
        <v>0</v>
      </c>
      <c r="E175" s="51">
        <f>SUM(AI175*AW175/CA175)</f>
        <v>0</v>
      </c>
      <c r="F175" s="389">
        <v>0</v>
      </c>
      <c r="G175" s="389">
        <v>0</v>
      </c>
      <c r="H175" s="389">
        <v>0</v>
      </c>
      <c r="I175" s="389">
        <v>0</v>
      </c>
      <c r="J175" s="51">
        <v>0</v>
      </c>
      <c r="K175" s="453">
        <v>0</v>
      </c>
      <c r="L175" s="423">
        <v>0</v>
      </c>
      <c r="M175" s="423">
        <v>0</v>
      </c>
      <c r="N175" s="423">
        <v>0</v>
      </c>
      <c r="O175" s="423">
        <v>0</v>
      </c>
      <c r="P175" s="453">
        <v>0</v>
      </c>
      <c r="Q175" s="453">
        <f>IF(YEAR($CG175)=2018,($BI$4-$CG$175)*$AJ175/($CH$175-$CG$175))</f>
        <v>122301.19392917369</v>
      </c>
      <c r="R175" s="423">
        <f>IF(YEAR($CG175)=2018,($BI$4-$CG$175)*$AL175/($CH$175-$CG$175))</f>
        <v>18345.261382799326</v>
      </c>
      <c r="S175" s="405">
        <v>0</v>
      </c>
      <c r="T175" s="405">
        <v>0</v>
      </c>
      <c r="U175" s="405">
        <v>0</v>
      </c>
      <c r="V175" s="453">
        <f>IF(YEAR($CG175)=2018,($BI$4-$CG$175)*$AT175/($CH$175-$CG$175))</f>
        <v>103955.93254637437</v>
      </c>
      <c r="W175" s="406">
        <f>IF(YEAR($CH175)=2019,(CH175-BI4)*$AJ175/(CH175-CG175),0)</f>
        <v>174930.80607082631</v>
      </c>
      <c r="X175" s="423">
        <f>IF(YEAR($CH175)=2019,($CH175-$BI$4)*$AL175/($CH175-$BC$4),0)</f>
        <v>21792.948179271709</v>
      </c>
      <c r="Y175" s="405">
        <v>0</v>
      </c>
      <c r="Z175" s="405">
        <v>0</v>
      </c>
      <c r="AA175" s="405">
        <v>0</v>
      </c>
      <c r="AB175" s="453">
        <f>IF(YEAR($CH175)=2019,($CH175-$BI$4)*$AT175/($CH175-$CG$175),0)</f>
        <v>148691.06745362564</v>
      </c>
      <c r="AC175" s="111">
        <v>0</v>
      </c>
      <c r="AD175" s="571">
        <v>0</v>
      </c>
      <c r="AE175" s="571">
        <v>0</v>
      </c>
      <c r="AF175" s="571">
        <v>0</v>
      </c>
      <c r="AG175" s="571">
        <v>0</v>
      </c>
      <c r="AH175" s="111">
        <v>0</v>
      </c>
      <c r="AI175" s="1185">
        <f>SUM('3 pr-2'!L175)</f>
        <v>297232</v>
      </c>
      <c r="AJ175" s="805">
        <f t="shared" ref="AJ175:AJ182" si="458">SUM(AI175-E175)</f>
        <v>297232</v>
      </c>
      <c r="AK175" s="389">
        <f>SUM('3 pr-2'!O175)</f>
        <v>44585</v>
      </c>
      <c r="AL175" s="805">
        <f t="shared" si="453"/>
        <v>44585</v>
      </c>
      <c r="AM175" s="389">
        <f>SUM('3 pr-2'!R175)</f>
        <v>0</v>
      </c>
      <c r="AN175" s="805"/>
      <c r="AO175" s="389">
        <f>SUM('3 pr-2'!U175)</f>
        <v>0</v>
      </c>
      <c r="AP175" s="805"/>
      <c r="AQ175" s="389">
        <f>SUM('3 pr-2'!X175)</f>
        <v>0</v>
      </c>
      <c r="AR175" s="805"/>
      <c r="AS175" s="433">
        <f>SUM('3 pr-2'!AA175)</f>
        <v>252647</v>
      </c>
      <c r="AT175" s="805">
        <f t="shared" si="454"/>
        <v>252647</v>
      </c>
      <c r="AU175" s="106">
        <v>0</v>
      </c>
      <c r="AV175" s="106">
        <v>0</v>
      </c>
      <c r="AW175" s="106">
        <v>0</v>
      </c>
      <c r="AX175" s="392">
        <v>0</v>
      </c>
      <c r="AY175" s="392">
        <v>0</v>
      </c>
      <c r="AZ175" s="392">
        <v>0</v>
      </c>
      <c r="BA175" s="392">
        <v>0</v>
      </c>
      <c r="BB175" s="106">
        <v>0</v>
      </c>
      <c r="BC175" s="106">
        <v>0</v>
      </c>
      <c r="BD175" s="392">
        <v>0</v>
      </c>
      <c r="BE175" s="392">
        <v>0</v>
      </c>
      <c r="BF175" s="392">
        <v>0</v>
      </c>
      <c r="BG175" s="392">
        <v>0</v>
      </c>
      <c r="BH175" s="106">
        <v>0</v>
      </c>
      <c r="BI175" s="106">
        <v>0</v>
      </c>
      <c r="BJ175" s="392">
        <v>0</v>
      </c>
      <c r="BK175" s="392">
        <v>0</v>
      </c>
      <c r="BL175" s="392">
        <v>0</v>
      </c>
      <c r="BM175" s="392">
        <v>0</v>
      </c>
      <c r="BN175" s="106">
        <v>0</v>
      </c>
      <c r="BO175" s="107">
        <v>50</v>
      </c>
      <c r="BP175" s="392">
        <v>50</v>
      </c>
      <c r="BQ175" s="392">
        <v>50</v>
      </c>
      <c r="BR175" s="392">
        <v>50</v>
      </c>
      <c r="BS175" s="392">
        <v>50</v>
      </c>
      <c r="BT175" s="107">
        <v>50</v>
      </c>
      <c r="BU175" s="107">
        <v>50</v>
      </c>
      <c r="BV175" s="392">
        <v>50</v>
      </c>
      <c r="BW175" s="392">
        <v>50</v>
      </c>
      <c r="BX175" s="392">
        <v>50</v>
      </c>
      <c r="BY175" s="392">
        <v>50</v>
      </c>
      <c r="BZ175" s="107">
        <v>50</v>
      </c>
      <c r="CA175" s="23">
        <v>100</v>
      </c>
      <c r="CB175" s="392">
        <v>100</v>
      </c>
      <c r="CC175" s="392">
        <v>100</v>
      </c>
      <c r="CD175" s="392">
        <v>100</v>
      </c>
      <c r="CE175" s="392">
        <v>100</v>
      </c>
      <c r="CF175" s="555">
        <v>100</v>
      </c>
      <c r="CG175" s="570">
        <v>43221</v>
      </c>
      <c r="CH175" s="570">
        <v>43814</v>
      </c>
      <c r="CI175" s="801">
        <f t="shared" si="455"/>
        <v>252647</v>
      </c>
      <c r="CQ175" s="564">
        <f t="shared" ref="CQ175:CQ182" si="459">SUM(E175+K175+Q175+W175+AC175)</f>
        <v>297232</v>
      </c>
      <c r="CR175" s="1515">
        <f t="shared" si="456"/>
        <v>252647</v>
      </c>
    </row>
    <row r="176" spans="1:96" s="9" customFormat="1" ht="29.25" customHeight="1" thickBot="1" x14ac:dyDescent="0.3">
      <c r="A176" s="91" t="str">
        <f>CONCATENATE('3 pr-2'!A176)</f>
        <v>3.1.2.1.3</v>
      </c>
      <c r="B176" s="47" t="str">
        <f>CONCATENATE('3 pr-2'!D176)</f>
        <v>Bešeimininkių apleistų pastatų ir įrenginių tvarkymas Alytaus rajono savivaldybėje</v>
      </c>
      <c r="C176" s="51">
        <v>0</v>
      </c>
      <c r="D176" s="51">
        <v>0</v>
      </c>
      <c r="E176" s="51">
        <v>0</v>
      </c>
      <c r="F176" s="389">
        <f>SUM(AK175*AX175/CB175)</f>
        <v>0</v>
      </c>
      <c r="G176" s="389">
        <f>SUM(AM175*AY175/CC175)</f>
        <v>0</v>
      </c>
      <c r="H176" s="389">
        <f>SUM(AO175*AZ175/CD175)</f>
        <v>0</v>
      </c>
      <c r="I176" s="389">
        <f>SUM(AQ175*BA175/CE175)</f>
        <v>0</v>
      </c>
      <c r="J176" s="51">
        <v>0</v>
      </c>
      <c r="K176" s="140">
        <f>IF(YEAR($CG$176)=2017,($BC$4-$CG$176)*AI$176/($CH$176-$CG$176),0)</f>
        <v>37116.44843049327</v>
      </c>
      <c r="L176" s="405">
        <f>IF(YEAR($CG$176)=2017,($BC$4-$CG$176)*AK$176/($CH$176-$CG$176),0)</f>
        <v>5567.4672645739911</v>
      </c>
      <c r="M176" s="405">
        <f>IF(YEAR($CG$176)=2017,($BC$4-$CG$176)*AM$176/($CH$176-$CG$176),0)</f>
        <v>0</v>
      </c>
      <c r="N176" s="405">
        <f>IF(YEAR($CG$176)=2017,($BC$4-$CG$176)*AO$176/($CH$176-$CG$176),0)</f>
        <v>0</v>
      </c>
      <c r="O176" s="405">
        <f>IF(YEAR($CG$176)=2017,($BC$4-$CG$176)*AQ$176/($CH$176-$CG$176),0)</f>
        <v>0</v>
      </c>
      <c r="P176" s="572">
        <f>IF(YEAR($CG$176)=2017,($BC$4-$CG$176)*AS$176/($CH$176-$CG$176),0)</f>
        <v>31548.871748878923</v>
      </c>
      <c r="Q176" s="111">
        <f>IF(YEAR($CH$176)&gt;2018,($BI$4-$BC$4)*AI$176/($CH$176-$CG$176),0)</f>
        <v>55522.556053811662</v>
      </c>
      <c r="R176" s="573">
        <f>IF(YEAR($CH$176)&gt;2018,($BI$4-$BC$4)*AK$176/($CH$176-$CG$176),0)</f>
        <v>8328.3834080717497</v>
      </c>
      <c r="S176" s="573">
        <f>IF(YEAR($CH$176)&gt;2018,($BI$4-$BC$4)*AM$176/($CH$176-$CG$176),0)</f>
        <v>0</v>
      </c>
      <c r="T176" s="573">
        <f>IF(YEAR($CH$176)&gt;2018,($BI$4-$BC$4)*AO$176/($CH$176-$CG$176),0)</f>
        <v>0</v>
      </c>
      <c r="U176" s="573">
        <f>IF(YEAR($CH$176)&gt;2018,($BI$4-$BC$4)*AQ$176/($CH$176-$CG$176),0)</f>
        <v>0</v>
      </c>
      <c r="V176" s="572">
        <f>IF(YEAR($CH$176)&gt;2018,($BI$4-$BC$4)*AS$176/($CH$176-$CG$176),0)</f>
        <v>47194.008968609865</v>
      </c>
      <c r="W176" s="111">
        <f>IF(YEAR($CH$176)=2019,($CH$176-$BI$4)*AI$176/($CH$176-$CG$176),0)</f>
        <v>9126.9955156950673</v>
      </c>
      <c r="X176" s="573">
        <f>IF(YEAR($CH$176)=2019,($CH$176-$BI$4)*AK$176/($CH$176-$CG$176),0)</f>
        <v>1369.0493273542602</v>
      </c>
      <c r="Y176" s="573">
        <f>IF(YEAR($CH$176)=2019,($CH$176-$BI$4)*AM$176/($CH$176-$CG$176),0)</f>
        <v>0</v>
      </c>
      <c r="Z176" s="573">
        <f>IF(YEAR($CH$176)=2019,($CH$176-$BI$4)*AO$176/($CH$176-$CG$176),0)</f>
        <v>0</v>
      </c>
      <c r="AA176" s="573">
        <f>IF(YEAR($CH$176)=2019,($CH$176-$BI$4)*AQ$176/($CH$176-$CG$176),0)</f>
        <v>0</v>
      </c>
      <c r="AB176" s="111">
        <f>IF(YEAR($CH$176)=2019,($CH$176-$BI$4)*AS$176/($CH$176-$CG$176),0)</f>
        <v>7757.9192825112104</v>
      </c>
      <c r="AC176" s="111">
        <v>0</v>
      </c>
      <c r="AD176" s="571">
        <v>0</v>
      </c>
      <c r="AE176" s="571">
        <v>0</v>
      </c>
      <c r="AF176" s="571">
        <v>0</v>
      </c>
      <c r="AG176" s="571">
        <v>0</v>
      </c>
      <c r="AH176" s="111">
        <v>0</v>
      </c>
      <c r="AI176" s="1185">
        <f>SUM('3 pr-2'!L176)</f>
        <v>101766</v>
      </c>
      <c r="AJ176" s="805">
        <f t="shared" si="458"/>
        <v>101766</v>
      </c>
      <c r="AK176" s="389">
        <f>SUM('3 pr-2'!O176)</f>
        <v>15264.9</v>
      </c>
      <c r="AL176" s="805">
        <f t="shared" si="453"/>
        <v>9697.4327354260095</v>
      </c>
      <c r="AM176" s="389">
        <f>SUM('3 pr-2'!R176)</f>
        <v>0</v>
      </c>
      <c r="AN176" s="805"/>
      <c r="AO176" s="389">
        <f>SUM('3 pr-2'!U176)</f>
        <v>0</v>
      </c>
      <c r="AP176" s="805"/>
      <c r="AQ176" s="389">
        <f>SUM('3 pr-2'!X176)</f>
        <v>0</v>
      </c>
      <c r="AR176" s="805"/>
      <c r="AS176" s="433">
        <f>SUM('3 pr-2'!AA176)</f>
        <v>86500.800000000003</v>
      </c>
      <c r="AT176" s="805">
        <f t="shared" si="454"/>
        <v>54951.928251121077</v>
      </c>
      <c r="AU176" s="106"/>
      <c r="AV176" s="106"/>
      <c r="AW176" s="106"/>
      <c r="AX176" s="392"/>
      <c r="AY176" s="392"/>
      <c r="AZ176" s="392"/>
      <c r="BA176" s="392"/>
      <c r="BB176" s="106"/>
      <c r="BC176" s="134"/>
      <c r="BD176" s="395"/>
      <c r="BE176" s="395"/>
      <c r="BF176" s="395"/>
      <c r="BG176" s="395"/>
      <c r="BH176" s="134"/>
      <c r="BI176" s="134"/>
      <c r="BJ176" s="395"/>
      <c r="BK176" s="395"/>
      <c r="BL176" s="395"/>
      <c r="BM176" s="395"/>
      <c r="BN176" s="134"/>
      <c r="BO176" s="134"/>
      <c r="BP176" s="395"/>
      <c r="BQ176" s="395"/>
      <c r="BR176" s="395"/>
      <c r="BS176" s="395"/>
      <c r="BT176" s="134"/>
      <c r="BU176" s="134"/>
      <c r="BV176" s="395"/>
      <c r="BW176" s="395"/>
      <c r="BX176" s="395"/>
      <c r="BY176" s="395"/>
      <c r="BZ176" s="134"/>
      <c r="CA176" s="23"/>
      <c r="CB176" s="395"/>
      <c r="CC176" s="395"/>
      <c r="CD176" s="395"/>
      <c r="CE176" s="395"/>
      <c r="CF176" s="555"/>
      <c r="CG176" s="570">
        <v>42856</v>
      </c>
      <c r="CH176" s="570">
        <v>43525</v>
      </c>
      <c r="CI176" s="801">
        <f t="shared" si="455"/>
        <v>86500.800000000003</v>
      </c>
      <c r="CQ176" s="564">
        <f t="shared" si="459"/>
        <v>101766</v>
      </c>
      <c r="CR176" s="1515">
        <f t="shared" si="456"/>
        <v>86500.800000000003</v>
      </c>
    </row>
    <row r="177" spans="1:96" s="9" customFormat="1" ht="51.75" thickBot="1" x14ac:dyDescent="0.3">
      <c r="A177" s="91" t="str">
        <f>CONCATENATE('3 pr-2'!A177)</f>
        <v>3.1.2.1.4</v>
      </c>
      <c r="B177" s="47" t="str">
        <f>CONCATENATE('3 pr-2'!D177)</f>
        <v>Alytaus miesto bendrojo plano korektūra zonuojant kraštovaizdžio struktūrą, nustatant reglamentus ir principus</v>
      </c>
      <c r="C177" s="51">
        <v>0</v>
      </c>
      <c r="D177" s="51">
        <v>0</v>
      </c>
      <c r="E177" s="51">
        <v>0</v>
      </c>
      <c r="F177" s="389">
        <v>0</v>
      </c>
      <c r="G177" s="389">
        <v>0</v>
      </c>
      <c r="H177" s="389">
        <v>0</v>
      </c>
      <c r="I177" s="389">
        <v>0</v>
      </c>
      <c r="J177" s="51">
        <v>0</v>
      </c>
      <c r="K177" s="140">
        <f>IF(YEAR($CG$177)=2017,($BC$4-$CG$177)*AI$177/($CH$177-$CG$177),0)</f>
        <v>1105.5300546448088</v>
      </c>
      <c r="L177" s="405">
        <f>IF(YEAR($CG$177)=2017,($BC$4-$CG$177)*AK$177/($CH$177-$CG$177),0)</f>
        <v>165.82950819672132</v>
      </c>
      <c r="M177" s="405">
        <f>IF(YEAR($CG$177)=2017,($BC$4-$CG$177)*AM$177/($CH$177-$CG$177),0)</f>
        <v>0</v>
      </c>
      <c r="N177" s="405">
        <f>IF(YEAR($CG$177)=2017,($BC$4-$CG$177)*AO$177/($CH$177-$CG$177),0)</f>
        <v>0</v>
      </c>
      <c r="O177" s="405">
        <f>IF(YEAR($CG$177)=2017,($BC$4-$CG$177)*AQ$177/($CH$177-$CG$177),0)</f>
        <v>0</v>
      </c>
      <c r="P177" s="572">
        <f>IF(YEAR($CG$177)=2017,($BC$4-$CG$177)*AS$177/($CH$177-$CG$177),0)</f>
        <v>939.70054644808749</v>
      </c>
      <c r="Q177" s="111">
        <f>IF(YEAR($CH$177)&gt;2018,($BI$4-$BC$4)*AI$177/($CH$177-$CG$177),0)</f>
        <v>2654.7267759562842</v>
      </c>
      <c r="R177" s="573">
        <f>IF(YEAR($CH$177)&gt;2018,($BI$4-$BC$4)*AK$177/($CH$177-$CG$177),0)</f>
        <v>398.20901639344265</v>
      </c>
      <c r="S177" s="573">
        <f>IF(YEAR($CH$177)&gt;2018,($BI$4-$BC$4)*AM$177/($CH$177-$CG$177),0)</f>
        <v>0</v>
      </c>
      <c r="T177" s="573">
        <f>IF(YEAR($CH$177)&gt;2018,($BI$4-$BC$4)*AO$177/($CH$177-$CG$177),0)</f>
        <v>0</v>
      </c>
      <c r="U177" s="573">
        <f>IF(YEAR($CH$177)&gt;2018,($BI$4-$BC$4)*AQ$177/($CH$177-$CG$177),0)</f>
        <v>0</v>
      </c>
      <c r="V177" s="572">
        <f>IF(YEAR($CH$177)&gt;2018,($BI$4-$BC$4)*AS$177/($CH$177-$CG$177),0)</f>
        <v>2256.5177595628415</v>
      </c>
      <c r="W177" s="111">
        <f>IF(YEAR($CH$177)=2019,($CH$177-$BI$4)*AI$177/($CH$177-$CG$177),0)</f>
        <v>232.7431693989071</v>
      </c>
      <c r="X177" s="573">
        <f>IF(YEAR($CH$177)=2019,($CH$177-$BI$4)*AK$177/($CH$177-$CG$177),0)</f>
        <v>34.911475409836065</v>
      </c>
      <c r="Y177" s="573">
        <f>IF(YEAR($CH$177)=2019,($CH$177-$BI$4)*AM$177/($CH$177-$CG$177),0)</f>
        <v>0</v>
      </c>
      <c r="Z177" s="573">
        <f>IF(YEAR($CH$177)=2019,($CH$177-$BI$4)*AO$177/($CH$177-$CG$177),0)</f>
        <v>0</v>
      </c>
      <c r="AA177" s="573">
        <f>IF(YEAR($CH$177)=2019,($CH$177-$BI$4)*AQ$177/($CH$177-$CG$177),0)</f>
        <v>0</v>
      </c>
      <c r="AB177" s="111">
        <f>IF(YEAR($CH$177)=2019,($CH$177-$BI$4)*AS$177/($CH$177-$CG$177),0)</f>
        <v>197.83169398907106</v>
      </c>
      <c r="AC177" s="111">
        <v>0</v>
      </c>
      <c r="AD177" s="571">
        <v>0</v>
      </c>
      <c r="AE177" s="571">
        <v>0</v>
      </c>
      <c r="AF177" s="571">
        <v>0</v>
      </c>
      <c r="AG177" s="571">
        <v>0</v>
      </c>
      <c r="AH177" s="111">
        <v>0</v>
      </c>
      <c r="AI177" s="1185">
        <f>SUM('3 pr-2'!L177)</f>
        <v>3993</v>
      </c>
      <c r="AJ177" s="805">
        <f t="shared" si="458"/>
        <v>3993</v>
      </c>
      <c r="AK177" s="389">
        <f>SUM('3 pr-2'!O177)</f>
        <v>598.95000000000005</v>
      </c>
      <c r="AL177" s="805">
        <f t="shared" si="453"/>
        <v>433.1204918032787</v>
      </c>
      <c r="AM177" s="389">
        <f>SUM('3 pr-2'!R177)</f>
        <v>0</v>
      </c>
      <c r="AN177" s="805"/>
      <c r="AO177" s="389">
        <f>SUM('3 pr-2'!U177)</f>
        <v>0</v>
      </c>
      <c r="AP177" s="805"/>
      <c r="AQ177" s="389">
        <f>SUM('3 pr-2'!X177)</f>
        <v>0</v>
      </c>
      <c r="AR177" s="805"/>
      <c r="AS177" s="433">
        <f>SUM('3 pr-2'!AA177)</f>
        <v>3394.05</v>
      </c>
      <c r="AT177" s="805">
        <f t="shared" si="454"/>
        <v>2454.3494535519126</v>
      </c>
      <c r="AU177" s="106"/>
      <c r="AV177" s="106"/>
      <c r="AW177" s="106"/>
      <c r="AX177" s="392"/>
      <c r="AY177" s="392"/>
      <c r="AZ177" s="392"/>
      <c r="BA177" s="392"/>
      <c r="BB177" s="106"/>
      <c r="BC177" s="134"/>
      <c r="BD177" s="395"/>
      <c r="BE177" s="395"/>
      <c r="BF177" s="395"/>
      <c r="BG177" s="395"/>
      <c r="BH177" s="134"/>
      <c r="BI177" s="134"/>
      <c r="BJ177" s="395"/>
      <c r="BK177" s="395"/>
      <c r="BL177" s="395"/>
      <c r="BM177" s="395"/>
      <c r="BN177" s="134"/>
      <c r="BO177" s="134"/>
      <c r="BP177" s="395"/>
      <c r="BQ177" s="395"/>
      <c r="BR177" s="395"/>
      <c r="BS177" s="395"/>
      <c r="BT177" s="134"/>
      <c r="BU177" s="134"/>
      <c r="BV177" s="395"/>
      <c r="BW177" s="395"/>
      <c r="BX177" s="395"/>
      <c r="BY177" s="395"/>
      <c r="BZ177" s="134"/>
      <c r="CA177" s="23"/>
      <c r="CB177" s="395"/>
      <c r="CC177" s="395"/>
      <c r="CD177" s="395"/>
      <c r="CE177" s="395"/>
      <c r="CF177" s="555"/>
      <c r="CG177" s="570">
        <v>42948</v>
      </c>
      <c r="CH177" s="570">
        <v>43497</v>
      </c>
      <c r="CI177" s="801">
        <f t="shared" si="455"/>
        <v>3394.05</v>
      </c>
      <c r="CQ177" s="564">
        <f t="shared" si="459"/>
        <v>3993</v>
      </c>
      <c r="CR177" s="1515">
        <f t="shared" si="456"/>
        <v>3394.05</v>
      </c>
    </row>
    <row r="178" spans="1:96" s="9" customFormat="1" ht="39" thickBot="1" x14ac:dyDescent="0.3">
      <c r="A178" s="91" t="str">
        <f>CONCATENATE('3 pr-2'!A178)</f>
        <v>3.1.2.1.5</v>
      </c>
      <c r="B178" s="47" t="str">
        <f>CONCATENATE('3 pr-2'!D178)</f>
        <v>Bešeimininkių apleistų pastatų Druskininkų savivaldybės teritorijoje likvidavimas</v>
      </c>
      <c r="C178" s="51">
        <v>0</v>
      </c>
      <c r="D178" s="51">
        <v>0</v>
      </c>
      <c r="E178" s="51">
        <v>0</v>
      </c>
      <c r="F178" s="389">
        <v>0</v>
      </c>
      <c r="G178" s="389">
        <v>0</v>
      </c>
      <c r="H178" s="389">
        <v>0</v>
      </c>
      <c r="I178" s="389">
        <v>0</v>
      </c>
      <c r="J178" s="51">
        <v>0</v>
      </c>
      <c r="K178" s="453">
        <f>SUM('ketv. 7 lent'!K175-'IV-1 su proj'!E178)</f>
        <v>37893.879999999997</v>
      </c>
      <c r="L178" s="423">
        <f>SUM('ketv. 7 lent'!N175-'IV-1 su proj'!F178)</f>
        <v>1049.96</v>
      </c>
      <c r="M178" s="423">
        <v>0</v>
      </c>
      <c r="N178" s="423">
        <v>0</v>
      </c>
      <c r="O178" s="423">
        <v>0</v>
      </c>
      <c r="P178" s="453">
        <f>SUM('ketv. 7 lent'!Z175-'IV-1 su proj'!J178)</f>
        <v>36843.919999999998</v>
      </c>
      <c r="Q178" s="453">
        <f>SUM(R178:V178)</f>
        <v>76548.563098236787</v>
      </c>
      <c r="R178" s="423">
        <f>IF(YEAR($CG178)=2017,($BI$4-$BC$4)*$AL178/($CH178-$BC$4))</f>
        <v>15742.872921914357</v>
      </c>
      <c r="S178" s="405">
        <v>0</v>
      </c>
      <c r="T178" s="405">
        <v>0</v>
      </c>
      <c r="U178" s="405">
        <v>0</v>
      </c>
      <c r="V178" s="453">
        <f>IF(YEAR($CG178)=2017,($BI$4-$BC$4)*$AT178/($CH178-$BC$4))</f>
        <v>60805.69017632243</v>
      </c>
      <c r="W178" s="453">
        <f>SUM(X178:AB178)</f>
        <v>6711.1069017632253</v>
      </c>
      <c r="X178" s="423">
        <f>IF(YEAR($CH178)=2019,($CH178-$BI$4)*$AL178/($CH178-$BC$4),0)</f>
        <v>1380.1970780856423</v>
      </c>
      <c r="Y178" s="405">
        <v>0</v>
      </c>
      <c r="Z178" s="405">
        <v>0</v>
      </c>
      <c r="AA178" s="405">
        <v>0</v>
      </c>
      <c r="AB178" s="453">
        <f>IF(YEAR($CH178)=2019,($CH178-$BI$4)*$AT178/($CH178-$BC$4),0)</f>
        <v>5330.9098236775826</v>
      </c>
      <c r="AC178" s="111">
        <v>0</v>
      </c>
      <c r="AD178" s="571">
        <v>0</v>
      </c>
      <c r="AE178" s="571">
        <v>0</v>
      </c>
      <c r="AF178" s="571">
        <v>0</v>
      </c>
      <c r="AG178" s="571">
        <v>0</v>
      </c>
      <c r="AH178" s="111">
        <v>0</v>
      </c>
      <c r="AI178" s="1185">
        <f>SUM('3 pr-2'!L178)</f>
        <v>121153.55</v>
      </c>
      <c r="AJ178" s="805">
        <f t="shared" si="458"/>
        <v>121153.55</v>
      </c>
      <c r="AK178" s="389">
        <f>SUM('3 pr-2'!O178)</f>
        <v>18173.03</v>
      </c>
      <c r="AL178" s="805">
        <f t="shared" si="453"/>
        <v>17123.07</v>
      </c>
      <c r="AM178" s="389">
        <f>SUM('3 pr-2'!R178)</f>
        <v>0</v>
      </c>
      <c r="AN178" s="805"/>
      <c r="AO178" s="389">
        <f>SUM('3 pr-2'!U178)</f>
        <v>0</v>
      </c>
      <c r="AP178" s="805"/>
      <c r="AQ178" s="389">
        <f>SUM('3 pr-2'!X178)</f>
        <v>0</v>
      </c>
      <c r="AR178" s="805"/>
      <c r="AS178" s="433">
        <f>SUM('3 pr-2'!AA178)</f>
        <v>102980.52</v>
      </c>
      <c r="AT178" s="805">
        <f t="shared" si="454"/>
        <v>66136.600000000006</v>
      </c>
      <c r="AU178" s="106"/>
      <c r="AV178" s="106"/>
      <c r="AW178" s="106"/>
      <c r="AX178" s="392"/>
      <c r="AY178" s="392"/>
      <c r="AZ178" s="392"/>
      <c r="BA178" s="392"/>
      <c r="BB178" s="106"/>
      <c r="BC178" s="134"/>
      <c r="BD178" s="395"/>
      <c r="BE178" s="395"/>
      <c r="BF178" s="395"/>
      <c r="BG178" s="395"/>
      <c r="BH178" s="134"/>
      <c r="BI178" s="134"/>
      <c r="BJ178" s="395"/>
      <c r="BK178" s="395"/>
      <c r="BL178" s="395"/>
      <c r="BM178" s="395"/>
      <c r="BN178" s="134"/>
      <c r="BO178" s="134"/>
      <c r="BP178" s="395"/>
      <c r="BQ178" s="395"/>
      <c r="BR178" s="395"/>
      <c r="BS178" s="395"/>
      <c r="BT178" s="134"/>
      <c r="BU178" s="134"/>
      <c r="BV178" s="395"/>
      <c r="BW178" s="395"/>
      <c r="BX178" s="395"/>
      <c r="BY178" s="395"/>
      <c r="BZ178" s="134"/>
      <c r="CA178" s="23"/>
      <c r="CB178" s="395"/>
      <c r="CC178" s="395"/>
      <c r="CD178" s="395"/>
      <c r="CE178" s="395"/>
      <c r="CF178" s="555"/>
      <c r="CG178" s="570">
        <v>42948</v>
      </c>
      <c r="CH178" s="570">
        <v>43497</v>
      </c>
      <c r="CI178" s="801">
        <f t="shared" si="455"/>
        <v>102980.52000000002</v>
      </c>
      <c r="CQ178" s="1517">
        <f t="shared" si="459"/>
        <v>121153.55</v>
      </c>
      <c r="CR178" s="1515">
        <f t="shared" si="456"/>
        <v>102980.52000000002</v>
      </c>
    </row>
    <row r="179" spans="1:96" s="9" customFormat="1" ht="34.5" customHeight="1" thickBot="1" x14ac:dyDescent="0.3">
      <c r="A179" s="91" t="str">
        <f>CONCATENATE('3 pr-2'!A179)</f>
        <v>3.1.2.1.6</v>
      </c>
      <c r="B179" s="47" t="str">
        <f>CONCATENATE('3 pr-2'!D179)</f>
        <v>Kraštovaizdžio formavimas Lazdijų rajono savivaldybėje</v>
      </c>
      <c r="C179" s="51">
        <v>0</v>
      </c>
      <c r="D179" s="51">
        <v>0</v>
      </c>
      <c r="E179" s="51">
        <v>0</v>
      </c>
      <c r="F179" s="389">
        <v>0</v>
      </c>
      <c r="G179" s="389">
        <v>0</v>
      </c>
      <c r="H179" s="389">
        <v>0</v>
      </c>
      <c r="I179" s="389">
        <v>0</v>
      </c>
      <c r="J179" s="51">
        <v>0</v>
      </c>
      <c r="K179" s="453">
        <f>SUM('ketv. 7 lent'!K176-'IV-1 su proj'!E179)</f>
        <v>115557.4</v>
      </c>
      <c r="L179" s="423">
        <f>SUM('ketv. 7 lent'!N176-'IV-1 su proj'!F179)</f>
        <v>533.61</v>
      </c>
      <c r="M179" s="423">
        <v>0</v>
      </c>
      <c r="N179" s="423">
        <v>0</v>
      </c>
      <c r="O179" s="423">
        <v>0</v>
      </c>
      <c r="P179" s="453">
        <f>SUM('ketv. 7 lent'!Z176-'IV-1 su proj'!J179)</f>
        <v>115023.79</v>
      </c>
      <c r="Q179" s="453">
        <f>SUM(R179:V179)</f>
        <v>230678.01615087042</v>
      </c>
      <c r="R179" s="423">
        <f>IF(YEAR($CG179)=2017,($BI$4-$BC$4)*$AL179/($CH179-$BC$4))</f>
        <v>46462.431431334626</v>
      </c>
      <c r="S179" s="405">
        <v>0</v>
      </c>
      <c r="T179" s="405">
        <v>0</v>
      </c>
      <c r="U179" s="405">
        <v>0</v>
      </c>
      <c r="V179" s="453">
        <f>IF(YEAR($CG179)=2017,($BI$4-$BC$4)*$AT179/($CH179-$BC$4))</f>
        <v>184215.58471953581</v>
      </c>
      <c r="W179" s="453">
        <f>SUM(X179:AB179)</f>
        <v>96063.173849129598</v>
      </c>
      <c r="X179" s="423">
        <f>IF(YEAR($CH179)=2019,($CH179-$BI$4)*$AL179/($CH179-$BC$4),0)</f>
        <v>19348.738568665376</v>
      </c>
      <c r="Y179" s="405">
        <v>0</v>
      </c>
      <c r="Z179" s="405">
        <v>0</v>
      </c>
      <c r="AA179" s="405">
        <v>0</v>
      </c>
      <c r="AB179" s="453">
        <f>IF(YEAR($CH179)=2019,($CH179-$BI$4)*$AT179/($CH179-$BC$4),0)</f>
        <v>76714.435280464226</v>
      </c>
      <c r="AC179" s="111">
        <v>0</v>
      </c>
      <c r="AD179" s="571">
        <v>0</v>
      </c>
      <c r="AE179" s="571">
        <v>0</v>
      </c>
      <c r="AF179" s="571">
        <v>0</v>
      </c>
      <c r="AG179" s="571">
        <v>0</v>
      </c>
      <c r="AH179" s="111">
        <v>0</v>
      </c>
      <c r="AI179" s="1185">
        <f>SUM('3 pr-2'!L179)</f>
        <v>442298.58999999997</v>
      </c>
      <c r="AJ179" s="805">
        <f t="shared" si="458"/>
        <v>442298.58999999997</v>
      </c>
      <c r="AK179" s="389">
        <f>SUM('3 pr-2'!O179)</f>
        <v>66344.78</v>
      </c>
      <c r="AL179" s="805">
        <f t="shared" si="453"/>
        <v>65811.17</v>
      </c>
      <c r="AM179" s="389">
        <f>SUM('3 pr-2'!R179)</f>
        <v>0</v>
      </c>
      <c r="AN179" s="805"/>
      <c r="AO179" s="389">
        <f>SUM('3 pr-2'!U179)</f>
        <v>0</v>
      </c>
      <c r="AP179" s="805"/>
      <c r="AQ179" s="389">
        <f>SUM('3 pr-2'!X179)</f>
        <v>0</v>
      </c>
      <c r="AR179" s="805"/>
      <c r="AS179" s="433">
        <f>SUM('3 pr-2'!AA179)</f>
        <v>375953.81</v>
      </c>
      <c r="AT179" s="805">
        <f t="shared" si="454"/>
        <v>260930.02000000002</v>
      </c>
      <c r="AU179" s="106"/>
      <c r="AV179" s="106"/>
      <c r="AW179" s="106"/>
      <c r="AX179" s="392"/>
      <c r="AY179" s="392"/>
      <c r="AZ179" s="392"/>
      <c r="BA179" s="392"/>
      <c r="BB179" s="106"/>
      <c r="BC179" s="134"/>
      <c r="BD179" s="395"/>
      <c r="BE179" s="395"/>
      <c r="BF179" s="395"/>
      <c r="BG179" s="395"/>
      <c r="BH179" s="134"/>
      <c r="BI179" s="134"/>
      <c r="BJ179" s="395"/>
      <c r="BK179" s="395"/>
      <c r="BL179" s="395"/>
      <c r="BM179" s="395"/>
      <c r="BN179" s="134"/>
      <c r="BO179" s="134"/>
      <c r="BP179" s="395"/>
      <c r="BQ179" s="395"/>
      <c r="BR179" s="395"/>
      <c r="BS179" s="395"/>
      <c r="BT179" s="134"/>
      <c r="BU179" s="134"/>
      <c r="BV179" s="395"/>
      <c r="BW179" s="395"/>
      <c r="BX179" s="395"/>
      <c r="BY179" s="395"/>
      <c r="BZ179" s="134"/>
      <c r="CA179" s="23"/>
      <c r="CB179" s="395"/>
      <c r="CC179" s="395"/>
      <c r="CD179" s="395"/>
      <c r="CE179" s="395"/>
      <c r="CF179" s="555"/>
      <c r="CG179" s="570">
        <v>42887</v>
      </c>
      <c r="CH179" s="570">
        <v>43617</v>
      </c>
      <c r="CI179" s="801">
        <f t="shared" si="455"/>
        <v>375953.81000000006</v>
      </c>
      <c r="CQ179" s="1517">
        <f t="shared" si="459"/>
        <v>442298.58999999997</v>
      </c>
      <c r="CR179" s="1515">
        <f t="shared" si="456"/>
        <v>375953.81000000006</v>
      </c>
    </row>
    <row r="180" spans="1:96" s="9" customFormat="1" ht="26.25" thickBot="1" x14ac:dyDescent="0.3">
      <c r="A180" s="91" t="str">
        <f>CONCATENATE('3 pr-2'!A180)</f>
        <v>3.1.2.1.7</v>
      </c>
      <c r="B180" s="47" t="str">
        <f>CONCATENATE('3 pr-2'!D180)</f>
        <v>Kraštovaizdžio formavimas Lazdijų rajono savivaldybėje (II etapas)</v>
      </c>
      <c r="C180" s="51">
        <f>SUM(AI180*AU180/CA180)</f>
        <v>0</v>
      </c>
      <c r="D180" s="51">
        <f t="shared" ref="D180:D181" si="460">SUM(AS180*AV180/CF180)</f>
        <v>0</v>
      </c>
      <c r="E180" s="51">
        <f>SUM(AI180*AW180/CA180)</f>
        <v>0</v>
      </c>
      <c r="F180" s="389">
        <v>0</v>
      </c>
      <c r="G180" s="389">
        <v>0</v>
      </c>
      <c r="H180" s="389">
        <v>0</v>
      </c>
      <c r="I180" s="389">
        <v>0</v>
      </c>
      <c r="J180" s="51">
        <v>0</v>
      </c>
      <c r="K180" s="451">
        <f>SUM(AI180*BC180/CA180)</f>
        <v>0</v>
      </c>
      <c r="L180" s="405">
        <f t="shared" ref="L180:L181" si="461">SUM(AK180*BD180/CB180)</f>
        <v>0</v>
      </c>
      <c r="M180" s="405">
        <f t="shared" ref="M180:M181" si="462">SUM(AM180*BE180/CC180)</f>
        <v>0</v>
      </c>
      <c r="N180" s="405">
        <f t="shared" ref="N180:N181" si="463">SUM(AO180*BF180/CD180)</f>
        <v>0</v>
      </c>
      <c r="O180" s="405">
        <f t="shared" ref="O180:O181" si="464">SUM(AQ180*BG180/CE180)</f>
        <v>0</v>
      </c>
      <c r="P180" s="451">
        <f t="shared" ref="P180:P181" si="465">SUM(AS180*BH180/CF180)</f>
        <v>0</v>
      </c>
      <c r="Q180" s="450">
        <f>SUM(AI180*BI180/CA180)</f>
        <v>0</v>
      </c>
      <c r="R180" s="418">
        <f t="shared" ref="R180:R181" si="466">SUM(AK180*BJ180/CB180)</f>
        <v>0</v>
      </c>
      <c r="S180" s="418">
        <f t="shared" ref="S180:S181" si="467">SUM(AM180*BK180/CC180)</f>
        <v>0</v>
      </c>
      <c r="T180" s="418">
        <f t="shared" ref="T180:T181" si="468">SUM(AO180*BL180/CD180)</f>
        <v>0</v>
      </c>
      <c r="U180" s="418">
        <f t="shared" ref="U180:U181" si="469">SUM(AQ180*BM180/CE180)</f>
        <v>0</v>
      </c>
      <c r="V180" s="451">
        <f t="shared" ref="V180:V181" si="470">SUM(AS180*BN180/CF180)</f>
        <v>0</v>
      </c>
      <c r="W180" s="450">
        <f>SUM(AI180*BO180/CA180)</f>
        <v>29958.444</v>
      </c>
      <c r="X180" s="418">
        <f t="shared" ref="X180:X181" si="471">SUM(AK180*BP180/CB180)</f>
        <v>4493.7660000000005</v>
      </c>
      <c r="Y180" s="418">
        <f t="shared" ref="Y180:Y181" si="472">SUM(AM180*BQ180/CC180)</f>
        <v>0</v>
      </c>
      <c r="Z180" s="418">
        <f t="shared" ref="Z180:Z181" si="473">SUM(AO180*BR180/CD180)</f>
        <v>0</v>
      </c>
      <c r="AA180" s="418">
        <f t="shared" ref="AA180:AA181" si="474">SUM(AQ180*BS180/CE180)</f>
        <v>0</v>
      </c>
      <c r="AB180" s="111">
        <f t="shared" ref="AB180:AB181" si="475">SUM(AS180*BT180/CF180)</f>
        <v>25464.678</v>
      </c>
      <c r="AC180" s="111">
        <f>SUM(AI180*BU180/CA180)</f>
        <v>119833.776</v>
      </c>
      <c r="AD180" s="571">
        <f t="shared" ref="AD180:AD181" si="476">SUM(AK180*BV180/CB180)</f>
        <v>17975.064000000002</v>
      </c>
      <c r="AE180" s="571">
        <f t="shared" ref="AE180:AE181" si="477">SUM(AM180*BW180/CC180)</f>
        <v>0</v>
      </c>
      <c r="AF180" s="571">
        <f t="shared" ref="AF180:AF181" si="478">SUM(AO180*BX180/CD180)</f>
        <v>0</v>
      </c>
      <c r="AG180" s="571">
        <f t="shared" ref="AG180:AG181" si="479">SUM(AQ180*BY180/CE180)</f>
        <v>0</v>
      </c>
      <c r="AH180" s="111">
        <f t="shared" ref="AH180:AH181" si="480">SUM(AS180*BZ180/CF180)</f>
        <v>101858.712</v>
      </c>
      <c r="AI180" s="1185">
        <f>SUM('3 pr-2'!L180)</f>
        <v>149792.22</v>
      </c>
      <c r="AJ180" s="805">
        <f t="shared" si="458"/>
        <v>149792.22</v>
      </c>
      <c r="AK180" s="389">
        <f>SUM('3 pr-2'!O180)</f>
        <v>22468.83</v>
      </c>
      <c r="AL180" s="805">
        <f t="shared" si="453"/>
        <v>22468.83</v>
      </c>
      <c r="AM180" s="389">
        <f>SUM('3 pr-2'!R180)</f>
        <v>0</v>
      </c>
      <c r="AN180" s="805"/>
      <c r="AO180" s="389">
        <f>SUM('3 pr-2'!U180)</f>
        <v>0</v>
      </c>
      <c r="AP180" s="805"/>
      <c r="AQ180" s="389">
        <f>SUM('3 pr-2'!X180)</f>
        <v>0</v>
      </c>
      <c r="AR180" s="805"/>
      <c r="AS180" s="433">
        <f>SUM('3 pr-2'!AA180)</f>
        <v>127323.39</v>
      </c>
      <c r="AT180" s="805">
        <f t="shared" si="454"/>
        <v>127323.39</v>
      </c>
      <c r="AU180" s="106">
        <v>0</v>
      </c>
      <c r="AV180" s="106">
        <v>0</v>
      </c>
      <c r="AW180" s="106">
        <v>0</v>
      </c>
      <c r="AX180" s="392">
        <v>0</v>
      </c>
      <c r="AY180" s="392">
        <v>0</v>
      </c>
      <c r="AZ180" s="392">
        <v>0</v>
      </c>
      <c r="BA180" s="392">
        <v>0</v>
      </c>
      <c r="BB180" s="106">
        <v>0</v>
      </c>
      <c r="BC180" s="223">
        <v>0</v>
      </c>
      <c r="BD180" s="395">
        <v>0</v>
      </c>
      <c r="BE180" s="395">
        <v>0</v>
      </c>
      <c r="BF180" s="395">
        <v>0</v>
      </c>
      <c r="BG180" s="395">
        <v>0</v>
      </c>
      <c r="BH180" s="223">
        <v>0</v>
      </c>
      <c r="BI180" s="106">
        <v>0</v>
      </c>
      <c r="BJ180" s="392">
        <v>0</v>
      </c>
      <c r="BK180" s="392">
        <v>0</v>
      </c>
      <c r="BL180" s="392">
        <v>0</v>
      </c>
      <c r="BM180" s="392">
        <v>0</v>
      </c>
      <c r="BN180" s="106">
        <v>0</v>
      </c>
      <c r="BO180" s="223">
        <v>20</v>
      </c>
      <c r="BP180" s="395">
        <v>20</v>
      </c>
      <c r="BQ180" s="395">
        <v>20</v>
      </c>
      <c r="BR180" s="395">
        <v>20</v>
      </c>
      <c r="BS180" s="395">
        <v>20</v>
      </c>
      <c r="BT180" s="223">
        <v>20</v>
      </c>
      <c r="BU180" s="223">
        <v>80</v>
      </c>
      <c r="BV180" s="395">
        <v>80</v>
      </c>
      <c r="BW180" s="395">
        <v>80</v>
      </c>
      <c r="BX180" s="395">
        <v>80</v>
      </c>
      <c r="BY180" s="395">
        <v>80</v>
      </c>
      <c r="BZ180" s="223">
        <v>80</v>
      </c>
      <c r="CA180" s="23">
        <v>100</v>
      </c>
      <c r="CB180" s="395">
        <v>100</v>
      </c>
      <c r="CC180" s="395">
        <v>100</v>
      </c>
      <c r="CD180" s="395">
        <v>100</v>
      </c>
      <c r="CE180" s="395">
        <v>100</v>
      </c>
      <c r="CF180" s="555">
        <v>100</v>
      </c>
      <c r="CG180" s="570"/>
      <c r="CH180" s="570"/>
      <c r="CQ180" s="564">
        <f t="shared" si="459"/>
        <v>149792.22</v>
      </c>
      <c r="CR180" s="1516"/>
    </row>
    <row r="181" spans="1:96" s="9" customFormat="1" ht="39" thickBot="1" x14ac:dyDescent="0.3">
      <c r="A181" s="91" t="str">
        <f>CONCATENATE('3 pr-2'!A181)</f>
        <v>3.1.2.1.8</v>
      </c>
      <c r="B181" s="47" t="str">
        <f>CONCATENATE('3 pr-2'!D181)</f>
        <v>Bešeimininkių apleistų pastatų ir įrenginių tvarkymas Alytaus rajono savivaldybėje (II etapas)</v>
      </c>
      <c r="C181" s="51">
        <f>SUM(AI181*AU181/CA181)</f>
        <v>0</v>
      </c>
      <c r="D181" s="51">
        <f t="shared" si="460"/>
        <v>0</v>
      </c>
      <c r="E181" s="51">
        <f>SUM(AI181*AW181/CA181)</f>
        <v>0</v>
      </c>
      <c r="F181" s="389">
        <v>0</v>
      </c>
      <c r="G181" s="389">
        <v>0</v>
      </c>
      <c r="H181" s="389">
        <v>0</v>
      </c>
      <c r="I181" s="389">
        <v>0</v>
      </c>
      <c r="J181" s="51">
        <v>0</v>
      </c>
      <c r="K181" s="451">
        <f>SUM(AI181*BC181/CA181)</f>
        <v>0</v>
      </c>
      <c r="L181" s="405">
        <f t="shared" si="461"/>
        <v>0</v>
      </c>
      <c r="M181" s="405">
        <f t="shared" si="462"/>
        <v>0</v>
      </c>
      <c r="N181" s="405">
        <f t="shared" si="463"/>
        <v>0</v>
      </c>
      <c r="O181" s="405">
        <f t="shared" si="464"/>
        <v>0</v>
      </c>
      <c r="P181" s="451">
        <f t="shared" si="465"/>
        <v>0</v>
      </c>
      <c r="Q181" s="450">
        <f>SUM(AI181*BI181/CA181)</f>
        <v>0</v>
      </c>
      <c r="R181" s="418">
        <f t="shared" si="466"/>
        <v>0</v>
      </c>
      <c r="S181" s="418">
        <f t="shared" si="467"/>
        <v>0</v>
      </c>
      <c r="T181" s="418">
        <f t="shared" si="468"/>
        <v>0</v>
      </c>
      <c r="U181" s="418">
        <f t="shared" si="469"/>
        <v>0</v>
      </c>
      <c r="V181" s="451">
        <f t="shared" si="470"/>
        <v>0</v>
      </c>
      <c r="W181" s="450">
        <f>SUM(AI181*BO181/CA181)</f>
        <v>736537.64705882361</v>
      </c>
      <c r="X181" s="418">
        <f t="shared" si="471"/>
        <v>110480.64705882352</v>
      </c>
      <c r="Y181" s="418">
        <f t="shared" si="472"/>
        <v>0</v>
      </c>
      <c r="Z181" s="418">
        <f t="shared" si="473"/>
        <v>0</v>
      </c>
      <c r="AA181" s="418">
        <f t="shared" si="474"/>
        <v>0</v>
      </c>
      <c r="AB181" s="111">
        <f t="shared" si="475"/>
        <v>626057</v>
      </c>
      <c r="AC181" s="111">
        <f>SUM(AI181*BU181/CA181)</f>
        <v>0</v>
      </c>
      <c r="AD181" s="571">
        <f t="shared" si="476"/>
        <v>0</v>
      </c>
      <c r="AE181" s="571">
        <f t="shared" si="477"/>
        <v>0</v>
      </c>
      <c r="AF181" s="571">
        <f t="shared" si="478"/>
        <v>0</v>
      </c>
      <c r="AG181" s="571">
        <f t="shared" si="479"/>
        <v>0</v>
      </c>
      <c r="AH181" s="111">
        <f t="shared" si="480"/>
        <v>0</v>
      </c>
      <c r="AI181" s="1185">
        <f>SUM('3 pr-2'!L181)</f>
        <v>736537.6470588235</v>
      </c>
      <c r="AJ181" s="805">
        <f t="shared" si="458"/>
        <v>736537.6470588235</v>
      </c>
      <c r="AK181" s="389">
        <f>SUM('3 pr-2'!O181)</f>
        <v>110480.64705882352</v>
      </c>
      <c r="AL181" s="805">
        <f t="shared" si="453"/>
        <v>110480.64705882352</v>
      </c>
      <c r="AM181" s="389">
        <f>SUM('3 pr-2'!R181)</f>
        <v>0</v>
      </c>
      <c r="AN181" s="805"/>
      <c r="AO181" s="389">
        <f>SUM('3 pr-2'!U181)</f>
        <v>0</v>
      </c>
      <c r="AP181" s="805"/>
      <c r="AQ181" s="389">
        <f>SUM('3 pr-2'!X181)</f>
        <v>0</v>
      </c>
      <c r="AR181" s="805"/>
      <c r="AS181" s="433">
        <f>SUM('3 pr-2'!AA181)</f>
        <v>626057</v>
      </c>
      <c r="AT181" s="805">
        <f t="shared" si="454"/>
        <v>626057</v>
      </c>
      <c r="AU181" s="106">
        <v>0</v>
      </c>
      <c r="AV181" s="106">
        <v>0</v>
      </c>
      <c r="AW181" s="106">
        <v>0</v>
      </c>
      <c r="AX181" s="392">
        <v>0</v>
      </c>
      <c r="AY181" s="392">
        <v>0</v>
      </c>
      <c r="AZ181" s="392">
        <v>0</v>
      </c>
      <c r="BA181" s="392">
        <v>0</v>
      </c>
      <c r="BB181" s="106">
        <v>0</v>
      </c>
      <c r="BC181" s="134">
        <v>0</v>
      </c>
      <c r="BD181" s="395">
        <v>0</v>
      </c>
      <c r="BE181" s="395">
        <v>0</v>
      </c>
      <c r="BF181" s="395">
        <v>0</v>
      </c>
      <c r="BG181" s="395">
        <v>0</v>
      </c>
      <c r="BH181" s="134">
        <v>0</v>
      </c>
      <c r="BI181" s="134">
        <v>0</v>
      </c>
      <c r="BJ181" s="395">
        <v>0</v>
      </c>
      <c r="BK181" s="395">
        <v>0</v>
      </c>
      <c r="BL181" s="395">
        <v>0</v>
      </c>
      <c r="BM181" s="395">
        <v>0</v>
      </c>
      <c r="BN181" s="134">
        <v>0</v>
      </c>
      <c r="BO181" s="134">
        <v>100</v>
      </c>
      <c r="BP181" s="395">
        <v>100</v>
      </c>
      <c r="BQ181" s="395">
        <v>100</v>
      </c>
      <c r="BR181" s="395">
        <v>100</v>
      </c>
      <c r="BS181" s="395">
        <v>100</v>
      </c>
      <c r="BT181" s="134">
        <v>100</v>
      </c>
      <c r="BU181" s="134">
        <v>0</v>
      </c>
      <c r="BV181" s="395">
        <v>0</v>
      </c>
      <c r="BW181" s="395">
        <v>0</v>
      </c>
      <c r="BX181" s="395">
        <v>0</v>
      </c>
      <c r="BY181" s="395">
        <v>0</v>
      </c>
      <c r="BZ181" s="134">
        <v>0</v>
      </c>
      <c r="CA181" s="23">
        <v>100</v>
      </c>
      <c r="CB181" s="395">
        <v>100</v>
      </c>
      <c r="CC181" s="395">
        <v>100</v>
      </c>
      <c r="CD181" s="395">
        <v>100</v>
      </c>
      <c r="CE181" s="395">
        <v>100</v>
      </c>
      <c r="CF181" s="555">
        <v>100</v>
      </c>
      <c r="CG181" s="569"/>
      <c r="CH181" s="570"/>
      <c r="CQ181" s="564">
        <f t="shared" si="459"/>
        <v>736537.64705882361</v>
      </c>
      <c r="CR181" s="1515">
        <f>SUM(J181+P181+V181+AB181+AH181)</f>
        <v>626057</v>
      </c>
    </row>
    <row r="182" spans="1:96" s="9" customFormat="1" ht="39" thickBot="1" x14ac:dyDescent="0.3">
      <c r="A182" s="1513" t="str">
        <f>CONCATENATE('3 pr-2'!A182)</f>
        <v>3.1.2.1.9</v>
      </c>
      <c r="B182" s="1514" t="str">
        <f>CONCATENATE('3 pr-2'!D182)</f>
        <v>Etaloninio kraštovaizdžio formavimas Druskininkų savivaldybės pasienyje</v>
      </c>
      <c r="C182" s="111">
        <v>0</v>
      </c>
      <c r="D182" s="111">
        <v>0</v>
      </c>
      <c r="E182" s="111">
        <v>0</v>
      </c>
      <c r="F182" s="389">
        <v>0</v>
      </c>
      <c r="G182" s="389">
        <v>0</v>
      </c>
      <c r="H182" s="389">
        <v>0</v>
      </c>
      <c r="I182" s="389">
        <v>0</v>
      </c>
      <c r="J182" s="111">
        <v>0</v>
      </c>
      <c r="K182" s="572">
        <v>0</v>
      </c>
      <c r="L182" s="405">
        <v>0</v>
      </c>
      <c r="M182" s="405">
        <v>0</v>
      </c>
      <c r="N182" s="405">
        <v>0</v>
      </c>
      <c r="O182" s="405">
        <v>0</v>
      </c>
      <c r="P182" s="572">
        <v>0</v>
      </c>
      <c r="Q182" s="572">
        <v>0</v>
      </c>
      <c r="R182" s="405">
        <v>0</v>
      </c>
      <c r="S182" s="405">
        <v>0</v>
      </c>
      <c r="T182" s="405">
        <v>0</v>
      </c>
      <c r="U182" s="405">
        <v>0</v>
      </c>
      <c r="V182" s="572">
        <v>0</v>
      </c>
      <c r="W182" s="450">
        <f>SUM(CI182*CM182)</f>
        <v>29561.878145126662</v>
      </c>
      <c r="X182" s="418">
        <f>SUM(CI182*CL182)</f>
        <v>4434.2817217689999</v>
      </c>
      <c r="Y182" s="418">
        <v>0</v>
      </c>
      <c r="Z182" s="418">
        <v>0</v>
      </c>
      <c r="AA182" s="418">
        <v>0</v>
      </c>
      <c r="AB182" s="111">
        <f>SUM(CI182*CK182)</f>
        <v>25127.596423357663</v>
      </c>
      <c r="AC182" s="111">
        <f>SUM(CJ182*CM182)</f>
        <v>58962.215972520389</v>
      </c>
      <c r="AD182" s="571">
        <f>SUM(CJ182*CL182)</f>
        <v>8844.3323958780602</v>
      </c>
      <c r="AE182" s="571">
        <v>0</v>
      </c>
      <c r="AF182" s="571">
        <v>0</v>
      </c>
      <c r="AG182" s="571">
        <v>0</v>
      </c>
      <c r="AH182" s="111">
        <f>SUM(CJ182*CK182)</f>
        <v>50117.883576642329</v>
      </c>
      <c r="AI182" s="1185">
        <f>SUM('3 pr-2'!L182)</f>
        <v>88524.094117647051</v>
      </c>
      <c r="AJ182" s="805">
        <f t="shared" si="458"/>
        <v>88524.094117647051</v>
      </c>
      <c r="AK182" s="389">
        <f>SUM('3 pr-2'!O182)</f>
        <v>13278.614117647059</v>
      </c>
      <c r="AL182" s="805">
        <f t="shared" si="453"/>
        <v>13278.614117647059</v>
      </c>
      <c r="AM182" s="389">
        <f>SUM('3 pr-2'!R182)</f>
        <v>0</v>
      </c>
      <c r="AN182" s="805"/>
      <c r="AO182" s="389">
        <f>SUM('3 pr-2'!U182)</f>
        <v>0</v>
      </c>
      <c r="AP182" s="805"/>
      <c r="AQ182" s="389">
        <f>SUM('3 pr-2'!X182)</f>
        <v>0</v>
      </c>
      <c r="AR182" s="805"/>
      <c r="AS182" s="433">
        <f>SUM('3 pr-2'!AA182)</f>
        <v>75245.48</v>
      </c>
      <c r="AT182" s="805">
        <f t="shared" si="454"/>
        <v>75245.48</v>
      </c>
      <c r="AU182" s="106"/>
      <c r="AV182" s="106"/>
      <c r="AW182" s="106"/>
      <c r="AX182" s="392"/>
      <c r="AY182" s="392"/>
      <c r="AZ182" s="392"/>
      <c r="BA182" s="392"/>
      <c r="BB182" s="106"/>
      <c r="BC182" s="134"/>
      <c r="BD182" s="395"/>
      <c r="BE182" s="395"/>
      <c r="BF182" s="395"/>
      <c r="BG182" s="395"/>
      <c r="BH182" s="134"/>
      <c r="BI182" s="134"/>
      <c r="BJ182" s="395"/>
      <c r="BK182" s="395"/>
      <c r="BL182" s="395"/>
      <c r="BM182" s="395"/>
      <c r="BN182" s="134"/>
      <c r="BO182" s="134"/>
      <c r="BP182" s="395"/>
      <c r="BQ182" s="395"/>
      <c r="BR182" s="395"/>
      <c r="BS182" s="395"/>
      <c r="BT182" s="134"/>
      <c r="BU182" s="134"/>
      <c r="BV182" s="395"/>
      <c r="BW182" s="395"/>
      <c r="BX182" s="395"/>
      <c r="BY182" s="395"/>
      <c r="BZ182" s="134"/>
      <c r="CA182" s="23"/>
      <c r="CB182" s="395"/>
      <c r="CC182" s="395"/>
      <c r="CD182" s="395"/>
      <c r="CE182" s="395"/>
      <c r="CF182" s="555"/>
      <c r="CG182" s="569">
        <f>SUM('3 pr-2'!AH182)</f>
        <v>43647</v>
      </c>
      <c r="CH182" s="570">
        <f>SUM('3 pr-2'!AJ182)</f>
        <v>44196</v>
      </c>
      <c r="CI182" s="9">
        <f>SUM(W3-CG182)</f>
        <v>183</v>
      </c>
      <c r="CJ182" s="9">
        <f>SUM(AC3-AC2)</f>
        <v>365</v>
      </c>
      <c r="CK182" s="9">
        <f>SUM(AT182/(CI182+CJ182))</f>
        <v>137.30927007299269</v>
      </c>
      <c r="CL182" s="9">
        <f>SUM(AK182/(CI182+CJ182))</f>
        <v>24.23104765993989</v>
      </c>
      <c r="CM182" s="9">
        <f>SUM(AI182/(CI182+CJ182))</f>
        <v>161.54031773293258</v>
      </c>
      <c r="CQ182" s="564">
        <f t="shared" si="459"/>
        <v>88524.094117647051</v>
      </c>
      <c r="CR182" s="1515">
        <f>SUM(J182+P182+V182+AB182+AH182)</f>
        <v>75245.48</v>
      </c>
    </row>
    <row r="183" spans="1:96" ht="15.75" thickBot="1" x14ac:dyDescent="0.3">
      <c r="A183" s="193"/>
      <c r="B183" s="179"/>
      <c r="C183" s="1594" t="s">
        <v>45</v>
      </c>
      <c r="D183" s="1595"/>
      <c r="E183" s="1595"/>
      <c r="F183" s="1595"/>
      <c r="G183" s="1595"/>
      <c r="H183" s="1595"/>
      <c r="I183" s="1595"/>
      <c r="J183" s="1595"/>
      <c r="K183" s="1595"/>
      <c r="L183" s="1595"/>
      <c r="M183" s="1595"/>
      <c r="N183" s="1595"/>
      <c r="O183" s="1595"/>
      <c r="P183" s="1595"/>
      <c r="Q183" s="1595"/>
      <c r="R183" s="1595"/>
      <c r="S183" s="1595"/>
      <c r="T183" s="1595"/>
      <c r="U183" s="1595"/>
      <c r="V183" s="1595"/>
      <c r="W183" s="1595"/>
      <c r="X183" s="1595"/>
      <c r="Y183" s="1595"/>
      <c r="Z183" s="1595"/>
      <c r="AA183" s="1595"/>
      <c r="AB183" s="1595"/>
      <c r="AC183" s="1595"/>
      <c r="AD183" s="1595"/>
      <c r="AE183" s="1595"/>
      <c r="AF183" s="1595"/>
      <c r="AG183" s="1595"/>
      <c r="AH183" s="1595"/>
      <c r="AI183" s="1595"/>
      <c r="AJ183" s="1595"/>
      <c r="AK183" s="1595"/>
      <c r="AL183" s="1595"/>
      <c r="AM183" s="1595"/>
      <c r="AN183" s="1595"/>
      <c r="AO183" s="1595"/>
      <c r="AP183" s="1595"/>
      <c r="AQ183" s="1595"/>
      <c r="AR183" s="1595"/>
      <c r="AS183" s="1596"/>
      <c r="AT183" s="827"/>
      <c r="AV183" s="30">
        <f>SUM(V173+AB173+AH173)</f>
        <v>1859201.447704673</v>
      </c>
      <c r="AX183" s="429"/>
      <c r="AY183" s="429"/>
      <c r="AZ183" s="429"/>
      <c r="BA183" s="429"/>
      <c r="BD183" s="429"/>
      <c r="BE183" s="429"/>
      <c r="BF183" s="429"/>
      <c r="BG183" s="429"/>
      <c r="BJ183" s="429"/>
      <c r="BK183" s="429"/>
      <c r="BL183" s="429"/>
      <c r="BM183" s="429"/>
      <c r="BP183" s="429"/>
      <c r="BQ183" s="429"/>
      <c r="BR183" s="429"/>
      <c r="BS183" s="429"/>
      <c r="BV183" s="429"/>
      <c r="BW183" s="429"/>
      <c r="BX183" s="429"/>
      <c r="BY183" s="429"/>
      <c r="CB183" s="429"/>
      <c r="CC183" s="429"/>
      <c r="CD183" s="429"/>
      <c r="CE183" s="429"/>
      <c r="CG183" s="561"/>
      <c r="CH183" s="561"/>
    </row>
    <row r="184" spans="1:96" ht="29.25" customHeight="1" thickBot="1" x14ac:dyDescent="0.3">
      <c r="A184" s="193"/>
      <c r="B184" s="179"/>
      <c r="C184" s="1587">
        <v>2015</v>
      </c>
      <c r="D184" s="1588"/>
      <c r="E184" s="1589">
        <v>2016</v>
      </c>
      <c r="F184" s="1590"/>
      <c r="G184" s="1590"/>
      <c r="H184" s="1590"/>
      <c r="I184" s="1590"/>
      <c r="J184" s="1588"/>
      <c r="K184" s="1589">
        <v>2017</v>
      </c>
      <c r="L184" s="1590"/>
      <c r="M184" s="1590"/>
      <c r="N184" s="1590"/>
      <c r="O184" s="1590"/>
      <c r="P184" s="1588"/>
      <c r="Q184" s="1589">
        <v>2018</v>
      </c>
      <c r="R184" s="1590"/>
      <c r="S184" s="1590"/>
      <c r="T184" s="1590"/>
      <c r="U184" s="1590"/>
      <c r="V184" s="1588"/>
      <c r="W184" s="1589">
        <v>2019</v>
      </c>
      <c r="X184" s="1590"/>
      <c r="Y184" s="1590"/>
      <c r="Z184" s="1590"/>
      <c r="AA184" s="1590"/>
      <c r="AB184" s="1588"/>
      <c r="AC184" s="1589">
        <v>2020</v>
      </c>
      <c r="AD184" s="1590"/>
      <c r="AE184" s="1590"/>
      <c r="AF184" s="1590"/>
      <c r="AG184" s="1590"/>
      <c r="AH184" s="1588"/>
      <c r="AI184" s="387" t="s">
        <v>6</v>
      </c>
      <c r="AJ184" s="803"/>
      <c r="AK184" s="132"/>
      <c r="AL184" s="132"/>
      <c r="AM184" s="132"/>
      <c r="AN184" s="132"/>
      <c r="AO184" s="132"/>
      <c r="AP184" s="132"/>
      <c r="AQ184" s="132"/>
      <c r="AR184" s="132"/>
      <c r="AS184" s="388"/>
      <c r="AT184" s="806"/>
      <c r="BN184" s="130"/>
      <c r="BO184" s="130"/>
      <c r="BT184" s="130"/>
      <c r="BU184" s="131"/>
      <c r="CG184" s="561"/>
      <c r="CH184" s="561"/>
    </row>
    <row r="185" spans="1:96" ht="29.25" customHeight="1" thickBot="1" x14ac:dyDescent="0.3">
      <c r="A185" s="193"/>
      <c r="B185" s="179"/>
      <c r="C185" s="1" t="s">
        <v>9</v>
      </c>
      <c r="D185" s="1" t="s">
        <v>10</v>
      </c>
      <c r="E185" s="1" t="s">
        <v>9</v>
      </c>
      <c r="F185" s="1"/>
      <c r="G185" s="1"/>
      <c r="H185" s="1"/>
      <c r="I185" s="1"/>
      <c r="J185" s="1" t="s">
        <v>10</v>
      </c>
      <c r="K185" s="1" t="s">
        <v>9</v>
      </c>
      <c r="L185" s="1"/>
      <c r="M185" s="1"/>
      <c r="N185" s="1"/>
      <c r="O185" s="1"/>
      <c r="P185" s="1" t="s">
        <v>10</v>
      </c>
      <c r="Q185" s="1" t="s">
        <v>9</v>
      </c>
      <c r="R185" s="1"/>
      <c r="S185" s="1"/>
      <c r="T185" s="1"/>
      <c r="U185" s="1"/>
      <c r="V185" s="1" t="s">
        <v>10</v>
      </c>
      <c r="W185" s="1" t="s">
        <v>9</v>
      </c>
      <c r="X185" s="1"/>
      <c r="Y185" s="1"/>
      <c r="Z185" s="1"/>
      <c r="AA185" s="1"/>
      <c r="AB185" s="1" t="s">
        <v>10</v>
      </c>
      <c r="AC185" s="1" t="s">
        <v>9</v>
      </c>
      <c r="AD185" s="1"/>
      <c r="AE185" s="1"/>
      <c r="AF185" s="1"/>
      <c r="AG185" s="1"/>
      <c r="AH185" s="1" t="s">
        <v>10</v>
      </c>
      <c r="AI185" s="1" t="s">
        <v>9</v>
      </c>
      <c r="AJ185" s="1"/>
      <c r="AK185" s="1"/>
      <c r="AL185" s="1"/>
      <c r="AM185" s="1"/>
      <c r="AN185" s="1"/>
      <c r="AO185" s="1"/>
      <c r="AP185" s="1"/>
      <c r="AQ185" s="1"/>
      <c r="AR185" s="132"/>
      <c r="AS185" s="2" t="s">
        <v>10</v>
      </c>
      <c r="AT185" s="807"/>
      <c r="AX185" s="1"/>
      <c r="AY185" s="1"/>
      <c r="AZ185" s="1"/>
      <c r="BA185" s="1"/>
      <c r="BD185" s="1"/>
      <c r="BE185" s="1"/>
      <c r="BF185" s="1"/>
      <c r="BG185" s="1"/>
      <c r="BJ185" s="1"/>
      <c r="BK185" s="1"/>
      <c r="BL185" s="1"/>
      <c r="BM185" s="1"/>
      <c r="BP185" s="1"/>
      <c r="BQ185" s="1"/>
      <c r="BR185" s="1"/>
      <c r="BS185" s="1"/>
      <c r="BV185" s="1"/>
      <c r="BW185" s="1"/>
      <c r="BX185" s="1"/>
      <c r="BY185" s="1"/>
      <c r="CB185" s="1"/>
      <c r="CC185" s="1"/>
      <c r="CD185" s="1"/>
      <c r="CE185" s="1"/>
      <c r="CG185" s="561"/>
      <c r="CH185" s="561"/>
    </row>
    <row r="186" spans="1:96" ht="29.25" customHeight="1" thickBot="1" x14ac:dyDescent="0.3">
      <c r="A186" s="195"/>
      <c r="B186" s="188"/>
      <c r="C186" s="102">
        <f>SUM(C6+C99+C167)</f>
        <v>0</v>
      </c>
      <c r="D186" s="102">
        <f>SUM(D6+D99+D167)</f>
        <v>0</v>
      </c>
      <c r="E186" s="102">
        <f>SUM(E6+E99+E167)</f>
        <v>1107408.0345507418</v>
      </c>
      <c r="F186" s="1"/>
      <c r="G186" s="1"/>
      <c r="H186" s="1"/>
      <c r="I186" s="1"/>
      <c r="J186" s="102">
        <f>SUM(J6+J99+J167)</f>
        <v>608263.2015903896</v>
      </c>
      <c r="K186" s="102">
        <f>SUM(K6+K99+K167)</f>
        <v>7162294.154923494</v>
      </c>
      <c r="L186" s="419"/>
      <c r="M186" s="419"/>
      <c r="N186" s="419"/>
      <c r="O186" s="419"/>
      <c r="P186" s="102">
        <f>SUM(P6+P99+P167)</f>
        <v>6075599.3097460335</v>
      </c>
      <c r="Q186" s="102">
        <f>SUM(Q6+Q99+Q167)</f>
        <v>26371627.66399892</v>
      </c>
      <c r="R186" s="419"/>
      <c r="S186" s="419"/>
      <c r="T186" s="419"/>
      <c r="U186" s="419"/>
      <c r="V186" s="102">
        <f>SUM(V6+V99+V167)</f>
        <v>18462632.986711994</v>
      </c>
      <c r="W186" s="102">
        <f>SUM(W6+W99+W167)</f>
        <v>21591917.458407052</v>
      </c>
      <c r="X186" s="419"/>
      <c r="Y186" s="419"/>
      <c r="Z186" s="419"/>
      <c r="AA186" s="419"/>
      <c r="AB186" s="102">
        <f>SUM(AB6+AB99+AB167)</f>
        <v>15793706.826409014</v>
      </c>
      <c r="AC186" s="102">
        <f>SUM(AC6+AC99+AC167)</f>
        <v>9943849.2745903786</v>
      </c>
      <c r="AD186" s="419"/>
      <c r="AE186" s="419"/>
      <c r="AF186" s="419"/>
      <c r="AG186" s="419"/>
      <c r="AH186" s="102">
        <f>SUM(AH6+AH99+AH167)</f>
        <v>7013938.4617587831</v>
      </c>
      <c r="AI186" s="54">
        <f>SUM(AI6+AI99+AI167)</f>
        <v>66177096.586470574</v>
      </c>
      <c r="AJ186" s="804"/>
      <c r="AK186" s="102"/>
      <c r="AL186" s="102"/>
      <c r="AM186" s="102"/>
      <c r="AN186" s="102"/>
      <c r="AO186" s="102"/>
      <c r="AP186" s="102"/>
      <c r="AQ186" s="102"/>
      <c r="AR186" s="891"/>
      <c r="AS186" s="54">
        <f>SUM(AS6+AS99+AS167)</f>
        <v>47954140.786216214</v>
      </c>
      <c r="AT186" s="828"/>
      <c r="AX186" s="102"/>
      <c r="AY186" s="102"/>
      <c r="AZ186" s="102"/>
      <c r="BA186" s="102"/>
      <c r="BD186" s="102"/>
      <c r="BE186" s="102"/>
      <c r="BF186" s="102"/>
      <c r="BG186" s="102"/>
      <c r="BJ186" s="102"/>
      <c r="BK186" s="102"/>
      <c r="BL186" s="102"/>
      <c r="BM186" s="102"/>
      <c r="BP186" s="102"/>
      <c r="BQ186" s="102"/>
      <c r="BR186" s="102"/>
      <c r="BS186" s="102"/>
      <c r="BV186" s="102"/>
      <c r="BW186" s="102"/>
      <c r="BX186" s="102"/>
      <c r="BY186" s="102"/>
      <c r="CB186" s="102"/>
      <c r="CC186" s="102"/>
      <c r="CD186" s="102"/>
      <c r="CE186" s="102"/>
      <c r="CG186" s="561"/>
      <c r="CH186" s="561"/>
    </row>
    <row r="187" spans="1:96" ht="29.25" customHeight="1" thickTop="1" thickBot="1" x14ac:dyDescent="0.3">
      <c r="F187" s="102"/>
      <c r="G187" s="102"/>
      <c r="H187" s="102"/>
      <c r="I187" s="102"/>
      <c r="L187" s="420"/>
      <c r="M187" s="420"/>
      <c r="N187" s="420"/>
      <c r="O187" s="420"/>
      <c r="R187" s="420"/>
      <c r="S187" s="420"/>
      <c r="T187" s="420"/>
      <c r="U187" s="420"/>
      <c r="X187" s="420"/>
      <c r="Y187" s="420"/>
      <c r="Z187" s="420"/>
      <c r="AA187" s="420"/>
      <c r="AD187" s="420"/>
      <c r="AE187" s="420"/>
      <c r="AF187" s="420"/>
      <c r="AG187" s="420"/>
    </row>
    <row r="188" spans="1:96" ht="29.25" customHeight="1" thickTop="1" x14ac:dyDescent="0.25"/>
  </sheetData>
  <mergeCells count="27">
    <mergeCell ref="AI3:AS3"/>
    <mergeCell ref="E3:J3"/>
    <mergeCell ref="K3:P3"/>
    <mergeCell ref="Q3:V3"/>
    <mergeCell ref="W3:AB3"/>
    <mergeCell ref="AC3:AH3"/>
    <mergeCell ref="AW4:BB4"/>
    <mergeCell ref="BC4:BH4"/>
    <mergeCell ref="BI4:BN4"/>
    <mergeCell ref="BO4:BT4"/>
    <mergeCell ref="BU4:BZ4"/>
    <mergeCell ref="AU4:AV4"/>
    <mergeCell ref="AI2:AS2"/>
    <mergeCell ref="C184:D184"/>
    <mergeCell ref="E184:J184"/>
    <mergeCell ref="K184:P184"/>
    <mergeCell ref="Q184:V184"/>
    <mergeCell ref="W184:AB184"/>
    <mergeCell ref="AC184:AH184"/>
    <mergeCell ref="C2:D2"/>
    <mergeCell ref="E2:J2"/>
    <mergeCell ref="K2:P2"/>
    <mergeCell ref="Q2:V2"/>
    <mergeCell ref="W2:AB2"/>
    <mergeCell ref="AC2:AH2"/>
    <mergeCell ref="C183:AS183"/>
    <mergeCell ref="C3:D3"/>
  </mergeCells>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2"/>
  <sheetViews>
    <sheetView workbookViewId="0">
      <selection activeCell="P16" sqref="P16"/>
    </sheetView>
  </sheetViews>
  <sheetFormatPr defaultRowHeight="15" x14ac:dyDescent="0.25"/>
  <cols>
    <col min="1" max="1" width="21.7109375" bestFit="1" customWidth="1"/>
    <col min="2" max="2" width="36.5703125" bestFit="1" customWidth="1"/>
    <col min="3" max="4" width="11.5703125" bestFit="1" customWidth="1"/>
    <col min="5" max="12" width="9.28515625" bestFit="1" customWidth="1"/>
  </cols>
  <sheetData>
    <row r="1" spans="1:11" ht="16.5" thickBot="1" x14ac:dyDescent="0.3">
      <c r="A1" s="155" t="s">
        <v>786</v>
      </c>
    </row>
    <row r="2" spans="1:11" ht="38.25" thickBot="1" x14ac:dyDescent="0.3">
      <c r="A2" s="655" t="s">
        <v>393</v>
      </c>
      <c r="B2" s="655" t="s">
        <v>788</v>
      </c>
      <c r="C2" s="655" t="s">
        <v>787</v>
      </c>
      <c r="D2" s="655"/>
      <c r="E2" s="655"/>
      <c r="F2" s="655"/>
      <c r="G2" s="655"/>
      <c r="H2" s="655"/>
      <c r="I2" s="655"/>
      <c r="J2" s="655"/>
      <c r="K2" s="655"/>
    </row>
    <row r="3" spans="1:11" ht="16.5" thickBot="1" x14ac:dyDescent="0.3">
      <c r="A3" s="345"/>
      <c r="B3" s="345"/>
      <c r="C3" s="784">
        <v>2015</v>
      </c>
      <c r="D3" s="784">
        <v>2016</v>
      </c>
      <c r="E3" s="784">
        <v>2017</v>
      </c>
      <c r="F3" s="784">
        <v>2018</v>
      </c>
      <c r="G3" s="784">
        <v>2019</v>
      </c>
      <c r="H3" s="784">
        <v>2020</v>
      </c>
      <c r="I3" s="784">
        <v>2021</v>
      </c>
      <c r="J3" s="784">
        <v>2022</v>
      </c>
      <c r="K3" s="784">
        <v>2023</v>
      </c>
    </row>
    <row r="4" spans="1:11" ht="27" customHeight="1" thickBot="1" x14ac:dyDescent="0.3">
      <c r="A4" s="785" t="s">
        <v>916</v>
      </c>
      <c r="B4" s="1769" t="s">
        <v>918</v>
      </c>
      <c r="C4" s="1770"/>
      <c r="D4" s="1770"/>
      <c r="E4" s="1770"/>
      <c r="F4" s="1770"/>
      <c r="G4" s="1770"/>
      <c r="H4" s="1770"/>
      <c r="I4" s="1770"/>
      <c r="J4" s="1770"/>
      <c r="K4" s="1771"/>
    </row>
    <row r="5" spans="1:11" ht="15.75" x14ac:dyDescent="0.25">
      <c r="A5" s="1772" t="s">
        <v>789</v>
      </c>
      <c r="B5" s="738" t="s">
        <v>1387</v>
      </c>
      <c r="C5" s="739" t="s">
        <v>1019</v>
      </c>
      <c r="D5" s="740" t="s">
        <v>1019</v>
      </c>
      <c r="E5" s="741" t="s">
        <v>1022</v>
      </c>
      <c r="F5" s="741" t="s">
        <v>1024</v>
      </c>
      <c r="G5" s="741" t="s">
        <v>1027</v>
      </c>
      <c r="H5" s="741" t="s">
        <v>1030</v>
      </c>
      <c r="I5" s="741" t="s">
        <v>1033</v>
      </c>
      <c r="J5" s="741" t="s">
        <v>1036</v>
      </c>
      <c r="K5" s="741" t="s">
        <v>1039</v>
      </c>
    </row>
    <row r="6" spans="1:11" ht="15.75" x14ac:dyDescent="0.25">
      <c r="A6" s="1773"/>
      <c r="B6" s="738" t="s">
        <v>1388</v>
      </c>
      <c r="C6" s="739" t="s">
        <v>1020</v>
      </c>
      <c r="D6" s="740" t="s">
        <v>1020</v>
      </c>
      <c r="E6" s="741" t="s">
        <v>1023</v>
      </c>
      <c r="F6" s="741" t="s">
        <v>1025</v>
      </c>
      <c r="G6" s="741" t="s">
        <v>1028</v>
      </c>
      <c r="H6" s="741" t="s">
        <v>1031</v>
      </c>
      <c r="I6" s="741" t="s">
        <v>1034</v>
      </c>
      <c r="J6" s="741" t="s">
        <v>1037</v>
      </c>
      <c r="K6" s="741" t="s">
        <v>1040</v>
      </c>
    </row>
    <row r="7" spans="1:11" ht="15.75" x14ac:dyDescent="0.25">
      <c r="A7" s="1773"/>
      <c r="B7" s="738" t="s">
        <v>1389</v>
      </c>
      <c r="C7" s="739" t="s">
        <v>1021</v>
      </c>
      <c r="D7" s="740" t="s">
        <v>1021</v>
      </c>
      <c r="E7" s="741" t="s">
        <v>1021</v>
      </c>
      <c r="F7" s="741" t="s">
        <v>1026</v>
      </c>
      <c r="G7" s="741" t="s">
        <v>1029</v>
      </c>
      <c r="H7" s="741" t="s">
        <v>1032</v>
      </c>
      <c r="I7" s="741" t="s">
        <v>1035</v>
      </c>
      <c r="J7" s="741" t="s">
        <v>1038</v>
      </c>
      <c r="K7" s="741" t="s">
        <v>1041</v>
      </c>
    </row>
    <row r="8" spans="1:11" ht="16.5" thickBot="1" x14ac:dyDescent="0.3">
      <c r="A8" s="1774"/>
      <c r="B8" s="742" t="s">
        <v>1390</v>
      </c>
      <c r="C8" s="743"/>
      <c r="D8" s="744"/>
      <c r="E8" s="745"/>
      <c r="F8" s="745"/>
      <c r="G8" s="745"/>
      <c r="H8" s="745"/>
      <c r="I8" s="745"/>
      <c r="J8" s="745"/>
      <c r="K8" s="745"/>
    </row>
    <row r="9" spans="1:11" ht="16.5" thickBot="1" x14ac:dyDescent="0.3">
      <c r="A9" s="746"/>
      <c r="B9" s="747" t="s">
        <v>790</v>
      </c>
      <c r="C9" s="748">
        <v>64.400000000000006</v>
      </c>
      <c r="D9" s="749" t="s">
        <v>1391</v>
      </c>
      <c r="E9" s="750"/>
      <c r="F9" s="750"/>
      <c r="G9" s="750"/>
      <c r="H9" s="750"/>
      <c r="I9" s="750"/>
      <c r="J9" s="750"/>
      <c r="K9" s="750"/>
    </row>
    <row r="10" spans="1:11" ht="30.75" thickBot="1" x14ac:dyDescent="0.3">
      <c r="A10" s="746"/>
      <c r="B10" s="751" t="s">
        <v>1392</v>
      </c>
      <c r="C10" s="752" t="s">
        <v>1393</v>
      </c>
      <c r="D10" s="753"/>
      <c r="E10" s="750"/>
      <c r="F10" s="750"/>
      <c r="G10" s="750"/>
      <c r="H10" s="750"/>
      <c r="I10" s="750"/>
      <c r="J10" s="750"/>
      <c r="K10" s="750"/>
    </row>
    <row r="11" spans="1:11" ht="16.5" customHeight="1" thickBot="1" x14ac:dyDescent="0.3">
      <c r="A11" s="785" t="s">
        <v>937</v>
      </c>
      <c r="B11" s="1769" t="s">
        <v>1394</v>
      </c>
      <c r="C11" s="1770"/>
      <c r="D11" s="1770"/>
      <c r="E11" s="1770"/>
      <c r="F11" s="1770"/>
      <c r="G11" s="1770"/>
      <c r="H11" s="1770"/>
      <c r="I11" s="1770"/>
      <c r="J11" s="1770"/>
      <c r="K11" s="1771"/>
    </row>
    <row r="12" spans="1:11" ht="15.75" x14ac:dyDescent="0.25">
      <c r="A12" s="1772" t="s">
        <v>789</v>
      </c>
      <c r="B12" s="754" t="s">
        <v>1395</v>
      </c>
      <c r="C12" s="1775" t="s">
        <v>1042</v>
      </c>
      <c r="D12" s="1778" t="s">
        <v>1042</v>
      </c>
      <c r="E12" s="1778" t="s">
        <v>1042</v>
      </c>
      <c r="F12" s="757" t="s">
        <v>1043</v>
      </c>
      <c r="G12" s="756" t="s">
        <v>1046</v>
      </c>
      <c r="H12" s="756" t="s">
        <v>1049</v>
      </c>
      <c r="I12" s="756" t="s">
        <v>1052</v>
      </c>
      <c r="J12" s="756" t="s">
        <v>1055</v>
      </c>
      <c r="K12" s="756" t="s">
        <v>1058</v>
      </c>
    </row>
    <row r="13" spans="1:11" ht="15.75" x14ac:dyDescent="0.25">
      <c r="A13" s="1773"/>
      <c r="B13" s="754" t="s">
        <v>1396</v>
      </c>
      <c r="C13" s="1776"/>
      <c r="D13" s="1779"/>
      <c r="E13" s="1779"/>
      <c r="F13" s="757" t="s">
        <v>1044</v>
      </c>
      <c r="G13" s="756" t="s">
        <v>1047</v>
      </c>
      <c r="H13" s="756" t="s">
        <v>1050</v>
      </c>
      <c r="I13" s="756" t="s">
        <v>1053</v>
      </c>
      <c r="J13" s="756" t="s">
        <v>1056</v>
      </c>
      <c r="K13" s="756" t="s">
        <v>1059</v>
      </c>
    </row>
    <row r="14" spans="1:11" ht="15.75" x14ac:dyDescent="0.25">
      <c r="A14" s="1773"/>
      <c r="B14" s="754" t="s">
        <v>1397</v>
      </c>
      <c r="C14" s="1776"/>
      <c r="D14" s="1779"/>
      <c r="E14" s="1779"/>
      <c r="F14" s="757" t="s">
        <v>1045</v>
      </c>
      <c r="G14" s="756" t="s">
        <v>1048</v>
      </c>
      <c r="H14" s="756" t="s">
        <v>1051</v>
      </c>
      <c r="I14" s="756" t="s">
        <v>1054</v>
      </c>
      <c r="J14" s="756" t="s">
        <v>1057</v>
      </c>
      <c r="K14" s="756" t="s">
        <v>1060</v>
      </c>
    </row>
    <row r="15" spans="1:11" ht="16.5" thickBot="1" x14ac:dyDescent="0.3">
      <c r="A15" s="1774"/>
      <c r="B15" s="758" t="s">
        <v>1398</v>
      </c>
      <c r="C15" s="1777"/>
      <c r="D15" s="1780"/>
      <c r="E15" s="1780"/>
      <c r="F15" s="744"/>
      <c r="G15" s="745"/>
      <c r="H15" s="745"/>
      <c r="I15" s="745"/>
      <c r="J15" s="745"/>
      <c r="K15" s="745"/>
    </row>
    <row r="16" spans="1:11" ht="16.5" thickBot="1" x14ac:dyDescent="0.3">
      <c r="A16" s="746"/>
      <c r="B16" s="747" t="s">
        <v>790</v>
      </c>
      <c r="C16" s="749" t="s">
        <v>1391</v>
      </c>
      <c r="D16" s="749" t="s">
        <v>1391</v>
      </c>
      <c r="E16" s="749" t="s">
        <v>1399</v>
      </c>
      <c r="F16" s="750"/>
      <c r="G16" s="750"/>
      <c r="H16" s="750"/>
      <c r="I16" s="750"/>
      <c r="J16" s="750"/>
      <c r="K16" s="750"/>
    </row>
    <row r="17" spans="1:11" ht="30.75" thickBot="1" x14ac:dyDescent="0.3">
      <c r="A17" s="746"/>
      <c r="B17" s="751" t="s">
        <v>1392</v>
      </c>
      <c r="C17" s="752"/>
      <c r="D17" s="753"/>
      <c r="E17" s="750"/>
      <c r="F17" s="750"/>
      <c r="G17" s="750"/>
      <c r="H17" s="750"/>
      <c r="I17" s="750"/>
      <c r="J17" s="750"/>
      <c r="K17" s="750"/>
    </row>
    <row r="18" spans="1:11" ht="16.5" customHeight="1" thickBot="1" x14ac:dyDescent="0.3">
      <c r="A18" s="785" t="s">
        <v>940</v>
      </c>
      <c r="B18" s="1769" t="s">
        <v>941</v>
      </c>
      <c r="C18" s="1770"/>
      <c r="D18" s="1770"/>
      <c r="E18" s="1770"/>
      <c r="F18" s="1770"/>
      <c r="G18" s="1770"/>
      <c r="H18" s="1770"/>
      <c r="I18" s="1770"/>
      <c r="J18" s="1770"/>
      <c r="K18" s="1771"/>
    </row>
    <row r="19" spans="1:11" ht="15.75" x14ac:dyDescent="0.25">
      <c r="A19" s="1772" t="s">
        <v>789</v>
      </c>
      <c r="B19" s="738" t="s">
        <v>1400</v>
      </c>
      <c r="C19" s="756" t="s">
        <v>1061</v>
      </c>
      <c r="D19" s="756" t="s">
        <v>1064</v>
      </c>
      <c r="E19" s="756" t="s">
        <v>1067</v>
      </c>
      <c r="F19" s="756" t="s">
        <v>1070</v>
      </c>
      <c r="G19" s="756" t="s">
        <v>1073</v>
      </c>
      <c r="H19" s="756" t="s">
        <v>1076</v>
      </c>
      <c r="I19" s="756" t="s">
        <v>1079</v>
      </c>
      <c r="J19" s="756" t="s">
        <v>1082</v>
      </c>
      <c r="K19" s="756" t="s">
        <v>1085</v>
      </c>
    </row>
    <row r="20" spans="1:11" ht="15.75" x14ac:dyDescent="0.25">
      <c r="A20" s="1773"/>
      <c r="B20" s="738" t="s">
        <v>1401</v>
      </c>
      <c r="C20" s="756" t="s">
        <v>1062</v>
      </c>
      <c r="D20" s="756" t="s">
        <v>1065</v>
      </c>
      <c r="E20" s="756" t="s">
        <v>1068</v>
      </c>
      <c r="F20" s="756" t="s">
        <v>1071</v>
      </c>
      <c r="G20" s="756" t="s">
        <v>1074</v>
      </c>
      <c r="H20" s="756" t="s">
        <v>1077</v>
      </c>
      <c r="I20" s="756" t="s">
        <v>1080</v>
      </c>
      <c r="J20" s="756" t="s">
        <v>1083</v>
      </c>
      <c r="K20" s="756" t="s">
        <v>1086</v>
      </c>
    </row>
    <row r="21" spans="1:11" ht="15.75" x14ac:dyDescent="0.25">
      <c r="A21" s="1773"/>
      <c r="B21" s="738" t="s">
        <v>1402</v>
      </c>
      <c r="C21" s="756" t="s">
        <v>1063</v>
      </c>
      <c r="D21" s="756" t="s">
        <v>1066</v>
      </c>
      <c r="E21" s="756" t="s">
        <v>1069</v>
      </c>
      <c r="F21" s="756" t="s">
        <v>1072</v>
      </c>
      <c r="G21" s="756" t="s">
        <v>1075</v>
      </c>
      <c r="H21" s="756" t="s">
        <v>1078</v>
      </c>
      <c r="I21" s="756" t="s">
        <v>1081</v>
      </c>
      <c r="J21" s="756" t="s">
        <v>1084</v>
      </c>
      <c r="K21" s="756" t="s">
        <v>1087</v>
      </c>
    </row>
    <row r="22" spans="1:11" ht="16.5" thickBot="1" x14ac:dyDescent="0.3">
      <c r="A22" s="1774"/>
      <c r="B22" s="742" t="s">
        <v>946</v>
      </c>
      <c r="C22" s="745"/>
      <c r="D22" s="745"/>
      <c r="E22" s="745"/>
      <c r="F22" s="745"/>
      <c r="G22" s="745"/>
      <c r="H22" s="745"/>
      <c r="I22" s="745"/>
      <c r="J22" s="745"/>
      <c r="K22" s="745"/>
    </row>
    <row r="23" spans="1:11" ht="16.5" thickBot="1" x14ac:dyDescent="0.3">
      <c r="A23" s="746"/>
      <c r="B23" s="747" t="s">
        <v>790</v>
      </c>
      <c r="C23" s="749" t="s">
        <v>1391</v>
      </c>
      <c r="D23" s="749" t="s">
        <v>1391</v>
      </c>
      <c r="E23" s="750"/>
      <c r="F23" s="750"/>
      <c r="G23" s="750"/>
      <c r="H23" s="750"/>
      <c r="I23" s="750"/>
      <c r="J23" s="750"/>
      <c r="K23" s="750"/>
    </row>
    <row r="24" spans="1:11" ht="30.75" thickBot="1" x14ac:dyDescent="0.3">
      <c r="A24" s="746"/>
      <c r="B24" s="751" t="s">
        <v>1392</v>
      </c>
      <c r="C24" s="752"/>
      <c r="D24" s="753"/>
      <c r="E24" s="750"/>
      <c r="F24" s="750"/>
      <c r="G24" s="750"/>
      <c r="H24" s="750"/>
      <c r="I24" s="750"/>
      <c r="J24" s="750"/>
      <c r="K24" s="750"/>
    </row>
    <row r="25" spans="1:11" ht="16.5" customHeight="1" thickBot="1" x14ac:dyDescent="0.3">
      <c r="A25" s="785" t="s">
        <v>947</v>
      </c>
      <c r="B25" s="1769" t="s">
        <v>949</v>
      </c>
      <c r="C25" s="1770"/>
      <c r="D25" s="1770"/>
      <c r="E25" s="1770"/>
      <c r="F25" s="1770"/>
      <c r="G25" s="1770"/>
      <c r="H25" s="1770"/>
      <c r="I25" s="1770"/>
      <c r="J25" s="1770"/>
      <c r="K25" s="1771"/>
    </row>
    <row r="26" spans="1:11" ht="15.75" x14ac:dyDescent="0.25">
      <c r="A26" s="1772" t="s">
        <v>789</v>
      </c>
      <c r="B26" s="738" t="s">
        <v>1387</v>
      </c>
      <c r="C26" s="1775" t="s">
        <v>1042</v>
      </c>
      <c r="D26" s="1778" t="s">
        <v>1042</v>
      </c>
      <c r="E26" s="757" t="s">
        <v>1088</v>
      </c>
      <c r="F26" s="756" t="s">
        <v>1090</v>
      </c>
      <c r="G26" s="756" t="s">
        <v>1093</v>
      </c>
      <c r="H26" s="756" t="s">
        <v>1096</v>
      </c>
      <c r="I26" s="756" t="s">
        <v>1099</v>
      </c>
      <c r="J26" s="756" t="s">
        <v>1102</v>
      </c>
      <c r="K26" s="756" t="s">
        <v>1105</v>
      </c>
    </row>
    <row r="27" spans="1:11" ht="15.75" x14ac:dyDescent="0.25">
      <c r="A27" s="1773"/>
      <c r="B27" s="738" t="s">
        <v>1388</v>
      </c>
      <c r="C27" s="1776"/>
      <c r="D27" s="1779"/>
      <c r="E27" s="757" t="s">
        <v>1089</v>
      </c>
      <c r="F27" s="756" t="s">
        <v>1091</v>
      </c>
      <c r="G27" s="756" t="s">
        <v>1094</v>
      </c>
      <c r="H27" s="756" t="s">
        <v>1097</v>
      </c>
      <c r="I27" s="756" t="s">
        <v>1100</v>
      </c>
      <c r="J27" s="756" t="s">
        <v>1103</v>
      </c>
      <c r="K27" s="756" t="s">
        <v>1106</v>
      </c>
    </row>
    <row r="28" spans="1:11" ht="15.75" x14ac:dyDescent="0.25">
      <c r="A28" s="1773"/>
      <c r="B28" s="738" t="s">
        <v>1389</v>
      </c>
      <c r="C28" s="1776"/>
      <c r="D28" s="1779"/>
      <c r="E28" s="757"/>
      <c r="F28" s="756" t="s">
        <v>1092</v>
      </c>
      <c r="G28" s="756" t="s">
        <v>1095</v>
      </c>
      <c r="H28" s="756" t="s">
        <v>1098</v>
      </c>
      <c r="I28" s="756" t="s">
        <v>1101</v>
      </c>
      <c r="J28" s="756" t="s">
        <v>1104</v>
      </c>
      <c r="K28" s="756" t="s">
        <v>1107</v>
      </c>
    </row>
    <row r="29" spans="1:11" ht="16.5" thickBot="1" x14ac:dyDescent="0.3">
      <c r="A29" s="1774"/>
      <c r="B29" s="742" t="s">
        <v>1390</v>
      </c>
      <c r="C29" s="1777"/>
      <c r="D29" s="1780"/>
      <c r="E29" s="759"/>
      <c r="F29" s="745"/>
      <c r="G29" s="745"/>
      <c r="H29" s="745"/>
      <c r="I29" s="745"/>
      <c r="J29" s="745"/>
      <c r="K29" s="745"/>
    </row>
    <row r="30" spans="1:11" ht="16.5" thickBot="1" x14ac:dyDescent="0.3">
      <c r="A30" s="746"/>
      <c r="B30" s="747" t="s">
        <v>790</v>
      </c>
      <c r="C30" s="749" t="s">
        <v>1391</v>
      </c>
      <c r="D30" s="749" t="s">
        <v>1391</v>
      </c>
      <c r="E30" s="750"/>
      <c r="F30" s="750"/>
      <c r="G30" s="750"/>
      <c r="H30" s="750"/>
      <c r="I30" s="750"/>
      <c r="J30" s="750"/>
      <c r="K30" s="750"/>
    </row>
    <row r="31" spans="1:11" ht="30.75" thickBot="1" x14ac:dyDescent="0.3">
      <c r="A31" s="760"/>
      <c r="B31" s="761" t="s">
        <v>1392</v>
      </c>
      <c r="C31" s="762" t="s">
        <v>1391</v>
      </c>
      <c r="D31" s="763" t="s">
        <v>1391</v>
      </c>
      <c r="E31" s="750"/>
      <c r="F31" s="750"/>
      <c r="G31" s="750"/>
      <c r="H31" s="750"/>
      <c r="I31" s="750"/>
      <c r="J31" s="750"/>
      <c r="K31" s="750"/>
    </row>
    <row r="32" spans="1:11" ht="16.5" customHeight="1" thickBot="1" x14ac:dyDescent="0.3">
      <c r="A32" s="785" t="s">
        <v>953</v>
      </c>
      <c r="B32" s="1769" t="s">
        <v>954</v>
      </c>
      <c r="C32" s="1770"/>
      <c r="D32" s="1770"/>
      <c r="E32" s="1770"/>
      <c r="F32" s="1770"/>
      <c r="G32" s="1770"/>
      <c r="H32" s="1770"/>
      <c r="I32" s="1770"/>
      <c r="J32" s="1770"/>
      <c r="K32" s="1771"/>
    </row>
    <row r="33" spans="1:11" ht="16.5" thickBot="1" x14ac:dyDescent="0.3">
      <c r="A33" s="1781" t="s">
        <v>789</v>
      </c>
      <c r="B33" s="764" t="s">
        <v>1387</v>
      </c>
      <c r="C33" s="748" t="s">
        <v>1108</v>
      </c>
      <c r="D33" s="748" t="s">
        <v>1105</v>
      </c>
      <c r="E33" s="748" t="s">
        <v>1102</v>
      </c>
      <c r="F33" s="748" t="s">
        <v>1115</v>
      </c>
      <c r="G33" s="748" t="s">
        <v>1099</v>
      </c>
      <c r="H33" s="748" t="s">
        <v>1118</v>
      </c>
      <c r="I33" s="748" t="s">
        <v>1096</v>
      </c>
      <c r="J33" s="748" t="s">
        <v>1121</v>
      </c>
      <c r="K33" s="748" t="s">
        <v>1093</v>
      </c>
    </row>
    <row r="34" spans="1:11" ht="16.5" thickBot="1" x14ac:dyDescent="0.3">
      <c r="A34" s="1782"/>
      <c r="B34" s="764" t="s">
        <v>1388</v>
      </c>
      <c r="C34" s="748" t="s">
        <v>1109</v>
      </c>
      <c r="D34" s="748" t="s">
        <v>1111</v>
      </c>
      <c r="E34" s="748" t="s">
        <v>1113</v>
      </c>
      <c r="F34" s="748" t="s">
        <v>1116</v>
      </c>
      <c r="G34" s="748" t="s">
        <v>1074</v>
      </c>
      <c r="H34" s="748" t="s">
        <v>1106</v>
      </c>
      <c r="I34" s="748" t="s">
        <v>1103</v>
      </c>
      <c r="J34" s="748" t="s">
        <v>1122</v>
      </c>
      <c r="K34" s="748" t="s">
        <v>1100</v>
      </c>
    </row>
    <row r="35" spans="1:11" ht="16.5" thickBot="1" x14ac:dyDescent="0.3">
      <c r="A35" s="1782"/>
      <c r="B35" s="764" t="s">
        <v>1389</v>
      </c>
      <c r="C35" s="748" t="s">
        <v>1110</v>
      </c>
      <c r="D35" s="748" t="s">
        <v>1112</v>
      </c>
      <c r="E35" s="748" t="s">
        <v>1114</v>
      </c>
      <c r="F35" s="748" t="s">
        <v>1117</v>
      </c>
      <c r="G35" s="748" t="s">
        <v>1075</v>
      </c>
      <c r="H35" s="748" t="s">
        <v>1119</v>
      </c>
      <c r="I35" s="748" t="s">
        <v>1120</v>
      </c>
      <c r="J35" s="748" t="s">
        <v>1123</v>
      </c>
      <c r="K35" s="748" t="s">
        <v>1124</v>
      </c>
    </row>
    <row r="36" spans="1:11" ht="16.5" thickBot="1" x14ac:dyDescent="0.3">
      <c r="A36" s="1783"/>
      <c r="B36" s="765" t="s">
        <v>1390</v>
      </c>
      <c r="C36" s="745"/>
      <c r="D36" s="745"/>
      <c r="E36" s="745"/>
      <c r="F36" s="745"/>
      <c r="G36" s="745"/>
      <c r="H36" s="745"/>
      <c r="I36" s="745"/>
      <c r="J36" s="745"/>
      <c r="K36" s="745"/>
    </row>
    <row r="37" spans="1:11" ht="16.5" thickBot="1" x14ac:dyDescent="0.3">
      <c r="A37" s="753"/>
      <c r="B37" s="764" t="s">
        <v>790</v>
      </c>
      <c r="C37" s="748">
        <v>12</v>
      </c>
      <c r="D37" s="748">
        <v>7</v>
      </c>
      <c r="E37" s="750" t="s">
        <v>1403</v>
      </c>
      <c r="F37" s="750"/>
      <c r="G37" s="750"/>
      <c r="H37" s="750"/>
      <c r="I37" s="750"/>
      <c r="J37" s="750"/>
      <c r="K37" s="750"/>
    </row>
    <row r="38" spans="1:11" ht="32.25" thickBot="1" x14ac:dyDescent="0.3">
      <c r="A38" s="753"/>
      <c r="B38" s="766" t="s">
        <v>1392</v>
      </c>
      <c r="C38" s="750" t="s">
        <v>1404</v>
      </c>
      <c r="D38" s="767" t="s">
        <v>1405</v>
      </c>
      <c r="E38" s="750"/>
      <c r="F38" s="750"/>
      <c r="G38" s="750"/>
      <c r="H38" s="750"/>
      <c r="I38" s="750"/>
      <c r="J38" s="750"/>
      <c r="K38" s="750"/>
    </row>
    <row r="39" spans="1:11" ht="19.5" customHeight="1" thickBot="1" x14ac:dyDescent="0.3">
      <c r="A39" s="785" t="s">
        <v>921</v>
      </c>
      <c r="B39" s="1769" t="s">
        <v>923</v>
      </c>
      <c r="C39" s="1770"/>
      <c r="D39" s="1770"/>
      <c r="E39" s="1770"/>
      <c r="F39" s="1770"/>
      <c r="G39" s="1770"/>
      <c r="H39" s="1770"/>
      <c r="I39" s="1770"/>
      <c r="J39" s="1770"/>
      <c r="K39" s="1771"/>
    </row>
    <row r="40" spans="1:11" ht="15.75" x14ac:dyDescent="0.25">
      <c r="A40" s="1772" t="s">
        <v>789</v>
      </c>
      <c r="B40" s="738" t="s">
        <v>1387</v>
      </c>
      <c r="C40" s="755" t="s">
        <v>1125</v>
      </c>
      <c r="D40" s="768" t="s">
        <v>1128</v>
      </c>
      <c r="E40" s="768" t="s">
        <v>1131</v>
      </c>
      <c r="F40" s="768" t="s">
        <v>1134</v>
      </c>
      <c r="G40" s="768" t="s">
        <v>1137</v>
      </c>
      <c r="H40" s="768" t="s">
        <v>1140</v>
      </c>
      <c r="I40" s="768" t="s">
        <v>1143</v>
      </c>
      <c r="J40" s="768" t="s">
        <v>1146</v>
      </c>
      <c r="K40" s="757" t="s">
        <v>1149</v>
      </c>
    </row>
    <row r="41" spans="1:11" ht="15.75" x14ac:dyDescent="0.25">
      <c r="A41" s="1773"/>
      <c r="B41" s="738" t="s">
        <v>1388</v>
      </c>
      <c r="C41" s="755" t="s">
        <v>1126</v>
      </c>
      <c r="D41" s="768" t="s">
        <v>1129</v>
      </c>
      <c r="E41" s="768" t="s">
        <v>1132</v>
      </c>
      <c r="F41" s="768" t="s">
        <v>1135</v>
      </c>
      <c r="G41" s="768" t="s">
        <v>1138</v>
      </c>
      <c r="H41" s="768" t="s">
        <v>1141</v>
      </c>
      <c r="I41" s="768" t="s">
        <v>1144</v>
      </c>
      <c r="J41" s="768" t="s">
        <v>1147</v>
      </c>
      <c r="K41" s="757" t="s">
        <v>1150</v>
      </c>
    </row>
    <row r="42" spans="1:11" ht="15.75" x14ac:dyDescent="0.25">
      <c r="A42" s="1773"/>
      <c r="B42" s="738" t="s">
        <v>1389</v>
      </c>
      <c r="C42" s="755" t="s">
        <v>1127</v>
      </c>
      <c r="D42" s="768" t="s">
        <v>1130</v>
      </c>
      <c r="E42" s="768" t="s">
        <v>1133</v>
      </c>
      <c r="F42" s="768" t="s">
        <v>1136</v>
      </c>
      <c r="G42" s="768" t="s">
        <v>1139</v>
      </c>
      <c r="H42" s="768" t="s">
        <v>1142</v>
      </c>
      <c r="I42" s="768" t="s">
        <v>1145</v>
      </c>
      <c r="J42" s="768" t="s">
        <v>1148</v>
      </c>
      <c r="K42" s="757" t="s">
        <v>1151</v>
      </c>
    </row>
    <row r="43" spans="1:11" ht="16.5" thickBot="1" x14ac:dyDescent="0.3">
      <c r="A43" s="1774"/>
      <c r="B43" s="742" t="s">
        <v>1390</v>
      </c>
      <c r="C43" s="743"/>
      <c r="D43" s="769"/>
      <c r="E43" s="769"/>
      <c r="F43" s="769"/>
      <c r="G43" s="769"/>
      <c r="H43" s="769"/>
      <c r="I43" s="769"/>
      <c r="J43" s="769"/>
      <c r="K43" s="744"/>
    </row>
    <row r="44" spans="1:11" ht="16.5" thickBot="1" x14ac:dyDescent="0.3">
      <c r="A44" s="746"/>
      <c r="B44" s="747" t="s">
        <v>790</v>
      </c>
      <c r="C44" s="748">
        <v>98.1</v>
      </c>
      <c r="D44" s="748">
        <v>98.3</v>
      </c>
      <c r="E44" s="750" t="s">
        <v>1403</v>
      </c>
      <c r="F44" s="750"/>
      <c r="G44" s="750"/>
      <c r="H44" s="750"/>
      <c r="I44" s="750"/>
      <c r="J44" s="752"/>
      <c r="K44" s="753"/>
    </row>
    <row r="45" spans="1:11" ht="31.5" thickBot="1" x14ac:dyDescent="0.3">
      <c r="A45" s="746"/>
      <c r="B45" s="751" t="s">
        <v>1392</v>
      </c>
      <c r="C45" s="770" t="s">
        <v>1406</v>
      </c>
      <c r="D45" s="771" t="s">
        <v>1406</v>
      </c>
      <c r="E45" s="750"/>
      <c r="F45" s="750"/>
      <c r="G45" s="750"/>
      <c r="H45" s="750"/>
      <c r="I45" s="750"/>
      <c r="J45" s="750"/>
      <c r="K45" s="750"/>
    </row>
    <row r="46" spans="1:11" ht="31.5" customHeight="1" thickBot="1" x14ac:dyDescent="0.3">
      <c r="A46" s="785" t="s">
        <v>959</v>
      </c>
      <c r="B46" s="1769" t="s">
        <v>961</v>
      </c>
      <c r="C46" s="1770"/>
      <c r="D46" s="1770"/>
      <c r="E46" s="1770"/>
      <c r="F46" s="1770"/>
      <c r="G46" s="1770"/>
      <c r="H46" s="1770"/>
      <c r="I46" s="1770"/>
      <c r="J46" s="1770"/>
      <c r="K46" s="1771"/>
    </row>
    <row r="47" spans="1:11" ht="15.75" x14ac:dyDescent="0.25">
      <c r="A47" s="1784" t="s">
        <v>789</v>
      </c>
      <c r="B47" s="772" t="s">
        <v>1407</v>
      </c>
      <c r="C47" s="755" t="s">
        <v>1108</v>
      </c>
      <c r="D47" s="768" t="s">
        <v>1105</v>
      </c>
      <c r="E47" s="768" t="s">
        <v>1102</v>
      </c>
      <c r="F47" s="768" t="s">
        <v>1115</v>
      </c>
      <c r="G47" s="768" t="s">
        <v>1099</v>
      </c>
      <c r="H47" s="768" t="s">
        <v>1118</v>
      </c>
      <c r="I47" s="768" t="s">
        <v>1096</v>
      </c>
      <c r="J47" s="768" t="s">
        <v>1121</v>
      </c>
      <c r="K47" s="757" t="s">
        <v>1093</v>
      </c>
    </row>
    <row r="48" spans="1:11" ht="15.75" x14ac:dyDescent="0.25">
      <c r="A48" s="1785"/>
      <c r="B48" s="773" t="s">
        <v>1408</v>
      </c>
      <c r="C48" s="755" t="s">
        <v>1109</v>
      </c>
      <c r="D48" s="768" t="s">
        <v>1111</v>
      </c>
      <c r="E48" s="768" t="s">
        <v>1113</v>
      </c>
      <c r="F48" s="768" t="s">
        <v>1116</v>
      </c>
      <c r="G48" s="768" t="s">
        <v>1074</v>
      </c>
      <c r="H48" s="768" t="s">
        <v>1106</v>
      </c>
      <c r="I48" s="768" t="s">
        <v>1103</v>
      </c>
      <c r="J48" s="768" t="s">
        <v>1122</v>
      </c>
      <c r="K48" s="757" t="s">
        <v>1100</v>
      </c>
    </row>
    <row r="49" spans="1:11" ht="15.75" x14ac:dyDescent="0.25">
      <c r="A49" s="1785"/>
      <c r="B49" s="773" t="s">
        <v>1409</v>
      </c>
      <c r="C49" s="755" t="s">
        <v>1110</v>
      </c>
      <c r="D49" s="768" t="s">
        <v>1112</v>
      </c>
      <c r="E49" s="768" t="s">
        <v>1114</v>
      </c>
      <c r="F49" s="768" t="s">
        <v>1117</v>
      </c>
      <c r="G49" s="768" t="s">
        <v>1075</v>
      </c>
      <c r="H49" s="768" t="s">
        <v>1119</v>
      </c>
      <c r="I49" s="768" t="s">
        <v>1120</v>
      </c>
      <c r="J49" s="768" t="s">
        <v>1123</v>
      </c>
      <c r="K49" s="757" t="s">
        <v>1124</v>
      </c>
    </row>
    <row r="50" spans="1:11" ht="15.75" thickBot="1" x14ac:dyDescent="0.3">
      <c r="A50" s="1786"/>
      <c r="B50" s="774" t="s">
        <v>965</v>
      </c>
      <c r="C50" s="743"/>
      <c r="D50" s="769"/>
      <c r="E50" s="769"/>
      <c r="F50" s="769"/>
      <c r="G50" s="769"/>
      <c r="H50" s="769"/>
      <c r="I50" s="769"/>
      <c r="J50" s="769"/>
      <c r="K50" s="744"/>
    </row>
    <row r="51" spans="1:11" ht="16.5" thickBot="1" x14ac:dyDescent="0.3">
      <c r="A51" s="746"/>
      <c r="B51" s="775" t="s">
        <v>790</v>
      </c>
      <c r="C51" s="749" t="s">
        <v>1391</v>
      </c>
      <c r="D51" s="749" t="s">
        <v>1391</v>
      </c>
      <c r="E51" s="750"/>
      <c r="F51" s="750"/>
      <c r="G51" s="750"/>
      <c r="H51" s="750"/>
      <c r="I51" s="750"/>
      <c r="J51" s="750"/>
      <c r="K51" s="750"/>
    </row>
    <row r="52" spans="1:11" ht="30.75" thickBot="1" x14ac:dyDescent="0.3">
      <c r="A52" s="746"/>
      <c r="B52" s="751" t="s">
        <v>1392</v>
      </c>
      <c r="C52" s="762" t="s">
        <v>1391</v>
      </c>
      <c r="D52" s="763" t="s">
        <v>1391</v>
      </c>
      <c r="E52" s="750"/>
      <c r="F52" s="750"/>
      <c r="G52" s="750"/>
      <c r="H52" s="750"/>
      <c r="I52" s="750"/>
      <c r="J52" s="750"/>
      <c r="K52" s="750"/>
    </row>
    <row r="53" spans="1:11" ht="16.5" customHeight="1" thickBot="1" x14ac:dyDescent="0.3">
      <c r="A53" s="785" t="s">
        <v>1164</v>
      </c>
      <c r="B53" s="1769" t="s">
        <v>966</v>
      </c>
      <c r="C53" s="1770"/>
      <c r="D53" s="1770"/>
      <c r="E53" s="1770"/>
      <c r="F53" s="1770"/>
      <c r="G53" s="1770"/>
      <c r="H53" s="1770"/>
      <c r="I53" s="1770"/>
      <c r="J53" s="1770"/>
      <c r="K53" s="1771"/>
    </row>
    <row r="54" spans="1:11" ht="15.75" x14ac:dyDescent="0.25">
      <c r="A54" s="1772" t="s">
        <v>789</v>
      </c>
      <c r="B54" s="776" t="s">
        <v>1410</v>
      </c>
      <c r="C54" s="755" t="s">
        <v>1165</v>
      </c>
      <c r="D54" s="768" t="s">
        <v>1168</v>
      </c>
      <c r="E54" s="768" t="s">
        <v>1171</v>
      </c>
      <c r="F54" s="768" t="s">
        <v>1174</v>
      </c>
      <c r="G54" s="768" t="s">
        <v>1165</v>
      </c>
      <c r="H54" s="768" t="s">
        <v>1177</v>
      </c>
      <c r="I54" s="768" t="s">
        <v>1180</v>
      </c>
      <c r="J54" s="768" t="s">
        <v>1183</v>
      </c>
      <c r="K54" s="757" t="s">
        <v>1185</v>
      </c>
    </row>
    <row r="55" spans="1:11" ht="15.75" x14ac:dyDescent="0.25">
      <c r="A55" s="1773"/>
      <c r="B55" s="742" t="s">
        <v>1411</v>
      </c>
      <c r="C55" s="755" t="s">
        <v>1166</v>
      </c>
      <c r="D55" s="768" t="s">
        <v>1169</v>
      </c>
      <c r="E55" s="768" t="s">
        <v>1172</v>
      </c>
      <c r="F55" s="768" t="s">
        <v>1169</v>
      </c>
      <c r="G55" s="768" t="s">
        <v>1176</v>
      </c>
      <c r="H55" s="768" t="s">
        <v>1178</v>
      </c>
      <c r="I55" s="768" t="s">
        <v>1181</v>
      </c>
      <c r="J55" s="768" t="s">
        <v>1155</v>
      </c>
      <c r="K55" s="757" t="s">
        <v>1186</v>
      </c>
    </row>
    <row r="56" spans="1:11" ht="15.75" x14ac:dyDescent="0.25">
      <c r="A56" s="1773"/>
      <c r="B56" s="742" t="s">
        <v>1412</v>
      </c>
      <c r="C56" s="755" t="s">
        <v>1167</v>
      </c>
      <c r="D56" s="768" t="s">
        <v>1170</v>
      </c>
      <c r="E56" s="768" t="s">
        <v>1173</v>
      </c>
      <c r="F56" s="768" t="s">
        <v>1175</v>
      </c>
      <c r="G56" s="768" t="s">
        <v>1156</v>
      </c>
      <c r="H56" s="768" t="s">
        <v>1179</v>
      </c>
      <c r="I56" s="768" t="s">
        <v>1182</v>
      </c>
      <c r="J56" s="768" t="s">
        <v>1184</v>
      </c>
      <c r="K56" s="757" t="s">
        <v>1187</v>
      </c>
    </row>
    <row r="57" spans="1:11" ht="16.5" thickBot="1" x14ac:dyDescent="0.3">
      <c r="A57" s="1774"/>
      <c r="B57" s="742" t="s">
        <v>970</v>
      </c>
      <c r="C57" s="743"/>
      <c r="D57" s="769"/>
      <c r="E57" s="769"/>
      <c r="F57" s="769"/>
      <c r="G57" s="769"/>
      <c r="H57" s="769"/>
      <c r="I57" s="769"/>
      <c r="J57" s="769"/>
      <c r="K57" s="744"/>
    </row>
    <row r="58" spans="1:11" ht="16.5" thickBot="1" x14ac:dyDescent="0.3">
      <c r="A58" s="746"/>
      <c r="B58" s="747" t="s">
        <v>790</v>
      </c>
      <c r="C58" s="749" t="s">
        <v>1391</v>
      </c>
      <c r="D58" s="749" t="s">
        <v>1391</v>
      </c>
      <c r="E58" s="750"/>
      <c r="F58" s="750"/>
      <c r="G58" s="750"/>
      <c r="H58" s="750"/>
      <c r="I58" s="750"/>
      <c r="J58" s="750"/>
      <c r="K58" s="750"/>
    </row>
    <row r="59" spans="1:11" ht="30.75" thickBot="1" x14ac:dyDescent="0.3">
      <c r="A59" s="746"/>
      <c r="B59" s="751" t="s">
        <v>1392</v>
      </c>
      <c r="C59" s="762" t="s">
        <v>1391</v>
      </c>
      <c r="D59" s="763" t="s">
        <v>1391</v>
      </c>
      <c r="E59" s="750"/>
      <c r="F59" s="750"/>
      <c r="G59" s="750"/>
      <c r="H59" s="750"/>
      <c r="I59" s="750"/>
      <c r="J59" s="750"/>
      <c r="K59" s="750"/>
    </row>
    <row r="60" spans="1:11" ht="31.5" customHeight="1" thickBot="1" x14ac:dyDescent="0.3">
      <c r="A60" s="785" t="s">
        <v>971</v>
      </c>
      <c r="B60" s="1769" t="s">
        <v>972</v>
      </c>
      <c r="C60" s="1770"/>
      <c r="D60" s="1770"/>
      <c r="E60" s="1770"/>
      <c r="F60" s="1770"/>
      <c r="G60" s="1770"/>
      <c r="H60" s="1770"/>
      <c r="I60" s="1770"/>
      <c r="J60" s="1770"/>
      <c r="K60" s="1771"/>
    </row>
    <row r="61" spans="1:11" ht="15.75" x14ac:dyDescent="0.25">
      <c r="A61" s="1772" t="s">
        <v>789</v>
      </c>
      <c r="B61" s="776" t="s">
        <v>1413</v>
      </c>
      <c r="C61" s="755" t="s">
        <v>1042</v>
      </c>
      <c r="D61" s="768" t="s">
        <v>1105</v>
      </c>
      <c r="E61" s="768" t="s">
        <v>1153</v>
      </c>
      <c r="F61" s="768" t="s">
        <v>1188</v>
      </c>
      <c r="G61" s="768" t="s">
        <v>1165</v>
      </c>
      <c r="H61" s="768" t="s">
        <v>1183</v>
      </c>
      <c r="I61" s="768" t="s">
        <v>1159</v>
      </c>
      <c r="J61" s="768" t="s">
        <v>1161</v>
      </c>
      <c r="K61" s="757" t="s">
        <v>1064</v>
      </c>
    </row>
    <row r="62" spans="1:11" ht="15.75" x14ac:dyDescent="0.25">
      <c r="A62" s="1773"/>
      <c r="B62" s="742" t="s">
        <v>1414</v>
      </c>
      <c r="C62" s="755"/>
      <c r="D62" s="768" t="s">
        <v>1122</v>
      </c>
      <c r="E62" s="768" t="s">
        <v>1113</v>
      </c>
      <c r="F62" s="768" t="s">
        <v>1189</v>
      </c>
      <c r="G62" s="768" t="s">
        <v>1169</v>
      </c>
      <c r="H62" s="768" t="s">
        <v>1155</v>
      </c>
      <c r="I62" s="768" t="s">
        <v>1191</v>
      </c>
      <c r="J62" s="768" t="s">
        <v>1160</v>
      </c>
      <c r="K62" s="757" t="s">
        <v>1062</v>
      </c>
    </row>
    <row r="63" spans="1:11" ht="15.75" x14ac:dyDescent="0.25">
      <c r="A63" s="1773"/>
      <c r="B63" s="742" t="s">
        <v>1415</v>
      </c>
      <c r="C63" s="755"/>
      <c r="D63" s="768" t="s">
        <v>1152</v>
      </c>
      <c r="E63" s="768" t="s">
        <v>1124</v>
      </c>
      <c r="F63" s="768" t="s">
        <v>1190</v>
      </c>
      <c r="G63" s="768" t="s">
        <v>1175</v>
      </c>
      <c r="H63" s="768" t="s">
        <v>1182</v>
      </c>
      <c r="I63" s="768" t="s">
        <v>1192</v>
      </c>
      <c r="J63" s="768" t="s">
        <v>1063</v>
      </c>
      <c r="K63" s="757" t="s">
        <v>1069</v>
      </c>
    </row>
    <row r="64" spans="1:11" ht="16.5" thickBot="1" x14ac:dyDescent="0.3">
      <c r="A64" s="1774"/>
      <c r="B64" s="742" t="s">
        <v>965</v>
      </c>
      <c r="C64" s="743"/>
      <c r="D64" s="769"/>
      <c r="E64" s="769"/>
      <c r="F64" s="769"/>
      <c r="G64" s="769"/>
      <c r="H64" s="769"/>
      <c r="I64" s="769"/>
      <c r="J64" s="769"/>
      <c r="K64" s="744"/>
    </row>
    <row r="65" spans="1:11" ht="16.5" thickBot="1" x14ac:dyDescent="0.3">
      <c r="A65" s="746"/>
      <c r="B65" s="747" t="s">
        <v>790</v>
      </c>
      <c r="C65" s="749" t="s">
        <v>1391</v>
      </c>
      <c r="D65" s="749" t="s">
        <v>1391</v>
      </c>
      <c r="E65" s="750"/>
      <c r="F65" s="750"/>
      <c r="G65" s="750"/>
      <c r="H65" s="750"/>
      <c r="I65" s="750"/>
      <c r="J65" s="750"/>
      <c r="K65" s="750"/>
    </row>
    <row r="66" spans="1:11" ht="30.75" thickBot="1" x14ac:dyDescent="0.3">
      <c r="A66" s="746"/>
      <c r="B66" s="751" t="s">
        <v>1392</v>
      </c>
      <c r="C66" s="762" t="s">
        <v>1391</v>
      </c>
      <c r="D66" s="763" t="s">
        <v>1391</v>
      </c>
      <c r="E66" s="750"/>
      <c r="F66" s="750"/>
      <c r="G66" s="750"/>
      <c r="H66" s="750"/>
      <c r="I66" s="750"/>
      <c r="J66" s="750"/>
      <c r="K66" s="750"/>
    </row>
    <row r="67" spans="1:11" ht="16.5" customHeight="1" thickBot="1" x14ac:dyDescent="0.3">
      <c r="A67" s="785" t="s">
        <v>976</v>
      </c>
      <c r="B67" s="1769" t="s">
        <v>1193</v>
      </c>
      <c r="C67" s="1770"/>
      <c r="D67" s="1770"/>
      <c r="E67" s="1770"/>
      <c r="F67" s="1770"/>
      <c r="G67" s="1770"/>
      <c r="H67" s="1770"/>
      <c r="I67" s="1770"/>
      <c r="J67" s="1770"/>
      <c r="K67" s="1771"/>
    </row>
    <row r="68" spans="1:11" ht="15.75" x14ac:dyDescent="0.25">
      <c r="A68" s="1772" t="s">
        <v>789</v>
      </c>
      <c r="B68" s="776" t="s">
        <v>1416</v>
      </c>
      <c r="C68" s="755" t="s">
        <v>1096</v>
      </c>
      <c r="D68" s="768" t="s">
        <v>1096</v>
      </c>
      <c r="E68" s="768" t="s">
        <v>1105</v>
      </c>
      <c r="F68" s="768" t="s">
        <v>1195</v>
      </c>
      <c r="G68" s="768" t="s">
        <v>1197</v>
      </c>
      <c r="H68" s="768" t="s">
        <v>1197</v>
      </c>
      <c r="I68" s="768" t="s">
        <v>1202</v>
      </c>
      <c r="J68" s="768" t="s">
        <v>1205</v>
      </c>
      <c r="K68" s="757" t="s">
        <v>1205</v>
      </c>
    </row>
    <row r="69" spans="1:11" ht="15.75" x14ac:dyDescent="0.25">
      <c r="A69" s="1773"/>
      <c r="B69" s="742" t="s">
        <v>1417</v>
      </c>
      <c r="C69" s="755"/>
      <c r="D69" s="768"/>
      <c r="E69" s="768" t="s">
        <v>1194</v>
      </c>
      <c r="F69" s="768" t="s">
        <v>1196</v>
      </c>
      <c r="G69" s="768" t="s">
        <v>1198</v>
      </c>
      <c r="H69" s="768" t="s">
        <v>1200</v>
      </c>
      <c r="I69" s="768" t="s">
        <v>1203</v>
      </c>
      <c r="J69" s="768" t="s">
        <v>1206</v>
      </c>
      <c r="K69" s="757" t="s">
        <v>1206</v>
      </c>
    </row>
    <row r="70" spans="1:11" ht="15.75" x14ac:dyDescent="0.25">
      <c r="A70" s="1773"/>
      <c r="B70" s="742" t="s">
        <v>1418</v>
      </c>
      <c r="C70" s="755"/>
      <c r="D70" s="768"/>
      <c r="E70" s="768"/>
      <c r="F70" s="768" t="s">
        <v>1117</v>
      </c>
      <c r="G70" s="768" t="s">
        <v>1199</v>
      </c>
      <c r="H70" s="768" t="s">
        <v>1201</v>
      </c>
      <c r="I70" s="768" t="s">
        <v>1204</v>
      </c>
      <c r="J70" s="768" t="s">
        <v>1167</v>
      </c>
      <c r="K70" s="757" t="s">
        <v>1167</v>
      </c>
    </row>
    <row r="71" spans="1:11" ht="16.5" thickBot="1" x14ac:dyDescent="0.3">
      <c r="A71" s="1774"/>
      <c r="B71" s="742" t="s">
        <v>1419</v>
      </c>
      <c r="C71" s="743"/>
      <c r="D71" s="769"/>
      <c r="E71" s="769"/>
      <c r="F71" s="769"/>
      <c r="G71" s="769"/>
      <c r="H71" s="769"/>
      <c r="I71" s="769"/>
      <c r="J71" s="769"/>
      <c r="K71" s="744"/>
    </row>
    <row r="72" spans="1:11" ht="16.5" thickBot="1" x14ac:dyDescent="0.3">
      <c r="A72" s="746"/>
      <c r="B72" s="747" t="s">
        <v>790</v>
      </c>
      <c r="C72" s="749" t="s">
        <v>1391</v>
      </c>
      <c r="D72" s="749" t="s">
        <v>1391</v>
      </c>
      <c r="E72" s="750"/>
      <c r="F72" s="750"/>
      <c r="G72" s="750"/>
      <c r="H72" s="750"/>
      <c r="I72" s="750"/>
      <c r="J72" s="750"/>
      <c r="K72" s="750"/>
    </row>
    <row r="73" spans="1:11" ht="30.75" thickBot="1" x14ac:dyDescent="0.3">
      <c r="A73" s="746"/>
      <c r="B73" s="751" t="s">
        <v>1392</v>
      </c>
      <c r="C73" s="762" t="s">
        <v>1391</v>
      </c>
      <c r="D73" s="763" t="s">
        <v>1391</v>
      </c>
      <c r="E73" s="750"/>
      <c r="F73" s="750"/>
      <c r="G73" s="750"/>
      <c r="H73" s="750"/>
      <c r="I73" s="750"/>
      <c r="J73" s="750"/>
      <c r="K73" s="750"/>
    </row>
    <row r="74" spans="1:11" ht="16.5" customHeight="1" thickBot="1" x14ac:dyDescent="0.3">
      <c r="A74" s="785" t="s">
        <v>982</v>
      </c>
      <c r="B74" s="1769" t="s">
        <v>1420</v>
      </c>
      <c r="C74" s="1770"/>
      <c r="D74" s="1770"/>
      <c r="E74" s="1770"/>
      <c r="F74" s="1770"/>
      <c r="G74" s="1770"/>
      <c r="H74" s="1770"/>
      <c r="I74" s="1770"/>
      <c r="J74" s="1770"/>
      <c r="K74" s="1771"/>
    </row>
    <row r="75" spans="1:11" ht="15.75" x14ac:dyDescent="0.25">
      <c r="A75" s="1772" t="s">
        <v>789</v>
      </c>
      <c r="B75" s="776" t="s">
        <v>1410</v>
      </c>
      <c r="C75" s="755" t="s">
        <v>1165</v>
      </c>
      <c r="D75" s="768" t="s">
        <v>1168</v>
      </c>
      <c r="E75" s="768" t="s">
        <v>1171</v>
      </c>
      <c r="F75" s="768" t="s">
        <v>1174</v>
      </c>
      <c r="G75" s="768" t="s">
        <v>1165</v>
      </c>
      <c r="H75" s="768" t="s">
        <v>1177</v>
      </c>
      <c r="I75" s="768" t="s">
        <v>1180</v>
      </c>
      <c r="J75" s="768" t="s">
        <v>1183</v>
      </c>
      <c r="K75" s="757" t="s">
        <v>1185</v>
      </c>
    </row>
    <row r="76" spans="1:11" ht="15.75" x14ac:dyDescent="0.25">
      <c r="A76" s="1773"/>
      <c r="B76" s="742" t="s">
        <v>1411</v>
      </c>
      <c r="C76" s="755" t="s">
        <v>1166</v>
      </c>
      <c r="D76" s="768" t="s">
        <v>1169</v>
      </c>
      <c r="E76" s="768" t="s">
        <v>1172</v>
      </c>
      <c r="F76" s="768" t="s">
        <v>1169</v>
      </c>
      <c r="G76" s="768" t="s">
        <v>1176</v>
      </c>
      <c r="H76" s="768" t="s">
        <v>1178</v>
      </c>
      <c r="I76" s="768" t="s">
        <v>1181</v>
      </c>
      <c r="J76" s="768" t="s">
        <v>1155</v>
      </c>
      <c r="K76" s="757" t="s">
        <v>1186</v>
      </c>
    </row>
    <row r="77" spans="1:11" ht="15.75" x14ac:dyDescent="0.25">
      <c r="A77" s="1773"/>
      <c r="B77" s="742" t="s">
        <v>1412</v>
      </c>
      <c r="C77" s="755" t="s">
        <v>1167</v>
      </c>
      <c r="D77" s="768" t="s">
        <v>1170</v>
      </c>
      <c r="E77" s="768" t="s">
        <v>1173</v>
      </c>
      <c r="F77" s="768" t="s">
        <v>1175</v>
      </c>
      <c r="G77" s="768" t="s">
        <v>1156</v>
      </c>
      <c r="H77" s="768" t="s">
        <v>1179</v>
      </c>
      <c r="I77" s="768" t="s">
        <v>1182</v>
      </c>
      <c r="J77" s="768" t="s">
        <v>1184</v>
      </c>
      <c r="K77" s="757" t="s">
        <v>1187</v>
      </c>
    </row>
    <row r="78" spans="1:11" ht="16.5" thickBot="1" x14ac:dyDescent="0.3">
      <c r="A78" s="1774"/>
      <c r="B78" s="742" t="s">
        <v>970</v>
      </c>
      <c r="C78" s="743"/>
      <c r="D78" s="769"/>
      <c r="E78" s="769"/>
      <c r="F78" s="769"/>
      <c r="G78" s="769"/>
      <c r="H78" s="769"/>
      <c r="I78" s="769"/>
      <c r="J78" s="769"/>
      <c r="K78" s="744"/>
    </row>
    <row r="79" spans="1:11" ht="16.5" thickBot="1" x14ac:dyDescent="0.3">
      <c r="A79" s="746"/>
      <c r="B79" s="747" t="s">
        <v>790</v>
      </c>
      <c r="C79" s="749" t="s">
        <v>1391</v>
      </c>
      <c r="D79" s="749" t="s">
        <v>1391</v>
      </c>
      <c r="E79" s="750"/>
      <c r="F79" s="750"/>
      <c r="G79" s="750"/>
      <c r="H79" s="750"/>
      <c r="I79" s="750"/>
      <c r="J79" s="750"/>
      <c r="K79" s="750"/>
    </row>
    <row r="80" spans="1:11" ht="30.75" thickBot="1" x14ac:dyDescent="0.3">
      <c r="A80" s="746"/>
      <c r="B80" s="751" t="s">
        <v>1392</v>
      </c>
      <c r="C80" s="762" t="s">
        <v>1391</v>
      </c>
      <c r="D80" s="763" t="s">
        <v>1391</v>
      </c>
      <c r="E80" s="750"/>
      <c r="F80" s="750"/>
      <c r="G80" s="750"/>
      <c r="H80" s="750"/>
      <c r="I80" s="750"/>
      <c r="J80" s="750"/>
      <c r="K80" s="750"/>
    </row>
    <row r="81" spans="1:11" ht="16.5" customHeight="1" thickBot="1" x14ac:dyDescent="0.3">
      <c r="A81" s="785" t="s">
        <v>988</v>
      </c>
      <c r="B81" s="1769" t="s">
        <v>1421</v>
      </c>
      <c r="C81" s="1770"/>
      <c r="D81" s="1770"/>
      <c r="E81" s="1770"/>
      <c r="F81" s="1770"/>
      <c r="G81" s="1770"/>
      <c r="H81" s="1770"/>
      <c r="I81" s="1770"/>
      <c r="J81" s="1770"/>
      <c r="K81" s="1771"/>
    </row>
    <row r="82" spans="1:11" ht="15.75" x14ac:dyDescent="0.25">
      <c r="A82" s="1772" t="s">
        <v>789</v>
      </c>
      <c r="B82" s="776" t="s">
        <v>1422</v>
      </c>
      <c r="C82" s="755" t="s">
        <v>1042</v>
      </c>
      <c r="D82" s="768" t="s">
        <v>1042</v>
      </c>
      <c r="E82" s="768" t="s">
        <v>1042</v>
      </c>
      <c r="F82" s="768" t="s">
        <v>1042</v>
      </c>
      <c r="G82" s="768" t="s">
        <v>1105</v>
      </c>
      <c r="H82" s="768" t="s">
        <v>1208</v>
      </c>
      <c r="I82" s="768" t="s">
        <v>1165</v>
      </c>
      <c r="J82" s="768" t="s">
        <v>1157</v>
      </c>
      <c r="K82" s="757" t="s">
        <v>1073</v>
      </c>
    </row>
    <row r="83" spans="1:11" ht="15.75" x14ac:dyDescent="0.25">
      <c r="A83" s="1773"/>
      <c r="B83" s="742" t="s">
        <v>1423</v>
      </c>
      <c r="C83" s="755"/>
      <c r="D83" s="768"/>
      <c r="E83" s="768"/>
      <c r="F83" s="768"/>
      <c r="G83" s="768" t="s">
        <v>1122</v>
      </c>
      <c r="H83" s="768" t="s">
        <v>1116</v>
      </c>
      <c r="I83" s="768" t="s">
        <v>1189</v>
      </c>
      <c r="J83" s="768" t="s">
        <v>1169</v>
      </c>
      <c r="K83" s="757" t="s">
        <v>1103</v>
      </c>
    </row>
    <row r="84" spans="1:11" ht="15.75" x14ac:dyDescent="0.25">
      <c r="A84" s="1773"/>
      <c r="B84" s="742" t="s">
        <v>1424</v>
      </c>
      <c r="C84" s="755"/>
      <c r="D84" s="768"/>
      <c r="E84" s="768"/>
      <c r="F84" s="768"/>
      <c r="G84" s="768" t="s">
        <v>1152</v>
      </c>
      <c r="H84" s="768" t="s">
        <v>1124</v>
      </c>
      <c r="I84" s="768" t="s">
        <v>1117</v>
      </c>
      <c r="J84" s="768" t="s">
        <v>1199</v>
      </c>
      <c r="K84" s="757" t="s">
        <v>1235</v>
      </c>
    </row>
    <row r="85" spans="1:11" ht="16.5" thickBot="1" x14ac:dyDescent="0.3">
      <c r="A85" s="1774"/>
      <c r="B85" s="742" t="s">
        <v>965</v>
      </c>
      <c r="C85" s="743"/>
      <c r="D85" s="769"/>
      <c r="E85" s="769"/>
      <c r="F85" s="769"/>
      <c r="G85" s="769"/>
      <c r="H85" s="769"/>
      <c r="I85" s="769"/>
      <c r="J85" s="769"/>
      <c r="K85" s="744"/>
    </row>
    <row r="86" spans="1:11" ht="16.5" thickBot="1" x14ac:dyDescent="0.3">
      <c r="A86" s="746"/>
      <c r="B86" s="747" t="s">
        <v>790</v>
      </c>
      <c r="C86" s="749" t="s">
        <v>1391</v>
      </c>
      <c r="D86" s="749" t="s">
        <v>1391</v>
      </c>
      <c r="E86" s="750"/>
      <c r="F86" s="750"/>
      <c r="G86" s="750"/>
      <c r="H86" s="750"/>
      <c r="I86" s="750"/>
      <c r="J86" s="750"/>
      <c r="K86" s="750"/>
    </row>
    <row r="87" spans="1:11" ht="30.75" thickBot="1" x14ac:dyDescent="0.3">
      <c r="A87" s="746"/>
      <c r="B87" s="751" t="s">
        <v>1392</v>
      </c>
      <c r="C87" s="762" t="s">
        <v>1391</v>
      </c>
      <c r="D87" s="763" t="s">
        <v>1391</v>
      </c>
      <c r="E87" s="750"/>
      <c r="F87" s="750"/>
      <c r="G87" s="750"/>
      <c r="H87" s="750"/>
      <c r="I87" s="750"/>
      <c r="J87" s="750"/>
      <c r="K87" s="750"/>
    </row>
    <row r="88" spans="1:11" ht="31.5" customHeight="1" thickBot="1" x14ac:dyDescent="0.3">
      <c r="A88" s="785" t="s">
        <v>994</v>
      </c>
      <c r="B88" s="1769" t="s">
        <v>1001</v>
      </c>
      <c r="C88" s="1770"/>
      <c r="D88" s="1770"/>
      <c r="E88" s="1770"/>
      <c r="F88" s="1770"/>
      <c r="G88" s="1770"/>
      <c r="H88" s="1770"/>
      <c r="I88" s="1770"/>
      <c r="J88" s="1770"/>
      <c r="K88" s="1771"/>
    </row>
    <row r="89" spans="1:11" ht="15.75" x14ac:dyDescent="0.25">
      <c r="A89" s="1772" t="s">
        <v>789</v>
      </c>
      <c r="B89" s="776" t="s">
        <v>1002</v>
      </c>
      <c r="C89" s="755" t="s">
        <v>1042</v>
      </c>
      <c r="D89" s="768" t="s">
        <v>1042</v>
      </c>
      <c r="E89" s="768" t="s">
        <v>1042</v>
      </c>
      <c r="F89" s="768" t="s">
        <v>1042</v>
      </c>
      <c r="G89" s="768" t="s">
        <v>1105</v>
      </c>
      <c r="H89" s="768" t="s">
        <v>1208</v>
      </c>
      <c r="I89" s="768" t="s">
        <v>1165</v>
      </c>
      <c r="J89" s="768" t="s">
        <v>1157</v>
      </c>
      <c r="K89" s="757" t="s">
        <v>1073</v>
      </c>
    </row>
    <row r="90" spans="1:11" ht="15.75" x14ac:dyDescent="0.25">
      <c r="A90" s="1773"/>
      <c r="B90" s="742" t="s">
        <v>1003</v>
      </c>
      <c r="C90" s="755"/>
      <c r="D90" s="768"/>
      <c r="E90" s="768"/>
      <c r="F90" s="768"/>
      <c r="G90" s="768" t="s">
        <v>1122</v>
      </c>
      <c r="H90" s="768" t="s">
        <v>1116</v>
      </c>
      <c r="I90" s="768" t="s">
        <v>1189</v>
      </c>
      <c r="J90" s="768" t="s">
        <v>1169</v>
      </c>
      <c r="K90" s="757" t="s">
        <v>1103</v>
      </c>
    </row>
    <row r="91" spans="1:11" ht="15.75" x14ac:dyDescent="0.25">
      <c r="A91" s="1773"/>
      <c r="B91" s="742" t="s">
        <v>1004</v>
      </c>
      <c r="C91" s="755"/>
      <c r="D91" s="768"/>
      <c r="E91" s="768"/>
      <c r="F91" s="768"/>
      <c r="G91" s="768" t="s">
        <v>1152</v>
      </c>
      <c r="H91" s="768" t="s">
        <v>1124</v>
      </c>
      <c r="I91" s="768" t="s">
        <v>1117</v>
      </c>
      <c r="J91" s="768" t="s">
        <v>1199</v>
      </c>
      <c r="K91" s="757" t="s">
        <v>1235</v>
      </c>
    </row>
    <row r="92" spans="1:11" ht="16.5" thickBot="1" x14ac:dyDescent="0.3">
      <c r="A92" s="1774"/>
      <c r="B92" s="742" t="s">
        <v>965</v>
      </c>
      <c r="C92" s="743"/>
      <c r="D92" s="769"/>
      <c r="E92" s="769"/>
      <c r="F92" s="769"/>
      <c r="G92" s="769"/>
      <c r="H92" s="769"/>
      <c r="I92" s="769"/>
      <c r="J92" s="769"/>
      <c r="K92" s="744"/>
    </row>
    <row r="93" spans="1:11" ht="16.5" thickBot="1" x14ac:dyDescent="0.3">
      <c r="A93" s="746"/>
      <c r="B93" s="747" t="s">
        <v>790</v>
      </c>
      <c r="C93" s="749" t="s">
        <v>1391</v>
      </c>
      <c r="D93" s="749" t="s">
        <v>1391</v>
      </c>
      <c r="E93" s="750"/>
      <c r="F93" s="750"/>
      <c r="G93" s="750"/>
      <c r="H93" s="750"/>
      <c r="I93" s="750"/>
      <c r="J93" s="750"/>
      <c r="K93" s="750"/>
    </row>
    <row r="94" spans="1:11" ht="30.75" thickBot="1" x14ac:dyDescent="0.3">
      <c r="A94" s="746"/>
      <c r="B94" s="751" t="s">
        <v>1392</v>
      </c>
      <c r="C94" s="762" t="s">
        <v>1391</v>
      </c>
      <c r="D94" s="763" t="s">
        <v>1391</v>
      </c>
      <c r="E94" s="750"/>
      <c r="F94" s="750"/>
      <c r="G94" s="750"/>
      <c r="H94" s="750"/>
      <c r="I94" s="750"/>
      <c r="J94" s="750"/>
      <c r="K94" s="750"/>
    </row>
    <row r="95" spans="1:11" ht="31.5" customHeight="1" thickBot="1" x14ac:dyDescent="0.3">
      <c r="A95" s="785" t="s">
        <v>994</v>
      </c>
      <c r="B95" s="1769" t="s">
        <v>1001</v>
      </c>
      <c r="C95" s="1770"/>
      <c r="D95" s="1770"/>
      <c r="E95" s="1770"/>
      <c r="F95" s="1770"/>
      <c r="G95" s="1770"/>
      <c r="H95" s="1770"/>
      <c r="I95" s="1770"/>
      <c r="J95" s="1770"/>
      <c r="K95" s="1771"/>
    </row>
    <row r="96" spans="1:11" ht="15.75" x14ac:dyDescent="0.25">
      <c r="A96" s="1772" t="s">
        <v>789</v>
      </c>
      <c r="B96" s="776" t="s">
        <v>1002</v>
      </c>
      <c r="C96" s="755" t="s">
        <v>1232</v>
      </c>
      <c r="D96" s="768" t="s">
        <v>1232</v>
      </c>
      <c r="E96" s="768" t="s">
        <v>1232</v>
      </c>
      <c r="F96" s="768" t="s">
        <v>1232</v>
      </c>
      <c r="G96" s="768" t="s">
        <v>1118</v>
      </c>
      <c r="H96" s="768" t="s">
        <v>1115</v>
      </c>
      <c r="I96" s="768" t="s">
        <v>1105</v>
      </c>
      <c r="J96" s="768" t="s">
        <v>1218</v>
      </c>
      <c r="K96" s="757" t="s">
        <v>1237</v>
      </c>
    </row>
    <row r="97" spans="1:11" ht="15.75" x14ac:dyDescent="0.25">
      <c r="A97" s="1773"/>
      <c r="B97" s="742" t="s">
        <v>1003</v>
      </c>
      <c r="C97" s="755" t="s">
        <v>1094</v>
      </c>
      <c r="D97" s="768" t="s">
        <v>1094</v>
      </c>
      <c r="E97" s="768" t="s">
        <v>1094</v>
      </c>
      <c r="F97" s="768" t="s">
        <v>1094</v>
      </c>
      <c r="G97" s="768" t="s">
        <v>1100</v>
      </c>
      <c r="H97" s="768" t="s">
        <v>1103</v>
      </c>
      <c r="I97" s="768" t="s">
        <v>1236</v>
      </c>
      <c r="J97" s="768" t="s">
        <v>1113</v>
      </c>
      <c r="K97" s="757" t="s">
        <v>1109</v>
      </c>
    </row>
    <row r="98" spans="1:11" ht="15.75" x14ac:dyDescent="0.25">
      <c r="A98" s="1773"/>
      <c r="B98" s="742" t="s">
        <v>1004</v>
      </c>
      <c r="C98" s="755" t="s">
        <v>1233</v>
      </c>
      <c r="D98" s="768" t="s">
        <v>1233</v>
      </c>
      <c r="E98" s="768" t="s">
        <v>1233</v>
      </c>
      <c r="F98" s="768" t="s">
        <v>1233</v>
      </c>
      <c r="G98" s="768" t="s">
        <v>1234</v>
      </c>
      <c r="H98" s="768" t="s">
        <v>1235</v>
      </c>
      <c r="I98" s="768" t="s">
        <v>1123</v>
      </c>
      <c r="J98" s="768" t="s">
        <v>1119</v>
      </c>
      <c r="K98" s="757" t="s">
        <v>1119</v>
      </c>
    </row>
    <row r="99" spans="1:11" ht="16.5" thickBot="1" x14ac:dyDescent="0.3">
      <c r="A99" s="1774"/>
      <c r="B99" s="742" t="s">
        <v>965</v>
      </c>
      <c r="C99" s="743"/>
      <c r="D99" s="769"/>
      <c r="E99" s="769"/>
      <c r="F99" s="769"/>
      <c r="G99" s="769"/>
      <c r="H99" s="769"/>
      <c r="I99" s="769"/>
      <c r="J99" s="769"/>
      <c r="K99" s="744"/>
    </row>
    <row r="100" spans="1:11" ht="16.5" thickBot="1" x14ac:dyDescent="0.3">
      <c r="A100" s="746"/>
      <c r="B100" s="747" t="s">
        <v>790</v>
      </c>
      <c r="C100" s="749" t="s">
        <v>1391</v>
      </c>
      <c r="D100" s="749" t="s">
        <v>1391</v>
      </c>
      <c r="E100" s="750"/>
      <c r="F100" s="750"/>
      <c r="G100" s="750"/>
      <c r="H100" s="750"/>
      <c r="I100" s="750"/>
      <c r="J100" s="750"/>
      <c r="K100" s="750"/>
    </row>
    <row r="101" spans="1:11" ht="30.75" thickBot="1" x14ac:dyDescent="0.3">
      <c r="A101" s="746"/>
      <c r="B101" s="751" t="s">
        <v>1392</v>
      </c>
      <c r="C101" s="762" t="s">
        <v>1391</v>
      </c>
      <c r="D101" s="763" t="s">
        <v>1391</v>
      </c>
      <c r="E101" s="750"/>
      <c r="F101" s="750"/>
      <c r="G101" s="750"/>
      <c r="H101" s="750"/>
      <c r="I101" s="750"/>
      <c r="J101" s="750"/>
      <c r="K101" s="750"/>
    </row>
    <row r="102" spans="1:11" ht="19.5" customHeight="1" thickBot="1" x14ac:dyDescent="0.3">
      <c r="A102" s="785" t="s">
        <v>927</v>
      </c>
      <c r="B102" s="1769" t="s">
        <v>929</v>
      </c>
      <c r="C102" s="1770"/>
      <c r="D102" s="1770"/>
      <c r="E102" s="1770"/>
      <c r="F102" s="1770"/>
      <c r="G102" s="1770"/>
      <c r="H102" s="1770"/>
      <c r="I102" s="1770"/>
      <c r="J102" s="1770"/>
      <c r="K102" s="1771"/>
    </row>
    <row r="103" spans="1:11" ht="15.75" x14ac:dyDescent="0.25">
      <c r="A103" s="1772" t="s">
        <v>789</v>
      </c>
      <c r="B103" s="776" t="s">
        <v>1425</v>
      </c>
      <c r="C103" s="755" t="s">
        <v>1042</v>
      </c>
      <c r="D103" s="768" t="s">
        <v>1042</v>
      </c>
      <c r="E103" s="768" t="s">
        <v>1090</v>
      </c>
      <c r="F103" s="768" t="s">
        <v>1093</v>
      </c>
      <c r="G103" s="768" t="s">
        <v>1096</v>
      </c>
      <c r="H103" s="768" t="s">
        <v>1118</v>
      </c>
      <c r="I103" s="768" t="s">
        <v>1099</v>
      </c>
      <c r="J103" s="768" t="s">
        <v>1115</v>
      </c>
      <c r="K103" s="757" t="s">
        <v>1105</v>
      </c>
    </row>
    <row r="104" spans="1:11" ht="15.75" x14ac:dyDescent="0.25">
      <c r="A104" s="1773"/>
      <c r="B104" s="742" t="s">
        <v>1426</v>
      </c>
      <c r="C104" s="755"/>
      <c r="D104" s="768"/>
      <c r="E104" s="768" t="s">
        <v>1238</v>
      </c>
      <c r="F104" s="768" t="s">
        <v>1239</v>
      </c>
      <c r="G104" s="768" t="s">
        <v>1241</v>
      </c>
      <c r="H104" s="768" t="s">
        <v>1097</v>
      </c>
      <c r="I104" s="768" t="s">
        <v>1122</v>
      </c>
      <c r="J104" s="768" t="s">
        <v>1103</v>
      </c>
      <c r="K104" s="757" t="s">
        <v>1236</v>
      </c>
    </row>
    <row r="105" spans="1:11" ht="15.75" x14ac:dyDescent="0.25">
      <c r="A105" s="1773"/>
      <c r="B105" s="742" t="s">
        <v>1427</v>
      </c>
      <c r="C105" s="755"/>
      <c r="D105" s="768"/>
      <c r="E105" s="768" t="s">
        <v>1152</v>
      </c>
      <c r="F105" s="768" t="s">
        <v>1240</v>
      </c>
      <c r="G105" s="768" t="s">
        <v>1242</v>
      </c>
      <c r="H105" s="768" t="s">
        <v>1242</v>
      </c>
      <c r="I105" s="768" t="s">
        <v>1243</v>
      </c>
      <c r="J105" s="768" t="s">
        <v>1235</v>
      </c>
      <c r="K105" s="757" t="s">
        <v>1123</v>
      </c>
    </row>
    <row r="106" spans="1:11" ht="16.5" thickBot="1" x14ac:dyDescent="0.3">
      <c r="A106" s="1774"/>
      <c r="B106" s="742" t="s">
        <v>931</v>
      </c>
      <c r="C106" s="743"/>
      <c r="D106" s="769"/>
      <c r="E106" s="769"/>
      <c r="F106" s="769"/>
      <c r="G106" s="769"/>
      <c r="H106" s="769"/>
      <c r="I106" s="769"/>
      <c r="J106" s="769"/>
      <c r="K106" s="744"/>
    </row>
    <row r="107" spans="1:11" ht="16.5" thickBot="1" x14ac:dyDescent="0.3">
      <c r="A107" s="746"/>
      <c r="B107" s="747" t="s">
        <v>790</v>
      </c>
      <c r="C107" s="749" t="s">
        <v>1391</v>
      </c>
      <c r="D107" s="749" t="s">
        <v>1391</v>
      </c>
      <c r="E107" s="750"/>
      <c r="F107" s="750"/>
      <c r="G107" s="750"/>
      <c r="H107" s="750"/>
      <c r="I107" s="750"/>
      <c r="J107" s="750"/>
      <c r="K107" s="750"/>
    </row>
    <row r="108" spans="1:11" ht="30.75" thickBot="1" x14ac:dyDescent="0.3">
      <c r="A108" s="746"/>
      <c r="B108" s="751" t="s">
        <v>1392</v>
      </c>
      <c r="C108" s="752"/>
      <c r="D108" s="753"/>
      <c r="E108" s="750"/>
      <c r="F108" s="750"/>
      <c r="G108" s="750"/>
      <c r="H108" s="750"/>
      <c r="I108" s="750"/>
      <c r="J108" s="750"/>
      <c r="K108" s="750"/>
    </row>
    <row r="109" spans="1:11" ht="16.5" customHeight="1" thickBot="1" x14ac:dyDescent="0.3">
      <c r="A109" s="785" t="s">
        <v>1005</v>
      </c>
      <c r="B109" s="1769" t="s">
        <v>1007</v>
      </c>
      <c r="C109" s="1770"/>
      <c r="D109" s="1770"/>
      <c r="E109" s="1770"/>
      <c r="F109" s="1770"/>
      <c r="G109" s="1770"/>
      <c r="H109" s="1770"/>
      <c r="I109" s="1770"/>
      <c r="J109" s="1770"/>
      <c r="K109" s="1771"/>
    </row>
    <row r="110" spans="1:11" ht="15.75" x14ac:dyDescent="0.25">
      <c r="A110" s="1772" t="s">
        <v>789</v>
      </c>
      <c r="B110" s="776" t="s">
        <v>1008</v>
      </c>
      <c r="C110" s="755" t="s">
        <v>1042</v>
      </c>
      <c r="D110" s="768" t="s">
        <v>1042</v>
      </c>
      <c r="E110" s="768" t="s">
        <v>1096</v>
      </c>
      <c r="F110" s="768" t="s">
        <v>1157</v>
      </c>
      <c r="G110" s="768" t="s">
        <v>1149</v>
      </c>
      <c r="H110" s="768" t="s">
        <v>1245</v>
      </c>
      <c r="I110" s="768" t="s">
        <v>1248</v>
      </c>
      <c r="J110" s="768" t="s">
        <v>1251</v>
      </c>
      <c r="K110" s="757" t="s">
        <v>1254</v>
      </c>
    </row>
    <row r="111" spans="1:11" ht="15.75" x14ac:dyDescent="0.25">
      <c r="A111" s="1773"/>
      <c r="B111" s="742" t="s">
        <v>1428</v>
      </c>
      <c r="C111" s="755"/>
      <c r="D111" s="768"/>
      <c r="E111" s="768" t="s">
        <v>1094</v>
      </c>
      <c r="F111" s="768" t="s">
        <v>1169</v>
      </c>
      <c r="G111" s="768" t="s">
        <v>1244</v>
      </c>
      <c r="H111" s="768" t="s">
        <v>1246</v>
      </c>
      <c r="I111" s="768" t="s">
        <v>1249</v>
      </c>
      <c r="J111" s="768" t="s">
        <v>1252</v>
      </c>
      <c r="K111" s="757" t="s">
        <v>1255</v>
      </c>
    </row>
    <row r="112" spans="1:11" ht="15.75" x14ac:dyDescent="0.25">
      <c r="A112" s="1773"/>
      <c r="B112" s="742" t="s">
        <v>1010</v>
      </c>
      <c r="C112" s="755"/>
      <c r="D112" s="768"/>
      <c r="E112" s="768" t="s">
        <v>1152</v>
      </c>
      <c r="F112" s="768" t="s">
        <v>1117</v>
      </c>
      <c r="G112" s="768" t="s">
        <v>1156</v>
      </c>
      <c r="H112" s="768" t="s">
        <v>1247</v>
      </c>
      <c r="I112" s="768" t="s">
        <v>1250</v>
      </c>
      <c r="J112" s="768" t="s">
        <v>1253</v>
      </c>
      <c r="K112" s="757" t="s">
        <v>1256</v>
      </c>
    </row>
    <row r="113" spans="1:11" ht="16.5" thickBot="1" x14ac:dyDescent="0.3">
      <c r="A113" s="1774"/>
      <c r="B113" s="742" t="s">
        <v>1429</v>
      </c>
      <c r="C113" s="743"/>
      <c r="D113" s="769"/>
      <c r="E113" s="769"/>
      <c r="F113" s="769"/>
      <c r="G113" s="769"/>
      <c r="H113" s="769"/>
      <c r="I113" s="769"/>
      <c r="J113" s="769"/>
      <c r="K113" s="744"/>
    </row>
    <row r="114" spans="1:11" ht="16.5" thickBot="1" x14ac:dyDescent="0.3">
      <c r="A114" s="746"/>
      <c r="B114" s="747" t="s">
        <v>790</v>
      </c>
      <c r="C114" s="749" t="s">
        <v>1391</v>
      </c>
      <c r="D114" s="749" t="s">
        <v>1391</v>
      </c>
      <c r="E114" s="750"/>
      <c r="F114" s="750"/>
      <c r="G114" s="750"/>
      <c r="H114" s="750"/>
      <c r="I114" s="750"/>
      <c r="J114" s="750"/>
      <c r="K114" s="750"/>
    </row>
    <row r="115" spans="1:11" ht="30.75" thickBot="1" x14ac:dyDescent="0.3">
      <c r="A115" s="760"/>
      <c r="B115" s="761" t="s">
        <v>1392</v>
      </c>
      <c r="C115" s="752"/>
      <c r="D115" s="753"/>
      <c r="E115" s="750"/>
      <c r="F115" s="750"/>
      <c r="G115" s="750"/>
      <c r="H115" s="750"/>
      <c r="I115" s="750"/>
      <c r="J115" s="750"/>
      <c r="K115" s="750"/>
    </row>
    <row r="116" spans="1:11" ht="16.5" customHeight="1" thickBot="1" x14ac:dyDescent="0.3">
      <c r="A116" s="785" t="s">
        <v>1011</v>
      </c>
      <c r="B116" s="1769" t="s">
        <v>1013</v>
      </c>
      <c r="C116" s="1770"/>
      <c r="D116" s="1770"/>
      <c r="E116" s="1770"/>
      <c r="F116" s="1770"/>
      <c r="G116" s="1770"/>
      <c r="H116" s="1770"/>
      <c r="I116" s="1770"/>
      <c r="J116" s="1770"/>
      <c r="K116" s="1771"/>
    </row>
    <row r="117" spans="1:11" ht="16.5" thickBot="1" x14ac:dyDescent="0.3">
      <c r="A117" s="1781" t="s">
        <v>789</v>
      </c>
      <c r="B117" s="766" t="s">
        <v>1014</v>
      </c>
      <c r="C117" s="748" t="s">
        <v>1257</v>
      </c>
      <c r="D117" s="748" t="s">
        <v>1260</v>
      </c>
      <c r="E117" s="748" t="s">
        <v>1076</v>
      </c>
      <c r="F117" s="748" t="s">
        <v>1161</v>
      </c>
      <c r="G117" s="748" t="s">
        <v>1157</v>
      </c>
      <c r="H117" s="748" t="s">
        <v>1220</v>
      </c>
      <c r="I117" s="748" t="s">
        <v>1267</v>
      </c>
      <c r="J117" s="748" t="s">
        <v>1268</v>
      </c>
      <c r="K117" s="748" t="s">
        <v>1183</v>
      </c>
    </row>
    <row r="118" spans="1:11" ht="16.5" thickBot="1" x14ac:dyDescent="0.3">
      <c r="A118" s="1782"/>
      <c r="B118" s="765" t="s">
        <v>1015</v>
      </c>
      <c r="C118" s="748" t="s">
        <v>1258</v>
      </c>
      <c r="D118" s="748" t="s">
        <v>1261</v>
      </c>
      <c r="E118" s="748" t="s">
        <v>1263</v>
      </c>
      <c r="F118" s="748" t="s">
        <v>1086</v>
      </c>
      <c r="G118" s="748" t="s">
        <v>1265</v>
      </c>
      <c r="H118" s="748" t="s">
        <v>1062</v>
      </c>
      <c r="I118" s="748" t="s">
        <v>1162</v>
      </c>
      <c r="J118" s="748" t="s">
        <v>1160</v>
      </c>
      <c r="K118" s="748" t="s">
        <v>1158</v>
      </c>
    </row>
    <row r="119" spans="1:11" ht="16.5" thickBot="1" x14ac:dyDescent="0.3">
      <c r="A119" s="1782"/>
      <c r="B119" s="765" t="s">
        <v>1016</v>
      </c>
      <c r="C119" s="748" t="s">
        <v>1259</v>
      </c>
      <c r="D119" s="748" t="s">
        <v>1262</v>
      </c>
      <c r="E119" s="748" t="s">
        <v>1264</v>
      </c>
      <c r="F119" s="748" t="s">
        <v>1247</v>
      </c>
      <c r="G119" s="748" t="s">
        <v>1266</v>
      </c>
      <c r="H119" s="748" t="s">
        <v>1087</v>
      </c>
      <c r="I119" s="748" t="s">
        <v>1084</v>
      </c>
      <c r="J119" s="748" t="s">
        <v>1081</v>
      </c>
      <c r="K119" s="748" t="s">
        <v>1078</v>
      </c>
    </row>
    <row r="120" spans="1:11" ht="16.5" thickBot="1" x14ac:dyDescent="0.3">
      <c r="A120" s="1783"/>
      <c r="B120" s="765" t="s">
        <v>1430</v>
      </c>
      <c r="C120" s="745"/>
      <c r="D120" s="745"/>
      <c r="E120" s="745"/>
      <c r="F120" s="745"/>
      <c r="G120" s="745"/>
      <c r="H120" s="745"/>
      <c r="I120" s="745"/>
      <c r="J120" s="745"/>
      <c r="K120" s="745"/>
    </row>
    <row r="121" spans="1:11" ht="16.5" thickBot="1" x14ac:dyDescent="0.3">
      <c r="A121" s="753"/>
      <c r="B121" s="764" t="s">
        <v>790</v>
      </c>
      <c r="C121" s="749" t="s">
        <v>1391</v>
      </c>
      <c r="D121" s="749" t="s">
        <v>1391</v>
      </c>
      <c r="E121" s="750"/>
      <c r="F121" s="750"/>
      <c r="G121" s="750"/>
      <c r="H121" s="750"/>
      <c r="I121" s="750"/>
      <c r="J121" s="750"/>
      <c r="K121" s="750"/>
    </row>
    <row r="122" spans="1:11" ht="30.75" thickBot="1" x14ac:dyDescent="0.3">
      <c r="A122" s="753"/>
      <c r="B122" s="766" t="s">
        <v>1392</v>
      </c>
      <c r="C122" s="750"/>
      <c r="D122" s="750"/>
      <c r="E122" s="750"/>
      <c r="F122" s="750"/>
      <c r="G122" s="750"/>
      <c r="H122" s="750"/>
      <c r="I122" s="750"/>
      <c r="J122" s="750"/>
      <c r="K122" s="750"/>
    </row>
  </sheetData>
  <mergeCells count="39">
    <mergeCell ref="A117:A120"/>
    <mergeCell ref="B102:K102"/>
    <mergeCell ref="A103:A106"/>
    <mergeCell ref="B109:K109"/>
    <mergeCell ref="A110:A113"/>
    <mergeCell ref="B116:K116"/>
    <mergeCell ref="A82:A85"/>
    <mergeCell ref="B88:K88"/>
    <mergeCell ref="A89:A92"/>
    <mergeCell ref="B95:K95"/>
    <mergeCell ref="A96:A99"/>
    <mergeCell ref="B67:K67"/>
    <mergeCell ref="A68:A71"/>
    <mergeCell ref="B74:K74"/>
    <mergeCell ref="A75:A78"/>
    <mergeCell ref="B81:K81"/>
    <mergeCell ref="A47:A50"/>
    <mergeCell ref="B53:K53"/>
    <mergeCell ref="A54:A57"/>
    <mergeCell ref="B60:K60"/>
    <mergeCell ref="A61:A64"/>
    <mergeCell ref="B32:K32"/>
    <mergeCell ref="A33:A36"/>
    <mergeCell ref="B39:K39"/>
    <mergeCell ref="A40:A43"/>
    <mergeCell ref="B46:K46"/>
    <mergeCell ref="B18:K18"/>
    <mergeCell ref="A19:A22"/>
    <mergeCell ref="B25:K25"/>
    <mergeCell ref="A26:A29"/>
    <mergeCell ref="C26:C29"/>
    <mergeCell ref="D26:D29"/>
    <mergeCell ref="B4:K4"/>
    <mergeCell ref="A5:A8"/>
    <mergeCell ref="B11:K11"/>
    <mergeCell ref="A12:A15"/>
    <mergeCell ref="C12:C15"/>
    <mergeCell ref="D12:D15"/>
    <mergeCell ref="E12:E15"/>
  </mergeCells>
  <pageMargins left="0.25" right="0.25" top="0.75" bottom="0.75" header="0.3" footer="0.3"/>
  <pageSetup paperSize="9" scale="97" fitToHeight="0"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181"/>
  <sheetViews>
    <sheetView workbookViewId="0">
      <pane ySplit="2610" topLeftCell="A128" activePane="bottomLeft"/>
      <selection activeCell="A3" sqref="A1:C1048576"/>
      <selection pane="bottomLeft" activeCell="I132" sqref="I132"/>
    </sheetView>
  </sheetViews>
  <sheetFormatPr defaultRowHeight="15" x14ac:dyDescent="0.25"/>
  <cols>
    <col min="1" max="1" width="7.85546875" bestFit="1" customWidth="1"/>
    <col min="2" max="2" width="13" customWidth="1"/>
    <col min="3" max="3" width="37.28515625" customWidth="1"/>
    <col min="4" max="4" width="13.140625" customWidth="1"/>
    <col min="5" max="5" width="13" customWidth="1"/>
    <col min="6" max="6" width="11.28515625" bestFit="1" customWidth="1"/>
    <col min="7" max="7" width="27.140625" customWidth="1"/>
    <col min="8" max="8" width="5.42578125" bestFit="1" customWidth="1"/>
    <col min="9" max="9" width="5.5703125" bestFit="1" customWidth="1"/>
    <col min="10" max="10" width="14.28515625" bestFit="1" customWidth="1"/>
    <col min="11" max="11" width="12.85546875" customWidth="1"/>
    <col min="12" max="13" width="12.7109375" bestFit="1" customWidth="1"/>
    <col min="14" max="14" width="9.140625" bestFit="1" customWidth="1"/>
    <col min="15" max="15" width="14.28515625" bestFit="1" customWidth="1"/>
    <col min="16" max="16" width="9" bestFit="1" customWidth="1"/>
    <col min="17" max="17" width="9.5703125" customWidth="1"/>
    <col min="18" max="18" width="9.7109375" hidden="1" customWidth="1"/>
    <col min="19" max="19" width="9.7109375" customWidth="1"/>
  </cols>
  <sheetData>
    <row r="1" spans="1:19" ht="16.5" thickBot="1" x14ac:dyDescent="0.3">
      <c r="A1" s="1793" t="s">
        <v>720</v>
      </c>
      <c r="B1" s="1793"/>
      <c r="C1" s="1794"/>
      <c r="D1" s="1794"/>
      <c r="E1" s="1794"/>
      <c r="F1" s="1794"/>
      <c r="G1" s="1794"/>
      <c r="H1" s="1794"/>
      <c r="I1" s="1794"/>
      <c r="J1" s="1794"/>
      <c r="K1" s="1794"/>
    </row>
    <row r="2" spans="1:19" ht="30.75" customHeight="1" thickBot="1" x14ac:dyDescent="0.3">
      <c r="A2" s="1791" t="s">
        <v>46</v>
      </c>
      <c r="B2" s="1792"/>
      <c r="C2" s="1792"/>
      <c r="D2" s="1792"/>
      <c r="E2" s="1792"/>
      <c r="F2" s="1792"/>
      <c r="G2" s="1792"/>
      <c r="H2" s="1792"/>
      <c r="I2" s="1795"/>
      <c r="J2" s="1796" t="s">
        <v>47</v>
      </c>
      <c r="K2" s="1797"/>
      <c r="L2" s="1797"/>
      <c r="M2" s="1797"/>
      <c r="N2" s="1797"/>
      <c r="O2" s="1798"/>
      <c r="P2" s="1791" t="s">
        <v>721</v>
      </c>
      <c r="Q2" s="1792"/>
      <c r="R2" s="1792"/>
      <c r="S2" s="1693"/>
    </row>
    <row r="3" spans="1:19" ht="51.75" thickBot="1" x14ac:dyDescent="0.3">
      <c r="A3" s="275" t="s">
        <v>7</v>
      </c>
      <c r="B3" s="434" t="s">
        <v>739</v>
      </c>
      <c r="C3" s="276" t="s">
        <v>49</v>
      </c>
      <c r="D3" s="276" t="s">
        <v>50</v>
      </c>
      <c r="E3" s="276" t="s">
        <v>51</v>
      </c>
      <c r="F3" s="276" t="s">
        <v>52</v>
      </c>
      <c r="G3" s="276" t="s">
        <v>722</v>
      </c>
      <c r="H3" s="276" t="s">
        <v>723</v>
      </c>
      <c r="I3" s="277" t="s">
        <v>724</v>
      </c>
      <c r="J3" s="275" t="s">
        <v>57</v>
      </c>
      <c r="K3" s="276" t="s">
        <v>58</v>
      </c>
      <c r="L3" s="276" t="s">
        <v>59</v>
      </c>
      <c r="M3" s="276" t="s">
        <v>60</v>
      </c>
      <c r="N3" s="276" t="s">
        <v>61</v>
      </c>
      <c r="O3" s="277" t="s">
        <v>10</v>
      </c>
      <c r="P3" s="628" t="s">
        <v>736</v>
      </c>
      <c r="Q3" s="628" t="s">
        <v>737</v>
      </c>
      <c r="R3" s="777" t="s">
        <v>732</v>
      </c>
      <c r="S3" s="778" t="s">
        <v>1536</v>
      </c>
    </row>
    <row r="4" spans="1:19" ht="16.5" thickBot="1" x14ac:dyDescent="0.3">
      <c r="A4" s="435"/>
      <c r="B4" s="436"/>
      <c r="C4" s="437"/>
      <c r="D4" s="437"/>
      <c r="E4" s="437"/>
      <c r="F4" s="437"/>
      <c r="G4" s="437"/>
      <c r="H4" s="437"/>
      <c r="I4" s="438"/>
      <c r="J4" s="435"/>
      <c r="K4" s="437"/>
      <c r="L4" s="437"/>
      <c r="M4" s="437"/>
      <c r="N4" s="437"/>
      <c r="O4" s="438"/>
      <c r="P4" s="270" t="s">
        <v>725</v>
      </c>
      <c r="Q4" s="270" t="s">
        <v>728</v>
      </c>
      <c r="R4" s="256" t="s">
        <v>733</v>
      </c>
      <c r="S4" s="779" t="s">
        <v>735</v>
      </c>
    </row>
    <row r="5" spans="1:19" ht="16.5" thickBot="1" x14ac:dyDescent="0.3">
      <c r="A5" s="439"/>
      <c r="B5" s="440"/>
      <c r="C5" s="441"/>
      <c r="D5" s="441"/>
      <c r="E5" s="441"/>
      <c r="F5" s="441"/>
      <c r="G5" s="441"/>
      <c r="H5" s="441"/>
      <c r="I5" s="371"/>
      <c r="J5" s="442"/>
      <c r="K5" s="443"/>
      <c r="L5" s="443"/>
      <c r="M5" s="443"/>
      <c r="N5" s="443"/>
      <c r="O5" s="444"/>
      <c r="P5" s="780"/>
      <c r="Q5" s="781"/>
      <c r="R5" s="782"/>
      <c r="S5" s="783"/>
    </row>
    <row r="6" spans="1:19" ht="60" customHeight="1" thickBot="1" x14ac:dyDescent="0.35">
      <c r="A6" s="655" t="str">
        <f>CONCATENATE('3 pr-2'!A7)</f>
        <v>1.1.</v>
      </c>
      <c r="B6" s="656"/>
      <c r="C6" s="1799" t="str">
        <f>CONCATENATE('3 pr-2'!D7)</f>
        <v/>
      </c>
      <c r="D6" s="1800" t="str">
        <f>CONCATENATE('3 pr-2'!E7)</f>
        <v/>
      </c>
      <c r="E6" s="1800" t="str">
        <f>CONCATENATE('3 pr-2'!F7)</f>
        <v/>
      </c>
      <c r="F6" s="1800" t="str">
        <f>CONCATENATE('3 pr-2'!G7)</f>
        <v/>
      </c>
      <c r="G6" s="1800" t="str">
        <f>CONCATENATE('3 pr-2'!H7)</f>
        <v/>
      </c>
      <c r="H6" s="1800" t="str">
        <f>CONCATENATE('3 pr-2'!I7)</f>
        <v/>
      </c>
      <c r="I6" s="1801" t="str">
        <f>CONCATENATE('3 pr-2'!J7)</f>
        <v/>
      </c>
      <c r="J6" s="657">
        <f>SUM(J7+J72)</f>
        <v>41120688.500000007</v>
      </c>
      <c r="K6" s="657">
        <f t="shared" ref="K6:O6" si="0">SUM(K7+K72)</f>
        <v>3828733.5699999994</v>
      </c>
      <c r="L6" s="657">
        <f t="shared" si="0"/>
        <v>1312154.9300000002</v>
      </c>
      <c r="M6" s="657">
        <f t="shared" si="0"/>
        <v>8638955.3399999999</v>
      </c>
      <c r="N6" s="657">
        <f t="shared" si="0"/>
        <v>62660</v>
      </c>
      <c r="O6" s="657">
        <f t="shared" si="0"/>
        <v>27278184.659999996</v>
      </c>
      <c r="P6" s="222" t="s">
        <v>725</v>
      </c>
      <c r="Q6" s="222" t="s">
        <v>725</v>
      </c>
      <c r="R6" s="222" t="s">
        <v>725</v>
      </c>
      <c r="S6" s="222"/>
    </row>
    <row r="7" spans="1:19" ht="59.25" customHeight="1" thickBot="1" x14ac:dyDescent="0.3">
      <c r="A7" s="345" t="s">
        <v>726</v>
      </c>
      <c r="B7" s="648"/>
      <c r="C7" s="1668" t="str">
        <f>CONCATENATE('3 pr-2'!D8)</f>
        <v/>
      </c>
      <c r="D7" s="1669" t="str">
        <f>CONCATENATE('3 pr-2'!E8)</f>
        <v/>
      </c>
      <c r="E7" s="1669" t="str">
        <f>CONCATENATE('3 pr-2'!F8)</f>
        <v/>
      </c>
      <c r="F7" s="1669" t="str">
        <f>CONCATENATE('3 pr-2'!G8)</f>
        <v/>
      </c>
      <c r="G7" s="1669" t="str">
        <f>CONCATENATE('3 pr-2'!H8)</f>
        <v/>
      </c>
      <c r="H7" s="1669" t="str">
        <f>CONCATENATE('3 pr-2'!I8)</f>
        <v/>
      </c>
      <c r="I7" s="1670" t="str">
        <f>CONCATENATE('3 pr-2'!J8)</f>
        <v/>
      </c>
      <c r="J7" s="303">
        <f>SUM(J8+J32+J38+J45+J49+J55+J57+J61+J66)</f>
        <v>34302652.941764712</v>
      </c>
      <c r="K7" s="303">
        <f t="shared" ref="K7:O7" si="1">SUM(K8+K32+K38+K45+K49+K55+K57+K61+K66)</f>
        <v>2270894.8717647055</v>
      </c>
      <c r="L7" s="303">
        <f t="shared" si="1"/>
        <v>1312154.9300000002</v>
      </c>
      <c r="M7" s="303">
        <f t="shared" si="1"/>
        <v>8216263.3399999999</v>
      </c>
      <c r="N7" s="303">
        <f t="shared" si="1"/>
        <v>0</v>
      </c>
      <c r="O7" s="303">
        <f t="shared" si="1"/>
        <v>22503339.799999997</v>
      </c>
      <c r="P7" s="311" t="s">
        <v>725</v>
      </c>
      <c r="Q7" s="650" t="s">
        <v>725</v>
      </c>
      <c r="R7" s="649" t="s">
        <v>725</v>
      </c>
      <c r="S7" s="314"/>
    </row>
    <row r="8" spans="1:19" ht="33.75" customHeight="1" thickBot="1" x14ac:dyDescent="0.3">
      <c r="A8" s="497" t="s">
        <v>67</v>
      </c>
      <c r="B8" s="613"/>
      <c r="C8" s="1656" t="str">
        <f>CONCATENATE('3 pr-2'!D9)</f>
        <v/>
      </c>
      <c r="D8" s="1789" t="str">
        <f>CONCATENATE('3 pr-2'!E9)</f>
        <v/>
      </c>
      <c r="E8" s="1789" t="str">
        <f>CONCATENATE('3 pr-2'!F9)</f>
        <v/>
      </c>
      <c r="F8" s="1789" t="str">
        <f>CONCATENATE('3 pr-2'!G9)</f>
        <v/>
      </c>
      <c r="G8" s="1789" t="str">
        <f>CONCATENATE('3 pr-2'!H9)</f>
        <v/>
      </c>
      <c r="H8" s="1789" t="str">
        <f>CONCATENATE('3 pr-2'!I9)</f>
        <v/>
      </c>
      <c r="I8" s="1790" t="str">
        <f>CONCATENATE('3 pr-2'!J9)</f>
        <v/>
      </c>
      <c r="J8" s="629">
        <f>SUM(J9:J31)</f>
        <v>4207747</v>
      </c>
      <c r="K8" s="629">
        <f t="shared" ref="K8:O8" si="2">SUM(K9:K31)</f>
        <v>908274</v>
      </c>
      <c r="L8" s="629">
        <f t="shared" si="2"/>
        <v>494922</v>
      </c>
      <c r="M8" s="629">
        <f t="shared" si="2"/>
        <v>0</v>
      </c>
      <c r="N8" s="629">
        <f t="shared" si="2"/>
        <v>0</v>
      </c>
      <c r="O8" s="629">
        <f t="shared" si="2"/>
        <v>2804551</v>
      </c>
      <c r="P8" s="630"/>
      <c r="Q8" s="631"/>
      <c r="R8" s="630"/>
      <c r="S8" s="631"/>
    </row>
    <row r="9" spans="1:19" ht="48.75" x14ac:dyDescent="0.25">
      <c r="A9" s="255" t="str">
        <f>CONCATENATE('3 pr-2'!A10)</f>
        <v>1.1.1.1.1</v>
      </c>
      <c r="B9" s="473" t="s">
        <v>1507</v>
      </c>
      <c r="C9" s="255" t="str">
        <f>CONCATENATE('3 pr-2'!D10)</f>
        <v xml:space="preserve">Druskininkų savivaldybės Viečiūnų seniūnijos Ilgio ir Raigardo seniūnaitijų kelių būklės gerinimas  </v>
      </c>
      <c r="D9" s="255" t="str">
        <f>CONCATENATE('3 pr-2'!E10)</f>
        <v xml:space="preserve">Druskininkų savivaldybės administracija  </v>
      </c>
      <c r="E9" s="255" t="str">
        <f>CONCATENATE('3 pr-2'!F10)</f>
        <v>Lietuvos Respublikos žemės ūkio ministerija</v>
      </c>
      <c r="F9" s="255" t="str">
        <f>CONCATENATE('3 pr-2'!G10)</f>
        <v>Druskininkų savivaldybė</v>
      </c>
      <c r="G9" s="255" t="str">
        <f>CONCATENATE('3 pr-2'!H10)</f>
        <v xml:space="preserve">Pagrindinės paslaugos ir kaimų atnaujinimas kaimo vietovėse </v>
      </c>
      <c r="H9" s="255" t="str">
        <f>CONCATENATE('3 pr-2'!I10)</f>
        <v>R</v>
      </c>
      <c r="I9" s="255" t="str">
        <f>CONCATENATE('3 pr-2'!J10)</f>
        <v>-</v>
      </c>
      <c r="J9" s="474">
        <f>IF(Q9&gt;0,'3 pr-2'!L10,0)</f>
        <v>198893</v>
      </c>
      <c r="K9" s="474">
        <f>IF(Q9&gt;0,'3 pr-2'!O10,0)</f>
        <v>39779</v>
      </c>
      <c r="L9" s="474">
        <f>IF(Q9&gt;0,'3 pr-2'!R10,0)</f>
        <v>23867</v>
      </c>
      <c r="M9" s="474">
        <f>IF(Q9&gt;0,'3 pr-2'!U10,0)</f>
        <v>0</v>
      </c>
      <c r="N9" s="474">
        <f>IF(Q9&gt;0,'3 pr-2'!X10,0)</f>
        <v>0</v>
      </c>
      <c r="O9" s="474">
        <f>IF(Q9&gt;0,'3 pr-2'!AA10,0)</f>
        <v>135247</v>
      </c>
      <c r="P9" s="290">
        <f>SUM('3 pr-2'!AF10)</f>
        <v>42855</v>
      </c>
      <c r="Q9" s="675">
        <v>42839</v>
      </c>
      <c r="R9" s="291">
        <f>IF((YEAR(P9)-YEAR(Q9))=0,0,YEAR(P9)-YEAR(Q9))</f>
        <v>0</v>
      </c>
      <c r="S9" s="720" t="str">
        <f>IF(P9-Q9&lt;0,(P9-Q9)/30.41667,"–")</f>
        <v>–</v>
      </c>
    </row>
    <row r="10" spans="1:19" ht="48.75" x14ac:dyDescent="0.25">
      <c r="A10" s="255" t="str">
        <f>CONCATENATE('3 pr-2'!A11)</f>
        <v>1.1.1.1.2</v>
      </c>
      <c r="B10" s="473" t="s">
        <v>1508</v>
      </c>
      <c r="C10" s="255" t="str">
        <f>CONCATENATE('3 pr-2'!D11)</f>
        <v>Druskininkų savivaldybės Viečiūnų seniūnijos Ratnyčėlės seniūnaitijos kelių būklės gerinimas</v>
      </c>
      <c r="D10" s="255" t="str">
        <f>CONCATENATE('3 pr-2'!E11)</f>
        <v xml:space="preserve">Druskininkų savivaldybės administracija  </v>
      </c>
      <c r="E10" s="255" t="str">
        <f>CONCATENATE('3 pr-2'!F11)</f>
        <v>Lietuvos Respublikos žemės ūkio ministerija</v>
      </c>
      <c r="F10" s="255" t="str">
        <f>CONCATENATE('3 pr-2'!G11)</f>
        <v>Druskininkų savivaldybė</v>
      </c>
      <c r="G10" s="255" t="str">
        <f>CONCATENATE('3 pr-2'!H11)</f>
        <v xml:space="preserve">Pagrindinės paslaugos ir kaimų atnaujinimas kaimo vietovėse </v>
      </c>
      <c r="H10" s="255" t="str">
        <f>CONCATENATE('3 pr-2'!I11)</f>
        <v>R</v>
      </c>
      <c r="I10" s="255" t="str">
        <f>CONCATENATE('3 pr-2'!J11)</f>
        <v>-</v>
      </c>
      <c r="J10" s="474">
        <f>IF(Q10&gt;0,'3 pr-2'!L11,0)</f>
        <v>151340</v>
      </c>
      <c r="K10" s="474">
        <f>IF(Q10&gt;0,'3 pr-2'!O11,0)</f>
        <v>30268</v>
      </c>
      <c r="L10" s="474">
        <f>IF(Q10&gt;0,'3 pr-2'!R11,0)</f>
        <v>18161</v>
      </c>
      <c r="M10" s="474">
        <f>IF(Q10&gt;0,'3 pr-2'!U11,0)</f>
        <v>0</v>
      </c>
      <c r="N10" s="474">
        <f>IF(Q10&gt;0,'3 pr-2'!X11,0)</f>
        <v>0</v>
      </c>
      <c r="O10" s="474">
        <f>IF(Q10&gt;0,'3 pr-2'!AA11,0)</f>
        <v>102911</v>
      </c>
      <c r="P10" s="290">
        <f>SUM('3 pr-2'!AF11)</f>
        <v>42855</v>
      </c>
      <c r="Q10" s="675">
        <v>42839</v>
      </c>
      <c r="R10" s="291">
        <f>IF((YEAR(P10)-YEAR(Q10))=0,0,YEAR(P10)-YEAR(Q10))</f>
        <v>0</v>
      </c>
      <c r="S10" s="720" t="str">
        <f t="shared" ref="S10:S71" si="3">IF(P10-Q10&lt;0,(P10-Q10)/30.41667,"–")</f>
        <v>–</v>
      </c>
    </row>
    <row r="11" spans="1:19" ht="48.75" x14ac:dyDescent="0.25">
      <c r="A11" s="255" t="str">
        <f>CONCATENATE('3 pr-2'!A12)</f>
        <v>1.1.1.1.3</v>
      </c>
      <c r="B11" s="473" t="s">
        <v>1509</v>
      </c>
      <c r="C11" s="255" t="str">
        <f>CONCATENATE('3 pr-2'!D12)</f>
        <v>Druskininkų savivaldybės Leipalingio seniūnijos Klonio seniūnaitijos kelių būklės gerinimas</v>
      </c>
      <c r="D11" s="255" t="str">
        <f>CONCATENATE('3 pr-2'!E12)</f>
        <v xml:space="preserve">Druskininkų savivaldybės administracija  </v>
      </c>
      <c r="E11" s="255" t="str">
        <f>CONCATENATE('3 pr-2'!F12)</f>
        <v>Lietuvos Respublikos žemės ūkio ministerija</v>
      </c>
      <c r="F11" s="255" t="str">
        <f>CONCATENATE('3 pr-2'!G12)</f>
        <v>Druskininkų savivaldybė</v>
      </c>
      <c r="G11" s="255" t="str">
        <f>CONCATENATE('3 pr-2'!H12)</f>
        <v xml:space="preserve">Pagrindinės paslaugos ir kaimų atnaujinimas kaimo vietovėse </v>
      </c>
      <c r="H11" s="255" t="str">
        <f>CONCATENATE('3 pr-2'!I12)</f>
        <v>R</v>
      </c>
      <c r="I11" s="255" t="str">
        <f>CONCATENATE('3 pr-2'!J12)</f>
        <v>-</v>
      </c>
      <c r="J11" s="474">
        <f>IF(Q11&gt;0,'3 pr-2'!L12,0)</f>
        <v>193059</v>
      </c>
      <c r="K11" s="474">
        <f>IF(Q11&gt;0,'3 pr-2'!O12,0)</f>
        <v>38612</v>
      </c>
      <c r="L11" s="474">
        <f>IF(Q11&gt;0,'3 pr-2'!R12,0)</f>
        <v>23167</v>
      </c>
      <c r="M11" s="474">
        <f>IF(Q11&gt;0,'3 pr-2'!U12,0)</f>
        <v>0</v>
      </c>
      <c r="N11" s="474">
        <f>IF(Q11&gt;0,'3 pr-2'!X12,0)</f>
        <v>0</v>
      </c>
      <c r="O11" s="474">
        <f>IF(Q11&gt;0,'3 pr-2'!AA12,0)</f>
        <v>131280</v>
      </c>
      <c r="P11" s="290">
        <f>SUM('3 pr-2'!AF12)</f>
        <v>42855</v>
      </c>
      <c r="Q11" s="675">
        <v>42839</v>
      </c>
      <c r="R11" s="291">
        <f t="shared" ref="R11:R31" si="4">IF((YEAR(P11)-YEAR(Q11))=0,0,YEAR(P11)-YEAR(Q11))</f>
        <v>0</v>
      </c>
      <c r="S11" s="720" t="str">
        <f t="shared" si="3"/>
        <v>–</v>
      </c>
    </row>
    <row r="12" spans="1:19" ht="48.75" x14ac:dyDescent="0.25">
      <c r="A12" s="255" t="str">
        <f>CONCATENATE('3 pr-2'!A13)</f>
        <v>1.1.1.1.4</v>
      </c>
      <c r="B12" s="473" t="s">
        <v>1510</v>
      </c>
      <c r="C12" s="255" t="str">
        <f>CONCATENATE('3 pr-2'!D13)</f>
        <v>Rudaminos laisvalaikio salės pritaikymas bendruomenės poreikiams ir liaudies amatų plėtrai</v>
      </c>
      <c r="D12" s="255" t="str">
        <f>CONCATENATE('3 pr-2'!E13)</f>
        <v>Viešoji įstaiga Lazdijų kultūros centras</v>
      </c>
      <c r="E12" s="255" t="str">
        <f>CONCATENATE('3 pr-2'!F13)</f>
        <v>Lietuvos Respublikos žemės ūkio ministerija</v>
      </c>
      <c r="F12" s="255" t="str">
        <f>CONCATENATE('3 pr-2'!G13)</f>
        <v>Lazdijų rajono savivaldybė</v>
      </c>
      <c r="G12" s="255" t="str">
        <f>CONCATENATE('3 pr-2'!H13)</f>
        <v xml:space="preserve">Pagrindinės paslaugos ir kaimų atnaujinimas kaimo vietovėse </v>
      </c>
      <c r="H12" s="255" t="str">
        <f>CONCATENATE('3 pr-2'!I13)</f>
        <v>R</v>
      </c>
      <c r="I12" s="255" t="str">
        <f>CONCATENATE('3 pr-2'!J13)</f>
        <v>-</v>
      </c>
      <c r="J12" s="474">
        <f>IF(Q12&gt;0,'3 pr-2'!L13,0)</f>
        <v>125000</v>
      </c>
      <c r="K12" s="474">
        <f>IF(Q12&gt;0,'3 pr-2'!O13,0)</f>
        <v>25000</v>
      </c>
      <c r="L12" s="474">
        <f>IF(Q12&gt;0,'3 pr-2'!R13,0)</f>
        <v>15000</v>
      </c>
      <c r="M12" s="474">
        <f>IF(Q12&gt;0,'3 pr-2'!U13,0)</f>
        <v>0</v>
      </c>
      <c r="N12" s="474">
        <f>IF(Q12&gt;0,'3 pr-2'!X13,0)</f>
        <v>0</v>
      </c>
      <c r="O12" s="474">
        <f>IF(Q12&gt;0,'3 pr-2'!AA13,0)</f>
        <v>85000</v>
      </c>
      <c r="P12" s="290">
        <f>SUM('3 pr-2'!AF13)</f>
        <v>42855</v>
      </c>
      <c r="Q12" s="675">
        <v>42839</v>
      </c>
      <c r="R12" s="291">
        <f t="shared" si="4"/>
        <v>0</v>
      </c>
      <c r="S12" s="720" t="str">
        <f t="shared" si="3"/>
        <v>–</v>
      </c>
    </row>
    <row r="13" spans="1:19" ht="48.75" x14ac:dyDescent="0.25">
      <c r="A13" s="255" t="str">
        <f>CONCATENATE('3 pr-2'!A14)</f>
        <v>1.1.1.1.5</v>
      </c>
      <c r="B13" s="473" t="s">
        <v>1511</v>
      </c>
      <c r="C13" s="255" t="str">
        <f>CONCATENATE('3 pr-2'!D14)</f>
        <v>Druskininkų savivaldybės Leipalingio seniūnijos Bilso seniūnaitijos kelių būklės gerinimas</v>
      </c>
      <c r="D13" s="255" t="str">
        <f>CONCATENATE('3 pr-2'!E14)</f>
        <v xml:space="preserve">Druskininkų savivaldybės administracija  </v>
      </c>
      <c r="E13" s="255" t="str">
        <f>CONCATENATE('3 pr-2'!F14)</f>
        <v>Lietuvos Respublikos žemės ūkio ministerija</v>
      </c>
      <c r="F13" s="255" t="str">
        <f>CONCATENATE('3 pr-2'!G14)</f>
        <v>Druskininkų savivaldybė</v>
      </c>
      <c r="G13" s="255" t="str">
        <f>CONCATENATE('3 pr-2'!H14)</f>
        <v xml:space="preserve">Pagrindinės paslaugos ir kaimų atnaujinimas kaimo vietovėse </v>
      </c>
      <c r="H13" s="255" t="str">
        <f>CONCATENATE('3 pr-2'!I14)</f>
        <v>R</v>
      </c>
      <c r="I13" s="255" t="str">
        <f>CONCATENATE('3 pr-2'!J14)</f>
        <v>-</v>
      </c>
      <c r="J13" s="474">
        <f>IF(Q13&gt;0,'3 pr-2'!L14,0)</f>
        <v>240940</v>
      </c>
      <c r="K13" s="474">
        <f>IF(Q13&gt;0,'3 pr-2'!O14,0)</f>
        <v>112896</v>
      </c>
      <c r="L13" s="474">
        <f>IF(Q13&gt;0,'3 pr-2'!R14,0)</f>
        <v>19207</v>
      </c>
      <c r="M13" s="474">
        <f>IF(Q13&gt;0,'3 pr-2'!U14,0)</f>
        <v>0</v>
      </c>
      <c r="N13" s="474">
        <f>IF(Q13&gt;0,'3 pr-2'!X14,0)</f>
        <v>0</v>
      </c>
      <c r="O13" s="474">
        <f>IF(Q13&gt;0,'3 pr-2'!AA14,0)</f>
        <v>108837</v>
      </c>
      <c r="P13" s="290">
        <f>SUM('3 pr-2'!AF14)</f>
        <v>42855</v>
      </c>
      <c r="Q13" s="675">
        <v>42839</v>
      </c>
      <c r="R13" s="291">
        <f t="shared" si="4"/>
        <v>0</v>
      </c>
      <c r="S13" s="720" t="str">
        <f t="shared" si="3"/>
        <v>–</v>
      </c>
    </row>
    <row r="14" spans="1:19" ht="60.75" x14ac:dyDescent="0.25">
      <c r="A14" s="255" t="str">
        <f>CONCATENATE('3 pr-2'!A15)</f>
        <v>1.1.1.1.6</v>
      </c>
      <c r="B14" s="473" t="s">
        <v>1512</v>
      </c>
      <c r="C14" s="255" t="str">
        <f>CONCATENATE('3 pr-2'!D15)</f>
        <v>Lazdijų rajono kaimų patrauklumo didinimas atnaujinant bibliotekas</v>
      </c>
      <c r="D14" s="255" t="str">
        <f>CONCATENATE('3 pr-2'!E15)</f>
        <v xml:space="preserve">Biudžetinė įstaiga Lazdijų rajono savivaldybės viešoji biblioteka </v>
      </c>
      <c r="E14" s="255" t="str">
        <f>CONCATENATE('3 pr-2'!F15)</f>
        <v>Lietuvos Respublikos žemės ūkio ministerija</v>
      </c>
      <c r="F14" s="255" t="str">
        <f>CONCATENATE('3 pr-2'!G15)</f>
        <v>Lazdijų rajono savivaldybė</v>
      </c>
      <c r="G14" s="255" t="str">
        <f>CONCATENATE('3 pr-2'!H15)</f>
        <v xml:space="preserve">Pagrindinės paslaugos ir kaimų atnaujinimas kaimo vietovėse </v>
      </c>
      <c r="H14" s="255" t="str">
        <f>CONCATENATE('3 pr-2'!I15)</f>
        <v>R</v>
      </c>
      <c r="I14" s="255" t="str">
        <f>CONCATENATE('3 pr-2'!J15)</f>
        <v>-</v>
      </c>
      <c r="J14" s="474">
        <f>IF(Q14&gt;0,'3 pr-2'!L15,0)</f>
        <v>201000</v>
      </c>
      <c r="K14" s="474">
        <f>IF(Q14&gt;0,'3 pr-2'!O15,0)</f>
        <v>40200</v>
      </c>
      <c r="L14" s="474">
        <f>IF(Q14&gt;0,'3 pr-2'!R15,0)</f>
        <v>24120</v>
      </c>
      <c r="M14" s="474">
        <f>IF(Q14&gt;0,'3 pr-2'!U15,0)</f>
        <v>0</v>
      </c>
      <c r="N14" s="474">
        <f>IF(Q14&gt;0,'3 pr-2'!X15,0)</f>
        <v>0</v>
      </c>
      <c r="O14" s="474">
        <f>IF(Q14&gt;0,'3 pr-2'!AA15,0)</f>
        <v>136680</v>
      </c>
      <c r="P14" s="290">
        <f>SUM('3 pr-2'!AF15)</f>
        <v>42855</v>
      </c>
      <c r="Q14" s="675">
        <v>42839</v>
      </c>
      <c r="R14" s="291">
        <f t="shared" si="4"/>
        <v>0</v>
      </c>
      <c r="S14" s="720" t="str">
        <f t="shared" si="3"/>
        <v>–</v>
      </c>
    </row>
    <row r="15" spans="1:19" ht="48.75" x14ac:dyDescent="0.25">
      <c r="A15" s="255" t="str">
        <f>CONCATENATE('3 pr-2'!A16)</f>
        <v>1.1.1.1.7</v>
      </c>
      <c r="B15" s="473" t="s">
        <v>1513</v>
      </c>
      <c r="C15" s="255" t="str">
        <f>CONCATENATE('3 pr-2'!D16)</f>
        <v>Alytaus rajono Miroslavo kaimo multifunkcinės sporto aikštės įrengimas ir gatvių bei šaligatvių rekonstrukcija</v>
      </c>
      <c r="D15" s="255" t="str">
        <f>CONCATENATE('3 pr-2'!E16)</f>
        <v>Alytaus rajono savivaldybės administracija</v>
      </c>
      <c r="E15" s="255" t="str">
        <f>CONCATENATE('3 pr-2'!F16)</f>
        <v>Lietuvos Respublikos žemės ūkio ministerija</v>
      </c>
      <c r="F15" s="255" t="str">
        <f>CONCATENATE('3 pr-2'!G16)</f>
        <v>Alytaus rajono savivaldybė</v>
      </c>
      <c r="G15" s="255" t="str">
        <f>CONCATENATE('3 pr-2'!H16)</f>
        <v xml:space="preserve">Pagrindinės paslaugos ir kaimų atnaujinimas kaimo vietovėse </v>
      </c>
      <c r="H15" s="255" t="str">
        <f>CONCATENATE('3 pr-2'!I16)</f>
        <v>R</v>
      </c>
      <c r="I15" s="255" t="str">
        <f>CONCATENATE('3 pr-2'!J16)</f>
        <v>-</v>
      </c>
      <c r="J15" s="474">
        <f>IF(Q15&gt;0,'3 pr-2'!L16,0)</f>
        <v>252212</v>
      </c>
      <c r="K15" s="474">
        <f>IF(Q15&gt;0,'3 pr-2'!O16,0)</f>
        <v>52212</v>
      </c>
      <c r="L15" s="474">
        <f>IF(Q15&gt;0,'3 pr-2'!R16,0)</f>
        <v>30000</v>
      </c>
      <c r="M15" s="474">
        <f>IF(Q15&gt;0,'3 pr-2'!U16,0)</f>
        <v>0</v>
      </c>
      <c r="N15" s="474">
        <f>IF(Q15&gt;0,'3 pr-2'!X16,0)</f>
        <v>0</v>
      </c>
      <c r="O15" s="474">
        <f>IF(Q15&gt;0,'3 pr-2'!AA16,0)</f>
        <v>170000</v>
      </c>
      <c r="P15" s="290">
        <f>SUM('3 pr-2'!AF16)</f>
        <v>42855</v>
      </c>
      <c r="Q15" s="675">
        <v>42839</v>
      </c>
      <c r="R15" s="291">
        <f t="shared" si="4"/>
        <v>0</v>
      </c>
      <c r="S15" s="720" t="str">
        <f t="shared" si="3"/>
        <v>–</v>
      </c>
    </row>
    <row r="16" spans="1:19" ht="48.75" x14ac:dyDescent="0.25">
      <c r="A16" s="255" t="str">
        <f>CONCATENATE('3 pr-2'!A17)</f>
        <v>1.1.1.1.8</v>
      </c>
      <c r="B16" s="473" t="s">
        <v>1514</v>
      </c>
      <c r="C16" s="255" t="str">
        <f>CONCATENATE('3 pr-2'!D17)</f>
        <v>Alytaus rajono Luksnėnų kaimo multifunkcinės sporto aikštės įrengimas ir gatvių rekonstrukcija</v>
      </c>
      <c r="D16" s="255" t="str">
        <f>CONCATENATE('3 pr-2'!E17)</f>
        <v>Alytaus rajono savivaldybės administracija</v>
      </c>
      <c r="E16" s="255" t="str">
        <f>CONCATENATE('3 pr-2'!F17)</f>
        <v>Lietuvos Respublikos žemės ūkio ministerija</v>
      </c>
      <c r="F16" s="255" t="str">
        <f>CONCATENATE('3 pr-2'!G17)</f>
        <v>Alytaus rajono savivaldybė</v>
      </c>
      <c r="G16" s="255" t="str">
        <f>CONCATENATE('3 pr-2'!H17)</f>
        <v xml:space="preserve">Pagrindinės paslaugos ir kaimų atnaujinimas kaimo vietovėse </v>
      </c>
      <c r="H16" s="255" t="str">
        <f>CONCATENATE('3 pr-2'!I17)</f>
        <v>R</v>
      </c>
      <c r="I16" s="255" t="str">
        <f>CONCATENATE('3 pr-2'!J17)</f>
        <v>-</v>
      </c>
      <c r="J16" s="474">
        <f>IF(Q16&gt;0,'3 pr-2'!L17,0)</f>
        <v>250309</v>
      </c>
      <c r="K16" s="474">
        <f>IF(Q16&gt;0,'3 pr-2'!O17,0)</f>
        <v>50309</v>
      </c>
      <c r="L16" s="474">
        <f>IF(Q16&gt;0,'3 pr-2'!R17,0)</f>
        <v>30000</v>
      </c>
      <c r="M16" s="474">
        <f>IF(Q16&gt;0,'3 pr-2'!U17,0)</f>
        <v>0</v>
      </c>
      <c r="N16" s="474">
        <f>IF(Q16&gt;0,'3 pr-2'!X17,0)</f>
        <v>0</v>
      </c>
      <c r="O16" s="474">
        <f>IF(Q16&gt;0,'3 pr-2'!AA17,0)</f>
        <v>170000</v>
      </c>
      <c r="P16" s="290">
        <f>SUM('3 pr-2'!AF17)</f>
        <v>42855</v>
      </c>
      <c r="Q16" s="675">
        <v>42839</v>
      </c>
      <c r="R16" s="291">
        <f t="shared" si="4"/>
        <v>0</v>
      </c>
      <c r="S16" s="720" t="str">
        <f t="shared" si="3"/>
        <v>–</v>
      </c>
    </row>
    <row r="17" spans="1:19" ht="48.75" x14ac:dyDescent="0.25">
      <c r="A17" s="255" t="str">
        <f>CONCATENATE('3 pr-2'!A18)</f>
        <v>1.1.1.1.9</v>
      </c>
      <c r="B17" s="473" t="s">
        <v>1515</v>
      </c>
      <c r="C17" s="255" t="str">
        <f>CONCATENATE('3 pr-2'!D18)</f>
        <v>Krikštonių laisvalaikio salės pritaikymas bendruomenės poreikiams</v>
      </c>
      <c r="D17" s="255" t="str">
        <f>CONCATENATE('3 pr-2'!E18)</f>
        <v xml:space="preserve">Viešoji įstaiga Lazdijų kultūros centras </v>
      </c>
      <c r="E17" s="255" t="str">
        <f>CONCATENATE('3 pr-2'!F18)</f>
        <v>Lietuvos Respublikos žemės ūkio ministerija</v>
      </c>
      <c r="F17" s="255" t="str">
        <f>CONCATENATE('3 pr-2'!G18)</f>
        <v>Lazdijų rajono savivaldybė</v>
      </c>
      <c r="G17" s="255" t="str">
        <f>CONCATENATE('3 pr-2'!H18)</f>
        <v xml:space="preserve">Pagrindinės paslaugos ir kaimų atnaujinimas kaimo vietovėse </v>
      </c>
      <c r="H17" s="255" t="str">
        <f>CONCATENATE('3 pr-2'!I18)</f>
        <v>R</v>
      </c>
      <c r="I17" s="255" t="str">
        <f>CONCATENATE('3 pr-2'!J18)</f>
        <v>-</v>
      </c>
      <c r="J17" s="474">
        <f>IF(Q17&gt;0,'3 pr-2'!L18,0)</f>
        <v>250000</v>
      </c>
      <c r="K17" s="474">
        <f>IF(Q17&gt;0,'3 pr-2'!O18,0)</f>
        <v>50000</v>
      </c>
      <c r="L17" s="474">
        <f>IF(Q17&gt;0,'3 pr-2'!R18,0)</f>
        <v>30000</v>
      </c>
      <c r="M17" s="474">
        <f>IF(Q17&gt;0,'3 pr-2'!U18,0)</f>
        <v>0</v>
      </c>
      <c r="N17" s="474">
        <f>IF(Q17&gt;0,'3 pr-2'!X18,0)</f>
        <v>0</v>
      </c>
      <c r="O17" s="474">
        <f>IF(Q17&gt;0,'3 pr-2'!AA18,0)</f>
        <v>170000</v>
      </c>
      <c r="P17" s="290">
        <f>SUM('3 pr-2'!AF18)</f>
        <v>42855</v>
      </c>
      <c r="Q17" s="675">
        <v>42839</v>
      </c>
      <c r="R17" s="291">
        <f t="shared" si="4"/>
        <v>0</v>
      </c>
      <c r="S17" s="720" t="str">
        <f t="shared" si="3"/>
        <v>–</v>
      </c>
    </row>
    <row r="18" spans="1:19" ht="48.75" x14ac:dyDescent="0.25">
      <c r="A18" s="255" t="str">
        <f>CONCATENATE('3 pr-2'!A19)</f>
        <v>1.1.1.1.10</v>
      </c>
      <c r="B18" s="473" t="s">
        <v>1516</v>
      </c>
      <c r="C18" s="255" t="str">
        <f>CONCATENATE('3 pr-2'!D19)</f>
        <v>Kučiūnų laisvalaikio salės pritaikymas bendruomenės poreikiams</v>
      </c>
      <c r="D18" s="255" t="str">
        <f>CONCATENATE('3 pr-2'!E19)</f>
        <v xml:space="preserve">Viešoji įstaiga Lazdijų kultūros centras </v>
      </c>
      <c r="E18" s="255" t="str">
        <f>CONCATENATE('3 pr-2'!F19)</f>
        <v>Lietuvos Respublikos žemės ūkio ministerija</v>
      </c>
      <c r="F18" s="255" t="str">
        <f>CONCATENATE('3 pr-2'!G19)</f>
        <v>Lazdijų rajono savivaldybė</v>
      </c>
      <c r="G18" s="255" t="str">
        <f>CONCATENATE('3 pr-2'!H19)</f>
        <v xml:space="preserve">Pagrindinės paslaugos ir kaimų atnaujinimas kaimo vietovėse </v>
      </c>
      <c r="H18" s="255" t="str">
        <f>CONCATENATE('3 pr-2'!I19)</f>
        <v>R</v>
      </c>
      <c r="I18" s="255" t="str">
        <f>CONCATENATE('3 pr-2'!J19)</f>
        <v>-</v>
      </c>
      <c r="J18" s="474">
        <f>IF(Q18&gt;0,'3 pr-2'!L19,0)</f>
        <v>250000</v>
      </c>
      <c r="K18" s="474">
        <f>IF(Q18&gt;0,'3 pr-2'!O19,0)</f>
        <v>50000</v>
      </c>
      <c r="L18" s="474">
        <f>IF(Q18&gt;0,'3 pr-2'!R19,0)</f>
        <v>30000</v>
      </c>
      <c r="M18" s="474">
        <f>IF(Q18&gt;0,'3 pr-2'!U19,0)</f>
        <v>0</v>
      </c>
      <c r="N18" s="474">
        <f>IF(Q18&gt;0,'3 pr-2'!X19,0)</f>
        <v>0</v>
      </c>
      <c r="O18" s="474">
        <f>IF(Q18&gt;0,'3 pr-2'!AA19,0)</f>
        <v>170000</v>
      </c>
      <c r="P18" s="290">
        <f>SUM('3 pr-2'!AF19)</f>
        <v>42855</v>
      </c>
      <c r="Q18" s="675">
        <v>42839</v>
      </c>
      <c r="R18" s="291">
        <f t="shared" si="4"/>
        <v>0</v>
      </c>
      <c r="S18" s="720" t="str">
        <f t="shared" si="3"/>
        <v>–</v>
      </c>
    </row>
    <row r="19" spans="1:19" ht="48.75" x14ac:dyDescent="0.25">
      <c r="A19" s="255" t="str">
        <f>CONCATENATE('3 pr-2'!A20)</f>
        <v>1.1.1.1.11</v>
      </c>
      <c r="B19" s="473" t="s">
        <v>1517</v>
      </c>
      <c r="C19" s="255" t="str">
        <f>CONCATENATE('3 pr-2'!D20)</f>
        <v>Laisvalaikio infrastruktūros sukūrimas Lazdijų rajono kaimo gyvenamosiose vietovėse</v>
      </c>
      <c r="D19" s="255" t="str">
        <f>CONCATENATE('3 pr-2'!E20)</f>
        <v>Lazdijų rajono savivaldybės administracija</v>
      </c>
      <c r="E19" s="255" t="str">
        <f>CONCATENATE('3 pr-2'!F20)</f>
        <v>Lietuvos Respublikos žemės ūkio ministerija</v>
      </c>
      <c r="F19" s="255" t="str">
        <f>CONCATENATE('3 pr-2'!G20)</f>
        <v>Lazdijų rajono savivaldybė</v>
      </c>
      <c r="G19" s="255" t="str">
        <f>CONCATENATE('3 pr-2'!H20)</f>
        <v xml:space="preserve">Pagrindinės paslaugos ir kaimų atnaujinimas kaimo vietovėse </v>
      </c>
      <c r="H19" s="255" t="str">
        <f>CONCATENATE('3 pr-2'!I20)</f>
        <v>R</v>
      </c>
      <c r="I19" s="255" t="str">
        <f>CONCATENATE('3 pr-2'!J20)</f>
        <v>-</v>
      </c>
      <c r="J19" s="474">
        <f>IF(Q19&gt;0,'3 pr-2'!L20,0)</f>
        <v>125000</v>
      </c>
      <c r="K19" s="474">
        <f>IF(Q19&gt;0,'3 pr-2'!O20,0)</f>
        <v>25000</v>
      </c>
      <c r="L19" s="474">
        <f>IF(Q19&gt;0,'3 pr-2'!R20,0)</f>
        <v>15000</v>
      </c>
      <c r="M19" s="474">
        <f>IF(Q19&gt;0,'3 pr-2'!U20,0)</f>
        <v>0</v>
      </c>
      <c r="N19" s="474">
        <f>IF(Q19&gt;0,'3 pr-2'!X20,0)</f>
        <v>0</v>
      </c>
      <c r="O19" s="474">
        <f>IF(Q19&gt;0,'3 pr-2'!AA20,0)</f>
        <v>85000</v>
      </c>
      <c r="P19" s="290">
        <f>SUM('3 pr-2'!AF20)</f>
        <v>42855</v>
      </c>
      <c r="Q19" s="675">
        <v>42839</v>
      </c>
      <c r="R19" s="291">
        <f t="shared" si="4"/>
        <v>0</v>
      </c>
      <c r="S19" s="720" t="str">
        <f t="shared" si="3"/>
        <v>–</v>
      </c>
    </row>
    <row r="20" spans="1:19" ht="48.75" x14ac:dyDescent="0.25">
      <c r="A20" s="255" t="str">
        <f>CONCATENATE('3 pr-2'!A21)</f>
        <v>1.1.1.1.12</v>
      </c>
      <c r="B20" s="473" t="s">
        <v>1518</v>
      </c>
      <c r="C20" s="255" t="str">
        <f>CONCATENATE('3 pr-2'!D21)</f>
        <v>Alytaus rajono Butrimonių miestelio šaligatvių kapitalinis remontas ir gyvenvietės apšvietimo įrengimas</v>
      </c>
      <c r="D20" s="255" t="str">
        <f>CONCATENATE('3 pr-2'!E21)</f>
        <v>Alytaus rajono savivaldybės administracija</v>
      </c>
      <c r="E20" s="255" t="str">
        <f>CONCATENATE('3 pr-2'!F21)</f>
        <v>Lietuvos Respublikos žemės ūkio ministerija</v>
      </c>
      <c r="F20" s="255" t="str">
        <f>CONCATENATE('3 pr-2'!G21)</f>
        <v>Alytaus rajono savivaldybė</v>
      </c>
      <c r="G20" s="255" t="str">
        <f>CONCATENATE('3 pr-2'!H21)</f>
        <v xml:space="preserve">Pagrindinės paslaugos ir kaimų atnaujinimas kaimo vietovėse </v>
      </c>
      <c r="H20" s="255" t="str">
        <f>CONCATENATE('3 pr-2'!I21)</f>
        <v>R</v>
      </c>
      <c r="I20" s="255" t="str">
        <f>CONCATENATE('3 pr-2'!J21)</f>
        <v>-</v>
      </c>
      <c r="J20" s="474">
        <f>IF(Q20&gt;0,'3 pr-2'!L21,0)</f>
        <v>153566</v>
      </c>
      <c r="K20" s="474">
        <f>IF(Q20&gt;0,'3 pr-2'!O21,0)</f>
        <v>30713</v>
      </c>
      <c r="L20" s="474">
        <f>IF(Q20&gt;0,'3 pr-2'!R21,0)</f>
        <v>18428</v>
      </c>
      <c r="M20" s="474">
        <f>IF(Q20&gt;0,'3 pr-2'!U21,0)</f>
        <v>0</v>
      </c>
      <c r="N20" s="474">
        <f>IF(Q20&gt;0,'3 pr-2'!X21,0)</f>
        <v>0</v>
      </c>
      <c r="O20" s="474">
        <f>IF(Q20&gt;0,'3 pr-2'!AA21,0)</f>
        <v>104425</v>
      </c>
      <c r="P20" s="290">
        <f>SUM('3 pr-2'!AF21)</f>
        <v>42855</v>
      </c>
      <c r="Q20" s="675">
        <v>42839</v>
      </c>
      <c r="R20" s="291">
        <f t="shared" si="4"/>
        <v>0</v>
      </c>
      <c r="S20" s="720" t="str">
        <f t="shared" si="3"/>
        <v>–</v>
      </c>
    </row>
    <row r="21" spans="1:19" ht="48.75" x14ac:dyDescent="0.25">
      <c r="A21" s="255" t="str">
        <f>CONCATENATE('3 pr-2'!A22)</f>
        <v>1.1.1.1.13</v>
      </c>
      <c r="B21" s="473" t="s">
        <v>1519</v>
      </c>
      <c r="C21" s="255" t="str">
        <f>CONCATENATE('3 pr-2'!D22)</f>
        <v>Alytaus rajono Genių kaimo sporto aikštės įrengimas ir gatvių rekonstrukcija</v>
      </c>
      <c r="D21" s="255" t="str">
        <f>CONCATENATE('3 pr-2'!E22)</f>
        <v>Alytaus rajono savivaldybės administracija</v>
      </c>
      <c r="E21" s="255" t="str">
        <f>CONCATENATE('3 pr-2'!F22)</f>
        <v>Lietuvos Respublikos žemės ūkio ministerija</v>
      </c>
      <c r="F21" s="255" t="str">
        <f>CONCATENATE('3 pr-2'!G22)</f>
        <v>Alytaus rajono savivaldybė</v>
      </c>
      <c r="G21" s="255" t="str">
        <f>CONCATENATE('3 pr-2'!H22)</f>
        <v xml:space="preserve">Pagrindinės paslaugos ir kaimų atnaujinimas kaimo vietovėse </v>
      </c>
      <c r="H21" s="255" t="str">
        <f>CONCATENATE('3 pr-2'!I22)</f>
        <v>R</v>
      </c>
      <c r="I21" s="255" t="str">
        <f>CONCATENATE('3 pr-2'!J22)</f>
        <v>-</v>
      </c>
      <c r="J21" s="474">
        <f>IF(Q21&gt;0,'3 pr-2'!L22,0)</f>
        <v>250000</v>
      </c>
      <c r="K21" s="474">
        <f>IF(Q21&gt;0,'3 pr-2'!O22,0)</f>
        <v>50000</v>
      </c>
      <c r="L21" s="474">
        <f>IF(Q21&gt;0,'3 pr-2'!R22,0)</f>
        <v>30000</v>
      </c>
      <c r="M21" s="474">
        <f>IF(Q21&gt;0,'3 pr-2'!U22,0)</f>
        <v>0</v>
      </c>
      <c r="N21" s="474">
        <f>IF(Q21&gt;0,'3 pr-2'!X22,0)</f>
        <v>0</v>
      </c>
      <c r="O21" s="474">
        <f>IF(Q21&gt;0,'3 pr-2'!AA22,0)</f>
        <v>170000</v>
      </c>
      <c r="P21" s="290">
        <f>SUM('3 pr-2'!AF22)</f>
        <v>42855</v>
      </c>
      <c r="Q21" s="675">
        <v>42839</v>
      </c>
      <c r="R21" s="291">
        <f t="shared" si="4"/>
        <v>0</v>
      </c>
      <c r="S21" s="720" t="str">
        <f t="shared" si="3"/>
        <v>–</v>
      </c>
    </row>
    <row r="22" spans="1:19" ht="48.75" x14ac:dyDescent="0.25">
      <c r="A22" s="255" t="str">
        <f>CONCATENATE('3 pr-2'!A23)</f>
        <v>1.1.1.1.14</v>
      </c>
      <c r="B22" s="473" t="s">
        <v>1520</v>
      </c>
      <c r="C22" s="255" t="str">
        <f>CONCATENATE('3 pr-2'!D23)</f>
        <v>Varėnos r. Dargužių kaimo Liepų gatvės ir viešosios erdvės įrengimas</v>
      </c>
      <c r="D22" s="255" t="str">
        <f>CONCATENATE('3 pr-2'!E23)</f>
        <v xml:space="preserve">Varėnos rajono savivaldybės administracija </v>
      </c>
      <c r="E22" s="255" t="str">
        <f>CONCATENATE('3 pr-2'!F23)</f>
        <v>Lietuvos Respublikos žemės ūkio ministerija</v>
      </c>
      <c r="F22" s="255" t="str">
        <f>CONCATENATE('3 pr-2'!G23)</f>
        <v>Varėnos rajono savivaldybė</v>
      </c>
      <c r="G22" s="255" t="str">
        <f>CONCATENATE('3 pr-2'!H23)</f>
        <v xml:space="preserve">Pagrindinės paslaugos ir kaimų atnaujinimas kaimo vietovėse </v>
      </c>
      <c r="H22" s="255" t="str">
        <f>CONCATENATE('3 pr-2'!I23)</f>
        <v>R</v>
      </c>
      <c r="I22" s="255" t="str">
        <f>CONCATENATE('3 pr-2'!J23)</f>
        <v>-</v>
      </c>
      <c r="J22" s="474">
        <f>IF(Q22&gt;0,'3 pr-2'!L23,0)</f>
        <v>215626</v>
      </c>
      <c r="K22" s="474">
        <f>IF(Q22&gt;0,'3 pr-2'!O23,0)</f>
        <v>43125</v>
      </c>
      <c r="L22" s="474">
        <f>IF(Q22&gt;0,'3 pr-2'!R23,0)</f>
        <v>25875</v>
      </c>
      <c r="M22" s="474">
        <f>IF(Q22&gt;0,'3 pr-2'!U23,0)</f>
        <v>0</v>
      </c>
      <c r="N22" s="474">
        <f>IF(Q22&gt;0,'3 pr-2'!X23,0)</f>
        <v>0</v>
      </c>
      <c r="O22" s="474">
        <f>IF(Q22&gt;0,'3 pr-2'!AA23,0)</f>
        <v>146626</v>
      </c>
      <c r="P22" s="290">
        <f>SUM('3 pr-2'!AF23)</f>
        <v>42855</v>
      </c>
      <c r="Q22" s="675">
        <v>42839</v>
      </c>
      <c r="R22" s="291">
        <f t="shared" si="4"/>
        <v>0</v>
      </c>
      <c r="S22" s="720" t="str">
        <f t="shared" si="3"/>
        <v>–</v>
      </c>
    </row>
    <row r="23" spans="1:19" ht="48.75" x14ac:dyDescent="0.25">
      <c r="A23" s="255" t="str">
        <f>CONCATENATE('3 pr-2'!A24)</f>
        <v>1.1.1.1.15</v>
      </c>
      <c r="B23" s="473" t="s">
        <v>1521</v>
      </c>
      <c r="C23" s="255" t="str">
        <f>CONCATENATE('3 pr-2'!D24)</f>
        <v>Alytaus rajono Vaisodžių kaimo sporto aikštės įrengimas ir gatvių apšvietimo atnaujinimas bei plėtra</v>
      </c>
      <c r="D23" s="255" t="str">
        <f>CONCATENATE('3 pr-2'!E24)</f>
        <v>Alytaus rajono savivaldybės administracija</v>
      </c>
      <c r="E23" s="255" t="str">
        <f>CONCATENATE('3 pr-2'!F24)</f>
        <v>Lietuvos Respublikos žemės ūkio ministerija</v>
      </c>
      <c r="F23" s="255" t="str">
        <f>CONCATENATE('3 pr-2'!G24)</f>
        <v>Alytaus rajono savivaldybė</v>
      </c>
      <c r="G23" s="255" t="str">
        <f>CONCATENATE('3 pr-2'!H24)</f>
        <v xml:space="preserve">Pagrindinės paslaugos ir kaimų atnaujinimas kaimo vietovėse </v>
      </c>
      <c r="H23" s="255" t="str">
        <f>CONCATENATE('3 pr-2'!I24)</f>
        <v>R</v>
      </c>
      <c r="I23" s="255" t="str">
        <f>CONCATENATE('3 pr-2'!J24)</f>
        <v>-</v>
      </c>
      <c r="J23" s="474">
        <f>IF(Q23&gt;0,'3 pr-2'!L24,0)</f>
        <v>76480</v>
      </c>
      <c r="K23" s="474">
        <f>IF(Q23&gt;0,'3 pr-2'!O24,0)</f>
        <v>15296</v>
      </c>
      <c r="L23" s="474">
        <f>IF(Q23&gt;0,'3 pr-2'!R24,0)</f>
        <v>9178</v>
      </c>
      <c r="M23" s="474">
        <f>IF(Q23&gt;0,'3 pr-2'!U24,0)</f>
        <v>0</v>
      </c>
      <c r="N23" s="474">
        <f>IF(Q23&gt;0,'3 pr-2'!X24,0)</f>
        <v>0</v>
      </c>
      <c r="O23" s="474">
        <f>IF(Q23&gt;0,'3 pr-2'!AA24,0)</f>
        <v>52006</v>
      </c>
      <c r="P23" s="290">
        <f>SUM('3 pr-2'!AF24)</f>
        <v>42855</v>
      </c>
      <c r="Q23" s="675">
        <v>42839</v>
      </c>
      <c r="R23" s="291">
        <f t="shared" si="4"/>
        <v>0</v>
      </c>
      <c r="S23" s="720" t="str">
        <f t="shared" si="3"/>
        <v>–</v>
      </c>
    </row>
    <row r="24" spans="1:19" ht="48.75" x14ac:dyDescent="0.25">
      <c r="A24" s="255" t="str">
        <f>CONCATENATE('3 pr-2'!A25)</f>
        <v>1.1.1.1.16</v>
      </c>
      <c r="B24" s="473" t="s">
        <v>1522</v>
      </c>
      <c r="C24" s="255" t="str">
        <f>CONCATENATE('3 pr-2'!D25)</f>
        <v>Alytaus rajono Talokių kaimo sporto aikštės įrengimas ir Plytinės gatvės apšvietimas</v>
      </c>
      <c r="D24" s="255" t="str">
        <f>CONCATENATE('3 pr-2'!E25)</f>
        <v>Alytaus rajono savivaldybės administracija</v>
      </c>
      <c r="E24" s="255" t="str">
        <f>CONCATENATE('3 pr-2'!F25)</f>
        <v>Lietuvos Respublikos žemės ūkio ministerija</v>
      </c>
      <c r="F24" s="255" t="str">
        <f>CONCATENATE('3 pr-2'!G25)</f>
        <v>Alytaus rajono savivaldybė</v>
      </c>
      <c r="G24" s="255" t="str">
        <f>CONCATENATE('3 pr-2'!H25)</f>
        <v xml:space="preserve">Pagrindinės paslaugos ir kaimų atnaujinimas kaimo vietovėse </v>
      </c>
      <c r="H24" s="255" t="str">
        <f>CONCATENATE('3 pr-2'!I25)</f>
        <v>R</v>
      </c>
      <c r="I24" s="255" t="str">
        <f>CONCATENATE('3 pr-2'!J25)</f>
        <v>-</v>
      </c>
      <c r="J24" s="474">
        <f>IF(Q24&gt;0,'3 pr-2'!L25,0)</f>
        <v>139472</v>
      </c>
      <c r="K24" s="474">
        <f>IF(Q24&gt;0,'3 pr-2'!O25,0)</f>
        <v>27894</v>
      </c>
      <c r="L24" s="474">
        <f>IF(Q24&gt;0,'3 pr-2'!R25,0)</f>
        <v>16737</v>
      </c>
      <c r="M24" s="474">
        <f>IF(Q24&gt;0,'3 pr-2'!U25,0)</f>
        <v>0</v>
      </c>
      <c r="N24" s="474">
        <f>IF(Q24&gt;0,'3 pr-2'!X25,0)</f>
        <v>0</v>
      </c>
      <c r="O24" s="474">
        <f>IF(Q24&gt;0,'3 pr-2'!AA25,0)</f>
        <v>94841</v>
      </c>
      <c r="P24" s="290">
        <f>SUM('3 pr-2'!AF25)</f>
        <v>42855</v>
      </c>
      <c r="Q24" s="675">
        <v>42839</v>
      </c>
      <c r="R24" s="291">
        <f t="shared" si="4"/>
        <v>0</v>
      </c>
      <c r="S24" s="720" t="str">
        <f t="shared" si="3"/>
        <v>–</v>
      </c>
    </row>
    <row r="25" spans="1:19" ht="48.75" x14ac:dyDescent="0.25">
      <c r="A25" s="255" t="str">
        <f>CONCATENATE('3 pr-2'!A26)</f>
        <v>1.1.1.1.17</v>
      </c>
      <c r="B25" s="473" t="s">
        <v>1523</v>
      </c>
      <c r="C25" s="255" t="str">
        <f>CONCATENATE('3 pr-2'!D26)</f>
        <v>Varėnos r. Rudnios kaimo Pušyno gatvės įrengimas</v>
      </c>
      <c r="D25" s="255" t="str">
        <f>CONCATENATE('3 pr-2'!E26)</f>
        <v xml:space="preserve">Varėnos rajono savivaldybės administracija </v>
      </c>
      <c r="E25" s="255" t="str">
        <f>CONCATENATE('3 pr-2'!F26)</f>
        <v>Lietuvos Respublikos žemės ūkio ministerija</v>
      </c>
      <c r="F25" s="255" t="str">
        <f>CONCATENATE('3 pr-2'!G26)</f>
        <v>Varėnos rajono savivaldybė</v>
      </c>
      <c r="G25" s="255" t="str">
        <f>CONCATENATE('3 pr-2'!H26)</f>
        <v xml:space="preserve">Pagrindinės paslaugos ir kaimų atnaujinimas kaimo vietovėse </v>
      </c>
      <c r="H25" s="255" t="str">
        <f>CONCATENATE('3 pr-2'!I26)</f>
        <v>R</v>
      </c>
      <c r="I25" s="255" t="str">
        <f>CONCATENATE('3 pr-2'!J26)</f>
        <v>-</v>
      </c>
      <c r="J25" s="474">
        <f>IF(Q25&gt;0,'3 pr-2'!L26,0)</f>
        <v>115824</v>
      </c>
      <c r="K25" s="474">
        <f>IF(Q25&gt;0,'3 pr-2'!O26,0)</f>
        <v>23165</v>
      </c>
      <c r="L25" s="474">
        <f>IF(Q25&gt;0,'3 pr-2'!R26,0)</f>
        <v>13899</v>
      </c>
      <c r="M25" s="474">
        <f>IF(Q25&gt;0,'3 pr-2'!U26,0)</f>
        <v>0</v>
      </c>
      <c r="N25" s="474">
        <f>IF(Q25&gt;0,'3 pr-2'!X26,0)</f>
        <v>0</v>
      </c>
      <c r="O25" s="474">
        <f>IF(Q25&gt;0,'3 pr-2'!AA26,0)</f>
        <v>78760</v>
      </c>
      <c r="P25" s="290">
        <f>SUM('3 pr-2'!AF26)</f>
        <v>42855</v>
      </c>
      <c r="Q25" s="675">
        <v>42839</v>
      </c>
      <c r="R25" s="291">
        <f t="shared" si="4"/>
        <v>0</v>
      </c>
      <c r="S25" s="720" t="str">
        <f t="shared" si="3"/>
        <v>–</v>
      </c>
    </row>
    <row r="26" spans="1:19" ht="48.75" x14ac:dyDescent="0.25">
      <c r="A26" s="255" t="str">
        <f>CONCATENATE('3 pr-2'!A27)</f>
        <v>1.1.1.1.18</v>
      </c>
      <c r="B26" s="473" t="s">
        <v>1524</v>
      </c>
      <c r="C26" s="255" t="str">
        <f>CONCATENATE('3 pr-2'!D27)</f>
        <v>Varėnos kultūros centro Žilinų filialo pastato atnaujinimas ir pritaikymas bendruomenės poreikiams</v>
      </c>
      <c r="D26" s="255" t="str">
        <f>CONCATENATE('3 pr-2'!E27)</f>
        <v xml:space="preserve">Varėnos rajono savivaldybės administracija </v>
      </c>
      <c r="E26" s="255" t="str">
        <f>CONCATENATE('3 pr-2'!F27)</f>
        <v>Lietuvos Respublikos žemės ūkio ministerija</v>
      </c>
      <c r="F26" s="255" t="str">
        <f>CONCATENATE('3 pr-2'!G27)</f>
        <v>Varėnos rajono savivaldybė</v>
      </c>
      <c r="G26" s="255" t="str">
        <f>CONCATENATE('3 pr-2'!H27)</f>
        <v xml:space="preserve">Pagrindinės paslaugos ir kaimų atnaujinimas kaimo vietovėse </v>
      </c>
      <c r="H26" s="255" t="str">
        <f>CONCATENATE('3 pr-2'!I27)</f>
        <v>R</v>
      </c>
      <c r="I26" s="255" t="str">
        <f>CONCATENATE('3 pr-2'!J27)</f>
        <v>-</v>
      </c>
      <c r="J26" s="474">
        <f>IF(Q26&gt;0,'3 pr-2'!L27,0)</f>
        <v>250000</v>
      </c>
      <c r="K26" s="474">
        <f>IF(Q26&gt;0,'3 pr-2'!O27,0)</f>
        <v>50000</v>
      </c>
      <c r="L26" s="474">
        <f>IF(Q26&gt;0,'3 pr-2'!R27,0)</f>
        <v>30000</v>
      </c>
      <c r="M26" s="474">
        <f>IF(Q26&gt;0,'3 pr-2'!U27,0)</f>
        <v>0</v>
      </c>
      <c r="N26" s="474">
        <f>IF(Q26&gt;0,'3 pr-2'!X27,0)</f>
        <v>0</v>
      </c>
      <c r="O26" s="474">
        <f>IF(Q26&gt;0,'3 pr-2'!AA27,0)</f>
        <v>170000</v>
      </c>
      <c r="P26" s="290">
        <f>SUM('3 pr-2'!AF27)</f>
        <v>42855</v>
      </c>
      <c r="Q26" s="675">
        <v>42839</v>
      </c>
      <c r="R26" s="291">
        <f t="shared" si="4"/>
        <v>0</v>
      </c>
      <c r="S26" s="720" t="str">
        <f t="shared" si="3"/>
        <v>–</v>
      </c>
    </row>
    <row r="27" spans="1:19" ht="48.75" x14ac:dyDescent="0.25">
      <c r="A27" s="255" t="str">
        <f>CONCATENATE('3 pr-2'!A28)</f>
        <v>1.1.1.1.19</v>
      </c>
      <c r="B27" s="473" t="s">
        <v>1525</v>
      </c>
      <c r="C27" s="255" t="str">
        <f>CONCATENATE('3 pr-2'!D28)</f>
        <v>Alytaus rajono Pivašiūnų kaimo šaligatvių, laiptų kapitalinis remontas ir gyvenvietės apšvietimo įrengimas</v>
      </c>
      <c r="D27" s="255" t="str">
        <f>CONCATENATE('3 pr-2'!E28)</f>
        <v>Alytaus rajono savivaldybės administracija</v>
      </c>
      <c r="E27" s="255" t="str">
        <f>CONCATENATE('3 pr-2'!F28)</f>
        <v>Lietuvos Respublikos žemės ūkio ministerija</v>
      </c>
      <c r="F27" s="255" t="str">
        <f>CONCATENATE('3 pr-2'!G28)</f>
        <v>Alytaus rajono savivaldybė</v>
      </c>
      <c r="G27" s="255" t="str">
        <f>CONCATENATE('3 pr-2'!H28)</f>
        <v xml:space="preserve">Pagrindinės paslaugos ir kaimų atnaujinimas kaimo vietovėse </v>
      </c>
      <c r="H27" s="255" t="str">
        <f>CONCATENATE('3 pr-2'!I28)</f>
        <v>R</v>
      </c>
      <c r="I27" s="255" t="str">
        <f>CONCATENATE('3 pr-2'!J28)</f>
        <v>-</v>
      </c>
      <c r="J27" s="474">
        <f>IF(Q27&gt;0,'3 pr-2'!L28,0)</f>
        <v>117986</v>
      </c>
      <c r="K27" s="474">
        <f>IF(Q27&gt;0,'3 pr-2'!O28,0)</f>
        <v>23597</v>
      </c>
      <c r="L27" s="474">
        <f>IF(Q27&gt;0,'3 pr-2'!R28,0)</f>
        <v>14158</v>
      </c>
      <c r="M27" s="474">
        <f>IF(Q27&gt;0,'3 pr-2'!U28,0)</f>
        <v>0</v>
      </c>
      <c r="N27" s="474">
        <f>IF(Q27&gt;0,'3 pr-2'!X28,0)</f>
        <v>0</v>
      </c>
      <c r="O27" s="474">
        <f>IF(Q27&gt;0,'3 pr-2'!AA28,0)</f>
        <v>80231</v>
      </c>
      <c r="P27" s="290">
        <f>SUM('3 pr-2'!AF28)</f>
        <v>42855</v>
      </c>
      <c r="Q27" s="675">
        <v>42839</v>
      </c>
      <c r="R27" s="291">
        <f t="shared" si="4"/>
        <v>0</v>
      </c>
      <c r="S27" s="720" t="str">
        <f t="shared" si="3"/>
        <v>–</v>
      </c>
    </row>
    <row r="28" spans="1:19" ht="48.75" x14ac:dyDescent="0.25">
      <c r="A28" s="255" t="str">
        <f>CONCATENATE('3 pr-2'!A29)</f>
        <v>1.1.1.1.20</v>
      </c>
      <c r="B28" s="473" t="s">
        <v>1526</v>
      </c>
      <c r="C28" s="255" t="str">
        <f>CONCATENATE('3 pr-2'!D29)</f>
        <v>Pastato, esančio Pušelės g. 11, Naujųjų Valkininkų k., Varėnos r., atnaujinimas ir pritaikymas bendruomenės poreikiams</v>
      </c>
      <c r="D28" s="255" t="str">
        <f>CONCATENATE('3 pr-2'!E29)</f>
        <v xml:space="preserve">Varėnos rajono savivaldybės administracija </v>
      </c>
      <c r="E28" s="255" t="str">
        <f>CONCATENATE('3 pr-2'!F29)</f>
        <v>Lietuvos Respublikos žemės ūkio ministerija</v>
      </c>
      <c r="F28" s="255" t="str">
        <f>CONCATENATE('3 pr-2'!G29)</f>
        <v>Varėnos rajono savivaldybė</v>
      </c>
      <c r="G28" s="255" t="str">
        <f>CONCATENATE('3 pr-2'!H29)</f>
        <v xml:space="preserve">Pagrindinės paslaugos ir kaimų atnaujinimas kaimo vietovėse </v>
      </c>
      <c r="H28" s="255" t="str">
        <f>CONCATENATE('3 pr-2'!I29)</f>
        <v>R</v>
      </c>
      <c r="I28" s="255" t="str">
        <f>CONCATENATE('3 pr-2'!J29)</f>
        <v>-</v>
      </c>
      <c r="J28" s="474">
        <f>IF(Q28&gt;0,'3 pr-2'!L29,0)</f>
        <v>250000</v>
      </c>
      <c r="K28" s="474">
        <f>IF(Q28&gt;0,'3 pr-2'!O29,0)</f>
        <v>50000</v>
      </c>
      <c r="L28" s="474">
        <f>IF(Q28&gt;0,'3 pr-2'!R29,0)</f>
        <v>30000</v>
      </c>
      <c r="M28" s="474">
        <f>IF(Q28&gt;0,'3 pr-2'!U29,0)</f>
        <v>0</v>
      </c>
      <c r="N28" s="474">
        <f>IF(Q28&gt;0,'3 pr-2'!X29,0)</f>
        <v>0</v>
      </c>
      <c r="O28" s="474">
        <f>IF(Q28&gt;0,'3 pr-2'!AA29,0)</f>
        <v>170000</v>
      </c>
      <c r="P28" s="290">
        <f>SUM('3 pr-2'!AF29)</f>
        <v>42855</v>
      </c>
      <c r="Q28" s="675">
        <v>42839</v>
      </c>
      <c r="R28" s="291">
        <f t="shared" si="4"/>
        <v>0</v>
      </c>
      <c r="S28" s="720" t="str">
        <f t="shared" si="3"/>
        <v>–</v>
      </c>
    </row>
    <row r="29" spans="1:19" ht="48.75" x14ac:dyDescent="0.25">
      <c r="A29" s="255" t="str">
        <f>CONCATENATE('3 pr-2'!A30)</f>
        <v>1.1.1.1.21</v>
      </c>
      <c r="B29" s="473" t="s">
        <v>1527</v>
      </c>
      <c r="C29" s="255" t="str">
        <f>CONCATENATE('3 pr-2'!D30)</f>
        <v>Kaimo gyvenamųjų vietovių Lazdijų rajono savivaldybėje patrauklumo gerinimas</v>
      </c>
      <c r="D29" s="255" t="str">
        <f>CONCATENATE('3 pr-2'!E30)</f>
        <v>Lazdijų rajono savivaldybės administracija</v>
      </c>
      <c r="E29" s="255" t="str">
        <f>CONCATENATE('3 pr-2'!F30)</f>
        <v>Lietuvos Respublikos žemės ūkio ministerija</v>
      </c>
      <c r="F29" s="255" t="str">
        <f>CONCATENATE('3 pr-2'!G30)</f>
        <v>Lazdijų rajono savivaldybė</v>
      </c>
      <c r="G29" s="255" t="str">
        <f>CONCATENATE('3 pr-2'!H30)</f>
        <v xml:space="preserve">Pagrindinės paslaugos ir kaimų atnaujinimas kaimo vietovėse </v>
      </c>
      <c r="H29" s="255" t="str">
        <f>CONCATENATE('3 pr-2'!I30)</f>
        <v>R</v>
      </c>
      <c r="I29" s="255" t="str">
        <f>CONCATENATE('3 pr-2'!J30)</f>
        <v>-</v>
      </c>
      <c r="J29" s="474">
        <f>IF(Q29&gt;0,'3 pr-2'!L30,0)</f>
        <v>170000</v>
      </c>
      <c r="K29" s="474">
        <f>IF(Q29&gt;0,'3 pr-2'!O30,0)</f>
        <v>34000</v>
      </c>
      <c r="L29" s="474">
        <f>IF(Q29&gt;0,'3 pr-2'!R30,0)</f>
        <v>20400</v>
      </c>
      <c r="M29" s="474">
        <f>IF(Q29&gt;0,'3 pr-2'!U30,0)</f>
        <v>0</v>
      </c>
      <c r="N29" s="474">
        <f>IF(Q29&gt;0,'3 pr-2'!X30,0)</f>
        <v>0</v>
      </c>
      <c r="O29" s="474">
        <f>IF(Q29&gt;0,'3 pr-2'!AA30,0)</f>
        <v>115600</v>
      </c>
      <c r="P29" s="290">
        <f>SUM('3 pr-2'!AF30)</f>
        <v>42855</v>
      </c>
      <c r="Q29" s="675">
        <v>42839</v>
      </c>
      <c r="R29" s="291">
        <f t="shared" si="4"/>
        <v>0</v>
      </c>
      <c r="S29" s="720" t="str">
        <f t="shared" si="3"/>
        <v>–</v>
      </c>
    </row>
    <row r="30" spans="1:19" ht="48.75" x14ac:dyDescent="0.25">
      <c r="A30" s="255" t="str">
        <f>CONCATENATE('3 pr-2'!A31)</f>
        <v>1.1.1.1.22</v>
      </c>
      <c r="B30" s="473" t="s">
        <v>1528</v>
      </c>
      <c r="C30" s="255" t="str">
        <f>CONCATENATE('3 pr-2'!D31)</f>
        <v>Alytaus rajono Makniūnų kaimo šaligatvių atnaujinimas ir plėtra</v>
      </c>
      <c r="D30" s="255" t="str">
        <f>CONCATENATE('3 pr-2'!E31)</f>
        <v>Alytaus rajono savivaldybės administracija</v>
      </c>
      <c r="E30" s="255" t="str">
        <f>CONCATENATE('3 pr-2'!F31)</f>
        <v>Lietuvos Respublikos žemės ūkio ministerija</v>
      </c>
      <c r="F30" s="255" t="str">
        <f>CONCATENATE('3 pr-2'!G31)</f>
        <v>Alytaus rajono savivaldybė</v>
      </c>
      <c r="G30" s="255" t="str">
        <f>CONCATENATE('3 pr-2'!H31)</f>
        <v xml:space="preserve">Pagrindinės paslaugos ir kaimų atnaujinimas kaimo vietovėse </v>
      </c>
      <c r="H30" s="255" t="str">
        <f>CONCATENATE('3 pr-2'!I31)</f>
        <v>R</v>
      </c>
      <c r="I30" s="255" t="str">
        <f>CONCATENATE('3 pr-2'!J31)</f>
        <v>-</v>
      </c>
      <c r="J30" s="474">
        <f>IF(Q30&gt;0,'3 pr-2'!L31,0)</f>
        <v>70991</v>
      </c>
      <c r="K30" s="474">
        <f>IF(Q30&gt;0,'3 pr-2'!O31,0)</f>
        <v>14198</v>
      </c>
      <c r="L30" s="474">
        <f>IF(Q30&gt;0,'3 pr-2'!R31,0)</f>
        <v>8519</v>
      </c>
      <c r="M30" s="474">
        <f>IF(Q30&gt;0,'3 pr-2'!U31,0)</f>
        <v>0</v>
      </c>
      <c r="N30" s="474">
        <f>IF(Q30&gt;0,'3 pr-2'!X31,0)</f>
        <v>0</v>
      </c>
      <c r="O30" s="474">
        <f>IF(Q30&gt;0,'3 pr-2'!AA31,0)</f>
        <v>48274</v>
      </c>
      <c r="P30" s="290">
        <f>SUM('3 pr-2'!AF31)</f>
        <v>42855</v>
      </c>
      <c r="Q30" s="675">
        <v>42839</v>
      </c>
      <c r="R30" s="291">
        <f t="shared" si="4"/>
        <v>0</v>
      </c>
      <c r="S30" s="720" t="str">
        <f t="shared" si="3"/>
        <v>–</v>
      </c>
    </row>
    <row r="31" spans="1:19" ht="49.5" thickBot="1" x14ac:dyDescent="0.3">
      <c r="A31" s="255" t="str">
        <f>CONCATENATE('3 pr-2'!A32)</f>
        <v>1.1.1.1.23</v>
      </c>
      <c r="B31" s="473"/>
      <c r="C31" s="255" t="str">
        <f>CONCATENATE('3 pr-2'!D32)</f>
        <v>Varėnos r. Vazgirdonių kaimo Klevų gatvės įrengimas</v>
      </c>
      <c r="D31" s="255" t="str">
        <f>CONCATENATE('3 pr-2'!E32)</f>
        <v xml:space="preserve">Varėnos rajono savivaldybės administracija </v>
      </c>
      <c r="E31" s="255" t="str">
        <f>CONCATENATE('3 pr-2'!F32)</f>
        <v>Lietuvos Respublikos žemės ūkio ministerija</v>
      </c>
      <c r="F31" s="255" t="str">
        <f>CONCATENATE('3 pr-2'!G32)</f>
        <v>Varėnos rajono savivaldybė</v>
      </c>
      <c r="G31" s="255" t="str">
        <f>CONCATENATE('3 pr-2'!H32)</f>
        <v xml:space="preserve">Pagrindinės paslaugos ir kaimų atnaujinimas kaimo vietovėse </v>
      </c>
      <c r="H31" s="255" t="str">
        <f>CONCATENATE('3 pr-2'!I32)</f>
        <v>R</v>
      </c>
      <c r="I31" s="255" t="str">
        <f>CONCATENATE('3 pr-2'!J32)</f>
        <v>-</v>
      </c>
      <c r="J31" s="474">
        <f>IF(Q31&gt;0,'3 pr-2'!L32,0)</f>
        <v>160049</v>
      </c>
      <c r="K31" s="474">
        <f>IF(Q31&gt;0,'3 pr-2'!O32,0)</f>
        <v>32010</v>
      </c>
      <c r="L31" s="474">
        <f>IF(Q31&gt;0,'3 pr-2'!R32,0)</f>
        <v>19206</v>
      </c>
      <c r="M31" s="474">
        <f>IF(Q31&gt;0,'3 pr-2'!U32,0)</f>
        <v>0</v>
      </c>
      <c r="N31" s="474">
        <f>IF(Q31&gt;0,'3 pr-2'!X32,0)</f>
        <v>0</v>
      </c>
      <c r="O31" s="474">
        <f>IF(Q31&gt;0,'3 pr-2'!AA32,0)</f>
        <v>108833</v>
      </c>
      <c r="P31" s="290">
        <f>SUM('3 pr-2'!AF32)</f>
        <v>42855</v>
      </c>
      <c r="Q31" s="675">
        <v>42839</v>
      </c>
      <c r="R31" s="291">
        <f t="shared" si="4"/>
        <v>0</v>
      </c>
      <c r="S31" s="720" t="str">
        <f t="shared" si="3"/>
        <v>–</v>
      </c>
    </row>
    <row r="32" spans="1:19" ht="28.5" customHeight="1" thickBot="1" x14ac:dyDescent="0.3">
      <c r="A32" s="497" t="str">
        <f>CONCATENATE('3 pr-2'!A33)</f>
        <v>1.1.1.2</v>
      </c>
      <c r="B32" s="613"/>
      <c r="C32" s="1656" t="str">
        <f>CONCATENATE('3 pr-2'!D33)</f>
        <v/>
      </c>
      <c r="D32" s="1789" t="str">
        <f>CONCATENATE('3 pr-2'!E33)</f>
        <v/>
      </c>
      <c r="E32" s="1789" t="str">
        <f>CONCATENATE('3 pr-2'!F33)</f>
        <v/>
      </c>
      <c r="F32" s="1789" t="str">
        <f>CONCATENATE('3 pr-2'!G33)</f>
        <v/>
      </c>
      <c r="G32" s="1789" t="str">
        <f>CONCATENATE('3 pr-2'!H33)</f>
        <v/>
      </c>
      <c r="H32" s="1789" t="str">
        <f>CONCATENATE('3 pr-2'!I33)</f>
        <v/>
      </c>
      <c r="I32" s="1790" t="str">
        <f>CONCATENATE('3 pr-2'!J33)</f>
        <v/>
      </c>
      <c r="J32" s="629">
        <f>SUM(J33:J37)</f>
        <v>605025</v>
      </c>
      <c r="K32" s="629">
        <f t="shared" ref="K32:O32" si="5">SUM(K33:K37)</f>
        <v>45377</v>
      </c>
      <c r="L32" s="629">
        <f t="shared" si="5"/>
        <v>45377</v>
      </c>
      <c r="M32" s="629">
        <f t="shared" si="5"/>
        <v>0</v>
      </c>
      <c r="N32" s="629">
        <f t="shared" si="5"/>
        <v>0</v>
      </c>
      <c r="O32" s="629">
        <f t="shared" si="5"/>
        <v>514271</v>
      </c>
      <c r="P32" s="630" t="s">
        <v>725</v>
      </c>
      <c r="Q32" s="631" t="s">
        <v>725</v>
      </c>
      <c r="R32" s="630" t="s">
        <v>725</v>
      </c>
      <c r="S32" s="631"/>
    </row>
    <row r="33" spans="1:19" ht="48.75" x14ac:dyDescent="0.25">
      <c r="A33" s="255" t="str">
        <f>CONCATENATE('3 pr-2'!A34)</f>
        <v>1.1.1.2.1</v>
      </c>
      <c r="B33" s="473"/>
      <c r="C33" s="255" t="str">
        <f>CONCATENATE('3 pr-2'!D34)</f>
        <v>Matuizų kaimo viešosios infrastruktūros atnaujinimas ir pritaikymas bendruomenės poreikiams</v>
      </c>
      <c r="D33" s="255" t="str">
        <f>CONCATENATE('3 pr-2'!E34)</f>
        <v>Varėnos rajono savivaldybės administracija</v>
      </c>
      <c r="E33" s="255" t="str">
        <f>CONCATENATE('3 pr-2'!F34)</f>
        <v>Lietuvos Respublikos vidaus reikalų ministerija</v>
      </c>
      <c r="F33" s="255" t="str">
        <f>CONCATENATE('3 pr-2'!G34)</f>
        <v>Varėnos rajono savivaldybė</v>
      </c>
      <c r="G33" s="255" t="str">
        <f>CONCATENATE('3 pr-2'!H34)</f>
        <v>8.2.1-CPVA-R-908</v>
      </c>
      <c r="H33" s="255" t="str">
        <f>CONCATENATE('3 pr-2'!I34)</f>
        <v>R</v>
      </c>
      <c r="I33" s="255" t="str">
        <f>CONCATENATE('3 pr-2'!J34)</f>
        <v>-</v>
      </c>
      <c r="J33" s="474">
        <f>IF(Q33&gt;0,'3 pr-2'!L34,0)</f>
        <v>0</v>
      </c>
      <c r="K33" s="474">
        <f>IF(Q33&gt;0,'3 pr-2'!O34,0)</f>
        <v>0</v>
      </c>
      <c r="L33" s="474">
        <f>IF(Q33&gt;0,'3 pr-2'!R34,0)</f>
        <v>0</v>
      </c>
      <c r="M33" s="474">
        <f>IF(Q33&gt;0,'3 pr-2'!U34,0)</f>
        <v>0</v>
      </c>
      <c r="N33" s="474">
        <f>IF(Q33&gt;0,'3 pr-2'!X34,0)</f>
        <v>0</v>
      </c>
      <c r="O33" s="474">
        <f>IF(Q33&gt;0,'3 pr-2'!AA34,0)</f>
        <v>0</v>
      </c>
      <c r="P33" s="290">
        <f>SUM('3 pr-2'!AF34)</f>
        <v>43100</v>
      </c>
      <c r="Q33" s="659"/>
      <c r="R33" s="291"/>
      <c r="S33" s="720" t="str">
        <f t="shared" si="3"/>
        <v>–</v>
      </c>
    </row>
    <row r="34" spans="1:19" ht="48.75" x14ac:dyDescent="0.25">
      <c r="A34" s="255" t="str">
        <f>CONCATENATE('3 pr-2'!A35)</f>
        <v>1.1.1.2.2</v>
      </c>
      <c r="B34" s="473" t="s">
        <v>1500</v>
      </c>
      <c r="C34" s="255" t="str">
        <f>CONCATENATE('3 pr-2'!D35)</f>
        <v>Senosios Varėnos kaimo viešosios infrastruktūros atnaujinimas ir pritaikymas bendruomenės poreikiams</v>
      </c>
      <c r="D34" s="255" t="str">
        <f>CONCATENATE('3 pr-2'!E35)</f>
        <v>Varėnos rajono savivaldybės administracija</v>
      </c>
      <c r="E34" s="255" t="str">
        <f>CONCATENATE('3 pr-2'!F35)</f>
        <v>Lietuvos Respublikos vidaus reikalų ministerija</v>
      </c>
      <c r="F34" s="255" t="str">
        <f>CONCATENATE('3 pr-2'!G35)</f>
        <v>Varėnos rajono savivaldybė</v>
      </c>
      <c r="G34" s="255" t="str">
        <f>CONCATENATE('3 pr-2'!H35)</f>
        <v>8.2.1-CPVA-R-908</v>
      </c>
      <c r="H34" s="255" t="str">
        <f>CONCATENATE('3 pr-2'!I35)</f>
        <v>R</v>
      </c>
      <c r="I34" s="255" t="str">
        <f>CONCATENATE('3 pr-2'!J35)</f>
        <v>-</v>
      </c>
      <c r="J34" s="474">
        <f>IF(Q34&gt;0,'3 pr-2'!L35,0)</f>
        <v>605025</v>
      </c>
      <c r="K34" s="474">
        <f>IF(Q34&gt;0,'3 pr-2'!O35,0)</f>
        <v>45377</v>
      </c>
      <c r="L34" s="474">
        <f>IF(Q34&gt;0,'3 pr-2'!R35,0)</f>
        <v>45377</v>
      </c>
      <c r="M34" s="474">
        <f>IF(Q34&gt;0,'3 pr-2'!U35,0)</f>
        <v>0</v>
      </c>
      <c r="N34" s="474">
        <f>IF(Q34&gt;0,'3 pr-2'!X35,0)</f>
        <v>0</v>
      </c>
      <c r="O34" s="474">
        <f>IF(Q34&gt;0,'3 pr-2'!AA35,0)</f>
        <v>514271</v>
      </c>
      <c r="P34" s="290">
        <f>SUM('3 pr-2'!AF35)</f>
        <v>42978</v>
      </c>
      <c r="Q34" s="659">
        <v>42978</v>
      </c>
      <c r="R34" s="291"/>
      <c r="S34" s="720" t="str">
        <f t="shared" si="3"/>
        <v>–</v>
      </c>
    </row>
    <row r="35" spans="1:19" ht="48.75" x14ac:dyDescent="0.25">
      <c r="A35" s="255" t="str">
        <f>CONCATENATE('3 pr-2'!A36)</f>
        <v>1.1.1.2.3</v>
      </c>
      <c r="B35" s="473"/>
      <c r="C35" s="255" t="str">
        <f>CONCATENATE('3 pr-2'!D36)</f>
        <v>Kompleksinė Miklusėnų gyvenvietės plėtra</v>
      </c>
      <c r="D35" s="255" t="str">
        <f>CONCATENATE('3 pr-2'!E36)</f>
        <v>Alytaus rajono savivaldybės administracija</v>
      </c>
      <c r="E35" s="255" t="str">
        <f>CONCATENATE('3 pr-2'!F36)</f>
        <v>Lietuvos Respublikos vidaus reikalų ministerija</v>
      </c>
      <c r="F35" s="255" t="str">
        <f>CONCATENATE('3 pr-2'!G36)</f>
        <v>Alytaus rajono  savivaldybė</v>
      </c>
      <c r="G35" s="255" t="str">
        <f>CONCATENATE('3 pr-2'!H36)</f>
        <v>8.2.1-CPVA-R-908</v>
      </c>
      <c r="H35" s="255" t="str">
        <f>CONCATENATE('3 pr-2'!I36)</f>
        <v>R</v>
      </c>
      <c r="I35" s="255" t="str">
        <f>CONCATENATE('3 pr-2'!J36)</f>
        <v>-</v>
      </c>
      <c r="J35" s="474">
        <f>IF(Q35&gt;0,'3 pr-2'!L36,0)</f>
        <v>0</v>
      </c>
      <c r="K35" s="474">
        <f>IF(Q35&gt;0,'3 pr-2'!O36,0)</f>
        <v>0</v>
      </c>
      <c r="L35" s="474">
        <f>IF(Q35&gt;0,'3 pr-2'!R36,0)</f>
        <v>0</v>
      </c>
      <c r="M35" s="474">
        <f>IF(Q35&gt;0,'3 pr-2'!U36,0)</f>
        <v>0</v>
      </c>
      <c r="N35" s="474">
        <f>IF(Q35&gt;0,'3 pr-2'!X36,0)</f>
        <v>0</v>
      </c>
      <c r="O35" s="474">
        <f>IF(Q35&gt;0,'3 pr-2'!AA36,0)</f>
        <v>0</v>
      </c>
      <c r="P35" s="290">
        <f>SUM('3 pr-2'!AF36)</f>
        <v>43190</v>
      </c>
      <c r="Q35" s="659"/>
      <c r="R35" s="291"/>
      <c r="S35" s="720" t="str">
        <f t="shared" si="3"/>
        <v>–</v>
      </c>
    </row>
    <row r="36" spans="1:19" ht="48.75" x14ac:dyDescent="0.25">
      <c r="A36" s="255" t="str">
        <f>CONCATENATE('3 pr-2'!A37)</f>
        <v>1.1.1.2.4</v>
      </c>
      <c r="B36" s="473"/>
      <c r="C36" s="255" t="str">
        <f>CONCATENATE('3 pr-2'!D37)</f>
        <v>Leipalingio viešosios erdvės pritaikymas bendruomenės poreikiams</v>
      </c>
      <c r="D36" s="255" t="str">
        <f>CONCATENATE('3 pr-2'!E37)</f>
        <v xml:space="preserve">Druskininkų savivaldybės administracija  </v>
      </c>
      <c r="E36" s="255" t="str">
        <f>CONCATENATE('3 pr-2'!F37)</f>
        <v>Lietuvos Respublikos vidaus reikalų ministerija</v>
      </c>
      <c r="F36" s="255" t="str">
        <f>CONCATENATE('3 pr-2'!G37)</f>
        <v>Druskininkų savivaldybė, Leipalingio seniūnija</v>
      </c>
      <c r="G36" s="255" t="str">
        <f>CONCATENATE('3 pr-2'!H37)</f>
        <v>8.2.1-CPVA-R-908</v>
      </c>
      <c r="H36" s="255" t="str">
        <f>CONCATENATE('3 pr-2'!I37)</f>
        <v>R</v>
      </c>
      <c r="I36" s="255" t="str">
        <f>CONCATENATE('3 pr-2'!J37)</f>
        <v>-</v>
      </c>
      <c r="J36" s="474">
        <f>IF(Q36&gt;0,'3 pr-2'!L37,0)</f>
        <v>0</v>
      </c>
      <c r="K36" s="474">
        <f>IF(Q36&gt;0,'3 pr-2'!O37,0)</f>
        <v>0</v>
      </c>
      <c r="L36" s="474">
        <f>IF(Q36&gt;0,'3 pr-2'!R37,0)</f>
        <v>0</v>
      </c>
      <c r="M36" s="474">
        <f>IF(Q36&gt;0,'3 pr-2'!U37,0)</f>
        <v>0</v>
      </c>
      <c r="N36" s="474">
        <f>IF(Q36&gt;0,'3 pr-2'!X37,0)</f>
        <v>0</v>
      </c>
      <c r="O36" s="474">
        <f>IF(Q36&gt;0,'3 pr-2'!AA37,0)</f>
        <v>0</v>
      </c>
      <c r="P36" s="290">
        <f>SUM('3 pr-2'!AF37)</f>
        <v>43124</v>
      </c>
      <c r="Q36" s="659"/>
      <c r="R36" s="291"/>
      <c r="S36" s="720" t="str">
        <f t="shared" si="3"/>
        <v>–</v>
      </c>
    </row>
    <row r="37" spans="1:19" ht="49.5" thickBot="1" x14ac:dyDescent="0.3">
      <c r="A37" s="255" t="str">
        <f>CONCATENATE('3 pr-2'!A38)</f>
        <v>1.1.1.2.5</v>
      </c>
      <c r="B37" s="473"/>
      <c r="C37" s="255" t="str">
        <f>CONCATENATE('3 pr-2'!D38)</f>
        <v>Viečiūnų viešosios erdvės pritaikymas bendruomenės poreikiams</v>
      </c>
      <c r="D37" s="255" t="str">
        <f>CONCATENATE('3 pr-2'!E38)</f>
        <v xml:space="preserve">Druskininkų savivaldybės administracija  </v>
      </c>
      <c r="E37" s="255" t="str">
        <f>CONCATENATE('3 pr-2'!F38)</f>
        <v>Lietuvos Respublikos vidaus reikalų ministerija</v>
      </c>
      <c r="F37" s="255" t="str">
        <f>CONCATENATE('3 pr-2'!G38)</f>
        <v>Druskininkų savivaldybė, Viečiūnų seniūnija</v>
      </c>
      <c r="G37" s="255" t="str">
        <f>CONCATENATE('3 pr-2'!H38)</f>
        <v>8.2.1-CPVA-R-908</v>
      </c>
      <c r="H37" s="255" t="str">
        <f>CONCATENATE('3 pr-2'!I38)</f>
        <v>R</v>
      </c>
      <c r="I37" s="255" t="str">
        <f>CONCATENATE('3 pr-2'!J38)</f>
        <v>-</v>
      </c>
      <c r="J37" s="474">
        <f>IF(Q37&gt;0,'3 pr-2'!L38,0)</f>
        <v>0</v>
      </c>
      <c r="K37" s="474">
        <f>IF(Q37&gt;0,'3 pr-2'!O38,0)</f>
        <v>0</v>
      </c>
      <c r="L37" s="474">
        <f>IF(Q37&gt;0,'3 pr-2'!R38,0)</f>
        <v>0</v>
      </c>
      <c r="M37" s="474">
        <f>IF(Q37&gt;0,'3 pr-2'!U38,0)</f>
        <v>0</v>
      </c>
      <c r="N37" s="474">
        <f>IF(Q37&gt;0,'3 pr-2'!X38,0)</f>
        <v>0</v>
      </c>
      <c r="O37" s="474">
        <f>IF(Q37&gt;0,'3 pr-2'!AA38,0)</f>
        <v>0</v>
      </c>
      <c r="P37" s="290">
        <f>SUM('3 pr-2'!AF38)</f>
        <v>43100</v>
      </c>
      <c r="Q37" s="659"/>
      <c r="R37" s="291"/>
      <c r="S37" s="720" t="str">
        <f t="shared" si="3"/>
        <v>–</v>
      </c>
    </row>
    <row r="38" spans="1:19" ht="30" customHeight="1" thickBot="1" x14ac:dyDescent="0.3">
      <c r="A38" s="497" t="str">
        <f>CONCATENATE('3 pr-2'!A39)</f>
        <v>1.1.1.3</v>
      </c>
      <c r="B38" s="613"/>
      <c r="C38" s="1656" t="str">
        <f>CONCATENATE('3 pr-2'!D39)</f>
        <v/>
      </c>
      <c r="D38" s="1789" t="str">
        <f>CONCATENATE('3 pr-2'!E39)</f>
        <v/>
      </c>
      <c r="E38" s="1789" t="str">
        <f>CONCATENATE('3 pr-2'!F39)</f>
        <v/>
      </c>
      <c r="F38" s="1789" t="str">
        <f>CONCATENATE('3 pr-2'!G39)</f>
        <v/>
      </c>
      <c r="G38" s="1789" t="str">
        <f>CONCATENATE('3 pr-2'!H39)</f>
        <v/>
      </c>
      <c r="H38" s="1789" t="str">
        <f>CONCATENATE('3 pr-2'!I39)</f>
        <v/>
      </c>
      <c r="I38" s="1790" t="str">
        <f>CONCATENATE('3 pr-2'!J39)</f>
        <v/>
      </c>
      <c r="J38" s="629">
        <f>SUM(J39:J44)</f>
        <v>3269394.13</v>
      </c>
      <c r="K38" s="629">
        <f t="shared" ref="K38:O38" si="6">SUM(K39:K44)</f>
        <v>348877.5</v>
      </c>
      <c r="L38" s="629">
        <f t="shared" si="6"/>
        <v>271647.09000000003</v>
      </c>
      <c r="M38" s="629">
        <f t="shared" si="6"/>
        <v>0</v>
      </c>
      <c r="N38" s="629">
        <f t="shared" si="6"/>
        <v>0</v>
      </c>
      <c r="O38" s="629">
        <f t="shared" si="6"/>
        <v>2648869.5399999996</v>
      </c>
      <c r="P38" s="630" t="s">
        <v>725</v>
      </c>
      <c r="Q38" s="631" t="s">
        <v>725</v>
      </c>
      <c r="R38" s="630" t="s">
        <v>725</v>
      </c>
      <c r="S38" s="631"/>
    </row>
    <row r="39" spans="1:19" ht="48.75" x14ac:dyDescent="0.25">
      <c r="A39" s="255" t="str">
        <f>CONCATENATE('3 pr-2'!A40)</f>
        <v>1.1.1.3.1</v>
      </c>
      <c r="B39" s="473" t="s">
        <v>758</v>
      </c>
      <c r="C39" s="255" t="str">
        <f>CONCATENATE('3 pr-2'!D40)</f>
        <v>Varėnos miesto centrinės dalies modernizavimas ir pritaikymas visuomenės poreikiams (I etapas)</v>
      </c>
      <c r="D39" s="255" t="str">
        <f>CONCATENATE('3 pr-2'!E40)</f>
        <v>Varėnos rajono savivaldybės administracija</v>
      </c>
      <c r="E39" s="255" t="str">
        <f>CONCATENATE('3 pr-2'!F40)</f>
        <v>Lietuvos Respublikos vidaus reikalų ministerija</v>
      </c>
      <c r="F39" s="255" t="str">
        <f>CONCATENATE('3 pr-2'!G40)</f>
        <v>Varėnos miestas</v>
      </c>
      <c r="G39" s="255" t="str">
        <f>CONCATENATE('3 pr-2'!H40)</f>
        <v xml:space="preserve">07.1.1-CPVA-R-905 </v>
      </c>
      <c r="H39" s="255" t="str">
        <f>CONCATENATE('3 pr-2'!I40)</f>
        <v>R</v>
      </c>
      <c r="I39" s="255" t="str">
        <f>CONCATENATE('3 pr-2'!J40)</f>
        <v>ITI</v>
      </c>
      <c r="J39" s="474">
        <f>IF(Q39&gt;0,'3 pr-2'!L40,0)</f>
        <v>1516932.01</v>
      </c>
      <c r="K39" s="474">
        <f>IF(Q39&gt;0,'3 pr-2'!O40,0)</f>
        <v>75846.61</v>
      </c>
      <c r="L39" s="474">
        <f>IF(Q39&gt;0,'3 pr-2'!R40,0)</f>
        <v>151693.20000000001</v>
      </c>
      <c r="M39" s="474">
        <f>IF(Q39&gt;0,'3 pr-2'!U40,0)</f>
        <v>0</v>
      </c>
      <c r="N39" s="474">
        <f>IF(Q39&gt;0,'3 pr-2'!X40,0)</f>
        <v>0</v>
      </c>
      <c r="O39" s="474">
        <f>IF(Q39&gt;0,'3 pr-2'!AA40,0)</f>
        <v>1289392.2</v>
      </c>
      <c r="P39" s="290">
        <f>SUM('3 pr-2'!AF40)</f>
        <v>42528</v>
      </c>
      <c r="Q39" s="675">
        <v>42528</v>
      </c>
      <c r="R39" s="291">
        <f t="shared" ref="R39" si="7">IF((YEAR(P39)-YEAR(Q39))=0,0,YEAR(P39)-YEAR(Q39))</f>
        <v>0</v>
      </c>
      <c r="S39" s="720" t="str">
        <f t="shared" si="3"/>
        <v>–</v>
      </c>
    </row>
    <row r="40" spans="1:19" ht="48.75" x14ac:dyDescent="0.25">
      <c r="A40" s="255" t="str">
        <f>CONCATENATE('3 pr-2'!A41)</f>
        <v>1.1.1.3.2</v>
      </c>
      <c r="B40" s="473" t="s">
        <v>759</v>
      </c>
      <c r="C40" s="255" t="str">
        <f>CONCATENATE('3 pr-2'!D41)</f>
        <v>Varėnos miesto centrinės dalies modernizavimas ir pritaikymas visuomenės poreikiams (II etapas)</v>
      </c>
      <c r="D40" s="255" t="str">
        <f>CONCATENATE('3 pr-2'!E41)</f>
        <v>Varėnos rajono savivaldybės administracija</v>
      </c>
      <c r="E40" s="255" t="str">
        <f>CONCATENATE('3 pr-2'!F41)</f>
        <v>Lietuvos Respublikos vidaus reikalų ministerija</v>
      </c>
      <c r="F40" s="255" t="str">
        <f>CONCATENATE('3 pr-2'!G41)</f>
        <v>Varėnos miestas</v>
      </c>
      <c r="G40" s="255" t="str">
        <f>CONCATENATE('3 pr-2'!H41)</f>
        <v xml:space="preserve">07.1.1-CPVA-R-905 </v>
      </c>
      <c r="H40" s="255" t="str">
        <f>CONCATENATE('3 pr-2'!I41)</f>
        <v>R</v>
      </c>
      <c r="I40" s="255" t="str">
        <f>CONCATENATE('3 pr-2'!J41)</f>
        <v>ITI</v>
      </c>
      <c r="J40" s="474">
        <f>IF(Q40&gt;0,'3 pr-2'!L41,0)</f>
        <v>995216.11</v>
      </c>
      <c r="K40" s="474">
        <f>IF(Q40&gt;0,'3 pr-2'!O41,0)</f>
        <v>74641.210000000006</v>
      </c>
      <c r="L40" s="474">
        <f>IF(Q40&gt;0,'3 pr-2'!R41,0)</f>
        <v>74641.210000000006</v>
      </c>
      <c r="M40" s="474">
        <f>IF(Q40&gt;0,'3 pr-2'!U41,0)</f>
        <v>0</v>
      </c>
      <c r="N40" s="474">
        <f>IF(Q40&gt;0,'3 pr-2'!X41,0)</f>
        <v>0</v>
      </c>
      <c r="O40" s="474">
        <f>IF(Q40&gt;0,'3 pr-2'!AA41,0)</f>
        <v>845933.69</v>
      </c>
      <c r="P40" s="290">
        <f>SUM('3 pr-2'!AF41)</f>
        <v>42830</v>
      </c>
      <c r="Q40" s="675">
        <v>42830</v>
      </c>
      <c r="R40" s="291">
        <f t="shared" ref="R40" si="8">IF((YEAR(P40)-YEAR(Q40))=0,0,YEAR(P40)-YEAR(Q40))</f>
        <v>0</v>
      </c>
      <c r="S40" s="720" t="str">
        <f t="shared" si="3"/>
        <v>–</v>
      </c>
    </row>
    <row r="41" spans="1:19" ht="48.75" x14ac:dyDescent="0.25">
      <c r="A41" s="255" t="str">
        <f>CONCATENATE('3 pr-2'!A42)</f>
        <v>1.1.1.3.3</v>
      </c>
      <c r="B41" s="473"/>
      <c r="C41" s="255" t="str">
        <f>CONCATENATE('3 pr-2'!D42)</f>
        <v xml:space="preserve">Varėnos miesto Dainų slėnio infrastruktūros atnaujinimas ir pritaikymas visuomenės poreikiams </v>
      </c>
      <c r="D41" s="255" t="str">
        <f>CONCATENATE('3 pr-2'!E42)</f>
        <v>Varėnos rajono savivaldybės administracija</v>
      </c>
      <c r="E41" s="255" t="str">
        <f>CONCATENATE('3 pr-2'!F42)</f>
        <v>Lietuvos Respublikos vidaus reikalų ministerija</v>
      </c>
      <c r="F41" s="255" t="str">
        <f>CONCATENATE('3 pr-2'!G42)</f>
        <v>Varėnos miestas</v>
      </c>
      <c r="G41" s="255" t="str">
        <f>CONCATENATE('3 pr-2'!H42)</f>
        <v xml:space="preserve">07.1.1-CPVA-R-905 </v>
      </c>
      <c r="H41" s="255" t="str">
        <f>CONCATENATE('3 pr-2'!I42)</f>
        <v>R</v>
      </c>
      <c r="I41" s="255" t="str">
        <f>CONCATENATE('3 pr-2'!J42)</f>
        <v>ITI</v>
      </c>
      <c r="J41" s="474">
        <f>IF(Q41&gt;0,'3 pr-2'!L42,0)</f>
        <v>0</v>
      </c>
      <c r="K41" s="474">
        <f>IF(Q41&gt;0,'3 pr-2'!O42,0)</f>
        <v>0</v>
      </c>
      <c r="L41" s="474">
        <f>IF(Q41&gt;0,'3 pr-2'!R42,0)</f>
        <v>0</v>
      </c>
      <c r="M41" s="474">
        <f>IF(Q41&gt;0,'3 pr-2'!U42,0)</f>
        <v>0</v>
      </c>
      <c r="N41" s="474">
        <f>IF(Q41&gt;0,'3 pr-2'!X42,0)</f>
        <v>0</v>
      </c>
      <c r="O41" s="474">
        <f>IF(Q41&gt;0,'3 pr-2'!AA42,0)</f>
        <v>0</v>
      </c>
      <c r="P41" s="290">
        <f>SUM('3 pr-2'!AF42)</f>
        <v>43190</v>
      </c>
      <c r="Q41" s="291"/>
      <c r="R41" s="291"/>
      <c r="S41" s="720" t="str">
        <f t="shared" si="3"/>
        <v>–</v>
      </c>
    </row>
    <row r="42" spans="1:19" ht="48.75" x14ac:dyDescent="0.25">
      <c r="A42" s="255" t="str">
        <f>CONCATENATE('3 pr-2'!A43)</f>
        <v>1.1.1.3.4</v>
      </c>
      <c r="B42" s="473" t="s">
        <v>870</v>
      </c>
      <c r="C42" s="255" t="str">
        <f>CONCATENATE('3 pr-2'!D43)</f>
        <v>Karloniškės ežero ir jo prieigų sutvarkymas ir pritaikymas aktyviam poilsiui</v>
      </c>
      <c r="D42" s="255" t="str">
        <f>CONCATENATE('3 pr-2'!E43)</f>
        <v>Varėnos rajono savivaldybės administracija</v>
      </c>
      <c r="E42" s="255" t="str">
        <f>CONCATENATE('3 pr-2'!F43)</f>
        <v>Lietuvos Respublikos vidaus reikalų ministerija</v>
      </c>
      <c r="F42" s="255" t="str">
        <f>CONCATENATE('3 pr-2'!G43)</f>
        <v>Varėnos miestas</v>
      </c>
      <c r="G42" s="255" t="str">
        <f>CONCATENATE('3 pr-2'!H43)</f>
        <v xml:space="preserve">07.1.1-CPVA-R-905 </v>
      </c>
      <c r="H42" s="255" t="str">
        <f>CONCATENATE('3 pr-2'!I43)</f>
        <v>R</v>
      </c>
      <c r="I42" s="255" t="str">
        <f>CONCATENATE('3 pr-2'!J43)</f>
        <v>ITI</v>
      </c>
      <c r="J42" s="474">
        <f>IF(Q42&gt;0,'3 pr-2'!L43,0)</f>
        <v>757246.01</v>
      </c>
      <c r="K42" s="474">
        <f>IF(Q42&gt;0,'3 pr-2'!O43,0)</f>
        <v>198389.68</v>
      </c>
      <c r="L42" s="474">
        <f>IF(Q42&gt;0,'3 pr-2'!R43,0)</f>
        <v>45312.68</v>
      </c>
      <c r="M42" s="474">
        <f>IF(Q42&gt;0,'3 pr-2'!U43,0)</f>
        <v>0</v>
      </c>
      <c r="N42" s="474">
        <f>IF(Q42&gt;0,'3 pr-2'!X43,0)</f>
        <v>0</v>
      </c>
      <c r="O42" s="474">
        <f>IF(Q42&gt;0,'3 pr-2'!AA43,0)</f>
        <v>513543.65</v>
      </c>
      <c r="P42" s="290">
        <f>SUM('3 pr-2'!AF43)</f>
        <v>42923</v>
      </c>
      <c r="Q42" s="675">
        <v>42923</v>
      </c>
      <c r="R42" s="291">
        <f t="shared" ref="R42" si="9">IF((YEAR(P42)-YEAR(Q42))=0,0,YEAR(P42)-YEAR(Q42))</f>
        <v>0</v>
      </c>
      <c r="S42" s="720" t="str">
        <f t="shared" si="3"/>
        <v>–</v>
      </c>
    </row>
    <row r="43" spans="1:19" ht="48.75" x14ac:dyDescent="0.25">
      <c r="A43" s="255" t="str">
        <f>CONCATENATE('3 pr-2'!A44)</f>
        <v>1.1.1.3.5</v>
      </c>
      <c r="B43" s="473"/>
      <c r="C43" s="255" t="str">
        <f>CONCATENATE('3 pr-2'!D44)</f>
        <v xml:space="preserve">Nenaudojamų teritorijų Varėnos mieste sutvarkymas ir pritaikymas verslui </v>
      </c>
      <c r="D43" s="255" t="str">
        <f>CONCATENATE('3 pr-2'!E44)</f>
        <v>Varėnos rajono savivaldybės administracija</v>
      </c>
      <c r="E43" s="255" t="str">
        <f>CONCATENATE('3 pr-2'!F44)</f>
        <v>Lietuvos Respublikos vidaus reikalų ministerija</v>
      </c>
      <c r="F43" s="255" t="str">
        <f>CONCATENATE('3 pr-2'!G44)</f>
        <v>Varėnos miestas</v>
      </c>
      <c r="G43" s="255" t="str">
        <f>CONCATENATE('3 pr-2'!H44)</f>
        <v xml:space="preserve">07.1.1-CPVA-R-905 </v>
      </c>
      <c r="H43" s="255" t="str">
        <f>CONCATENATE('3 pr-2'!I44)</f>
        <v>R</v>
      </c>
      <c r="I43" s="255" t="str">
        <f>CONCATENATE('3 pr-2'!J44)</f>
        <v>ITI</v>
      </c>
      <c r="J43" s="474">
        <f>IF(Q43&gt;0,'3 pr-2'!L44,0)</f>
        <v>0</v>
      </c>
      <c r="K43" s="474">
        <f>IF(Q43&gt;0,'3 pr-2'!O44,0)</f>
        <v>0</v>
      </c>
      <c r="L43" s="474">
        <f>IF(Q43&gt;0,'3 pr-2'!R44,0)</f>
        <v>0</v>
      </c>
      <c r="M43" s="474">
        <f>IF(Q43&gt;0,'3 pr-2'!U44,0)</f>
        <v>0</v>
      </c>
      <c r="N43" s="474">
        <f>IF(Q43&gt;0,'3 pr-2'!X44,0)</f>
        <v>0</v>
      </c>
      <c r="O43" s="474">
        <f>IF(Q43&gt;0,'3 pr-2'!AA44,0)</f>
        <v>0</v>
      </c>
      <c r="P43" s="290">
        <f>SUM('3 pr-2'!AF44)</f>
        <v>43190</v>
      </c>
      <c r="Q43" s="291"/>
      <c r="R43" s="291"/>
      <c r="S43" s="720" t="str">
        <f t="shared" si="3"/>
        <v>–</v>
      </c>
    </row>
    <row r="44" spans="1:19" ht="49.5" thickBot="1" x14ac:dyDescent="0.3">
      <c r="A44" s="255" t="str">
        <f>CONCATENATE('3 pr-2'!A45)</f>
        <v>1.1.1.3.6</v>
      </c>
      <c r="B44" s="473"/>
      <c r="C44" s="255" t="str">
        <f>CONCATENATE('3 pr-2'!D45)</f>
        <v xml:space="preserve">Teritorijų prie daugiabučių gyvenamųjų pastatų Varėnos mieste sutvarkymas ir pritaikymas visuomenės poreikiams  </v>
      </c>
      <c r="D44" s="255" t="str">
        <f>CONCATENATE('3 pr-2'!E45)</f>
        <v>Varėnos rajono savivaldybės administracija</v>
      </c>
      <c r="E44" s="255" t="str">
        <f>CONCATENATE('3 pr-2'!F45)</f>
        <v>Lietuvos Respublikos vidaus reikalų ministerija</v>
      </c>
      <c r="F44" s="255" t="str">
        <f>CONCATENATE('3 pr-2'!G45)</f>
        <v>Varėnos miestas</v>
      </c>
      <c r="G44" s="255" t="str">
        <f>CONCATENATE('3 pr-2'!H45)</f>
        <v xml:space="preserve">07.1.1-CPVA-R-905 </v>
      </c>
      <c r="H44" s="255" t="str">
        <f>CONCATENATE('3 pr-2'!I45)</f>
        <v>R</v>
      </c>
      <c r="I44" s="255" t="str">
        <f>CONCATENATE('3 pr-2'!J45)</f>
        <v>ITI</v>
      </c>
      <c r="J44" s="474">
        <f>IF(Q44&gt;0,'3 pr-2'!L45,0)</f>
        <v>0</v>
      </c>
      <c r="K44" s="474">
        <f>IF(Q44&gt;0,'3 pr-2'!O45,0)</f>
        <v>0</v>
      </c>
      <c r="L44" s="474">
        <f>IF(Q44&gt;0,'3 pr-2'!R45,0)</f>
        <v>0</v>
      </c>
      <c r="M44" s="474">
        <f>IF(Q44&gt;0,'3 pr-2'!U45,0)</f>
        <v>0</v>
      </c>
      <c r="N44" s="474">
        <f>IF(Q44&gt;0,'3 pr-2'!X45,0)</f>
        <v>0</v>
      </c>
      <c r="O44" s="474">
        <f>IF(Q44&gt;0,'3 pr-2'!AA45,0)</f>
        <v>0</v>
      </c>
      <c r="P44" s="290">
        <f>SUM('3 pr-2'!AF45)</f>
        <v>43159</v>
      </c>
      <c r="Q44" s="291"/>
      <c r="R44" s="291"/>
      <c r="S44" s="720" t="str">
        <f t="shared" si="3"/>
        <v>–</v>
      </c>
    </row>
    <row r="45" spans="1:19" ht="39" customHeight="1" thickBot="1" x14ac:dyDescent="0.3">
      <c r="A45" s="497" t="str">
        <f>CONCATENATE('3 pr-2'!A46)</f>
        <v>1.1.1.4</v>
      </c>
      <c r="B45" s="613"/>
      <c r="C45" s="1656" t="str">
        <f>CONCATENATE('3 pr-2'!D46)</f>
        <v/>
      </c>
      <c r="D45" s="1789" t="str">
        <f>CONCATENATE('3 pr-2'!E46)</f>
        <v/>
      </c>
      <c r="E45" s="1789" t="str">
        <f>CONCATENATE('3 pr-2'!F46)</f>
        <v/>
      </c>
      <c r="F45" s="1789" t="str">
        <f>CONCATENATE('3 pr-2'!G46)</f>
        <v/>
      </c>
      <c r="G45" s="1789" t="str">
        <f>CONCATENATE('3 pr-2'!H46)</f>
        <v/>
      </c>
      <c r="H45" s="1789" t="str">
        <f>CONCATENATE('3 pr-2'!I46)</f>
        <v/>
      </c>
      <c r="I45" s="1790" t="str">
        <f>CONCATENATE('3 pr-2'!J46)</f>
        <v/>
      </c>
      <c r="J45" s="629">
        <f>SUM(J46:J48)</f>
        <v>2112023.5599999996</v>
      </c>
      <c r="K45" s="629">
        <f t="shared" ref="K45:O45" si="10">SUM(K46:K48)</f>
        <v>289057.97000000003</v>
      </c>
      <c r="L45" s="629">
        <f t="shared" si="10"/>
        <v>147808.01999999999</v>
      </c>
      <c r="M45" s="629">
        <f t="shared" si="10"/>
        <v>0</v>
      </c>
      <c r="N45" s="629">
        <f t="shared" si="10"/>
        <v>0</v>
      </c>
      <c r="O45" s="629">
        <f t="shared" si="10"/>
        <v>1675157.5699999998</v>
      </c>
      <c r="P45" s="630" t="s">
        <v>725</v>
      </c>
      <c r="Q45" s="631" t="s">
        <v>725</v>
      </c>
      <c r="R45" s="630" t="s">
        <v>725</v>
      </c>
      <c r="S45" s="631"/>
    </row>
    <row r="46" spans="1:19" ht="48.75" x14ac:dyDescent="0.25">
      <c r="A46" s="255" t="str">
        <f>CONCATENATE('3 pr-2'!A47)</f>
        <v>1.1.1.4.1</v>
      </c>
      <c r="B46" s="473" t="s">
        <v>738</v>
      </c>
      <c r="C46" s="255" t="str">
        <f>CONCATENATE('3 pr-2'!D47)</f>
        <v>Buvusios pramoninės teritorijos Pramonės g. 1 Alytuje, pritaikymas verslo vystymui ir plėtrai.</v>
      </c>
      <c r="D46" s="255" t="str">
        <f>CONCATENATE('3 pr-2'!E47)</f>
        <v>Alytaus miesto savivaldybės administracija</v>
      </c>
      <c r="E46" s="255" t="str">
        <f>CONCATENATE('3 pr-2'!F47)</f>
        <v>Lietuvos Respublikos vidaus reikalų ministerija</v>
      </c>
      <c r="F46" s="255" t="str">
        <f>CONCATENATE('3 pr-2'!G47)</f>
        <v>Alytaus m.</v>
      </c>
      <c r="G46" s="255" t="str">
        <f>CONCATENATE('3 pr-2'!H47)</f>
        <v>07.1.1-CPVA-V-902</v>
      </c>
      <c r="H46" s="255" t="str">
        <f>CONCATENATE('3 pr-2'!I47)</f>
        <v>V</v>
      </c>
      <c r="I46" s="255" t="str">
        <f>CONCATENATE('3 pr-2'!J47)</f>
        <v>ITI</v>
      </c>
      <c r="J46" s="474">
        <f>IF(Q46&gt;0,'3 pr-2'!L47,0)</f>
        <v>1293732.5699999998</v>
      </c>
      <c r="K46" s="474">
        <f>IF(Q46&gt;0,'3 pr-2'!O47,0)</f>
        <v>97029.95</v>
      </c>
      <c r="L46" s="474">
        <f>IF(Q46&gt;0,'3 pr-2'!R47,0)</f>
        <v>97029.94</v>
      </c>
      <c r="M46" s="474">
        <f>IF(Q46&gt;0,'3 pr-2'!U47,0)</f>
        <v>0</v>
      </c>
      <c r="N46" s="474">
        <f>IF(Q46&gt;0,'3 pr-2'!X47,0)</f>
        <v>0</v>
      </c>
      <c r="O46" s="474">
        <f>IF(Q46&gt;0,'3 pr-2'!AA47,0)</f>
        <v>1099672.68</v>
      </c>
      <c r="P46" s="290">
        <f>SUM('3 pr-2'!AF47)</f>
        <v>42338</v>
      </c>
      <c r="Q46" s="678">
        <v>42323</v>
      </c>
      <c r="R46" s="291">
        <f t="shared" ref="R46" si="11">IF((YEAR(P46)-YEAR(Q46))=0,0,YEAR(P46)-YEAR(Q46))</f>
        <v>0</v>
      </c>
      <c r="S46" s="720" t="str">
        <f t="shared" si="3"/>
        <v>–</v>
      </c>
    </row>
    <row r="47" spans="1:19" ht="48.75" x14ac:dyDescent="0.25">
      <c r="A47" s="255" t="str">
        <f>CONCATENATE('3 pr-2'!A48)</f>
        <v>1.1.1.4.2</v>
      </c>
      <c r="B47" s="473" t="s">
        <v>760</v>
      </c>
      <c r="C47" s="255" t="str">
        <f>CONCATENATE('3 pr-2'!D48)</f>
        <v>Amatų centro „Menų kalvė“ Druskininkuose įkūrimas</v>
      </c>
      <c r="D47" s="255" t="str">
        <f>CONCATENATE('3 pr-2'!E48)</f>
        <v xml:space="preserve">Druskininkų savivaldybės administracija  </v>
      </c>
      <c r="E47" s="255" t="str">
        <f>CONCATENATE('3 pr-2'!F48)</f>
        <v>Lietuvos Respublikos vidaus reikalų ministerija</v>
      </c>
      <c r="F47" s="255" t="str">
        <f>CONCATENATE('3 pr-2'!G48)</f>
        <v>Druskininkų miestas</v>
      </c>
      <c r="G47" s="255" t="str">
        <f>CONCATENATE('3 pr-2'!H48)</f>
        <v>07.1.1-CPVA-R-903</v>
      </c>
      <c r="H47" s="255" t="str">
        <f>CONCATENATE('3 pr-2'!I48)</f>
        <v>R</v>
      </c>
      <c r="I47" s="255" t="str">
        <f>CONCATENATE('3 pr-2'!J48)</f>
        <v>ITI</v>
      </c>
      <c r="J47" s="474">
        <f>IF(Q47&gt;0,'3 pr-2'!L48,0)</f>
        <v>474784</v>
      </c>
      <c r="K47" s="474">
        <f>IF(Q47&gt;0,'3 pr-2'!O48,0)</f>
        <v>166265</v>
      </c>
      <c r="L47" s="474">
        <f>IF(Q47&gt;0,'3 pr-2'!R48,0)</f>
        <v>25015.06</v>
      </c>
      <c r="M47" s="474">
        <f>IF(Q47&gt;0,'3 pr-2'!U48,0)</f>
        <v>0</v>
      </c>
      <c r="N47" s="474">
        <f>IF(Q47&gt;0,'3 pr-2'!X48,0)</f>
        <v>0</v>
      </c>
      <c r="O47" s="474">
        <f>IF(Q47&gt;0,'3 pr-2'!AA48,0)</f>
        <v>283503.94</v>
      </c>
      <c r="P47" s="290">
        <f>SUM('3 pr-2'!AF48)</f>
        <v>42494</v>
      </c>
      <c r="Q47" s="678">
        <v>42494</v>
      </c>
      <c r="R47" s="291">
        <f t="shared" ref="R47:R48" si="12">IF((YEAR(P47)-YEAR(Q47))=0,0,YEAR(P47)-YEAR(Q47))</f>
        <v>0</v>
      </c>
      <c r="S47" s="720" t="str">
        <f t="shared" si="3"/>
        <v>–</v>
      </c>
    </row>
    <row r="48" spans="1:19" ht="49.5" thickBot="1" x14ac:dyDescent="0.3">
      <c r="A48" s="255" t="str">
        <f>CONCATENATE('3 pr-2'!A49)</f>
        <v>1.1.1.4.3</v>
      </c>
      <c r="B48" s="473" t="s">
        <v>761</v>
      </c>
      <c r="C48" s="255" t="str">
        <f>CONCATENATE('3 pr-2'!D49)</f>
        <v>Lazdijų miesto kompleksinė infrastruktūros plėtra, III etapas</v>
      </c>
      <c r="D48" s="255" t="str">
        <f>CONCATENATE('3 pr-2'!E49)</f>
        <v>Lazdijų rajono savivaldybės administracija</v>
      </c>
      <c r="E48" s="255" t="str">
        <f>CONCATENATE('3 pr-2'!F49)</f>
        <v>Lietuvos Respublikos vidaus reikalų ministerija</v>
      </c>
      <c r="F48" s="255" t="str">
        <f>CONCATENATE('3 pr-2'!G49)</f>
        <v>Lazdijų miestas</v>
      </c>
      <c r="G48" s="255" t="str">
        <f>CONCATENATE('3 pr-2'!H49)</f>
        <v>07.1.1-CPVA-R-903</v>
      </c>
      <c r="H48" s="255" t="str">
        <f>CONCATENATE('3 pr-2'!I49)</f>
        <v>R</v>
      </c>
      <c r="I48" s="255" t="str">
        <f>CONCATENATE('3 pr-2'!J49)</f>
        <v>ITI</v>
      </c>
      <c r="J48" s="474">
        <f>IF(Q48&gt;0,'3 pr-2'!L49,0)</f>
        <v>343506.99</v>
      </c>
      <c r="K48" s="474">
        <f>IF(Q48&gt;0,'3 pr-2'!O49,0)</f>
        <v>25763.02</v>
      </c>
      <c r="L48" s="474">
        <f>IF(Q48&gt;0,'3 pr-2'!R49,0)</f>
        <v>25763.02</v>
      </c>
      <c r="M48" s="474">
        <f>IF(Q48&gt;0,'3 pr-2'!U49,0)</f>
        <v>0</v>
      </c>
      <c r="N48" s="474">
        <f>IF(Q48&gt;0,'3 pr-2'!X49,0)</f>
        <v>0</v>
      </c>
      <c r="O48" s="474">
        <f>IF(Q48&gt;0,'3 pr-2'!AA49,0)</f>
        <v>291980.95</v>
      </c>
      <c r="P48" s="290">
        <f>SUM('3 pr-2'!AF49)</f>
        <v>42494</v>
      </c>
      <c r="Q48" s="678">
        <v>42494</v>
      </c>
      <c r="R48" s="291">
        <f t="shared" si="12"/>
        <v>0</v>
      </c>
      <c r="S48" s="720" t="str">
        <f t="shared" si="3"/>
        <v>–</v>
      </c>
    </row>
    <row r="49" spans="1:19" ht="36" customHeight="1" thickBot="1" x14ac:dyDescent="0.3">
      <c r="A49" s="497" t="str">
        <f>CONCATENATE('3 pr-2'!A50)</f>
        <v>1.1.1.5</v>
      </c>
      <c r="B49" s="613"/>
      <c r="C49" s="1656" t="str">
        <f>CONCATENATE('3 pr-2'!D50)</f>
        <v/>
      </c>
      <c r="D49" s="1789" t="str">
        <f>CONCATENATE('3 pr-2'!E50)</f>
        <v/>
      </c>
      <c r="E49" s="1789" t="str">
        <f>CONCATENATE('3 pr-2'!F50)</f>
        <v/>
      </c>
      <c r="F49" s="1789" t="str">
        <f>CONCATENATE('3 pr-2'!G50)</f>
        <v/>
      </c>
      <c r="G49" s="1789" t="str">
        <f>CONCATENATE('3 pr-2'!H50)</f>
        <v/>
      </c>
      <c r="H49" s="1789" t="str">
        <f>CONCATENATE('3 pr-2'!I50)</f>
        <v/>
      </c>
      <c r="I49" s="1790" t="str">
        <f>CONCATENATE('3 pr-2'!J50)</f>
        <v/>
      </c>
      <c r="J49" s="629">
        <f>SUM(J50:J54)</f>
        <v>16427026.24</v>
      </c>
      <c r="K49" s="629">
        <f t="shared" ref="K49:O49" si="13">SUM(K50:K54)</f>
        <v>0</v>
      </c>
      <c r="L49" s="629">
        <f t="shared" si="13"/>
        <v>0</v>
      </c>
      <c r="M49" s="629">
        <f t="shared" si="13"/>
        <v>7616352.7299999995</v>
      </c>
      <c r="N49" s="629">
        <f t="shared" si="13"/>
        <v>0</v>
      </c>
      <c r="O49" s="629">
        <f t="shared" si="13"/>
        <v>8810673.5099999998</v>
      </c>
      <c r="P49" s="630"/>
      <c r="Q49" s="631"/>
      <c r="R49" s="630"/>
      <c r="S49" s="631"/>
    </row>
    <row r="50" spans="1:19" ht="48.75" x14ac:dyDescent="0.25">
      <c r="A50" s="255" t="str">
        <f>CONCATENATE('3 pr-2'!A51)</f>
        <v>1.1.1.5.1</v>
      </c>
      <c r="B50" s="473" t="s">
        <v>750</v>
      </c>
      <c r="C50" s="255" t="str">
        <f>CONCATENATE('3 pr-2'!D51)</f>
        <v>Geriamojo vandens tiekimo ir nuotekų tvarkymo sistemų renovavimas ir plėtra Varėnos rajone</v>
      </c>
      <c r="D50" s="255" t="str">
        <f>CONCATENATE('3 pr-2'!E51)</f>
        <v>UAB „Varėnos vandenys“</v>
      </c>
      <c r="E50" s="255" t="str">
        <f>CONCATENATE('3 pr-2'!F51)</f>
        <v>Lietuvos Respublikos aplinkos ministerija</v>
      </c>
      <c r="F50" s="255" t="str">
        <f>CONCATENATE('3 pr-2'!G51)</f>
        <v>Varėnos rajono savivaldybė</v>
      </c>
      <c r="G50" s="255" t="str">
        <f>CONCATENATE('3 pr-2'!H51)</f>
        <v>05.3.2-APVA-R-014</v>
      </c>
      <c r="H50" s="255" t="str">
        <f>CONCATENATE('3 pr-2'!I51)</f>
        <v>R</v>
      </c>
      <c r="I50" s="255" t="str">
        <f>CONCATENATE('3 pr-2'!J51)</f>
        <v>ITI</v>
      </c>
      <c r="J50" s="474">
        <f>IF(Q50&gt;0,'3 pr-2'!L51,0)</f>
        <v>2477103.23</v>
      </c>
      <c r="K50" s="474">
        <f>IF(Q50&gt;0,'3 pr-2'!O51,0)</f>
        <v>0</v>
      </c>
      <c r="L50" s="474">
        <f>IF(Q50&gt;0,'3 pr-2'!R51,0)</f>
        <v>0</v>
      </c>
      <c r="M50" s="474">
        <f>IF(Q50&gt;0,'3 pr-2'!U51,0)</f>
        <v>862874.97</v>
      </c>
      <c r="N50" s="474">
        <f>IF(Q50&gt;0,'3 pr-2'!X51,0)</f>
        <v>0</v>
      </c>
      <c r="O50" s="474">
        <f>IF(Q50&gt;0,'3 pr-2'!AA51,0)</f>
        <v>1614228.26</v>
      </c>
      <c r="P50" s="308">
        <f>SUM('3 pr-2'!AF51)</f>
        <v>42551</v>
      </c>
      <c r="Q50" s="678">
        <v>42551</v>
      </c>
      <c r="R50" s="291">
        <f t="shared" ref="R50:R54" si="14">IF((YEAR(P50)-YEAR(Q50))=0,0,YEAR(P50)-YEAR(Q50))</f>
        <v>0</v>
      </c>
      <c r="S50" s="720" t="str">
        <f t="shared" si="3"/>
        <v>–</v>
      </c>
    </row>
    <row r="51" spans="1:19" ht="48.75" x14ac:dyDescent="0.25">
      <c r="A51" s="255" t="str">
        <f>CONCATENATE('3 pr-2'!A52)</f>
        <v>1.1.1.5.2.</v>
      </c>
      <c r="B51" s="473" t="s">
        <v>751</v>
      </c>
      <c r="C51" s="255" t="str">
        <f>CONCATENATE('3 pr-2'!D52)</f>
        <v>Geriamojo vandens ir nuotekų tvarkymo sistemų renovavimas Alytaus mieste</v>
      </c>
      <c r="D51" s="255" t="str">
        <f>CONCATENATE('3 pr-2'!E52)</f>
        <v>UAB “Dzūkijos vandenys“</v>
      </c>
      <c r="E51" s="255" t="str">
        <f>CONCATENATE('3 pr-2'!F52)</f>
        <v>Lietuvos Respublikos aplinkos ministerija</v>
      </c>
      <c r="F51" s="255" t="str">
        <f>CONCATENATE('3 pr-2'!G52)</f>
        <v>Alytaus miestas</v>
      </c>
      <c r="G51" s="255" t="str">
        <f>CONCATENATE('3 pr-2'!H52)</f>
        <v xml:space="preserve">05.3.2-APVA-R-014 </v>
      </c>
      <c r="H51" s="255" t="str">
        <f>CONCATENATE('3 pr-2'!I52)</f>
        <v>R</v>
      </c>
      <c r="I51" s="255" t="str">
        <f>CONCATENATE('3 pr-2'!J52)</f>
        <v>ITI</v>
      </c>
      <c r="J51" s="474">
        <f>IF(Q51&gt;0,'3 pr-2'!L52,0)</f>
        <v>5993883</v>
      </c>
      <c r="K51" s="474">
        <f>IF(Q51&gt;0,'3 pr-2'!O52,0)</f>
        <v>0</v>
      </c>
      <c r="L51" s="474">
        <f>IF(Q51&gt;0,'3 pr-2'!R52,0)</f>
        <v>0</v>
      </c>
      <c r="M51" s="474">
        <f>IF(Q51&gt;0,'3 pr-2'!U52,0)</f>
        <v>3347886.75</v>
      </c>
      <c r="N51" s="474">
        <f>IF(Q51&gt;0,'3 pr-2'!X52,0)</f>
        <v>0</v>
      </c>
      <c r="O51" s="474">
        <f>IF(Q51&gt;0,'3 pr-2'!AA52,0)</f>
        <v>2645996.25</v>
      </c>
      <c r="P51" s="308">
        <f>SUM('3 pr-2'!AF52)</f>
        <v>42551</v>
      </c>
      <c r="Q51" s="678">
        <v>42551</v>
      </c>
      <c r="R51" s="291">
        <f t="shared" si="14"/>
        <v>0</v>
      </c>
      <c r="S51" s="720" t="str">
        <f t="shared" si="3"/>
        <v>–</v>
      </c>
    </row>
    <row r="52" spans="1:19" ht="48.75" x14ac:dyDescent="0.25">
      <c r="A52" s="255" t="str">
        <f>CONCATENATE('3 pr-2'!A53)</f>
        <v>1.1.1.5.3</v>
      </c>
      <c r="B52" s="473" t="s">
        <v>753</v>
      </c>
      <c r="C52" s="255" t="str">
        <f>CONCATENATE('3 pr-2'!D53)</f>
        <v>Geriamojo vandens tiekimo ir nuotekų tvarkymo sistemų renovavimas ir plėtra Lazdijų rajono savivaldybėje</v>
      </c>
      <c r="D52" s="255" t="str">
        <f>CONCATENATE('3 pr-2'!E53)</f>
        <v>UAB „Lazdijų vanduo“</v>
      </c>
      <c r="E52" s="255" t="str">
        <f>CONCATENATE('3 pr-2'!F53)</f>
        <v>Lietuvos Respublikos aplinkos ministerija</v>
      </c>
      <c r="F52" s="255" t="str">
        <f>CONCATENATE('3 pr-2'!G53)</f>
        <v>Lazdijų rajono savivaldybė</v>
      </c>
      <c r="G52" s="255" t="str">
        <f>CONCATENATE('3 pr-2'!H53)</f>
        <v>05.3.2-APVA-R-014</v>
      </c>
      <c r="H52" s="255" t="str">
        <f>CONCATENATE('3 pr-2'!I53)</f>
        <v>R</v>
      </c>
      <c r="I52" s="255" t="str">
        <f>CONCATENATE('3 pr-2'!J53)</f>
        <v>-</v>
      </c>
      <c r="J52" s="474">
        <f>IF(Q52&gt;0,'3 pr-2'!L53,0)</f>
        <v>1288228.01</v>
      </c>
      <c r="K52" s="474">
        <f>IF(Q52&gt;0,'3 pr-2'!O53,0)</f>
        <v>0</v>
      </c>
      <c r="L52" s="474">
        <f>IF(Q52&gt;0,'3 pr-2'!R53,0)</f>
        <v>0</v>
      </c>
      <c r="M52" s="474">
        <f>IF(Q52&gt;0,'3 pr-2'!U53,0)</f>
        <v>498126.01</v>
      </c>
      <c r="N52" s="474">
        <f>IF(Q52&gt;0,'3 pr-2'!X53,0)</f>
        <v>0</v>
      </c>
      <c r="O52" s="474">
        <f>IF(Q52&gt;0,'3 pr-2'!AA53,0)</f>
        <v>790102</v>
      </c>
      <c r="P52" s="308">
        <f>SUM('3 pr-2'!AF53)</f>
        <v>42551</v>
      </c>
      <c r="Q52" s="678">
        <v>42551</v>
      </c>
      <c r="R52" s="291">
        <f t="shared" si="14"/>
        <v>0</v>
      </c>
      <c r="S52" s="720" t="str">
        <f t="shared" si="3"/>
        <v>–</v>
      </c>
    </row>
    <row r="53" spans="1:19" ht="48.75" x14ac:dyDescent="0.25">
      <c r="A53" s="255" t="str">
        <f>CONCATENATE('3 pr-2'!A54)</f>
        <v>1.1.1.5.4.</v>
      </c>
      <c r="B53" s="473" t="s">
        <v>754</v>
      </c>
      <c r="C53" s="255" t="str">
        <f>CONCATENATE('3 pr-2'!D54)</f>
        <v>Vandens tiekimo ir nuotekų šalinimo infrastruktūros renovavimas ir plėtra Druskininkų savivaldybėje</v>
      </c>
      <c r="D53" s="255" t="str">
        <f>CONCATENATE('3 pr-2'!E54)</f>
        <v>UAB "Druskininkų vandenys"</v>
      </c>
      <c r="E53" s="255" t="str">
        <f>CONCATENATE('3 pr-2'!F54)</f>
        <v>Lietuvos Respublikos aplinkos ministerija</v>
      </c>
      <c r="F53" s="255" t="str">
        <f>CONCATENATE('3 pr-2'!G54)</f>
        <v>Druskininkų miestas</v>
      </c>
      <c r="G53" s="255" t="str">
        <f>CONCATENATE('3 pr-2'!H54)</f>
        <v>05.3.2-APVA-R-014</v>
      </c>
      <c r="H53" s="255" t="str">
        <f>CONCATENATE('3 pr-2'!I54)</f>
        <v>R</v>
      </c>
      <c r="I53" s="255" t="str">
        <f>CONCATENATE('3 pr-2'!J54)</f>
        <v>-</v>
      </c>
      <c r="J53" s="474">
        <f>IF(Q53&gt;0,'3 pr-2'!L54,0)</f>
        <v>5186812</v>
      </c>
      <c r="K53" s="474">
        <f>IF(Q53&gt;0,'3 pr-2'!O54,0)</f>
        <v>0</v>
      </c>
      <c r="L53" s="474">
        <f>IF(Q53&gt;0,'3 pr-2'!R54,0)</f>
        <v>0</v>
      </c>
      <c r="M53" s="474">
        <f>IF(Q53&gt;0,'3 pr-2'!U54,0)</f>
        <v>2294209</v>
      </c>
      <c r="N53" s="474">
        <f>IF(Q53&gt;0,'3 pr-2'!X54,0)</f>
        <v>0</v>
      </c>
      <c r="O53" s="474">
        <f>IF(Q53&gt;0,'3 pr-2'!AA54,0)</f>
        <v>2892603</v>
      </c>
      <c r="P53" s="308">
        <f>SUM('3 pr-2'!AF54)</f>
        <v>42551</v>
      </c>
      <c r="Q53" s="678">
        <v>42551</v>
      </c>
      <c r="R53" s="291">
        <f t="shared" si="14"/>
        <v>0</v>
      </c>
      <c r="S53" s="720" t="str">
        <f t="shared" si="3"/>
        <v>–</v>
      </c>
    </row>
    <row r="54" spans="1:19" ht="49.5" thickBot="1" x14ac:dyDescent="0.3">
      <c r="A54" s="255" t="str">
        <f>CONCATENATE('3 pr-2'!A55)</f>
        <v>1.1.1.5.5.</v>
      </c>
      <c r="B54" s="473" t="s">
        <v>752</v>
      </c>
      <c r="C54" s="255" t="str">
        <f>CONCATENATE('3 pr-2'!D55)</f>
        <v>Vandens tiekimo ir nuotekų tvarkymo infrastruktūros plėtra Alytaus rajone (Krokialaukyje)</v>
      </c>
      <c r="D54" s="255" t="str">
        <f>CONCATENATE('3 pr-2'!E55)</f>
        <v>SĮ „Simno komunalininkas“</v>
      </c>
      <c r="E54" s="255" t="str">
        <f>CONCATENATE('3 pr-2'!F55)</f>
        <v>Lietuvos Respublikos aplinkos ministerija</v>
      </c>
      <c r="F54" s="255" t="str">
        <f>CONCATENATE('3 pr-2'!G55)</f>
        <v>Alytaus  rajono savivaldybė</v>
      </c>
      <c r="G54" s="255" t="str">
        <f>CONCATENATE('3 pr-2'!H55)</f>
        <v>05.3.2-APVA-R-014</v>
      </c>
      <c r="H54" s="255" t="str">
        <f>CONCATENATE('3 pr-2'!I55)</f>
        <v>R</v>
      </c>
      <c r="I54" s="255" t="str">
        <f>CONCATENATE('3 pr-2'!J55)</f>
        <v>-</v>
      </c>
      <c r="J54" s="474">
        <f>IF(Q54&gt;0,'3 pr-2'!L55,0)</f>
        <v>1481000</v>
      </c>
      <c r="K54" s="474">
        <f>IF(Q54&gt;0,'3 pr-2'!O55,0)</f>
        <v>0</v>
      </c>
      <c r="L54" s="474">
        <f>IF(Q54&gt;0,'3 pr-2'!R55,0)</f>
        <v>0</v>
      </c>
      <c r="M54" s="474">
        <f>IF(Q54&gt;0,'3 pr-2'!U55,0)</f>
        <v>613256</v>
      </c>
      <c r="N54" s="474">
        <f>IF(Q54&gt;0,'3 pr-2'!X55,0)</f>
        <v>0</v>
      </c>
      <c r="O54" s="474">
        <f>IF(Q54&gt;0,'3 pr-2'!AA55,0)</f>
        <v>867744</v>
      </c>
      <c r="P54" s="308">
        <f>SUM('3 pr-2'!AF55)</f>
        <v>42551</v>
      </c>
      <c r="Q54" s="678">
        <v>42551</v>
      </c>
      <c r="R54" s="291">
        <f t="shared" si="14"/>
        <v>0</v>
      </c>
      <c r="S54" s="720" t="str">
        <f t="shared" si="3"/>
        <v>–</v>
      </c>
    </row>
    <row r="55" spans="1:19" ht="33.75" customHeight="1" thickBot="1" x14ac:dyDescent="0.3">
      <c r="A55" s="497" t="str">
        <f>CONCATENATE('3 pr-2'!A56)</f>
        <v>1.1.1.6</v>
      </c>
      <c r="B55" s="613"/>
      <c r="C55" s="1656" t="str">
        <f>CONCATENATE('3 pr-2'!D56)</f>
        <v/>
      </c>
      <c r="D55" s="1789" t="str">
        <f>CONCATENATE('3 pr-2'!E56)</f>
        <v/>
      </c>
      <c r="E55" s="1789" t="str">
        <f>CONCATENATE('3 pr-2'!F56)</f>
        <v/>
      </c>
      <c r="F55" s="1789" t="str">
        <f>CONCATENATE('3 pr-2'!G56)</f>
        <v/>
      </c>
      <c r="G55" s="1789" t="str">
        <f>CONCATENATE('3 pr-2'!H56)</f>
        <v/>
      </c>
      <c r="H55" s="1789" t="str">
        <f>CONCATENATE('3 pr-2'!I56)</f>
        <v/>
      </c>
      <c r="I55" s="1790" t="str">
        <f>CONCATENATE('3 pr-2'!J56)</f>
        <v/>
      </c>
      <c r="J55" s="629">
        <f>SUM(J56)</f>
        <v>3999404.09</v>
      </c>
      <c r="K55" s="629">
        <f t="shared" ref="K55:O55" si="15">SUM(K56)</f>
        <v>0</v>
      </c>
      <c r="L55" s="629">
        <f t="shared" si="15"/>
        <v>0</v>
      </c>
      <c r="M55" s="629">
        <f t="shared" si="15"/>
        <v>599910.61</v>
      </c>
      <c r="N55" s="629">
        <f t="shared" si="15"/>
        <v>0</v>
      </c>
      <c r="O55" s="629">
        <f t="shared" si="15"/>
        <v>3399493.48</v>
      </c>
      <c r="P55" s="630"/>
      <c r="Q55" s="631"/>
      <c r="R55" s="630"/>
      <c r="S55" s="631"/>
    </row>
    <row r="56" spans="1:19" ht="49.5" thickBot="1" x14ac:dyDescent="0.3">
      <c r="A56" s="580" t="str">
        <f>CONCATENATE('3 pr-2'!A57)</f>
        <v>1.1.1.6.1</v>
      </c>
      <c r="B56" s="580" t="s">
        <v>755</v>
      </c>
      <c r="C56" s="580" t="str">
        <f>CONCATENATE('3 pr-2'!D57)</f>
        <v>Paviršinių nuotekų sistemų tvarkymas Alytaus mieste</v>
      </c>
      <c r="D56" s="580" t="str">
        <f>CONCATENATE('3 pr-2'!E57)</f>
        <v>UAB “Dzūkijos vandenys“</v>
      </c>
      <c r="E56" s="580" t="str">
        <f>CONCATENATE('3 pr-2'!F57)</f>
        <v>Lietuvos Respublikos aplinkos ministerija</v>
      </c>
      <c r="F56" s="580" t="str">
        <f>CONCATENATE('3 pr-2'!G57)</f>
        <v>Alytaus  miestas</v>
      </c>
      <c r="G56" s="580" t="str">
        <f>CONCATENATE('3 pr-2'!H57)</f>
        <v>05.1.1-APVA-R-007</v>
      </c>
      <c r="H56" s="580" t="str">
        <f>CONCATENATE('3 pr-2'!I57)</f>
        <v>R</v>
      </c>
      <c r="I56" s="580" t="str">
        <f>CONCATENATE('3 pr-2'!J57)</f>
        <v>-</v>
      </c>
      <c r="J56" s="474">
        <f>IF(Q56&gt;0,'3 pr-2'!L57,0)</f>
        <v>3999404.09</v>
      </c>
      <c r="K56" s="474">
        <f>IF(Q56&gt;0,'3 pr-2'!O57,0)</f>
        <v>0</v>
      </c>
      <c r="L56" s="474">
        <f>IF(Q56&gt;0,'3 pr-2'!R57,0)</f>
        <v>0</v>
      </c>
      <c r="M56" s="474">
        <f>IF(Q56&gt;0,'3 pr-2'!U57,0)</f>
        <v>599910.61</v>
      </c>
      <c r="N56" s="474">
        <f>IF(Q56&gt;0,'3 pr-2'!X57,0)</f>
        <v>0</v>
      </c>
      <c r="O56" s="474">
        <f>IF(Q56&gt;0,'3 pr-2'!AA57,0)</f>
        <v>3399493.48</v>
      </c>
      <c r="P56" s="675">
        <f>SUM('3 pr-2'!AF57)</f>
        <v>42551</v>
      </c>
      <c r="Q56" s="675">
        <v>42551</v>
      </c>
      <c r="R56" s="676">
        <f t="shared" ref="R56" si="16">IF((YEAR(P56)-YEAR(Q56))=0,0,YEAR(P56)-YEAR(Q56))</f>
        <v>0</v>
      </c>
      <c r="S56" s="720" t="str">
        <f t="shared" si="3"/>
        <v>–</v>
      </c>
    </row>
    <row r="57" spans="1:19" ht="35.25" customHeight="1" thickBot="1" x14ac:dyDescent="0.3">
      <c r="A57" s="497" t="str">
        <f>CONCATENATE('3 pr-2'!A58)</f>
        <v>1.1.1.7</v>
      </c>
      <c r="B57" s="613"/>
      <c r="C57" s="1656" t="str">
        <f>CONCATENATE('3 pr-2'!D58)</f>
        <v>Priemonė:
Savivaldybes jungiančių turizmo trasų ir turizmo maršrutų informacinės infrastruktūros plėtra</v>
      </c>
      <c r="D57" s="1789" t="str">
        <f>CONCATENATE('3 pr-2'!E58)</f>
        <v/>
      </c>
      <c r="E57" s="1789" t="str">
        <f>CONCATENATE('3 pr-2'!F58)</f>
        <v/>
      </c>
      <c r="F57" s="1789" t="str">
        <f>CONCATENATE('3 pr-2'!G58)</f>
        <v/>
      </c>
      <c r="G57" s="1789" t="str">
        <f>CONCATENATE('3 pr-2'!H58)</f>
        <v/>
      </c>
      <c r="H57" s="1789" t="str">
        <f>CONCATENATE('3 pr-2'!I58)</f>
        <v/>
      </c>
      <c r="I57" s="1790" t="str">
        <f>CONCATENATE('3 pr-2'!J58)</f>
        <v/>
      </c>
      <c r="J57" s="629">
        <f>SUM(J58:J60)</f>
        <v>496329.4117647059</v>
      </c>
      <c r="K57" s="629">
        <f t="shared" ref="K57:O57" si="17">SUM(K58:K60)</f>
        <v>74449.411764705874</v>
      </c>
      <c r="L57" s="629">
        <f t="shared" si="17"/>
        <v>0</v>
      </c>
      <c r="M57" s="629">
        <f t="shared" si="17"/>
        <v>0</v>
      </c>
      <c r="N57" s="629">
        <f t="shared" si="17"/>
        <v>0</v>
      </c>
      <c r="O57" s="629">
        <f t="shared" si="17"/>
        <v>421880</v>
      </c>
      <c r="P57" s="630"/>
      <c r="Q57" s="631"/>
      <c r="R57" s="630"/>
      <c r="S57" s="631"/>
    </row>
    <row r="58" spans="1:19" ht="36.75" x14ac:dyDescent="0.25">
      <c r="A58" s="255" t="str">
        <f>CONCATENATE('3 pr-2'!A59)</f>
        <v>1.1.1.7.1</v>
      </c>
      <c r="B58" s="473" t="s">
        <v>757</v>
      </c>
      <c r="C58" s="255" t="str">
        <f>CONCATENATE('3 pr-2'!D59)</f>
        <v>Alytaus regiono turizmo informacinės infrastruktūros plėtra</v>
      </c>
      <c r="D58" s="255" t="str">
        <f>CONCATENATE('3 pr-2'!E59)</f>
        <v>Alytaus miesto savivaldybės administracija</v>
      </c>
      <c r="E58" s="255" t="str">
        <f>CONCATENATE('3 pr-2'!F59)</f>
        <v>Lietuvos Respublikos ūkio ministerija</v>
      </c>
      <c r="F58" s="255" t="str">
        <f>CONCATENATE('3 pr-2'!G59)</f>
        <v>Alytaus regionas</v>
      </c>
      <c r="G58" s="255" t="str">
        <f>CONCATENATE('3 pr-2'!H59)</f>
        <v>05.4.1-LVPA-R-821</v>
      </c>
      <c r="H58" s="255" t="str">
        <f>CONCATENATE('3 pr-2'!I59)</f>
        <v>R</v>
      </c>
      <c r="I58" s="255" t="str">
        <f>CONCATENATE('3 pr-2'!J59)</f>
        <v>-</v>
      </c>
      <c r="J58" s="474">
        <f>IF(Q58&gt;0,'3 pr-2'!L59,0)</f>
        <v>208223.52941176473</v>
      </c>
      <c r="K58" s="474">
        <f>IF(Q58&gt;0,'3 pr-2'!O59,0)</f>
        <v>31233.529411764706</v>
      </c>
      <c r="L58" s="474">
        <f>IF(Q58&gt;0,'3 pr-2'!R59,0)</f>
        <v>0</v>
      </c>
      <c r="M58" s="474">
        <f>IF(Q58&gt;0,'3 pr-2'!U59,0)</f>
        <v>0</v>
      </c>
      <c r="N58" s="474">
        <f>IF(Q58&gt;0,'3 pr-2'!X59,0)</f>
        <v>0</v>
      </c>
      <c r="O58" s="474">
        <f>IF(Q58&gt;0,'3 pr-2'!AA59,0)</f>
        <v>176990</v>
      </c>
      <c r="P58" s="290">
        <f>SUM('3 pr-2'!AF59)</f>
        <v>42635</v>
      </c>
      <c r="Q58" s="675">
        <v>42635</v>
      </c>
      <c r="R58" s="291">
        <f t="shared" ref="R58:R59" si="18">IF((YEAR(P58)-YEAR(Q58))=0,0,YEAR(P58)-YEAR(Q58))</f>
        <v>0</v>
      </c>
      <c r="S58" s="720" t="str">
        <f t="shared" si="3"/>
        <v>–</v>
      </c>
    </row>
    <row r="59" spans="1:19" ht="48.75" x14ac:dyDescent="0.25">
      <c r="A59" s="255" t="str">
        <f>CONCATENATE('3 pr-2'!A60)</f>
        <v>1.1.1.7.2</v>
      </c>
      <c r="B59" s="473" t="s">
        <v>756</v>
      </c>
      <c r="C59" s="255" t="str">
        <f>CONCATENATE('3 pr-2'!D60)</f>
        <v>„Turizmo trasų ir maršrutų informacinės infrastruktūros plėtra  Lazdijų, Varėnos rajonų ir Druskininkų savivaldybėse“</v>
      </c>
      <c r="D59" s="255" t="str">
        <f>CONCATENATE('3 pr-2'!E60)</f>
        <v>Lazdijų rajono savivaldybės administracija</v>
      </c>
      <c r="E59" s="255" t="str">
        <f>CONCATENATE('3 pr-2'!F60)</f>
        <v>Lietuvos Respublikos ūkio ministerija</v>
      </c>
      <c r="F59" s="255" t="str">
        <f>CONCATENATE('3 pr-2'!G60)</f>
        <v xml:space="preserve">Lazdijų, Varėnos rajonų ir Druskininkų savivaldybės </v>
      </c>
      <c r="G59" s="255" t="str">
        <f>CONCATENATE('3 pr-2'!H60)</f>
        <v>05.4.1-LVPA-R-821</v>
      </c>
      <c r="H59" s="255" t="str">
        <f>CONCATENATE('3 pr-2'!I60)</f>
        <v>R</v>
      </c>
      <c r="I59" s="255" t="str">
        <f>CONCATENATE('3 pr-2'!J60)</f>
        <v>-</v>
      </c>
      <c r="J59" s="474">
        <f>IF(Q59&gt;0,'3 pr-2'!L60,0)</f>
        <v>288105.8823529412</v>
      </c>
      <c r="K59" s="474">
        <f>IF(Q59&gt;0,'3 pr-2'!O60,0)</f>
        <v>43215.882352941175</v>
      </c>
      <c r="L59" s="474">
        <f>IF(Q59&gt;0,'3 pr-2'!R60,0)</f>
        <v>0</v>
      </c>
      <c r="M59" s="474">
        <f>IF(Q59&gt;0,'3 pr-2'!U60,0)</f>
        <v>0</v>
      </c>
      <c r="N59" s="474">
        <f>IF(Q59&gt;0,'3 pr-2'!X60,0)</f>
        <v>0</v>
      </c>
      <c r="O59" s="474">
        <f>IF(Q59&gt;0,'3 pr-2'!AA60,0)</f>
        <v>244890</v>
      </c>
      <c r="P59" s="290">
        <f>SUM('3 pr-2'!AF60)</f>
        <v>42635</v>
      </c>
      <c r="Q59" s="675">
        <v>42635</v>
      </c>
      <c r="R59" s="291">
        <f t="shared" si="18"/>
        <v>0</v>
      </c>
      <c r="S59" s="720" t="str">
        <f t="shared" si="3"/>
        <v>–</v>
      </c>
    </row>
    <row r="60" spans="1:19" ht="49.5" thickBot="1" x14ac:dyDescent="0.3">
      <c r="A60" s="255" t="str">
        <f>CONCATENATE('3 pr-2'!A61)</f>
        <v>1.1.1.7.3</v>
      </c>
      <c r="B60" s="473"/>
      <c r="C60" s="255" t="str">
        <f>CONCATENATE('3 pr-2'!D61)</f>
        <v>„Turizmo trasų ir maršrutų informacinės infrastruktūros plėtra  Lazdijų, Varėnos rajonų ir Druskininkų savivaldybėse II etapas“</v>
      </c>
      <c r="D60" s="255" t="str">
        <f>CONCATENATE('3 pr-2'!E61)</f>
        <v>Lazdijų rajono savivaldybės administracija</v>
      </c>
      <c r="E60" s="255" t="str">
        <f>CONCATENATE('3 pr-2'!F61)</f>
        <v>Lietuvos Respublikos ūkio ministerija</v>
      </c>
      <c r="F60" s="255" t="str">
        <f>CONCATENATE('3 pr-2'!G61)</f>
        <v xml:space="preserve">Lazdijų, Varėnos rajonų ir Druskininkų savivaldybės </v>
      </c>
      <c r="G60" s="255" t="str">
        <f>CONCATENATE('3 pr-2'!H61)</f>
        <v>05.4.1-LVPA-R-821</v>
      </c>
      <c r="H60" s="255" t="str">
        <f>CONCATENATE('3 pr-2'!I61)</f>
        <v>R</v>
      </c>
      <c r="I60" s="255" t="str">
        <f>CONCATENATE('3 pr-2'!J61)</f>
        <v>-</v>
      </c>
      <c r="J60" s="474">
        <f>IF(Q60&gt;0,'3 pr-2'!L61,0)</f>
        <v>0</v>
      </c>
      <c r="K60" s="474">
        <f>IF(Q60&gt;0,'3 pr-2'!O61,0)</f>
        <v>0</v>
      </c>
      <c r="L60" s="474">
        <f>IF(Q60&gt;0,'3 pr-2'!R61,0)</f>
        <v>0</v>
      </c>
      <c r="M60" s="474">
        <f>IF(Q60&gt;0,'3 pr-2'!U61,0)</f>
        <v>0</v>
      </c>
      <c r="N60" s="474">
        <f>IF(Q60&gt;0,'3 pr-2'!X61,0)</f>
        <v>0</v>
      </c>
      <c r="O60" s="474">
        <f>IF(Q60&gt;0,'3 pr-2'!AA61,0)</f>
        <v>0</v>
      </c>
      <c r="P60" s="290">
        <f>SUM('3 pr-2'!AF61)</f>
        <v>43388</v>
      </c>
      <c r="Q60" s="291"/>
      <c r="R60" s="291"/>
      <c r="S60" s="720" t="str">
        <f t="shared" si="3"/>
        <v>–</v>
      </c>
    </row>
    <row r="61" spans="1:19" ht="29.25" customHeight="1" thickBot="1" x14ac:dyDescent="0.3">
      <c r="A61" s="497" t="str">
        <f>CONCATENATE('3 pr-2'!A62)</f>
        <v>1.1.1.8</v>
      </c>
      <c r="B61" s="613"/>
      <c r="C61" s="1656" t="str">
        <f>CONCATENATE('3 pr-2'!D62)</f>
        <v/>
      </c>
      <c r="D61" s="1789" t="str">
        <f>CONCATENATE('3 pr-2'!E62)</f>
        <v/>
      </c>
      <c r="E61" s="1789" t="str">
        <f>CONCATENATE('3 pr-2'!F62)</f>
        <v/>
      </c>
      <c r="F61" s="1789" t="str">
        <f>CONCATENATE('3 pr-2'!G62)</f>
        <v/>
      </c>
      <c r="G61" s="1789" t="str">
        <f>CONCATENATE('3 pr-2'!H62)</f>
        <v/>
      </c>
      <c r="H61" s="1789" t="str">
        <f>CONCATENATE('3 pr-2'!I62)</f>
        <v/>
      </c>
      <c r="I61" s="1790" t="str">
        <f>CONCATENATE('3 pr-2'!J62)</f>
        <v/>
      </c>
      <c r="J61" s="629">
        <f>SUM(J62:J65)</f>
        <v>1972835.5100000002</v>
      </c>
      <c r="K61" s="629">
        <f t="shared" ref="K61:O61" si="19">SUM(K62:K65)</f>
        <v>422270.99</v>
      </c>
      <c r="L61" s="629">
        <f t="shared" si="19"/>
        <v>352400.82</v>
      </c>
      <c r="M61" s="629">
        <f t="shared" si="19"/>
        <v>0</v>
      </c>
      <c r="N61" s="629">
        <f t="shared" si="19"/>
        <v>0</v>
      </c>
      <c r="O61" s="629">
        <f t="shared" si="19"/>
        <v>1198163.7</v>
      </c>
      <c r="P61" s="630"/>
      <c r="Q61" s="631"/>
      <c r="R61" s="630"/>
      <c r="S61" s="631"/>
    </row>
    <row r="62" spans="1:19" ht="48.75" x14ac:dyDescent="0.25">
      <c r="A62" s="255" t="str">
        <f>CONCATENATE('3 pr-2'!A63)</f>
        <v>1.1.1.8.1</v>
      </c>
      <c r="B62" s="473" t="s">
        <v>762</v>
      </c>
      <c r="C62" s="255" t="str">
        <f>CONCATENATE('3 pr-2'!D63)</f>
        <v>Kultūros įstaigų infrastruktūros modernizavimas Varėnos mieste</v>
      </c>
      <c r="D62" s="255" t="str">
        <f>CONCATENATE('3 pr-2'!E63)</f>
        <v>Varėnos rajono savivaldybės administracija</v>
      </c>
      <c r="E62" s="255" t="str">
        <f>CONCATENATE('3 pr-2'!F63)</f>
        <v>Lietuvos Respublikos kultūros ministerija</v>
      </c>
      <c r="F62" s="255" t="str">
        <f>CONCATENATE('3 pr-2'!G63)</f>
        <v>Varėnos miestas</v>
      </c>
      <c r="G62" s="255" t="str">
        <f>CONCATENATE('3 pr-2'!H63)</f>
        <v>07.1.1-CPVA-R-305</v>
      </c>
      <c r="H62" s="255" t="str">
        <f>CONCATENATE('3 pr-2'!I63)</f>
        <v>R</v>
      </c>
      <c r="I62" s="255" t="str">
        <f>CONCATENATE('3 pr-2'!J63)</f>
        <v>ITI</v>
      </c>
      <c r="J62" s="474">
        <f>IF(Q62&gt;0,'3 pr-2'!L63,0)</f>
        <v>352401</v>
      </c>
      <c r="K62" s="474">
        <f>IF(Q62&gt;0,'3 pr-2'!O63,0)</f>
        <v>52860.15</v>
      </c>
      <c r="L62" s="474">
        <f>IF(Q62&gt;0,'3 pr-2'!R63,0)</f>
        <v>0</v>
      </c>
      <c r="M62" s="474">
        <f>IF(Q62&gt;0,'3 pr-2'!U63,0)</f>
        <v>0</v>
      </c>
      <c r="N62" s="474">
        <f>IF(Q62&gt;0,'3 pr-2'!X63,0)</f>
        <v>0</v>
      </c>
      <c r="O62" s="474">
        <f>IF(Q62&gt;0,'3 pr-2'!AA63,0)</f>
        <v>299540.84999999998</v>
      </c>
      <c r="P62" s="290">
        <f>SUM('3 pr-2'!AF63)</f>
        <v>42632</v>
      </c>
      <c r="Q62" s="678">
        <v>42632</v>
      </c>
      <c r="R62" s="291">
        <f t="shared" ref="R62" si="20">IF((YEAR(P62)-YEAR(Q62))=0,0,YEAR(P62)-YEAR(Q62))</f>
        <v>0</v>
      </c>
      <c r="S62" s="720" t="str">
        <f t="shared" si="3"/>
        <v>–</v>
      </c>
    </row>
    <row r="63" spans="1:19" ht="48.75" x14ac:dyDescent="0.25">
      <c r="A63" s="255" t="str">
        <f>CONCATENATE('3 pr-2'!A64)</f>
        <v>1.1.1.8.2</v>
      </c>
      <c r="B63" s="473" t="s">
        <v>763</v>
      </c>
      <c r="C63" s="255" t="str">
        <f>CONCATENATE('3 pr-2'!D64)</f>
        <v>VšĮ Alytaus kultūros ir komunikacijos centro pastato Alytuje, Pramonės g. 1B, rekonstravimas</v>
      </c>
      <c r="D63" s="255" t="str">
        <f>CONCATENATE('3 pr-2'!E64)</f>
        <v>Alytaus miesto savivaldybės administracija</v>
      </c>
      <c r="E63" s="255" t="str">
        <f>CONCATENATE('3 pr-2'!F64)</f>
        <v>Lietuvos Respublikos kultūros ministerija</v>
      </c>
      <c r="F63" s="255" t="str">
        <f>CONCATENATE('3 pr-2'!G64)</f>
        <v>Alytaus miestas</v>
      </c>
      <c r="G63" s="255" t="str">
        <f>CONCATENATE('3 pr-2'!H64)</f>
        <v>07.1.1-CPVA-R-305</v>
      </c>
      <c r="H63" s="255" t="str">
        <f>CONCATENATE('3 pr-2'!I64)</f>
        <v>R</v>
      </c>
      <c r="I63" s="255" t="str">
        <f>CONCATENATE('3 pr-2'!J64)</f>
        <v>ITI</v>
      </c>
      <c r="J63" s="474">
        <f>IF(Q63&gt;0,'3 pr-2'!L64,0)</f>
        <v>783264.16</v>
      </c>
      <c r="K63" s="474">
        <f>IF(Q63&gt;0,'3 pr-2'!O64,0)</f>
        <v>131322.34</v>
      </c>
      <c r="L63" s="474">
        <f>IF(Q63&gt;0,'3 pr-2'!R64,0)</f>
        <v>352400.82</v>
      </c>
      <c r="M63" s="474">
        <f>IF(Q63&gt;0,'3 pr-2'!U64,0)</f>
        <v>0</v>
      </c>
      <c r="N63" s="474">
        <f>IF(Q63&gt;0,'3 pr-2'!X64,0)</f>
        <v>0</v>
      </c>
      <c r="O63" s="474">
        <f>IF(Q63&gt;0,'3 pr-2'!AA64,0)</f>
        <v>299541</v>
      </c>
      <c r="P63" s="290">
        <f>SUM('3 pr-2'!AF64)</f>
        <v>42703</v>
      </c>
      <c r="Q63" s="678">
        <v>42703</v>
      </c>
      <c r="R63" s="291">
        <f t="shared" ref="R63" si="21">IF((YEAR(P63)-YEAR(Q63))=0,0,YEAR(P63)-YEAR(Q63))</f>
        <v>0</v>
      </c>
      <c r="S63" s="720" t="str">
        <f t="shared" si="3"/>
        <v>–</v>
      </c>
    </row>
    <row r="64" spans="1:19" ht="48.75" x14ac:dyDescent="0.25">
      <c r="A64" s="255" t="str">
        <f>CONCATENATE('3 pr-2'!A65)</f>
        <v>1.1.1.8.3</v>
      </c>
      <c r="B64" s="473" t="s">
        <v>764</v>
      </c>
      <c r="C64" s="255" t="str">
        <f>CONCATENATE('3 pr-2'!D65)</f>
        <v>Druskininkų kultūros centro lauko scenos, Vilniaus al. 24, Druskininkai, modernizavimas ir pritaikymas kultūros  poreikiams</v>
      </c>
      <c r="D64" s="255" t="str">
        <f>CONCATENATE('3 pr-2'!E65)</f>
        <v xml:space="preserve">Druskininkų savivaldybės administracija  </v>
      </c>
      <c r="E64" s="255" t="str">
        <f>CONCATENATE('3 pr-2'!F65)</f>
        <v>Lietuvos Respublikos kultūros ministerija</v>
      </c>
      <c r="F64" s="255" t="str">
        <f>CONCATENATE('3 pr-2'!G65)</f>
        <v>Druskininkų  miestas</v>
      </c>
      <c r="G64" s="255" t="str">
        <f>CONCATENATE('3 pr-2'!H65)</f>
        <v>07.1.1-CPVA-R-305</v>
      </c>
      <c r="H64" s="255" t="str">
        <f>CONCATENATE('3 pr-2'!I65)</f>
        <v>R</v>
      </c>
      <c r="I64" s="255" t="str">
        <f>CONCATENATE('3 pr-2'!J65)</f>
        <v>ITI</v>
      </c>
      <c r="J64" s="474">
        <f>IF(Q64&gt;0,'3 pr-2'!L65,0)</f>
        <v>352401</v>
      </c>
      <c r="K64" s="474">
        <f>IF(Q64&gt;0,'3 pr-2'!O65,0)</f>
        <v>52860.15</v>
      </c>
      <c r="L64" s="474">
        <f>IF(Q64&gt;0,'3 pr-2'!R65,0)</f>
        <v>0</v>
      </c>
      <c r="M64" s="474">
        <f>IF(Q64&gt;0,'3 pr-2'!U65,0)</f>
        <v>0</v>
      </c>
      <c r="N64" s="474">
        <f>IF(Q64&gt;0,'3 pr-2'!X65,0)</f>
        <v>0</v>
      </c>
      <c r="O64" s="474">
        <f>IF(Q64&gt;0,'3 pr-2'!AA65,0)</f>
        <v>299540.84999999998</v>
      </c>
      <c r="P64" s="290">
        <f>SUM('3 pr-2'!AF65)</f>
        <v>42703</v>
      </c>
      <c r="Q64" s="678">
        <v>42703</v>
      </c>
      <c r="R64" s="291">
        <f t="shared" ref="R64:R65" si="22">IF((YEAR(P64)-YEAR(Q64))=0,0,YEAR(P64)-YEAR(Q64))</f>
        <v>0</v>
      </c>
      <c r="S64" s="720" t="str">
        <f t="shared" si="3"/>
        <v>–</v>
      </c>
    </row>
    <row r="65" spans="1:19" ht="49.5" thickBot="1" x14ac:dyDescent="0.3">
      <c r="A65" s="255" t="str">
        <f>CONCATENATE('3 pr-2'!A66)</f>
        <v>1.1.1.8.4</v>
      </c>
      <c r="B65" s="473" t="s">
        <v>1529</v>
      </c>
      <c r="C65" s="255" t="str">
        <f>CONCATENATE('3 pr-2'!D66)</f>
        <v>Pastato rekonstrukcija ir pritaikymas kultūrinėms, muziejinėms ir edukacinėms reikmėms</v>
      </c>
      <c r="D65" s="255" t="str">
        <f>CONCATENATE('3 pr-2'!E66)</f>
        <v>Lazdijų rajono savivaldybės administracija</v>
      </c>
      <c r="E65" s="255" t="str">
        <f>CONCATENATE('3 pr-2'!F66)</f>
        <v>Lietuvos Respublikos kultūros ministerija</v>
      </c>
      <c r="F65" s="255" t="str">
        <f>CONCATENATE('3 pr-2'!G66)</f>
        <v>Lazdijų miestas</v>
      </c>
      <c r="G65" s="255" t="str">
        <f>CONCATENATE('3 pr-2'!H66)</f>
        <v>07.1.1-CPVA-R-305</v>
      </c>
      <c r="H65" s="255" t="str">
        <f>CONCATENATE('3 pr-2'!I66)</f>
        <v>R</v>
      </c>
      <c r="I65" s="255" t="str">
        <f>CONCATENATE('3 pr-2'!J66)</f>
        <v>ITI</v>
      </c>
      <c r="J65" s="474">
        <f>IF(Q65&gt;0,'3 pr-2'!L66,0)</f>
        <v>484769.35</v>
      </c>
      <c r="K65" s="474">
        <f>IF(Q65&gt;0,'3 pr-2'!O66,0)</f>
        <v>185228.35</v>
      </c>
      <c r="L65" s="474">
        <f>IF(Q65&gt;0,'3 pr-2'!R66,0)</f>
        <v>0</v>
      </c>
      <c r="M65" s="474">
        <f>IF(Q65&gt;0,'3 pr-2'!U66,0)</f>
        <v>0</v>
      </c>
      <c r="N65" s="474">
        <f>IF(Q65&gt;0,'3 pr-2'!X66,0)</f>
        <v>0</v>
      </c>
      <c r="O65" s="474">
        <f>IF(Q65&gt;0,'3 pr-2'!AA66,0)</f>
        <v>299541</v>
      </c>
      <c r="P65" s="290">
        <f>SUM('3 pr-2'!AF66)</f>
        <v>42703</v>
      </c>
      <c r="Q65" s="678">
        <v>42703</v>
      </c>
      <c r="R65" s="291">
        <f t="shared" si="22"/>
        <v>0</v>
      </c>
      <c r="S65" s="720" t="str">
        <f t="shared" si="3"/>
        <v>–</v>
      </c>
    </row>
    <row r="66" spans="1:19" ht="34.5" customHeight="1" thickBot="1" x14ac:dyDescent="0.3">
      <c r="A66" s="497" t="str">
        <f>CONCATENATE('3 pr-2'!A67)</f>
        <v>1.1.1.9</v>
      </c>
      <c r="B66" s="613"/>
      <c r="C66" s="1656" t="str">
        <f>CONCATENATE('3 pr-2'!D67)</f>
        <v/>
      </c>
      <c r="D66" s="1789" t="str">
        <f>CONCATENATE('3 pr-2'!E67)</f>
        <v/>
      </c>
      <c r="E66" s="1789" t="str">
        <f>CONCATENATE('3 pr-2'!F67)</f>
        <v/>
      </c>
      <c r="F66" s="1789" t="str">
        <f>CONCATENATE('3 pr-2'!G67)</f>
        <v/>
      </c>
      <c r="G66" s="1789" t="str">
        <f>CONCATENATE('3 pr-2'!H67)</f>
        <v/>
      </c>
      <c r="H66" s="1789" t="str">
        <f>CONCATENATE('3 pr-2'!I67)</f>
        <v/>
      </c>
      <c r="I66" s="1790" t="str">
        <f>CONCATENATE('3 pr-2'!J67)</f>
        <v/>
      </c>
      <c r="J66" s="629">
        <f>SUM(J67:J71)</f>
        <v>1212868</v>
      </c>
      <c r="K66" s="629">
        <f t="shared" ref="K66:O66" si="23">SUM(K67:K71)</f>
        <v>182588</v>
      </c>
      <c r="L66" s="629">
        <f t="shared" si="23"/>
        <v>0</v>
      </c>
      <c r="M66" s="629">
        <f t="shared" si="23"/>
        <v>0</v>
      </c>
      <c r="N66" s="629">
        <f t="shared" si="23"/>
        <v>0</v>
      </c>
      <c r="O66" s="629">
        <f t="shared" si="23"/>
        <v>1030280</v>
      </c>
      <c r="P66" s="630"/>
      <c r="Q66" s="631"/>
      <c r="R66" s="630"/>
      <c r="S66" s="631"/>
    </row>
    <row r="67" spans="1:19" ht="48.75" x14ac:dyDescent="0.25">
      <c r="A67" s="255" t="str">
        <f>CONCATENATE('3 pr-2'!A68)</f>
        <v>1.1.1.9.1</v>
      </c>
      <c r="B67" s="473"/>
      <c r="C67" s="255" t="str">
        <f>CONCATENATE('3 pr-2'!D68)</f>
        <v>Buvusios sinagogos pastato Kauno g. 9A Alytuje rekonstravimas ir aplinkinės teritorijos sutvarkymas</v>
      </c>
      <c r="D67" s="255" t="str">
        <f>CONCATENATE('3 pr-2'!E68)</f>
        <v>Alytaus miesto savivaldybės administracija</v>
      </c>
      <c r="E67" s="255" t="str">
        <f>CONCATENATE('3 pr-2'!F68)</f>
        <v>Lietuvos Respublikos kultūros ministerija</v>
      </c>
      <c r="F67" s="255" t="str">
        <f>CONCATENATE('3 pr-2'!G68)</f>
        <v>Alytaus  miestas</v>
      </c>
      <c r="G67" s="255" t="str">
        <f>CONCATENATE('3 pr-2'!H68)</f>
        <v>05.4.1-CPVA-R-302</v>
      </c>
      <c r="H67" s="255" t="str">
        <f>CONCATENATE('3 pr-2'!I68)</f>
        <v>R</v>
      </c>
      <c r="I67" s="255" t="str">
        <f>CONCATENATE('3 pr-2'!J68)</f>
        <v>ITI</v>
      </c>
      <c r="J67" s="474">
        <f>IF(Q67&gt;0,'3 pr-2'!L68,0)</f>
        <v>242419</v>
      </c>
      <c r="K67" s="474">
        <f>IF(Q67&gt;0,'3 pr-2'!O68,0)</f>
        <v>36363</v>
      </c>
      <c r="L67" s="474">
        <f>IF(Q67&gt;0,'3 pr-2'!R68,0)</f>
        <v>0</v>
      </c>
      <c r="M67" s="474">
        <f>IF(Q67&gt;0,'3 pr-2'!U68,0)</f>
        <v>0</v>
      </c>
      <c r="N67" s="474">
        <f>IF(Q67&gt;0,'3 pr-2'!X68,0)</f>
        <v>0</v>
      </c>
      <c r="O67" s="474">
        <f>IF(Q67&gt;0,'3 pr-2'!AA68,0)</f>
        <v>206056</v>
      </c>
      <c r="P67" s="290">
        <f>SUM('3 pr-2'!AF68)</f>
        <v>42794</v>
      </c>
      <c r="Q67" s="675">
        <v>42787</v>
      </c>
      <c r="R67" s="291">
        <f t="shared" ref="R67:R71" si="24">IF((YEAR(P67)-YEAR(Q67))=0,0,YEAR(P67)-YEAR(Q67))</f>
        <v>0</v>
      </c>
      <c r="S67" s="720" t="str">
        <f t="shared" si="3"/>
        <v>–</v>
      </c>
    </row>
    <row r="68" spans="1:19" ht="48.75" x14ac:dyDescent="0.25">
      <c r="A68" s="255" t="str">
        <f>CONCATENATE('3 pr-2'!A69)</f>
        <v>1.1.1.9.2</v>
      </c>
      <c r="B68" s="473"/>
      <c r="C68" s="255" t="str">
        <f>CONCATENATE('3 pr-2'!D69)</f>
        <v>Mažosios dailės galerijos, M.K.Čiurlionio g. 37, Druskininkai, modernizavimas ir pritaikymas kultūros poreikiams</v>
      </c>
      <c r="D68" s="255" t="str">
        <f>CONCATENATE('3 pr-2'!E69)</f>
        <v xml:space="preserve">Druskininkų savivaldybės administracija  </v>
      </c>
      <c r="E68" s="255" t="str">
        <f>CONCATENATE('3 pr-2'!F69)</f>
        <v>Lietuvos Respublikos kultūros ministerija</v>
      </c>
      <c r="F68" s="255" t="str">
        <f>CONCATENATE('3 pr-2'!G69)</f>
        <v>Druskininkų  miestas</v>
      </c>
      <c r="G68" s="255" t="str">
        <f>CONCATENATE('3 pr-2'!H69)</f>
        <v>05.4.1-CPVA-R-302</v>
      </c>
      <c r="H68" s="255" t="str">
        <f>CONCATENATE('3 pr-2'!I69)</f>
        <v>R</v>
      </c>
      <c r="I68" s="255" t="str">
        <f>CONCATENATE('3 pr-2'!J69)</f>
        <v>ITI</v>
      </c>
      <c r="J68" s="474">
        <f>IF(Q68&gt;0,'3 pr-2'!L69,0)</f>
        <v>242419</v>
      </c>
      <c r="K68" s="474">
        <f>IF(Q68&gt;0,'3 pr-2'!O69,0)</f>
        <v>36363</v>
      </c>
      <c r="L68" s="474">
        <f>IF(Q68&gt;0,'3 pr-2'!R69,0)</f>
        <v>0</v>
      </c>
      <c r="M68" s="474">
        <f>IF(Q68&gt;0,'3 pr-2'!U69,0)</f>
        <v>0</v>
      </c>
      <c r="N68" s="474">
        <f>IF(Q68&gt;0,'3 pr-2'!X69,0)</f>
        <v>0</v>
      </c>
      <c r="O68" s="474">
        <f>IF(Q68&gt;0,'3 pr-2'!AA69,0)</f>
        <v>206056</v>
      </c>
      <c r="P68" s="290">
        <f>SUM('3 pr-2'!AF69)</f>
        <v>42779</v>
      </c>
      <c r="Q68" s="675">
        <v>42787</v>
      </c>
      <c r="R68" s="291">
        <f t="shared" si="24"/>
        <v>0</v>
      </c>
      <c r="S68" s="720">
        <f t="shared" si="3"/>
        <v>-0.26301366980672114</v>
      </c>
    </row>
    <row r="69" spans="1:19" ht="48.75" x14ac:dyDescent="0.25">
      <c r="A69" s="255" t="str">
        <f>CONCATENATE('3 pr-2'!A70)</f>
        <v>1.1.1.9.3</v>
      </c>
      <c r="B69" s="473"/>
      <c r="C69" s="255" t="str">
        <f>CONCATENATE('3 pr-2'!D70)</f>
        <v>Motiejaus  Gustaičio  memorialinio  namo  kompleksinis sutvarkymas</v>
      </c>
      <c r="D69" s="255" t="str">
        <f>CONCATENATE('3 pr-2'!E70)</f>
        <v>Lazdijų rajono savivaldybės administracija</v>
      </c>
      <c r="E69" s="255" t="str">
        <f>CONCATENATE('3 pr-2'!F70)</f>
        <v>Lietuvos Respublikos kultūros ministerija</v>
      </c>
      <c r="F69" s="255" t="str">
        <f>CONCATENATE('3 pr-2'!G70)</f>
        <v>Lazdijų miestas</v>
      </c>
      <c r="G69" s="255" t="str">
        <f>CONCATENATE('3 pr-2'!H70)</f>
        <v>05.4.1-CPVA-R-302</v>
      </c>
      <c r="H69" s="255" t="str">
        <f>CONCATENATE('3 pr-2'!I70)</f>
        <v>R</v>
      </c>
      <c r="I69" s="255" t="str">
        <f>CONCATENATE('3 pr-2'!J70)</f>
        <v>ITI</v>
      </c>
      <c r="J69" s="474">
        <f>IF(Q69&gt;0,'3 pr-2'!L70,0)</f>
        <v>242419</v>
      </c>
      <c r="K69" s="474">
        <f>IF(Q69&gt;0,'3 pr-2'!O70,0)</f>
        <v>36363</v>
      </c>
      <c r="L69" s="474">
        <f>IF(Q69&gt;0,'3 pr-2'!R70,0)</f>
        <v>0</v>
      </c>
      <c r="M69" s="474">
        <f>IF(Q69&gt;0,'3 pr-2'!U70,0)</f>
        <v>0</v>
      </c>
      <c r="N69" s="474">
        <f>IF(Q69&gt;0,'3 pr-2'!X70,0)</f>
        <v>0</v>
      </c>
      <c r="O69" s="474">
        <f>IF(Q69&gt;0,'3 pr-2'!AA70,0)</f>
        <v>206056</v>
      </c>
      <c r="P69" s="290">
        <f>SUM('3 pr-2'!AF70)</f>
        <v>42794</v>
      </c>
      <c r="Q69" s="675">
        <v>42787</v>
      </c>
      <c r="R69" s="291">
        <f t="shared" si="24"/>
        <v>0</v>
      </c>
      <c r="S69" s="720" t="str">
        <f t="shared" si="3"/>
        <v>–</v>
      </c>
    </row>
    <row r="70" spans="1:19" ht="48.75" x14ac:dyDescent="0.25">
      <c r="A70" s="255" t="str">
        <f>CONCATENATE('3 pr-2'!A71)</f>
        <v>1.1.1.9.4</v>
      </c>
      <c r="B70" s="473"/>
      <c r="C70" s="255" t="str">
        <f>CONCATENATE('3 pr-2'!D71)</f>
        <v>Kurnėnų Lauryno Radziukyno mokyklos pritaikymas kultūrinėms ir turistinėms reikmėms</v>
      </c>
      <c r="D70" s="255" t="str">
        <f>CONCATENATE('3 pr-2'!E71)</f>
        <v>Alytaus rajono savivaldybės administracija</v>
      </c>
      <c r="E70" s="255" t="str">
        <f>CONCATENATE('3 pr-2'!F71)</f>
        <v>Lietuvos Respublikos kultūros ministerija</v>
      </c>
      <c r="F70" s="255" t="str">
        <f>CONCATENATE('3 pr-2'!G71)</f>
        <v>Alytaus  rajono savivaldybė</v>
      </c>
      <c r="G70" s="255" t="str">
        <f>CONCATENATE('3 pr-2'!H71)</f>
        <v>05.4.1-CPVA-R-302</v>
      </c>
      <c r="H70" s="255" t="str">
        <f>CONCATENATE('3 pr-2'!I71)</f>
        <v>R</v>
      </c>
      <c r="I70" s="255" t="str">
        <f>CONCATENATE('3 pr-2'!J71)</f>
        <v>-</v>
      </c>
      <c r="J70" s="474">
        <f>IF(Q70&gt;0,'3 pr-2'!L71,0)</f>
        <v>243192</v>
      </c>
      <c r="K70" s="474">
        <f>IF(Q70&gt;0,'3 pr-2'!O71,0)</f>
        <v>37136</v>
      </c>
      <c r="L70" s="474">
        <f>IF(Q70&gt;0,'3 pr-2'!R71,0)</f>
        <v>0</v>
      </c>
      <c r="M70" s="474">
        <f>IF(Q70&gt;0,'3 pr-2'!U71,0)</f>
        <v>0</v>
      </c>
      <c r="N70" s="474">
        <f>IF(Q70&gt;0,'3 pr-2'!X71,0)</f>
        <v>0</v>
      </c>
      <c r="O70" s="474">
        <f>IF(Q70&gt;0,'3 pr-2'!AA71,0)</f>
        <v>206056</v>
      </c>
      <c r="P70" s="290">
        <f>SUM('3 pr-2'!AF71)</f>
        <v>42794</v>
      </c>
      <c r="Q70" s="675">
        <v>42787</v>
      </c>
      <c r="R70" s="291">
        <f t="shared" si="24"/>
        <v>0</v>
      </c>
      <c r="S70" s="720" t="str">
        <f t="shared" si="3"/>
        <v>–</v>
      </c>
    </row>
    <row r="71" spans="1:19" ht="49.5" thickBot="1" x14ac:dyDescent="0.3">
      <c r="A71" s="255" t="str">
        <f>CONCATENATE('3 pr-2'!A72)</f>
        <v>1.1.1.9.5</v>
      </c>
      <c r="B71" s="473"/>
      <c r="C71" s="255" t="str">
        <f>CONCATENATE('3 pr-2'!D72)</f>
        <v>Vinco Krėvės-Mickevičiaus memorialinio muziejaus atnaujinimas</v>
      </c>
      <c r="D71" s="255" t="str">
        <f>CONCATENATE('3 pr-2'!E72)</f>
        <v>Varėnos rajono savivaldybės administracija</v>
      </c>
      <c r="E71" s="255" t="str">
        <f>CONCATENATE('3 pr-2'!F72)</f>
        <v>Lietuvos Respublikos kultūros ministerija</v>
      </c>
      <c r="F71" s="255" t="str">
        <f>CONCATENATE('3 pr-2'!G72)</f>
        <v>Varėnos rajono savivaldybė</v>
      </c>
      <c r="G71" s="255" t="str">
        <f>CONCATENATE('3 pr-2'!H72)</f>
        <v>05.4.1-CPVA-R-302</v>
      </c>
      <c r="H71" s="255" t="str">
        <f>CONCATENATE('3 pr-2'!I72)</f>
        <v>R</v>
      </c>
      <c r="I71" s="255" t="str">
        <f>CONCATENATE('3 pr-2'!J72)</f>
        <v>-</v>
      </c>
      <c r="J71" s="474">
        <f>IF(Q71&gt;0,'3 pr-2'!L72,0)</f>
        <v>242419</v>
      </c>
      <c r="K71" s="474">
        <f>IF(Q71&gt;0,'3 pr-2'!O72,0)</f>
        <v>36363</v>
      </c>
      <c r="L71" s="474">
        <f>IF(Q71&gt;0,'3 pr-2'!R72,0)</f>
        <v>0</v>
      </c>
      <c r="M71" s="474">
        <f>IF(Q71&gt;0,'3 pr-2'!U72,0)</f>
        <v>0</v>
      </c>
      <c r="N71" s="474">
        <f>IF(Q71&gt;0,'3 pr-2'!X72,0)</f>
        <v>0</v>
      </c>
      <c r="O71" s="474">
        <f>IF(Q71&gt;0,'3 pr-2'!AA72,0)</f>
        <v>206056</v>
      </c>
      <c r="P71" s="290">
        <f>SUM('3 pr-2'!AF72)</f>
        <v>42794</v>
      </c>
      <c r="Q71" s="675">
        <v>42787</v>
      </c>
      <c r="R71" s="291">
        <f t="shared" si="24"/>
        <v>0</v>
      </c>
      <c r="S71" s="720" t="str">
        <f t="shared" si="3"/>
        <v>–</v>
      </c>
    </row>
    <row r="72" spans="1:19" ht="39.75" customHeight="1" thickBot="1" x14ac:dyDescent="0.3">
      <c r="A72" s="345" t="str">
        <f>CONCATENATE('3 pr-2'!A73)</f>
        <v>1.1.2.</v>
      </c>
      <c r="B72" s="648"/>
      <c r="C72" s="1668" t="str">
        <f>CONCATENATE('3 pr-2'!D73)</f>
        <v/>
      </c>
      <c r="D72" s="1669" t="str">
        <f>CONCATENATE('3 pr-2'!E73)</f>
        <v/>
      </c>
      <c r="E72" s="1669" t="str">
        <f>CONCATENATE('3 pr-2'!F73)</f>
        <v/>
      </c>
      <c r="F72" s="1669" t="str">
        <f>CONCATENATE('3 pr-2'!G73)</f>
        <v/>
      </c>
      <c r="G72" s="1669" t="str">
        <f>CONCATENATE('3 pr-2'!H73)</f>
        <v/>
      </c>
      <c r="H72" s="1669" t="str">
        <f>CONCATENATE('3 pr-2'!I73)</f>
        <v/>
      </c>
      <c r="I72" s="1670" t="str">
        <f>CONCATENATE('3 pr-2'!J73)</f>
        <v/>
      </c>
      <c r="J72" s="303">
        <f t="shared" ref="J72:O72" si="25">SUM(J73+J78+J85+J91)</f>
        <v>6818035.5582352942</v>
      </c>
      <c r="K72" s="303">
        <f t="shared" si="25"/>
        <v>1557838.6982352941</v>
      </c>
      <c r="L72" s="303">
        <f t="shared" si="25"/>
        <v>0</v>
      </c>
      <c r="M72" s="303">
        <f t="shared" si="25"/>
        <v>422692</v>
      </c>
      <c r="N72" s="303">
        <f t="shared" si="25"/>
        <v>62660</v>
      </c>
      <c r="O72" s="303">
        <f t="shared" si="25"/>
        <v>4774844.8600000003</v>
      </c>
      <c r="P72" s="311"/>
      <c r="Q72" s="650"/>
      <c r="R72" s="649"/>
      <c r="S72" s="314"/>
    </row>
    <row r="73" spans="1:19" ht="37.5" customHeight="1" thickBot="1" x14ac:dyDescent="0.3">
      <c r="A73" s="497" t="str">
        <f>CONCATENATE('3 pr-2'!A74)</f>
        <v>1.1.2.1</v>
      </c>
      <c r="B73" s="613"/>
      <c r="C73" s="1656" t="str">
        <f>CONCATENATE('3 pr-2'!D74)</f>
        <v/>
      </c>
      <c r="D73" s="1789" t="str">
        <f>CONCATENATE('3 pr-2'!E74)</f>
        <v/>
      </c>
      <c r="E73" s="1789" t="str">
        <f>CONCATENATE('3 pr-2'!F74)</f>
        <v/>
      </c>
      <c r="F73" s="1789" t="str">
        <f>CONCATENATE('3 pr-2'!G74)</f>
        <v/>
      </c>
      <c r="G73" s="1789" t="str">
        <f>CONCATENATE('3 pr-2'!H74)</f>
        <v/>
      </c>
      <c r="H73" s="1789" t="str">
        <f>CONCATENATE('3 pr-2'!I74)</f>
        <v/>
      </c>
      <c r="I73" s="1790" t="str">
        <f>CONCATENATE('3 pr-2'!J74)</f>
        <v/>
      </c>
      <c r="J73" s="629">
        <f>SUM(J74:J77)</f>
        <v>1835209.588235294</v>
      </c>
      <c r="K73" s="629">
        <f t="shared" ref="K73:O73" si="26">SUM(K74:K77)</f>
        <v>149245.58823529413</v>
      </c>
      <c r="L73" s="629">
        <f t="shared" si="26"/>
        <v>0</v>
      </c>
      <c r="M73" s="629">
        <f t="shared" si="26"/>
        <v>422692</v>
      </c>
      <c r="N73" s="629">
        <f t="shared" si="26"/>
        <v>0</v>
      </c>
      <c r="O73" s="629">
        <f t="shared" si="26"/>
        <v>1263272</v>
      </c>
      <c r="P73" s="630"/>
      <c r="Q73" s="631"/>
      <c r="R73" s="630"/>
      <c r="S73" s="631"/>
    </row>
    <row r="74" spans="1:19" ht="48.75" x14ac:dyDescent="0.25">
      <c r="A74" s="255" t="str">
        <f>CONCATENATE('3 pr-2'!A75)</f>
        <v>1.1.2.1.1</v>
      </c>
      <c r="B74" s="473"/>
      <c r="C74" s="255" t="str">
        <f>CONCATENATE('3 pr-2'!D75)</f>
        <v xml:space="preserve">Nekenksmingų aplinkai viešojo transporto priemonių įsigijimas Alytaus mieste </v>
      </c>
      <c r="D74" s="255" t="str">
        <f>CONCATENATE('3 pr-2'!E75)</f>
        <v>Alytaus miesto savivaldybės administracija</v>
      </c>
      <c r="E74" s="255" t="str">
        <f>CONCATENATE('3 pr-2'!F75)</f>
        <v>Lietuvos Respublikos susisiekimo ministerija</v>
      </c>
      <c r="F74" s="255" t="str">
        <f>CONCATENATE('3 pr-2'!G75)</f>
        <v>Alytaus  miestas</v>
      </c>
      <c r="G74" s="255" t="str">
        <f>CONCATENATE('3 pr-2'!H75)</f>
        <v>04.5.1-TID-R-518</v>
      </c>
      <c r="H74" s="255" t="str">
        <f>CONCATENATE('3 pr-2'!I75)</f>
        <v>R</v>
      </c>
      <c r="I74" s="255" t="str">
        <f>CONCATENATE('3 pr-2'!J75)</f>
        <v>ITI</v>
      </c>
      <c r="J74" s="474">
        <f>IF(Q74&gt;0,'3 pr-2'!L75,0)</f>
        <v>406090.5882352941</v>
      </c>
      <c r="K74" s="474">
        <f>IF(Q74&gt;0,'3 pr-2'!O75,0)</f>
        <v>60913.588235294119</v>
      </c>
      <c r="L74" s="474">
        <f>IF(Q74&gt;0,'3 pr-2'!R75,0)</f>
        <v>0</v>
      </c>
      <c r="M74" s="474">
        <f>IF(Q74&gt;0,'3 pr-2'!U75,0)</f>
        <v>0</v>
      </c>
      <c r="N74" s="474">
        <f>IF(Q74&gt;0,'3 pr-2'!X75,0)</f>
        <v>0</v>
      </c>
      <c r="O74" s="474">
        <f>IF(Q74&gt;0,'3 pr-2'!AA75,0)</f>
        <v>345177</v>
      </c>
      <c r="P74" s="290">
        <f>SUM('3 pr-2'!AF75)</f>
        <v>43281</v>
      </c>
      <c r="Q74" s="290">
        <v>42944</v>
      </c>
      <c r="R74" s="255"/>
      <c r="S74" s="720" t="str">
        <f t="shared" ref="S74:S97" si="27">IF(P74-Q74&lt;0,(P74-Q74)/30.41667,"–")</f>
        <v>–</v>
      </c>
    </row>
    <row r="75" spans="1:19" ht="48.75" x14ac:dyDescent="0.25">
      <c r="A75" s="255" t="str">
        <f>CONCATENATE('3 pr-2'!A76)</f>
        <v>1.1.2.1.2</v>
      </c>
      <c r="B75" s="473"/>
      <c r="C75" s="255" t="str">
        <f>CONCATENATE('3 pr-2'!D76)</f>
        <v>Nekenksmingų aplinkai viešojo transporto priemonių įsigijimas Alytaus rajone</v>
      </c>
      <c r="D75" s="255" t="str">
        <f>CONCATENATE('3 pr-2'!E76)</f>
        <v>Alytaus rajono savivaldybės administracija</v>
      </c>
      <c r="E75" s="255" t="str">
        <f>CONCATENATE('3 pr-2'!F76)</f>
        <v>Lietuvos Respublikos susisiekimo ministerija</v>
      </c>
      <c r="F75" s="255" t="str">
        <f>CONCATENATE('3 pr-2'!G76)</f>
        <v>Alytaus  rajono savivaldybė</v>
      </c>
      <c r="G75" s="255" t="str">
        <f>CONCATENATE('3 pr-2'!H76)</f>
        <v>04.5.1-TID-R-518</v>
      </c>
      <c r="H75" s="255" t="str">
        <f>CONCATENATE('3 pr-2'!I76)</f>
        <v>R</v>
      </c>
      <c r="I75" s="255" t="str">
        <f>CONCATENATE('3 pr-2'!J76)</f>
        <v>-</v>
      </c>
      <c r="J75" s="474">
        <f>IF(Q75&gt;0,'3 pr-2'!L76,0)</f>
        <v>326175</v>
      </c>
      <c r="K75" s="474">
        <f>IF(Q75&gt;0,'3 pr-2'!O76,0)</f>
        <v>48926</v>
      </c>
      <c r="L75" s="474">
        <f>IF(Q75&gt;0,'3 pr-2'!R76,0)</f>
        <v>0</v>
      </c>
      <c r="M75" s="474">
        <f>IF(Q75&gt;0,'3 pr-2'!U76,0)</f>
        <v>0</v>
      </c>
      <c r="N75" s="474">
        <f>IF(Q75&gt;0,'3 pr-2'!X76,0)</f>
        <v>0</v>
      </c>
      <c r="O75" s="474">
        <f>IF(Q75&gt;0,'3 pr-2'!AA76,0)</f>
        <v>277249</v>
      </c>
      <c r="P75" s="290">
        <f>SUM('3 pr-2'!AF76)</f>
        <v>43281</v>
      </c>
      <c r="Q75" s="290">
        <v>42944</v>
      </c>
      <c r="R75" s="255"/>
      <c r="S75" s="720" t="str">
        <f t="shared" si="27"/>
        <v>–</v>
      </c>
    </row>
    <row r="76" spans="1:19" ht="48.75" x14ac:dyDescent="0.25">
      <c r="A76" s="255" t="str">
        <f>CONCATENATE('3 pr-2'!A77)</f>
        <v>1.1.2.1.3</v>
      </c>
      <c r="B76" s="473"/>
      <c r="C76" s="255" t="str">
        <f>CONCATENATE('3 pr-2'!D77)</f>
        <v>Ekologiškų transporto priemonių įsigijimas Druskininkų savivaldybėje</v>
      </c>
      <c r="D76" s="255" t="str">
        <f>CONCATENATE('3 pr-2'!E77)</f>
        <v xml:space="preserve">Druskininkų savivaldybės administracija  </v>
      </c>
      <c r="E76" s="255" t="str">
        <f>CONCATENATE('3 pr-2'!F77)</f>
        <v>Lietuvos Respublikos susisiekimo ministerija</v>
      </c>
      <c r="F76" s="255" t="str">
        <f>CONCATENATE('3 pr-2'!G77)</f>
        <v>Druskininkų  miestas</v>
      </c>
      <c r="G76" s="255" t="str">
        <f>CONCATENATE('3 pr-2'!H77)</f>
        <v>04.5.1-TID-R-518</v>
      </c>
      <c r="H76" s="255" t="str">
        <f>CONCATENATE('3 pr-2'!I77)</f>
        <v>R</v>
      </c>
      <c r="I76" s="255" t="str">
        <f>CONCATENATE('3 pr-2'!J77)</f>
        <v>-</v>
      </c>
      <c r="J76" s="474">
        <f>IF(Q76&gt;0,'3 pr-2'!L77,0)</f>
        <v>840240</v>
      </c>
      <c r="K76" s="474">
        <f>IF(Q76&gt;0,'3 pr-2'!O77,0)</f>
        <v>0</v>
      </c>
      <c r="L76" s="474">
        <f>IF(Q76&gt;0,'3 pr-2'!R77,0)</f>
        <v>0</v>
      </c>
      <c r="M76" s="474">
        <f>IF(Q76&gt;0,'3 pr-2'!U77,0)</f>
        <v>422692</v>
      </c>
      <c r="N76" s="474">
        <f>IF(Q76&gt;0,'3 pr-2'!X77,0)</f>
        <v>0</v>
      </c>
      <c r="O76" s="474">
        <f>IF(Q76&gt;0,'3 pr-2'!AA77,0)</f>
        <v>417548</v>
      </c>
      <c r="P76" s="290">
        <f>SUM('3 pr-2'!AF77)</f>
        <v>42978</v>
      </c>
      <c r="Q76" s="290">
        <v>42944</v>
      </c>
      <c r="R76" s="255"/>
      <c r="S76" s="720" t="str">
        <f t="shared" si="27"/>
        <v>–</v>
      </c>
    </row>
    <row r="77" spans="1:19" ht="49.5" thickBot="1" x14ac:dyDescent="0.3">
      <c r="A77" s="255" t="str">
        <f>CONCATENATE('3 pr-2'!A78)</f>
        <v>1.1.2.1.4</v>
      </c>
      <c r="B77" s="473"/>
      <c r="C77" s="255" t="str">
        <f>CONCATENATE('3 pr-2'!D78)</f>
        <v>Ekologiškų transporto priemonių įsigijimas  Lazdijų rajono savivaldybėje</v>
      </c>
      <c r="D77" s="255" t="str">
        <f>CONCATENATE('3 pr-2'!E78)</f>
        <v>Lazdijų rajono savivaldybės administracija</v>
      </c>
      <c r="E77" s="255" t="str">
        <f>CONCATENATE('3 pr-2'!F78)</f>
        <v>Lietuvos Respublikos susisiekimo ministerija</v>
      </c>
      <c r="F77" s="255" t="str">
        <f>CONCATENATE('3 pr-2'!G78)</f>
        <v>Lazdijų rajono savivaldybė</v>
      </c>
      <c r="G77" s="255" t="str">
        <f>CONCATENATE('3 pr-2'!H78)</f>
        <v>04.5.1-TID-R-518</v>
      </c>
      <c r="H77" s="255" t="str">
        <f>CONCATENATE('3 pr-2'!I78)</f>
        <v>R</v>
      </c>
      <c r="I77" s="255" t="str">
        <f>CONCATENATE('3 pr-2'!J78)</f>
        <v>-</v>
      </c>
      <c r="J77" s="474">
        <f>IF(Q77&gt;0,'3 pr-2'!L78,0)</f>
        <v>262704</v>
      </c>
      <c r="K77" s="474">
        <f>IF(Q77&gt;0,'3 pr-2'!O78,0)</f>
        <v>39406</v>
      </c>
      <c r="L77" s="474">
        <f>IF(Q77&gt;0,'3 pr-2'!R78,0)</f>
        <v>0</v>
      </c>
      <c r="M77" s="474">
        <f>IF(Q77&gt;0,'3 pr-2'!U78,0)</f>
        <v>0</v>
      </c>
      <c r="N77" s="474">
        <f>IF(Q77&gt;0,'3 pr-2'!X78,0)</f>
        <v>0</v>
      </c>
      <c r="O77" s="474">
        <f>IF(Q77&gt;0,'3 pr-2'!AA78,0)</f>
        <v>223298</v>
      </c>
      <c r="P77" s="290">
        <f>SUM('3 pr-2'!AF78)</f>
        <v>42978</v>
      </c>
      <c r="Q77" s="290">
        <v>42944</v>
      </c>
      <c r="R77" s="255"/>
      <c r="S77" s="720" t="str">
        <f t="shared" si="27"/>
        <v>–</v>
      </c>
    </row>
    <row r="78" spans="1:19" ht="36" customHeight="1" thickBot="1" x14ac:dyDescent="0.3">
      <c r="A78" s="497" t="str">
        <f>CONCATENATE('3 pr-2'!A79)</f>
        <v>1.1.2.2</v>
      </c>
      <c r="B78" s="613"/>
      <c r="C78" s="1656" t="str">
        <f>CONCATENATE('3 pr-2'!D79)</f>
        <v/>
      </c>
      <c r="D78" s="1789" t="str">
        <f>CONCATENATE('3 pr-2'!E79)</f>
        <v/>
      </c>
      <c r="E78" s="1789" t="str">
        <f>CONCATENATE('3 pr-2'!F79)</f>
        <v/>
      </c>
      <c r="F78" s="1789" t="str">
        <f>CONCATENATE('3 pr-2'!G79)</f>
        <v/>
      </c>
      <c r="G78" s="1789" t="str">
        <f>CONCATENATE('3 pr-2'!H79)</f>
        <v/>
      </c>
      <c r="H78" s="1789" t="str">
        <f>CONCATENATE('3 pr-2'!I79)</f>
        <v/>
      </c>
      <c r="I78" s="1790" t="str">
        <f>CONCATENATE('3 pr-2'!J79)</f>
        <v/>
      </c>
      <c r="J78" s="629">
        <f t="shared" ref="J78:N78" si="28">SUM(J79:J84)</f>
        <v>50638</v>
      </c>
      <c r="K78" s="629">
        <f t="shared" si="28"/>
        <v>7595.7</v>
      </c>
      <c r="L78" s="629">
        <f t="shared" si="28"/>
        <v>0</v>
      </c>
      <c r="M78" s="629">
        <f t="shared" si="28"/>
        <v>0</v>
      </c>
      <c r="N78" s="629">
        <f t="shared" si="28"/>
        <v>0</v>
      </c>
      <c r="O78" s="629">
        <f>SUM(O79:O84)</f>
        <v>43042.3</v>
      </c>
      <c r="P78" s="630"/>
      <c r="Q78" s="631"/>
      <c r="R78" s="630"/>
      <c r="S78" s="631"/>
    </row>
    <row r="79" spans="1:19" ht="48.75" x14ac:dyDescent="0.25">
      <c r="A79" s="255" t="str">
        <f>CONCATENATE('3 pr-2'!A80)</f>
        <v>1.1.2.2.1</v>
      </c>
      <c r="B79" s="473"/>
      <c r="C79" s="255" t="str">
        <f>CONCATENATE('3 pr-2'!D80)</f>
        <v>Darnaus judumo priemonių diegimas Alytaus mieste</v>
      </c>
      <c r="D79" s="255" t="str">
        <f>CONCATENATE('3 pr-2'!E80)</f>
        <v>Alytaus miesto savivaldybės administracija</v>
      </c>
      <c r="E79" s="255" t="str">
        <f>CONCATENATE('3 pr-2'!F80)</f>
        <v>Lietuvos Respublikos susisiekimo ministerija</v>
      </c>
      <c r="F79" s="255" t="str">
        <f>CONCATENATE('3 pr-2'!G80)</f>
        <v>Alytaus  miestas</v>
      </c>
      <c r="G79" s="255" t="str">
        <f>CONCATENATE('3 pr-2'!H80)</f>
        <v>04.5.1.-TID-R-514</v>
      </c>
      <c r="H79" s="255" t="str">
        <f>CONCATENATE('3 pr-2'!I80)</f>
        <v>R</v>
      </c>
      <c r="I79" s="255" t="str">
        <f>CONCATENATE('3 pr-2'!J80)</f>
        <v>-</v>
      </c>
      <c r="J79" s="474">
        <f>IF(Q79&gt;0,'3 pr-2'!L80,0)</f>
        <v>0</v>
      </c>
      <c r="K79" s="474">
        <f>IF(Q79&gt;0,'3 pr-2'!O80,0)</f>
        <v>0</v>
      </c>
      <c r="L79" s="474">
        <f>IF(Q79&gt;0,'3 pr-2'!R80,0)</f>
        <v>0</v>
      </c>
      <c r="M79" s="474">
        <f>IF(Q79&gt;0,'3 pr-2'!U80,0)</f>
        <v>0</v>
      </c>
      <c r="N79" s="474">
        <f>IF(Q79&gt;0,'3 pr-2'!X80,0)</f>
        <v>0</v>
      </c>
      <c r="O79" s="474">
        <f>IF(Q79&gt;0,'3 pr-2'!AA80,0)</f>
        <v>0</v>
      </c>
      <c r="P79" s="290">
        <f>SUM('3 pr-2'!AF80)</f>
        <v>43358</v>
      </c>
      <c r="Q79" s="307"/>
      <c r="R79" s="307"/>
      <c r="S79" s="720" t="str">
        <f t="shared" si="27"/>
        <v>–</v>
      </c>
    </row>
    <row r="80" spans="1:19" ht="48.75" x14ac:dyDescent="0.25">
      <c r="A80" s="255" t="str">
        <f>CONCATENATE('3 pr-2'!A81)</f>
        <v>1.1.2.2.2</v>
      </c>
      <c r="B80" s="473" t="s">
        <v>766</v>
      </c>
      <c r="C80" s="255" t="str">
        <f>CONCATENATE('3 pr-2'!D81)</f>
        <v>Alytaus miesto darnaus judumo plano parengimas</v>
      </c>
      <c r="D80" s="255" t="str">
        <f>CONCATENATE('3 pr-2'!E81)</f>
        <v>Alytaus miesto savivaldybės administracija</v>
      </c>
      <c r="E80" s="255" t="str">
        <f>CONCATENATE('3 pr-2'!F81)</f>
        <v>Lietuvos Respublikos susisiekimo ministerija</v>
      </c>
      <c r="F80" s="255" t="str">
        <f>CONCATENATE('3 pr-2'!G81)</f>
        <v>Alytaus  miestas</v>
      </c>
      <c r="G80" s="255" t="str">
        <f>CONCATENATE('3 pr-2'!H81)</f>
        <v>04.5.1-TID-V-513</v>
      </c>
      <c r="H80" s="255" t="str">
        <f>CONCATENATE('3 pr-2'!I81)</f>
        <v>V</v>
      </c>
      <c r="I80" s="255" t="str">
        <f>CONCATENATE('3 pr-2'!J81)</f>
        <v>ITI</v>
      </c>
      <c r="J80" s="474">
        <f>IF(Q80&gt;0,'3 pr-2'!L81,0)</f>
        <v>33638</v>
      </c>
      <c r="K80" s="474">
        <f>IF(Q80&gt;0,'3 pr-2'!O81,0)</f>
        <v>5045.7</v>
      </c>
      <c r="L80" s="474">
        <f>IF(Q80&gt;0,'3 pr-2'!R81,0)</f>
        <v>0</v>
      </c>
      <c r="M80" s="474">
        <f>IF(Q80&gt;0,'3 pr-2'!U81,0)</f>
        <v>0</v>
      </c>
      <c r="N80" s="474">
        <f>IF(Q80&gt;0,'3 pr-2'!X81,0)</f>
        <v>0</v>
      </c>
      <c r="O80" s="474">
        <f>IF(Q80&gt;0,'3 pr-2'!AA81,0)</f>
        <v>28592.3</v>
      </c>
      <c r="P80" s="290">
        <f>SUM('3 pr-2'!AF81)</f>
        <v>42674</v>
      </c>
      <c r="Q80" s="678">
        <v>42671</v>
      </c>
      <c r="R80" s="291">
        <f t="shared" ref="R80" si="29">IF((YEAR(P80)-YEAR(Q80))=0,0,YEAR(P80)-YEAR(Q80))</f>
        <v>0</v>
      </c>
      <c r="S80" s="720" t="str">
        <f t="shared" si="27"/>
        <v>–</v>
      </c>
    </row>
    <row r="81" spans="1:19" ht="48.75" x14ac:dyDescent="0.25">
      <c r="A81" s="255" t="str">
        <f>CONCATENATE('3 pr-2'!A82)</f>
        <v>1.1.2.2.3</v>
      </c>
      <c r="B81" s="473"/>
      <c r="C81" s="853" t="str">
        <f>CONCATENATE('3 pr-2'!D82)</f>
        <v>Intelektinių transporto sistemų diegimas Druskininkuose</v>
      </c>
      <c r="D81" s="255" t="str">
        <f>CONCATENATE('3 pr-2'!E82)</f>
        <v>Druskininkų savivaldybės administracija</v>
      </c>
      <c r="E81" s="255" t="str">
        <f>CONCATENATE('3 pr-2'!F82)</f>
        <v>Lietuvos Respublikos susisiekimo ministerija</v>
      </c>
      <c r="F81" s="255" t="str">
        <f>CONCATENATE('3 pr-2'!G82)</f>
        <v>Druskininkų  miestas</v>
      </c>
      <c r="G81" s="255" t="str">
        <f>CONCATENATE('3 pr-2'!H82)</f>
        <v>04.5.1.-TID-R-514</v>
      </c>
      <c r="H81" s="255" t="str">
        <f>CONCATENATE('3 pr-2'!I82)</f>
        <v>R</v>
      </c>
      <c r="I81" s="255" t="str">
        <f>CONCATENATE('3 pr-2'!J82)</f>
        <v>-</v>
      </c>
      <c r="J81" s="474">
        <f>IF(Q81&gt;0,'3 pr-2'!L82,0)</f>
        <v>0</v>
      </c>
      <c r="K81" s="474">
        <f>IF(Q81&gt;0,'3 pr-2'!O82,0)</f>
        <v>0</v>
      </c>
      <c r="L81" s="474">
        <f>IF(Q81&gt;0,'3 pr-2'!R82,0)</f>
        <v>0</v>
      </c>
      <c r="M81" s="474">
        <f>IF(Q81&gt;0,'3 pr-2'!U82,0)</f>
        <v>0</v>
      </c>
      <c r="N81" s="474">
        <f>IF(Q81&gt;0,'3 pr-2'!X82,0)</f>
        <v>0</v>
      </c>
      <c r="O81" s="474">
        <f>IF(Q81&gt;0,'3 pr-2'!AA82,0)</f>
        <v>0</v>
      </c>
      <c r="P81" s="290">
        <f>SUM('3 pr-2'!AF82)</f>
        <v>43343</v>
      </c>
      <c r="Q81" s="307"/>
      <c r="R81" s="307"/>
      <c r="S81" s="720" t="str">
        <f t="shared" si="27"/>
        <v>–</v>
      </c>
    </row>
    <row r="82" spans="1:19" ht="48.75" x14ac:dyDescent="0.25">
      <c r="A82" s="255" t="str">
        <f>CONCATENATE('3 pr-2'!A83)</f>
        <v>1.1.2.2.4</v>
      </c>
      <c r="B82" s="473" t="s">
        <v>765</v>
      </c>
      <c r="C82" s="255" t="str">
        <f>CONCATENATE('3 pr-2'!D83)</f>
        <v>Darnaus judumo plano Druskininkuose parengimas</v>
      </c>
      <c r="D82" s="255" t="str">
        <f>CONCATENATE('3 pr-2'!E83)</f>
        <v>Druskininkų savivaldybės administracija</v>
      </c>
      <c r="E82" s="255" t="str">
        <f>CONCATENATE('3 pr-2'!F83)</f>
        <v>Lietuvos Respublikos susisiekimo ministerija</v>
      </c>
      <c r="F82" s="255" t="str">
        <f>CONCATENATE('3 pr-2'!G83)</f>
        <v>Druskininkų  miestas</v>
      </c>
      <c r="G82" s="255" t="str">
        <f>CONCATENATE('3 pr-2'!H83)</f>
        <v>04.5.1-TID-V-513</v>
      </c>
      <c r="H82" s="255" t="str">
        <f>CONCATENATE('3 pr-2'!I83)</f>
        <v>V</v>
      </c>
      <c r="I82" s="255" t="str">
        <f>CONCATENATE('3 pr-2'!J83)</f>
        <v>ITI</v>
      </c>
      <c r="J82" s="474">
        <f>IF(Q82&gt;0,'3 pr-2'!L83,0)</f>
        <v>17000</v>
      </c>
      <c r="K82" s="474">
        <f>IF(Q82&gt;0,'3 pr-2'!O83,0)</f>
        <v>2550</v>
      </c>
      <c r="L82" s="474">
        <f>IF(Q82&gt;0,'3 pr-2'!R83,0)</f>
        <v>0</v>
      </c>
      <c r="M82" s="474">
        <f>IF(Q82&gt;0,'3 pr-2'!U83,0)</f>
        <v>0</v>
      </c>
      <c r="N82" s="474">
        <f>IF(Q82&gt;0,'3 pr-2'!X83,0)</f>
        <v>0</v>
      </c>
      <c r="O82" s="474">
        <f>IF(Q82&gt;0,'3 pr-2'!AA83,0)</f>
        <v>14450</v>
      </c>
      <c r="P82" s="290">
        <f>SUM('3 pr-2'!AF83)</f>
        <v>42674</v>
      </c>
      <c r="Q82" s="678">
        <v>42671</v>
      </c>
      <c r="R82" s="291">
        <f t="shared" ref="R82" si="30">IF((YEAR(P82)-YEAR(Q82))=0,0,YEAR(P82)-YEAR(Q82))</f>
        <v>0</v>
      </c>
      <c r="S82" s="720" t="str">
        <f t="shared" si="27"/>
        <v>–</v>
      </c>
    </row>
    <row r="83" spans="1:19" ht="48.75" x14ac:dyDescent="0.25">
      <c r="A83" s="255" t="str">
        <f>CONCATENATE('3 pr-2'!A84)</f>
        <v>1.1.2.2.5</v>
      </c>
      <c r="B83" s="473" t="s">
        <v>765</v>
      </c>
      <c r="C83" s="853" t="str">
        <f>CONCATENATE('3 pr-2'!D84)</f>
        <v>Viešojo transporto organizavimo tobulinimas rekonstruojant Druskininkų miesto gatvių infrastruktūrą</v>
      </c>
      <c r="D83" s="853" t="str">
        <f>CONCATENATE('3 pr-2'!E84)</f>
        <v>Druskininkų savivaldybės administracija</v>
      </c>
      <c r="E83" s="853" t="str">
        <f>CONCATENATE('3 pr-2'!F84)</f>
        <v>Lietuvos Respublikos susisiekimo ministerija</v>
      </c>
      <c r="F83" s="853" t="str">
        <f>CONCATENATE('3 pr-2'!G84)</f>
        <v>Druskininkų  miestas</v>
      </c>
      <c r="G83" s="853" t="str">
        <f>CONCATENATE('3 pr-2'!H84)</f>
        <v>04.5.1.-TID-R-514</v>
      </c>
      <c r="H83" s="853" t="str">
        <f>CONCATENATE('3 pr-2'!I84)</f>
        <v>R</v>
      </c>
      <c r="I83" s="853" t="str">
        <f>CONCATENATE('3 pr-2'!J84)</f>
        <v>-</v>
      </c>
      <c r="J83" s="1444">
        <f>IF(Q83&gt;0,'3 pr-2'!L84,0)</f>
        <v>0</v>
      </c>
      <c r="K83" s="1444">
        <f>IF(Q83&gt;0,'3 pr-2'!O84,0)</f>
        <v>0</v>
      </c>
      <c r="L83" s="1444">
        <f>IF(Q83&gt;0,'3 pr-2'!R84,0)</f>
        <v>0</v>
      </c>
      <c r="M83" s="1444">
        <f>IF(Q83&gt;0,'3 pr-2'!U84,0)</f>
        <v>0</v>
      </c>
      <c r="N83" s="1444">
        <f>IF(Q83&gt;0,'3 pr-2'!X84,0)</f>
        <v>0</v>
      </c>
      <c r="O83" s="1444">
        <f>IF(Q83&gt;0,'3 pr-2'!AA84,0)</f>
        <v>0</v>
      </c>
      <c r="P83" s="1445">
        <f>SUM('3 pr-2'!AF84)</f>
        <v>43343</v>
      </c>
      <c r="Q83" s="678"/>
      <c r="R83" s="291">
        <f t="shared" ref="R83:R84" si="31">IF((YEAR(P83)-YEAR(Q83))=0,0,YEAR(P83)-YEAR(Q83))</f>
        <v>118</v>
      </c>
      <c r="S83" s="720" t="str">
        <f t="shared" ref="S83:S84" si="32">IF(P83-Q83&lt;0,(P83-Q83)/30.41667,"–")</f>
        <v>–</v>
      </c>
    </row>
    <row r="84" spans="1:19" ht="49.5" thickBot="1" x14ac:dyDescent="0.3">
      <c r="A84" s="255" t="str">
        <f>CONCATENATE('3 pr-2'!A85)</f>
        <v>1.1.2.2.6</v>
      </c>
      <c r="B84" s="473" t="s">
        <v>765</v>
      </c>
      <c r="C84" s="853" t="str">
        <f>CONCATENATE('3 pr-2'!D85)</f>
        <v>Vandens transporto infrastruktūros įrengimas skatinant kitų rūšių transportą</v>
      </c>
      <c r="D84" s="853" t="str">
        <f>CONCATENATE('3 pr-2'!E85)</f>
        <v>Druskininkų savivaldybės administracija</v>
      </c>
      <c r="E84" s="853" t="str">
        <f>CONCATENATE('3 pr-2'!F85)</f>
        <v>Lietuvos Respublikos susisiekimo ministerija</v>
      </c>
      <c r="F84" s="853" t="str">
        <f>CONCATENATE('3 pr-2'!G85)</f>
        <v>Druskininkų  miestas</v>
      </c>
      <c r="G84" s="853" t="str">
        <f>CONCATENATE('3 pr-2'!H85)</f>
        <v>04.5.1.-TID-R-514</v>
      </c>
      <c r="H84" s="853" t="str">
        <f>CONCATENATE('3 pr-2'!I85)</f>
        <v>R</v>
      </c>
      <c r="I84" s="853" t="str">
        <f>CONCATENATE('3 pr-2'!J85)</f>
        <v>-</v>
      </c>
      <c r="J84" s="1444">
        <f>IF(Q84&gt;0,'3 pr-2'!L85,0)</f>
        <v>0</v>
      </c>
      <c r="K84" s="1444">
        <f>IF(Q84&gt;0,'3 pr-2'!O85,0)</f>
        <v>0</v>
      </c>
      <c r="L84" s="1444">
        <f>IF(Q84&gt;0,'3 pr-2'!R85,0)</f>
        <v>0</v>
      </c>
      <c r="M84" s="1444">
        <f>IF(Q84&gt;0,'3 pr-2'!U85,0)</f>
        <v>0</v>
      </c>
      <c r="N84" s="1444">
        <f>IF(Q84&gt;0,'3 pr-2'!X85,0)</f>
        <v>0</v>
      </c>
      <c r="O84" s="1444">
        <f>IF(Q84&gt;0,'3 pr-2'!AA85,0)</f>
        <v>0</v>
      </c>
      <c r="P84" s="1445">
        <f>SUM('3 pr-2'!AF85)</f>
        <v>43343</v>
      </c>
      <c r="Q84" s="678"/>
      <c r="R84" s="291">
        <f t="shared" si="31"/>
        <v>118</v>
      </c>
      <c r="S84" s="720" t="str">
        <f t="shared" si="32"/>
        <v>–</v>
      </c>
    </row>
    <row r="85" spans="1:19" ht="36.75" customHeight="1" thickBot="1" x14ac:dyDescent="0.3">
      <c r="A85" s="497" t="str">
        <f>CONCATENATE('3 pr-2'!A86)</f>
        <v>1.1.2.3</v>
      </c>
      <c r="B85" s="613"/>
      <c r="C85" s="1656" t="str">
        <f>CONCATENATE('3 pr-2'!D86)</f>
        <v/>
      </c>
      <c r="D85" s="1789" t="str">
        <f>CONCATENATE('3 pr-2'!E86)</f>
        <v/>
      </c>
      <c r="E85" s="1789" t="str">
        <f>CONCATENATE('3 pr-2'!F86)</f>
        <v/>
      </c>
      <c r="F85" s="1789" t="str">
        <f>CONCATENATE('3 pr-2'!G86)</f>
        <v/>
      </c>
      <c r="G85" s="1789" t="str">
        <f>CONCATENATE('3 pr-2'!H86)</f>
        <v/>
      </c>
      <c r="H85" s="1789" t="str">
        <f>CONCATENATE('3 pr-2'!I86)</f>
        <v/>
      </c>
      <c r="I85" s="1790" t="str">
        <f>CONCATENATE('3 pr-2'!J86)</f>
        <v/>
      </c>
      <c r="J85" s="629">
        <f>SUM(J86:J90)</f>
        <v>510837.07</v>
      </c>
      <c r="K85" s="629">
        <f t="shared" ref="K85:O85" si="33">SUM(K86:K90)</f>
        <v>95113.51</v>
      </c>
      <c r="L85" s="629">
        <f t="shared" si="33"/>
        <v>0</v>
      </c>
      <c r="M85" s="629">
        <f t="shared" si="33"/>
        <v>0</v>
      </c>
      <c r="N85" s="629">
        <f t="shared" si="33"/>
        <v>0</v>
      </c>
      <c r="O85" s="629">
        <f t="shared" si="33"/>
        <v>415723.56</v>
      </c>
      <c r="P85" s="630"/>
      <c r="Q85" s="631"/>
      <c r="R85" s="630"/>
      <c r="S85" s="631"/>
    </row>
    <row r="86" spans="1:19" ht="48.75" x14ac:dyDescent="0.25">
      <c r="A86" s="255" t="str">
        <f>CONCATENATE('3 pr-2'!A87)</f>
        <v>1.1.2.3.1</v>
      </c>
      <c r="B86" s="473" t="s">
        <v>1530</v>
      </c>
      <c r="C86" s="255" t="str">
        <f>CONCATENATE('3 pr-2'!D87)</f>
        <v>Dviračių ir pėsčiųjų takų įrengimas Varėnos miesto J. Basanavičiaus ir Žiedo gatvėse</v>
      </c>
      <c r="D86" s="255" t="str">
        <f>CONCATENATE('3 pr-2'!E87)</f>
        <v>Varėnos rajono savivaldybės administracija</v>
      </c>
      <c r="E86" s="255" t="str">
        <f>CONCATENATE('3 pr-2'!F87)</f>
        <v>Lietuvos Respublikos susisiekimo ministerija</v>
      </c>
      <c r="F86" s="255" t="str">
        <f>CONCATENATE('3 pr-2'!G87)</f>
        <v>Varėnos miestas</v>
      </c>
      <c r="G86" s="255" t="str">
        <f>CONCATENATE('3 pr-2'!H87)</f>
        <v>04.5.1-TID-R-516</v>
      </c>
      <c r="H86" s="255" t="str">
        <f>CONCATENATE('3 pr-2'!I87)</f>
        <v>R</v>
      </c>
      <c r="I86" s="255" t="str">
        <f>CONCATENATE('3 pr-2'!J87)</f>
        <v>ITI</v>
      </c>
      <c r="J86" s="474">
        <f>IF(Q86&gt;0,'3 pr-2'!L87,0)</f>
        <v>95080</v>
      </c>
      <c r="K86" s="474">
        <f>IF(Q86&gt;0,'3 pr-2'!O87,0)</f>
        <v>14270</v>
      </c>
      <c r="L86" s="474">
        <f>IF(Q86&gt;0,'3 pr-2'!R87,0)</f>
        <v>0</v>
      </c>
      <c r="M86" s="474">
        <f>IF(Q86&gt;0,'3 pr-2'!U87,0)</f>
        <v>0</v>
      </c>
      <c r="N86" s="474">
        <f>IF(Q86&gt;0,'3 pr-2'!X87,0)</f>
        <v>0</v>
      </c>
      <c r="O86" s="474">
        <f>IF(Q86&gt;0,'3 pr-2'!AA87,0)</f>
        <v>80810</v>
      </c>
      <c r="P86" s="290">
        <f>SUM('3 pr-2'!AF87)</f>
        <v>42735</v>
      </c>
      <c r="Q86" s="675">
        <v>42703</v>
      </c>
      <c r="R86" s="291">
        <f t="shared" ref="R86:R90" si="34">IF((YEAR(P86)-YEAR(Q86))=0,0,YEAR(P86)-YEAR(Q86))</f>
        <v>0</v>
      </c>
      <c r="S86" s="720" t="str">
        <f t="shared" si="27"/>
        <v>–</v>
      </c>
    </row>
    <row r="87" spans="1:19" ht="48.75" x14ac:dyDescent="0.25">
      <c r="A87" s="255" t="str">
        <f>CONCATENATE('3 pr-2'!A88)</f>
        <v>1.1.2.3.2</v>
      </c>
      <c r="B87" s="473" t="s">
        <v>767</v>
      </c>
      <c r="C87" s="255" t="str">
        <f>CONCATENATE('3 pr-2'!D88)</f>
        <v>Dviračių trasų infrastruktūros įrengimas nuo Putinų g. žiedo Pramonės gatvėje, Alytaus mieste</v>
      </c>
      <c r="D87" s="255" t="str">
        <f>CONCATENATE('3 pr-2'!E88)</f>
        <v>Alytaus miesto savivaldybės administracija</v>
      </c>
      <c r="E87" s="255" t="str">
        <f>CONCATENATE('3 pr-2'!F88)</f>
        <v>Lietuvos Respublikos susisiekimo ministerija</v>
      </c>
      <c r="F87" s="255" t="str">
        <f>CONCATENATE('3 pr-2'!G88)</f>
        <v>Alytaus  miestas</v>
      </c>
      <c r="G87" s="255" t="str">
        <f>CONCATENATE('3 pr-2'!H88)</f>
        <v>04.5.1-TID-R-516</v>
      </c>
      <c r="H87" s="255" t="str">
        <f>CONCATENATE('3 pr-2'!I88)</f>
        <v>R</v>
      </c>
      <c r="I87" s="255" t="str">
        <f>CONCATENATE('3 pr-2'!J88)</f>
        <v>ITI</v>
      </c>
      <c r="J87" s="474">
        <f>IF(Q87&gt;0,'3 pr-2'!L88,0)</f>
        <v>133670.07</v>
      </c>
      <c r="K87" s="474">
        <f>IF(Q87&gt;0,'3 pr-2'!O88,0)</f>
        <v>20050.509999999998</v>
      </c>
      <c r="L87" s="474">
        <f>IF(Q87&gt;0,'3 pr-2'!R88,0)</f>
        <v>0</v>
      </c>
      <c r="M87" s="474">
        <f>IF(Q87&gt;0,'3 pr-2'!U88,0)</f>
        <v>0</v>
      </c>
      <c r="N87" s="474">
        <f>IF(Q87&gt;0,'3 pr-2'!X88,0)</f>
        <v>0</v>
      </c>
      <c r="O87" s="474">
        <f>IF(Q87&gt;0,'3 pr-2'!AA88,0)</f>
        <v>113619.56</v>
      </c>
      <c r="P87" s="290">
        <f>SUM('3 pr-2'!AF88)</f>
        <v>42643</v>
      </c>
      <c r="Q87" s="675">
        <v>42703</v>
      </c>
      <c r="R87" s="291">
        <f t="shared" si="34"/>
        <v>0</v>
      </c>
      <c r="S87" s="720">
        <f t="shared" si="27"/>
        <v>-1.9726025235504083</v>
      </c>
    </row>
    <row r="88" spans="1:19" ht="48.75" x14ac:dyDescent="0.25">
      <c r="A88" s="255" t="str">
        <f>CONCATENATE('3 pr-2'!A89)</f>
        <v>1.1.2.3.3</v>
      </c>
      <c r="B88" s="473" t="s">
        <v>1501</v>
      </c>
      <c r="C88" s="255" t="str">
        <f>CONCATENATE('3 pr-2'!D89)</f>
        <v>Dviračių ir pėsčiųjų takų plėtra Lazdijų miesto Turistų gatvėje iki sodų bendrijos „Baltasis“ Lazdijų seniūnijoje</v>
      </c>
      <c r="D88" s="255" t="str">
        <f>CONCATENATE('3 pr-2'!E89)</f>
        <v>Lazdijų rajono savivaldybės administracija</v>
      </c>
      <c r="E88" s="255" t="str">
        <f>CONCATENATE('3 pr-2'!F89)</f>
        <v>Lietuvos Respublikos susisiekimo ministerija</v>
      </c>
      <c r="F88" s="255" t="str">
        <f>CONCATENATE('3 pr-2'!G89)</f>
        <v>Lazdijų miestas</v>
      </c>
      <c r="G88" s="255" t="str">
        <f>CONCATENATE('3 pr-2'!H89)</f>
        <v>04.5.1-TID-R-516</v>
      </c>
      <c r="H88" s="255" t="str">
        <f>CONCATENATE('3 pr-2'!I89)</f>
        <v>R</v>
      </c>
      <c r="I88" s="255" t="str">
        <f>CONCATENATE('3 pr-2'!J89)</f>
        <v>ITI</v>
      </c>
      <c r="J88" s="474">
        <f>IF(Q88&gt;0,'3 pr-2'!L89,0)</f>
        <v>100658</v>
      </c>
      <c r="K88" s="474">
        <f>IF(Q88&gt;0,'3 pr-2'!O89,0)</f>
        <v>27157</v>
      </c>
      <c r="L88" s="474">
        <f>IF(Q88&gt;0,'3 pr-2'!R89,0)</f>
        <v>0</v>
      </c>
      <c r="M88" s="474">
        <f>IF(Q88&gt;0,'3 pr-2'!U89,0)</f>
        <v>0</v>
      </c>
      <c r="N88" s="474">
        <f>IF(Q88&gt;0,'3 pr-2'!X89,0)</f>
        <v>0</v>
      </c>
      <c r="O88" s="474">
        <f>IF(Q88&gt;0,'3 pr-2'!AA89,0)</f>
        <v>73501</v>
      </c>
      <c r="P88" s="290">
        <f>SUM('3 pr-2'!AF89)</f>
        <v>42735</v>
      </c>
      <c r="Q88" s="675">
        <v>42703</v>
      </c>
      <c r="R88" s="291">
        <f t="shared" si="34"/>
        <v>0</v>
      </c>
      <c r="S88" s="720" t="str">
        <f t="shared" si="27"/>
        <v>–</v>
      </c>
    </row>
    <row r="89" spans="1:19" ht="48.75" x14ac:dyDescent="0.25">
      <c r="A89" s="255" t="str">
        <f>CONCATENATE('3 pr-2'!A90)</f>
        <v>1.1.2.3.4</v>
      </c>
      <c r="B89" s="473"/>
      <c r="C89" s="255" t="str">
        <f>CONCATENATE('3 pr-2'!D90)</f>
        <v>Pėsčiųjų ir dviračių takų plėtra Simno seniūnijoje</v>
      </c>
      <c r="D89" s="255" t="str">
        <f>CONCATENATE('3 pr-2'!E90)</f>
        <v>Alytaus rajono savivaldybės administracija</v>
      </c>
      <c r="E89" s="255" t="str">
        <f>CONCATENATE('3 pr-2'!F90)</f>
        <v>Lietuvos Respublikos susisiekimo ministerija</v>
      </c>
      <c r="F89" s="255" t="str">
        <f>CONCATENATE('3 pr-2'!G90)</f>
        <v>Alytaus rajonas</v>
      </c>
      <c r="G89" s="255" t="str">
        <f>CONCATENATE('3 pr-2'!H90)</f>
        <v>04.5.1-TID-R-516</v>
      </c>
      <c r="H89" s="255" t="str">
        <f>CONCATENATE('3 pr-2'!I90)</f>
        <v>R</v>
      </c>
      <c r="I89" s="255" t="str">
        <f>CONCATENATE('3 pr-2'!J90)</f>
        <v>-</v>
      </c>
      <c r="J89" s="474">
        <f>IF(Q89&gt;0,'3 pr-2'!L90,0)</f>
        <v>110340</v>
      </c>
      <c r="K89" s="474">
        <f>IF(Q89&gt;0,'3 pr-2'!O90,0)</f>
        <v>19170</v>
      </c>
      <c r="L89" s="474">
        <f>IF(Q89&gt;0,'3 pr-2'!R90,0)</f>
        <v>0</v>
      </c>
      <c r="M89" s="474">
        <f>IF(Q89&gt;0,'3 pr-2'!U90,0)</f>
        <v>0</v>
      </c>
      <c r="N89" s="474">
        <f>IF(Q89&gt;0,'3 pr-2'!X90,0)</f>
        <v>0</v>
      </c>
      <c r="O89" s="474">
        <f>IF(Q89&gt;0,'3 pr-2'!AA90,0)</f>
        <v>91170</v>
      </c>
      <c r="P89" s="290">
        <f>SUM('3 pr-2'!AF90)</f>
        <v>42735</v>
      </c>
      <c r="Q89" s="675">
        <v>42754</v>
      </c>
      <c r="R89" s="291">
        <f t="shared" si="34"/>
        <v>-1</v>
      </c>
      <c r="S89" s="720">
        <f t="shared" si="27"/>
        <v>-0.62465746579096271</v>
      </c>
    </row>
    <row r="90" spans="1:19" ht="49.5" thickBot="1" x14ac:dyDescent="0.3">
      <c r="A90" s="255" t="str">
        <f>CONCATENATE('3 pr-2'!A91)</f>
        <v>1.1.2.3.5</v>
      </c>
      <c r="B90" s="473"/>
      <c r="C90" s="255" t="str">
        <f>CONCATENATE('3 pr-2'!D91)</f>
        <v>Dviračių ir pėsčiųjų tako, esančio šalia Ratnyčios upelio, Druskininkų mieste, rekonstrukcija</v>
      </c>
      <c r="D90" s="255" t="str">
        <f>CONCATENATE('3 pr-2'!E91)</f>
        <v xml:space="preserve">Druskininkų savivaldybės administracija  </v>
      </c>
      <c r="E90" s="255" t="str">
        <f>CONCATENATE('3 pr-2'!F91)</f>
        <v>Lietuvos Respublikos susisiekimo ministerija</v>
      </c>
      <c r="F90" s="255" t="str">
        <f>CONCATENATE('3 pr-2'!G91)</f>
        <v>Druskininkų miestas</v>
      </c>
      <c r="G90" s="255" t="str">
        <f>CONCATENATE('3 pr-2'!H91)</f>
        <v>04.5.1-TID-R-516</v>
      </c>
      <c r="H90" s="255" t="str">
        <f>CONCATENATE('3 pr-2'!I91)</f>
        <v>R</v>
      </c>
      <c r="I90" s="255" t="str">
        <f>CONCATENATE('3 pr-2'!J91)</f>
        <v>-</v>
      </c>
      <c r="J90" s="474">
        <f>IF(Q90&gt;0,'3 pr-2'!L91,0)</f>
        <v>71089</v>
      </c>
      <c r="K90" s="474">
        <f>IF(Q90&gt;0,'3 pr-2'!O91,0)</f>
        <v>14466</v>
      </c>
      <c r="L90" s="474">
        <f>IF(Q90&gt;0,'3 pr-2'!R91,0)</f>
        <v>0</v>
      </c>
      <c r="M90" s="474">
        <f>IF(Q90&gt;0,'3 pr-2'!U91,0)</f>
        <v>0</v>
      </c>
      <c r="N90" s="474">
        <f>IF(Q90&gt;0,'3 pr-2'!X91,0)</f>
        <v>0</v>
      </c>
      <c r="O90" s="474">
        <f>IF(Q90&gt;0,'3 pr-2'!AA91,0)</f>
        <v>56623</v>
      </c>
      <c r="P90" s="290">
        <f>SUM('3 pr-2'!AF91)</f>
        <v>42735</v>
      </c>
      <c r="Q90" s="675">
        <v>42754</v>
      </c>
      <c r="R90" s="291">
        <f t="shared" si="34"/>
        <v>-1</v>
      </c>
      <c r="S90" s="720">
        <f t="shared" si="27"/>
        <v>-0.62465746579096271</v>
      </c>
    </row>
    <row r="91" spans="1:19" ht="42.75" customHeight="1" thickBot="1" x14ac:dyDescent="0.3">
      <c r="A91" s="497" t="str">
        <f>CONCATENATE('3 pr-2'!A92)</f>
        <v>1.1.2.4</v>
      </c>
      <c r="B91" s="613"/>
      <c r="C91" s="1656" t="str">
        <f>CONCATENATE('3 pr-2'!D92)</f>
        <v/>
      </c>
      <c r="D91" s="1789" t="str">
        <f>CONCATENATE('3 pr-2'!E92)</f>
        <v/>
      </c>
      <c r="E91" s="1789" t="str">
        <f>CONCATENATE('3 pr-2'!F92)</f>
        <v/>
      </c>
      <c r="F91" s="1789" t="str">
        <f>CONCATENATE('3 pr-2'!G92)</f>
        <v/>
      </c>
      <c r="G91" s="1789" t="str">
        <f>CONCATENATE('3 pr-2'!H92)</f>
        <v/>
      </c>
      <c r="H91" s="1789" t="str">
        <f>CONCATENATE('3 pr-2'!I92)</f>
        <v/>
      </c>
      <c r="I91" s="1790" t="str">
        <f>CONCATENATE('3 pr-2'!J92)</f>
        <v/>
      </c>
      <c r="J91" s="629">
        <f>SUM(J92:J98)</f>
        <v>4421350.9000000004</v>
      </c>
      <c r="K91" s="629">
        <f t="shared" ref="K91:O91" si="35">SUM(K92:K98)</f>
        <v>1305883.8999999999</v>
      </c>
      <c r="L91" s="629">
        <f t="shared" si="35"/>
        <v>0</v>
      </c>
      <c r="M91" s="629">
        <f t="shared" si="35"/>
        <v>0</v>
      </c>
      <c r="N91" s="629">
        <f t="shared" si="35"/>
        <v>62660</v>
      </c>
      <c r="O91" s="629">
        <f t="shared" si="35"/>
        <v>3052807</v>
      </c>
      <c r="P91" s="630"/>
      <c r="Q91" s="631"/>
      <c r="R91" s="630"/>
      <c r="S91" s="631"/>
    </row>
    <row r="92" spans="1:19" ht="48.75" x14ac:dyDescent="0.25">
      <c r="A92" s="255" t="str">
        <f>CONCATENATE('3 pr-2'!A93)</f>
        <v>1.1.2.4.1</v>
      </c>
      <c r="B92" s="473" t="s">
        <v>769</v>
      </c>
      <c r="C92" s="255" t="str">
        <f>CONCATENATE('3 pr-2'!D93)</f>
        <v>Varėnos miesto J. Basanavičiaus, Savanorių ir M. K. Čiurlionio gatvių rekonstrukcija</v>
      </c>
      <c r="D92" s="255" t="str">
        <f>CONCATENATE('3 pr-2'!E93)</f>
        <v>Varėnos rajono savivaldybės administracija</v>
      </c>
      <c r="E92" s="255" t="str">
        <f>CONCATENATE('3 pr-2'!F93)</f>
        <v>Lietuvos Respublikos susisiekimo ministerija</v>
      </c>
      <c r="F92" s="255" t="str">
        <f>CONCATENATE('3 pr-2'!G93)</f>
        <v>Varėnos miestas</v>
      </c>
      <c r="G92" s="255" t="str">
        <f>CONCATENATE('3 pr-2'!H93)</f>
        <v>06.2.1-TID-R-511</v>
      </c>
      <c r="H92" s="255" t="str">
        <f>CONCATENATE('3 pr-2'!I93)</f>
        <v>R</v>
      </c>
      <c r="I92" s="255" t="str">
        <f>CONCATENATE('3 pr-2'!J93)</f>
        <v>ITI</v>
      </c>
      <c r="J92" s="474">
        <f>IF(Q92&gt;0,'3 pr-2'!L93,0)</f>
        <v>835464</v>
      </c>
      <c r="K92" s="474">
        <f>IF(Q92&gt;0,'3 pr-2'!O93,0)</f>
        <v>62660</v>
      </c>
      <c r="L92" s="474">
        <f>IF(Q92&gt;0,'3 pr-2'!R93,0)</f>
        <v>0</v>
      </c>
      <c r="M92" s="474">
        <f>IF(Q92&gt;0,'3 pr-2'!U93,0)</f>
        <v>0</v>
      </c>
      <c r="N92" s="474">
        <f>IF(Q92&gt;0,'3 pr-2'!X93,0)</f>
        <v>62660</v>
      </c>
      <c r="O92" s="474">
        <f>IF(Q92&gt;0,'3 pr-2'!AA93,0)</f>
        <v>710144</v>
      </c>
      <c r="P92" s="290">
        <f>SUM('3 pr-2'!AF93)</f>
        <v>42732</v>
      </c>
      <c r="Q92" s="675">
        <v>42732</v>
      </c>
      <c r="R92" s="291">
        <f t="shared" ref="R92:R97" si="36">IF((YEAR(P92)-YEAR(Q92))=0,0,YEAR(P92)-YEAR(Q92))</f>
        <v>0</v>
      </c>
      <c r="S92" s="720" t="str">
        <f t="shared" si="27"/>
        <v>–</v>
      </c>
    </row>
    <row r="93" spans="1:19" ht="48.75" x14ac:dyDescent="0.25">
      <c r="A93" s="255" t="str">
        <f>CONCATENATE('3 pr-2'!A94)</f>
        <v>1.1.2.4.2</v>
      </c>
      <c r="B93" s="473" t="s">
        <v>768</v>
      </c>
      <c r="C93" s="255" t="str">
        <f>CONCATENATE('3 pr-2'!D94)</f>
        <v>Perspektyvinės gatvės nuo Pramonės  g. iki Naujosios g. Alytuje įrengimas</v>
      </c>
      <c r="D93" s="255" t="str">
        <f>CONCATENATE('3 pr-2'!E94)</f>
        <v>Alytaus miesto savivaldybės administracija</v>
      </c>
      <c r="E93" s="255" t="str">
        <f>CONCATENATE('3 pr-2'!F94)</f>
        <v>Lietuvos Respublikos susisiekimo ministerija</v>
      </c>
      <c r="F93" s="255" t="str">
        <f>CONCATENATE('3 pr-2'!G94)</f>
        <v>Alytaus  miestas</v>
      </c>
      <c r="G93" s="255" t="str">
        <f>CONCATENATE('3 pr-2'!H94)</f>
        <v>06.2.1-TID-R-511</v>
      </c>
      <c r="H93" s="255" t="str">
        <f>CONCATENATE('3 pr-2'!I94)</f>
        <v>R</v>
      </c>
      <c r="I93" s="255" t="str">
        <f>CONCATENATE('3 pr-2'!J94)</f>
        <v>ITI</v>
      </c>
      <c r="J93" s="474">
        <f>IF(Q93&gt;0,'3 pr-2'!L94,0)</f>
        <v>879927.06</v>
      </c>
      <c r="K93" s="474">
        <f>IF(Q93&gt;0,'3 pr-2'!O94,0)</f>
        <v>131989.06</v>
      </c>
      <c r="L93" s="474">
        <f>IF(Q93&gt;0,'3 pr-2'!R94,0)</f>
        <v>0</v>
      </c>
      <c r="M93" s="474">
        <f>IF(Q93&gt;0,'3 pr-2'!U94,0)</f>
        <v>0</v>
      </c>
      <c r="N93" s="474">
        <f>IF(Q93&gt;0,'3 pr-2'!X94,0)</f>
        <v>0</v>
      </c>
      <c r="O93" s="474">
        <f>IF(Q93&gt;0,'3 pr-2'!AA94,0)</f>
        <v>747938</v>
      </c>
      <c r="P93" s="290">
        <f>SUM('3 pr-2'!AF94)</f>
        <v>42732</v>
      </c>
      <c r="Q93" s="675">
        <v>42732</v>
      </c>
      <c r="R93" s="291">
        <f t="shared" si="36"/>
        <v>0</v>
      </c>
      <c r="S93" s="720" t="str">
        <f t="shared" si="27"/>
        <v>–</v>
      </c>
    </row>
    <row r="94" spans="1:19" ht="48.75" x14ac:dyDescent="0.25">
      <c r="A94" s="255" t="str">
        <f>CONCATENATE('3 pr-2'!A95)</f>
        <v>1.1.2.4.3.</v>
      </c>
      <c r="B94" s="473"/>
      <c r="C94" s="255" t="str">
        <f>CONCATENATE('3 pr-2'!D95)</f>
        <v>Saugaus eismo priemonių diegimas, Alytuje</v>
      </c>
      <c r="D94" s="255" t="str">
        <f>CONCATENATE('3 pr-2'!E95)</f>
        <v>Alytaus miesto savivaldybės administracija</v>
      </c>
      <c r="E94" s="255" t="str">
        <f>CONCATENATE('3 pr-2'!F95)</f>
        <v>Lietuvos Respublikos susisiekimo ministerija</v>
      </c>
      <c r="F94" s="255" t="str">
        <f>CONCATENATE('3 pr-2'!G95)</f>
        <v>Alytaus  miestas</v>
      </c>
      <c r="G94" s="255" t="str">
        <f>CONCATENATE('3 pr-2'!H95)</f>
        <v>06.2.1-TID-R-511</v>
      </c>
      <c r="H94" s="255" t="str">
        <f>CONCATENATE('3 pr-2'!I95)</f>
        <v>R</v>
      </c>
      <c r="I94" s="255" t="str">
        <f>CONCATENATE('3 pr-2'!J95)</f>
        <v>-</v>
      </c>
      <c r="J94" s="474">
        <f>IF(Q94&gt;0,'3 pr-2'!L95,0)</f>
        <v>315614.59999999998</v>
      </c>
      <c r="K94" s="474">
        <f>IF(Q94&gt;0,'3 pr-2'!O95,0)</f>
        <v>65315.6</v>
      </c>
      <c r="L94" s="474">
        <f>IF(Q94&gt;0,'3 pr-2'!R95,0)</f>
        <v>0</v>
      </c>
      <c r="M94" s="474">
        <f>IF(Q94&gt;0,'3 pr-2'!U95,0)</f>
        <v>0</v>
      </c>
      <c r="N94" s="474">
        <f>IF(Q94&gt;0,'3 pr-2'!X95,0)</f>
        <v>0</v>
      </c>
      <c r="O94" s="474">
        <f>IF(Q94&gt;0,'3 pr-2'!AA95,0)</f>
        <v>250299</v>
      </c>
      <c r="P94" s="290">
        <f>SUM('3 pr-2'!AF95)</f>
        <v>42732</v>
      </c>
      <c r="Q94" s="675">
        <v>42732</v>
      </c>
      <c r="R94" s="291">
        <f t="shared" si="36"/>
        <v>0</v>
      </c>
      <c r="S94" s="720" t="str">
        <f t="shared" si="27"/>
        <v>–</v>
      </c>
    </row>
    <row r="95" spans="1:19" ht="48.75" x14ac:dyDescent="0.25">
      <c r="A95" s="255" t="str">
        <f>CONCATENATE('3 pr-2'!A96)</f>
        <v>1.1.2.4.4</v>
      </c>
      <c r="B95" s="473"/>
      <c r="C95" s="255" t="str">
        <f>CONCATENATE('3 pr-2'!D96)</f>
        <v>Eismo saugos priemonių diegimas Alytaus rajone</v>
      </c>
      <c r="D95" s="255" t="str">
        <f>CONCATENATE('3 pr-2'!E96)</f>
        <v>Alytaus rajono savivaldybės administracija</v>
      </c>
      <c r="E95" s="255" t="str">
        <f>CONCATENATE('3 pr-2'!F96)</f>
        <v>Lietuvos Respublikos susisiekimo ministerija</v>
      </c>
      <c r="F95" s="255" t="str">
        <f>CONCATENATE('3 pr-2'!G96)</f>
        <v>Alytaus  rajono savivaldybė</v>
      </c>
      <c r="G95" s="255" t="str">
        <f>CONCATENATE('3 pr-2'!H96)</f>
        <v>06.2.1-TID-R-511</v>
      </c>
      <c r="H95" s="255" t="str">
        <f>CONCATENATE('3 pr-2'!I96)</f>
        <v>R</v>
      </c>
      <c r="I95" s="255" t="str">
        <f>CONCATENATE('3 pr-2'!J96)</f>
        <v>-</v>
      </c>
      <c r="J95" s="474">
        <f>IF(Q95&gt;0,'3 pr-2'!L96,0)</f>
        <v>236915</v>
      </c>
      <c r="K95" s="474">
        <f>IF(Q95&gt;0,'3 pr-2'!O96,0)</f>
        <v>36071</v>
      </c>
      <c r="L95" s="474">
        <f>IF(Q95&gt;0,'3 pr-2'!R96,0)</f>
        <v>0</v>
      </c>
      <c r="M95" s="474">
        <f>IF(Q95&gt;0,'3 pr-2'!U96,0)</f>
        <v>0</v>
      </c>
      <c r="N95" s="474">
        <f>IF(Q95&gt;0,'3 pr-2'!X96,0)</f>
        <v>0</v>
      </c>
      <c r="O95" s="474">
        <f>IF(Q95&gt;0,'3 pr-2'!AA96,0)</f>
        <v>200844</v>
      </c>
      <c r="P95" s="290">
        <f>SUM('3 pr-2'!AF96)</f>
        <v>42735</v>
      </c>
      <c r="Q95" s="675">
        <v>42732</v>
      </c>
      <c r="R95" s="291">
        <f t="shared" si="36"/>
        <v>0</v>
      </c>
      <c r="S95" s="720" t="str">
        <f t="shared" si="27"/>
        <v>–</v>
      </c>
    </row>
    <row r="96" spans="1:19" ht="48.75" x14ac:dyDescent="0.25">
      <c r="A96" s="255" t="str">
        <f>CONCATENATE('3 pr-2'!A97)</f>
        <v>1.1.2.4.5</v>
      </c>
      <c r="B96" s="473"/>
      <c r="C96" s="255" t="str">
        <f>CONCATENATE('3 pr-2'!D97)</f>
        <v>M. K. Čiurlionio gatvės atkarpos Druskininkų m. rekonstrukcija</v>
      </c>
      <c r="D96" s="255" t="str">
        <f>CONCATENATE('3 pr-2'!E97)</f>
        <v xml:space="preserve">Druskininkų savivaldybės administracija  </v>
      </c>
      <c r="E96" s="255" t="str">
        <f>CONCATENATE('3 pr-2'!F97)</f>
        <v>Lietuvos Respublikos susisiekimo ministerija</v>
      </c>
      <c r="F96" s="255" t="str">
        <f>CONCATENATE('3 pr-2'!G97)</f>
        <v>Druskininkų miestas</v>
      </c>
      <c r="G96" s="255" t="str">
        <f>CONCATENATE('3 pr-2'!H97)</f>
        <v>06.2.1-TID-R-511</v>
      </c>
      <c r="H96" s="255" t="str">
        <f>CONCATENATE('3 pr-2'!I97)</f>
        <v>R</v>
      </c>
      <c r="I96" s="255" t="str">
        <f>CONCATENATE('3 pr-2'!J97)</f>
        <v>-</v>
      </c>
      <c r="J96" s="474">
        <f>IF(Q96&gt;0,'3 pr-2'!L97,0)</f>
        <v>1258144.24</v>
      </c>
      <c r="K96" s="474">
        <f>IF(Q96&gt;0,'3 pr-2'!O97,0)</f>
        <v>873495.24</v>
      </c>
      <c r="L96" s="474">
        <f>IF(Q96&gt;0,'3 pr-2'!R97,0)</f>
        <v>0</v>
      </c>
      <c r="M96" s="474">
        <f>IF(Q96&gt;0,'3 pr-2'!U97,0)</f>
        <v>0</v>
      </c>
      <c r="N96" s="474">
        <f>IF(Q96&gt;0,'3 pr-2'!X97,0)</f>
        <v>0</v>
      </c>
      <c r="O96" s="474">
        <f>IF(Q96&gt;0,'3 pr-2'!AA97,0)</f>
        <v>384649</v>
      </c>
      <c r="P96" s="290">
        <f>SUM('3 pr-2'!AF97)</f>
        <v>42732</v>
      </c>
      <c r="Q96" s="675">
        <v>42732</v>
      </c>
      <c r="R96" s="291">
        <f t="shared" si="36"/>
        <v>0</v>
      </c>
      <c r="S96" s="720" t="str">
        <f t="shared" si="27"/>
        <v>–</v>
      </c>
    </row>
    <row r="97" spans="1:19" ht="45.75" customHeight="1" x14ac:dyDescent="0.25">
      <c r="A97" s="255" t="str">
        <f>CONCATENATE('3 pr-2'!A98)</f>
        <v>1.1.2.4.6</v>
      </c>
      <c r="B97" s="473"/>
      <c r="C97" s="255" t="str">
        <f>CONCATENATE('3 pr-2'!D98)</f>
        <v>Lazdijų miesto Seinų ir Lazdijos gatvių bei vietinės reikšmės kelio nuo Janonio gatvės iki Lazdijų hipodromo rekonstravimas</v>
      </c>
      <c r="D97" s="255" t="str">
        <f>CONCATENATE('3 pr-2'!E98)</f>
        <v>Lazdijų rajono savivaldybės administracija</v>
      </c>
      <c r="E97" s="255" t="str">
        <f>CONCATENATE('3 pr-2'!F98)</f>
        <v>Lietuvos Respublikos susisiekimo ministerija</v>
      </c>
      <c r="F97" s="255" t="str">
        <f>CONCATENATE('3 pr-2'!G98)</f>
        <v>Lazdijų miestas</v>
      </c>
      <c r="G97" s="255" t="str">
        <f>CONCATENATE('3 pr-2'!H98)</f>
        <v>06.2.1-TID-R-511</v>
      </c>
      <c r="H97" s="255" t="str">
        <f>CONCATENATE('3 pr-2'!I98)</f>
        <v>R</v>
      </c>
      <c r="I97" s="255" t="str">
        <f>CONCATENATE('3 pr-2'!J98)</f>
        <v>ITI</v>
      </c>
      <c r="J97" s="474">
        <f>IF(Q97&gt;0,'3 pr-2'!L98,0)</f>
        <v>759934</v>
      </c>
      <c r="K97" s="474">
        <f>IF(Q97&gt;0,'3 pr-2'!O98,0)</f>
        <v>113990</v>
      </c>
      <c r="L97" s="474">
        <f>IF(Q97&gt;0,'3 pr-2'!R98,0)</f>
        <v>0</v>
      </c>
      <c r="M97" s="474">
        <f>IF(Q97&gt;0,'3 pr-2'!U98,0)</f>
        <v>0</v>
      </c>
      <c r="N97" s="474">
        <f>IF(Q97&gt;0,'3 pr-2'!X98,0)</f>
        <v>0</v>
      </c>
      <c r="O97" s="474">
        <f>IF(Q97&gt;0,'3 pr-2'!AA98,0)</f>
        <v>645944</v>
      </c>
      <c r="P97" s="290">
        <f>SUM('3 pr-2'!AF98)</f>
        <v>42732</v>
      </c>
      <c r="Q97" s="675">
        <v>42732</v>
      </c>
      <c r="R97" s="291">
        <f t="shared" si="36"/>
        <v>0</v>
      </c>
      <c r="S97" s="720" t="str">
        <f t="shared" si="27"/>
        <v>–</v>
      </c>
    </row>
    <row r="98" spans="1:19" ht="45.75" customHeight="1" thickBot="1" x14ac:dyDescent="0.3">
      <c r="A98" s="255" t="str">
        <f>CONCATENATE('3 pr-2'!A99)</f>
        <v>1.1.2.4.7</v>
      </c>
      <c r="B98" s="473"/>
      <c r="C98" s="255" t="str">
        <f>CONCATENATE('3 pr-2'!D99)</f>
        <v>Eismo saugumo priemonių diegimas Druskininkų savivaldybėje</v>
      </c>
      <c r="D98" s="255" t="str">
        <f>CONCATENATE('3 pr-2'!E99)</f>
        <v xml:space="preserve">Druskininkų savivaldybės administracija  </v>
      </c>
      <c r="E98" s="255" t="str">
        <f>CONCATENATE('3 pr-2'!F99)</f>
        <v>Lietuvos Respublikos susisiekimo ministerija</v>
      </c>
      <c r="F98" s="255" t="str">
        <f>CONCATENATE('3 pr-2'!G99)</f>
        <v>Druskininkų miestas</v>
      </c>
      <c r="G98" s="255" t="str">
        <f>CONCATENATE('3 pr-2'!H99)</f>
        <v>06.2.1-TID-R-511</v>
      </c>
      <c r="H98" s="255" t="str">
        <f>CONCATENATE('3 pr-2'!I99)</f>
        <v>R</v>
      </c>
      <c r="I98" s="255" t="str">
        <f>CONCATENATE('3 pr-2'!J99)</f>
        <v>-</v>
      </c>
      <c r="J98" s="474">
        <f>IF(Q98&gt;0,'3 pr-2'!L99,0)</f>
        <v>135352</v>
      </c>
      <c r="K98" s="474">
        <f>IF(Q98&gt;0,'3 pr-2'!O99,0)</f>
        <v>22363</v>
      </c>
      <c r="L98" s="474">
        <f>IF(Q98&gt;0,'3 pr-2'!R99,0)</f>
        <v>0</v>
      </c>
      <c r="M98" s="474">
        <f>IF(Q98&gt;0,'3 pr-2'!U99,0)</f>
        <v>0</v>
      </c>
      <c r="N98" s="474">
        <f>IF(Q98&gt;0,'3 pr-2'!X99,0)</f>
        <v>0</v>
      </c>
      <c r="O98" s="474">
        <f>IF(Q98&gt;0,'3 pr-2'!AA99,0)</f>
        <v>112989</v>
      </c>
      <c r="P98" s="290">
        <f>SUM('3 pr-2'!AF99)</f>
        <v>43404</v>
      </c>
      <c r="Q98" s="675">
        <v>42732</v>
      </c>
      <c r="R98" s="291">
        <f t="shared" ref="R98" si="37">IF((YEAR(P98)-YEAR(Q98))=0,0,YEAR(P98)-YEAR(Q98))</f>
        <v>2</v>
      </c>
      <c r="S98" s="720" t="str">
        <f t="shared" ref="S98" si="38">IF(P98-Q98&lt;0,(P98-Q98)/30.41667,"–")</f>
        <v>–</v>
      </c>
    </row>
    <row r="99" spans="1:19" ht="48" customHeight="1" thickBot="1" x14ac:dyDescent="0.35">
      <c r="A99" s="655" t="str">
        <f>CONCATENATE('3 pr-2'!A100)</f>
        <v>2.1.</v>
      </c>
      <c r="B99" s="656"/>
      <c r="C99" s="1799" t="str">
        <f>CONCATENATE('3 pr-2'!D100)</f>
        <v/>
      </c>
      <c r="D99" s="1800" t="str">
        <f>CONCATENATE('3 pr-2'!E100)</f>
        <v/>
      </c>
      <c r="E99" s="1800" t="str">
        <f>CONCATENATE('3 pr-2'!F100)</f>
        <v/>
      </c>
      <c r="F99" s="1800" t="str">
        <f>CONCATENATE('3 pr-2'!G100)</f>
        <v/>
      </c>
      <c r="G99" s="1800" t="str">
        <f>CONCATENATE('3 pr-2'!H100)</f>
        <v/>
      </c>
      <c r="H99" s="1800" t="str">
        <f>CONCATENATE('3 pr-2'!I100)</f>
        <v/>
      </c>
      <c r="I99" s="1801" t="str">
        <f>CONCATENATE('3 pr-2'!J100)</f>
        <v/>
      </c>
      <c r="J99" s="657">
        <f t="shared" ref="J99:O99" si="39">SUM(J100+J119+J145+J158)</f>
        <v>9888490.2599999979</v>
      </c>
      <c r="K99" s="657">
        <f t="shared" si="39"/>
        <v>1689058.36</v>
      </c>
      <c r="L99" s="657">
        <f t="shared" si="39"/>
        <v>223209.19378378382</v>
      </c>
      <c r="M99" s="657">
        <f t="shared" si="39"/>
        <v>0</v>
      </c>
      <c r="N99" s="657">
        <f t="shared" si="39"/>
        <v>0</v>
      </c>
      <c r="O99" s="657">
        <f t="shared" si="39"/>
        <v>7976222.7062162161</v>
      </c>
      <c r="P99" s="222" t="s">
        <v>725</v>
      </c>
      <c r="Q99" s="222" t="s">
        <v>725</v>
      </c>
      <c r="R99" s="222" t="s">
        <v>725</v>
      </c>
      <c r="S99" s="222"/>
    </row>
    <row r="100" spans="1:19" ht="59.25" customHeight="1" thickBot="1" x14ac:dyDescent="0.3">
      <c r="A100" s="345" t="str">
        <f>CONCATENATE('3 pr-2'!A101)</f>
        <v>2.1.1.</v>
      </c>
      <c r="B100" s="648"/>
      <c r="C100" s="1668" t="str">
        <f>CONCATENATE('3 pr-2'!D101)</f>
        <v/>
      </c>
      <c r="D100" s="1669" t="str">
        <f>CONCATENATE('3 pr-2'!E101)</f>
        <v/>
      </c>
      <c r="E100" s="1669" t="str">
        <f>CONCATENATE('3 pr-2'!F101)</f>
        <v/>
      </c>
      <c r="F100" s="1669" t="str">
        <f>CONCATENATE('3 pr-2'!G101)</f>
        <v/>
      </c>
      <c r="G100" s="1669" t="str">
        <f>CONCATENATE('3 pr-2'!H101)</f>
        <v/>
      </c>
      <c r="H100" s="1669" t="str">
        <f>CONCATENATE('3 pr-2'!I101)</f>
        <v/>
      </c>
      <c r="I100" s="1670" t="str">
        <f>CONCATENATE('3 pr-2'!J101)</f>
        <v/>
      </c>
      <c r="J100" s="303">
        <f>SUM(J101+J107+J113)</f>
        <v>4705665.1899999995</v>
      </c>
      <c r="K100" s="303">
        <f t="shared" ref="K100:O100" si="40">SUM(K101+K107+K113)</f>
        <v>737430.77999999991</v>
      </c>
      <c r="L100" s="303">
        <f t="shared" si="40"/>
        <v>201261.19378378382</v>
      </c>
      <c r="M100" s="303">
        <f t="shared" si="40"/>
        <v>0</v>
      </c>
      <c r="N100" s="303">
        <f t="shared" si="40"/>
        <v>0</v>
      </c>
      <c r="O100" s="303">
        <f t="shared" si="40"/>
        <v>3766973.2162162159</v>
      </c>
      <c r="P100" s="311" t="s">
        <v>725</v>
      </c>
      <c r="Q100" s="650" t="s">
        <v>725</v>
      </c>
      <c r="R100" s="649" t="s">
        <v>725</v>
      </c>
      <c r="S100" s="314"/>
    </row>
    <row r="101" spans="1:19" ht="37.5" customHeight="1" thickBot="1" x14ac:dyDescent="0.3">
      <c r="A101" s="497" t="str">
        <f>CONCATENATE('3 pr-2'!A102)</f>
        <v>2.1.1.1</v>
      </c>
      <c r="B101" s="613"/>
      <c r="C101" s="1656" t="str">
        <f>CONCATENATE('3 pr-2'!D102)</f>
        <v/>
      </c>
      <c r="D101" s="1789" t="str">
        <f>CONCATENATE('3 pr-2'!E102)</f>
        <v/>
      </c>
      <c r="E101" s="1789" t="str">
        <f>CONCATENATE('3 pr-2'!F102)</f>
        <v/>
      </c>
      <c r="F101" s="1789" t="str">
        <f>CONCATENATE('3 pr-2'!G102)</f>
        <v/>
      </c>
      <c r="G101" s="1789" t="str">
        <f>CONCATENATE('3 pr-2'!H102)</f>
        <v/>
      </c>
      <c r="H101" s="1789" t="str">
        <f>CONCATENATE('3 pr-2'!I102)</f>
        <v/>
      </c>
      <c r="I101" s="1790" t="str">
        <f>CONCATENATE('3 pr-2'!J102)</f>
        <v/>
      </c>
      <c r="J101" s="629">
        <f>SUM(J102:J106)</f>
        <v>1343974.82</v>
      </c>
      <c r="K101" s="629">
        <f t="shared" ref="K101:O101" si="41">SUM(K102:K106)</f>
        <v>100799.41</v>
      </c>
      <c r="L101" s="629">
        <f t="shared" si="41"/>
        <v>100798.41</v>
      </c>
      <c r="M101" s="629">
        <f t="shared" si="41"/>
        <v>0</v>
      </c>
      <c r="N101" s="629">
        <f t="shared" si="41"/>
        <v>0</v>
      </c>
      <c r="O101" s="629">
        <f t="shared" si="41"/>
        <v>1142377</v>
      </c>
      <c r="P101" s="630"/>
      <c r="Q101" s="631"/>
      <c r="R101" s="630"/>
      <c r="S101" s="631"/>
    </row>
    <row r="102" spans="1:19" ht="60.75" x14ac:dyDescent="0.25">
      <c r="A102" s="255" t="str">
        <f>CONCATENATE('3 pr-2'!A103)</f>
        <v>2.1.1.1.1</v>
      </c>
      <c r="B102" s="473" t="s">
        <v>867</v>
      </c>
      <c r="C102" s="255" t="str">
        <f>CONCATENATE('3 pr-2'!D103)</f>
        <v>Varėnos r. Merkinės Vinco Krėvės gimnazijos laisvų patalpų pritaikymas ikimokyklinio ir priešmokyklinio ugdymo grupėms įrengti</v>
      </c>
      <c r="D102" s="255" t="str">
        <f>CONCATENATE('3 pr-2'!E103)</f>
        <v>Varėnos rajono savivaldybės administracija</v>
      </c>
      <c r="E102" s="255" t="str">
        <f>CONCATENATE('3 pr-2'!F103)</f>
        <v>Lietuvos Respublikos švietimo ir mokslo ministerija</v>
      </c>
      <c r="F102" s="255" t="str">
        <f>CONCATENATE('3 pr-2'!G103)</f>
        <v>Varėnos miestas</v>
      </c>
      <c r="G102" s="255" t="str">
        <f>CONCATENATE('3 pr-2'!H103)</f>
        <v>09.1.3-CPVA-R-724</v>
      </c>
      <c r="H102" s="255" t="str">
        <f>CONCATENATE('3 pr-2'!I103)</f>
        <v>R</v>
      </c>
      <c r="I102" s="255" t="str">
        <f>CONCATENATE('3 pr-2'!J103)</f>
        <v>-</v>
      </c>
      <c r="J102" s="474">
        <f>IF(Q102&gt;0,'3 pr-2'!L103,0)</f>
        <v>220453</v>
      </c>
      <c r="K102" s="474">
        <f>IF(Q102&gt;0,'3 pr-2'!O103,0)</f>
        <v>16534</v>
      </c>
      <c r="L102" s="474">
        <f>IF(Q102&gt;0,'3 pr-2'!R103,0)</f>
        <v>16534</v>
      </c>
      <c r="M102" s="474">
        <f>IF(Q102&gt;0,'3 pr-2'!U103,0)</f>
        <v>0</v>
      </c>
      <c r="N102" s="474">
        <f>IF(Q102&gt;0,'3 pr-2'!X103,0)</f>
        <v>0</v>
      </c>
      <c r="O102" s="474">
        <f>IF(Q102&gt;0,'3 pr-2'!AA103,0)</f>
        <v>187385</v>
      </c>
      <c r="P102" s="290">
        <f>SUM('3 pr-2'!AF103)</f>
        <v>42916</v>
      </c>
      <c r="Q102" s="678">
        <v>42915</v>
      </c>
      <c r="R102" s="291">
        <f t="shared" ref="R102:R103" si="42">IF((YEAR(P102)-YEAR(Q102))=0,0,YEAR(P102)-YEAR(Q102))</f>
        <v>0</v>
      </c>
      <c r="S102" s="720" t="str">
        <f t="shared" ref="S102:S106" si="43">IF(P102-Q102&lt;0,(P102-Q102)/30.41667,"–")</f>
        <v>–</v>
      </c>
    </row>
    <row r="103" spans="1:19" ht="60.75" x14ac:dyDescent="0.25">
      <c r="A103" s="255" t="str">
        <f>CONCATENATE('3 pr-2'!A104)</f>
        <v>2.1.1.1.2</v>
      </c>
      <c r="B103" s="473" t="s">
        <v>871</v>
      </c>
      <c r="C103" s="255" t="str">
        <f>CONCATENATE('3 pr-2'!D104)</f>
        <v>Alytaus rajono bendrojo ugdymo įstaigų aprūpinimas gamtos, technologijų, menų ir kitų mokslų laboratorijų įranga</v>
      </c>
      <c r="D103" s="255" t="str">
        <f>CONCATENATE('3 pr-2'!E104)</f>
        <v>Alytaus rajono savivaldybės administracija</v>
      </c>
      <c r="E103" s="255" t="str">
        <f>CONCATENATE('3 pr-2'!F104)</f>
        <v>Lietuvos Respublikos švietimo ir mokslo ministerija</v>
      </c>
      <c r="F103" s="255" t="str">
        <f>CONCATENATE('3 pr-2'!G104)</f>
        <v>Alytaus  rajono savivaldybė</v>
      </c>
      <c r="G103" s="255" t="str">
        <f>CONCATENATE('3 pr-2'!H104)</f>
        <v>09.1.3-CPVA-R-724</v>
      </c>
      <c r="H103" s="255" t="str">
        <f>CONCATENATE('3 pr-2'!I104)</f>
        <v>R</v>
      </c>
      <c r="I103" s="255" t="str">
        <f>CONCATENATE('3 pr-2'!J104)</f>
        <v>-</v>
      </c>
      <c r="J103" s="474">
        <f>IF(Q103&gt;0,'3 pr-2'!L104,0)</f>
        <v>106844.82</v>
      </c>
      <c r="K103" s="474">
        <f>IF(Q103&gt;0,'3 pr-2'!O104,0)</f>
        <v>8013.41</v>
      </c>
      <c r="L103" s="474">
        <f>IF(Q103&gt;0,'3 pr-2'!R104,0)</f>
        <v>8013.41</v>
      </c>
      <c r="M103" s="474">
        <f>IF(Q103&gt;0,'3 pr-2'!U104,0)</f>
        <v>0</v>
      </c>
      <c r="N103" s="474">
        <f>IF(Q103&gt;0,'3 pr-2'!X104,0)</f>
        <v>0</v>
      </c>
      <c r="O103" s="474">
        <f>IF(Q103&gt;0,'3 pr-2'!AA104,0)</f>
        <v>90818</v>
      </c>
      <c r="P103" s="290">
        <f>SUM('3 pr-2'!AF104)</f>
        <v>42916</v>
      </c>
      <c r="Q103" s="678">
        <v>42915</v>
      </c>
      <c r="R103" s="291">
        <f t="shared" si="42"/>
        <v>0</v>
      </c>
      <c r="S103" s="720" t="str">
        <f t="shared" si="43"/>
        <v>–</v>
      </c>
    </row>
    <row r="104" spans="1:19" ht="60.75" x14ac:dyDescent="0.25">
      <c r="A104" s="255" t="str">
        <f>CONCATENATE('3 pr-2'!A105)</f>
        <v>2.1.1.1.3</v>
      </c>
      <c r="B104" s="473" t="s">
        <v>866</v>
      </c>
      <c r="C104" s="255" t="str">
        <f>CONCATENATE('3 pr-2'!D105)</f>
        <v>Modernių ir saugių erdvių kūrimas Dzūkijos pagrindinėje mokykloje, Alytuje</v>
      </c>
      <c r="D104" s="255" t="str">
        <f>CONCATENATE('3 pr-2'!E105)</f>
        <v>Alytaus miesto savivaldybės administracija</v>
      </c>
      <c r="E104" s="255" t="str">
        <f>CONCATENATE('3 pr-2'!F105)</f>
        <v>Lietuvos Respublikos švietimo ir mokslo ministerija</v>
      </c>
      <c r="F104" s="255" t="str">
        <f>CONCATENATE('3 pr-2'!G105)</f>
        <v>Alytaus  miestas</v>
      </c>
      <c r="G104" s="255" t="str">
        <f>CONCATENATE('3 pr-2'!H105)</f>
        <v>09.1.3-CPVA-R-724</v>
      </c>
      <c r="H104" s="255" t="str">
        <f>CONCATENATE('3 pr-2'!I105)</f>
        <v>R</v>
      </c>
      <c r="I104" s="255" t="str">
        <f>CONCATENATE('3 pr-2'!J105)</f>
        <v>-</v>
      </c>
      <c r="J104" s="474">
        <f>IF(Q104&gt;0,'3 pr-2'!L105,0)</f>
        <v>657021</v>
      </c>
      <c r="K104" s="474">
        <f>IF(Q104&gt;0,'3 pr-2'!O105,0)</f>
        <v>49277</v>
      </c>
      <c r="L104" s="474">
        <f>IF(Q104&gt;0,'3 pr-2'!R105,0)</f>
        <v>49277</v>
      </c>
      <c r="M104" s="474">
        <f>IF(Q104&gt;0,'3 pr-2'!U105,0)</f>
        <v>0</v>
      </c>
      <c r="N104" s="474">
        <f>IF(Q104&gt;0,'3 pr-2'!X105,0)</f>
        <v>0</v>
      </c>
      <c r="O104" s="474">
        <f>IF(Q104&gt;0,'3 pr-2'!AA105,0)</f>
        <v>558467</v>
      </c>
      <c r="P104" s="290">
        <f>SUM('3 pr-2'!AF105)</f>
        <v>42947</v>
      </c>
      <c r="Q104" s="678">
        <v>42934</v>
      </c>
      <c r="R104" s="291">
        <f t="shared" ref="R104" si="44">IF((YEAR(P104)-YEAR(Q104))=0,0,YEAR(P104)-YEAR(Q104))</f>
        <v>0</v>
      </c>
      <c r="S104" s="720" t="str">
        <f t="shared" si="43"/>
        <v>–</v>
      </c>
    </row>
    <row r="105" spans="1:19" ht="60.75" x14ac:dyDescent="0.25">
      <c r="A105" s="255" t="str">
        <f>CONCATENATE('3 pr-2'!A106)</f>
        <v>2.1.1.1.4</v>
      </c>
      <c r="B105" s="473" t="s">
        <v>868</v>
      </c>
      <c r="C105" s="255" t="str">
        <f>CONCATENATE('3 pr-2'!D106)</f>
        <v>Modernių ir saugių erdvių sukūrimas bendrojo ugdymo mokyklose Druskininkų sav.</v>
      </c>
      <c r="D105" s="255" t="str">
        <f>CONCATENATE('3 pr-2'!E106)</f>
        <v>Druskininkų savivaldybės administracija</v>
      </c>
      <c r="E105" s="255" t="str">
        <f>CONCATENATE('3 pr-2'!F106)</f>
        <v>Lietuvos Respublikos švietimo ir mokslo ministerija</v>
      </c>
      <c r="F105" s="255" t="str">
        <f>CONCATENATE('3 pr-2'!G106)</f>
        <v>Druskininkų savivaldybė</v>
      </c>
      <c r="G105" s="255" t="str">
        <f>CONCATENATE('3 pr-2'!H106)</f>
        <v>09.1.3-CPVA-R-724</v>
      </c>
      <c r="H105" s="255" t="str">
        <f>CONCATENATE('3 pr-2'!I106)</f>
        <v>R</v>
      </c>
      <c r="I105" s="255" t="str">
        <f>CONCATENATE('3 pr-2'!J106)</f>
        <v>-</v>
      </c>
      <c r="J105" s="474">
        <f>IF(Q105&gt;0,'3 pr-2'!L106,0)</f>
        <v>163877</v>
      </c>
      <c r="K105" s="474">
        <f>IF(Q105&gt;0,'3 pr-2'!O106,0)</f>
        <v>12291</v>
      </c>
      <c r="L105" s="474">
        <f>IF(Q105&gt;0,'3 pr-2'!R106,0)</f>
        <v>12291</v>
      </c>
      <c r="M105" s="474">
        <f>IF(Q105&gt;0,'3 pr-2'!U106,0)</f>
        <v>0</v>
      </c>
      <c r="N105" s="474">
        <f>IF(Q105&gt;0,'3 pr-2'!X106,0)</f>
        <v>0</v>
      </c>
      <c r="O105" s="474">
        <f>IF(Q105&gt;0,'3 pr-2'!AA106,0)</f>
        <v>139295</v>
      </c>
      <c r="P105" s="290">
        <f>SUM('3 pr-2'!AF106)</f>
        <v>42916</v>
      </c>
      <c r="Q105" s="678">
        <v>42915</v>
      </c>
      <c r="R105" s="291">
        <f t="shared" ref="R105:R106" si="45">IF((YEAR(P105)-YEAR(Q105))=0,0,YEAR(P105)-YEAR(Q105))</f>
        <v>0</v>
      </c>
      <c r="S105" s="720" t="str">
        <f t="shared" si="43"/>
        <v>–</v>
      </c>
    </row>
    <row r="106" spans="1:19" ht="61.5" thickBot="1" x14ac:dyDescent="0.3">
      <c r="A106" s="255" t="str">
        <f>CONCATENATE('3 pr-2'!A107)</f>
        <v>2.1.1.1.5</v>
      </c>
      <c r="B106" s="473" t="s">
        <v>865</v>
      </c>
      <c r="C106" s="255" t="str">
        <f>CONCATENATE('3 pr-2'!D107)</f>
        <v>Modernių ir saugių erdvių sukūrimas bendrojo ugdymo įstaigose Lazdijų rajono savivaldybėje</v>
      </c>
      <c r="D106" s="255" t="str">
        <f>CONCATENATE('3 pr-2'!E107)</f>
        <v>Lazdijų rajono savivaldybės administracija</v>
      </c>
      <c r="E106" s="255" t="str">
        <f>CONCATENATE('3 pr-2'!F107)</f>
        <v>Lietuvos Respublikos švietimo ir mokslo ministerija</v>
      </c>
      <c r="F106" s="255" t="str">
        <f>CONCATENATE('3 pr-2'!G107)</f>
        <v>Lazdijų rajono savivaldybė</v>
      </c>
      <c r="G106" s="255" t="str">
        <f>CONCATENATE('3 pr-2'!H107)</f>
        <v>09.1.3-CPVA-R-724</v>
      </c>
      <c r="H106" s="255" t="str">
        <f>CONCATENATE('3 pr-2'!I107)</f>
        <v>R</v>
      </c>
      <c r="I106" s="255" t="str">
        <f>CONCATENATE('3 pr-2'!J107)</f>
        <v>-</v>
      </c>
      <c r="J106" s="474">
        <f>IF(Q106&gt;0,'3 pr-2'!L107,0)</f>
        <v>195779</v>
      </c>
      <c r="K106" s="474">
        <f>IF(Q106&gt;0,'3 pr-2'!O107,0)</f>
        <v>14684</v>
      </c>
      <c r="L106" s="474">
        <f>IF(Q106&gt;0,'3 pr-2'!R107,0)</f>
        <v>14683</v>
      </c>
      <c r="M106" s="474">
        <f>IF(Q106&gt;0,'3 pr-2'!U107,0)</f>
        <v>0</v>
      </c>
      <c r="N106" s="474">
        <f>IF(Q106&gt;0,'3 pr-2'!X107,0)</f>
        <v>0</v>
      </c>
      <c r="O106" s="474">
        <f>IF(Q106&gt;0,'3 pr-2'!AA107,0)</f>
        <v>166412</v>
      </c>
      <c r="P106" s="290">
        <f>SUM('3 pr-2'!AF107)</f>
        <v>42916</v>
      </c>
      <c r="Q106" s="678">
        <v>42915</v>
      </c>
      <c r="R106" s="291">
        <f t="shared" si="45"/>
        <v>0</v>
      </c>
      <c r="S106" s="720" t="str">
        <f t="shared" si="43"/>
        <v>–</v>
      </c>
    </row>
    <row r="107" spans="1:19" ht="39.75" customHeight="1" thickBot="1" x14ac:dyDescent="0.3">
      <c r="A107" s="497" t="str">
        <f>CONCATENATE('3 pr-2'!A108)</f>
        <v>2.1.1.2</v>
      </c>
      <c r="B107" s="613"/>
      <c r="C107" s="1656" t="str">
        <f>CONCATENATE('3 pr-2'!D108)</f>
        <v/>
      </c>
      <c r="D107" s="1789" t="str">
        <f>CONCATENATE('3 pr-2'!E108)</f>
        <v/>
      </c>
      <c r="E107" s="1789" t="str">
        <f>CONCATENATE('3 pr-2'!F108)</f>
        <v/>
      </c>
      <c r="F107" s="1789" t="str">
        <f>CONCATENATE('3 pr-2'!G108)</f>
        <v/>
      </c>
      <c r="G107" s="1789" t="str">
        <f>CONCATENATE('3 pr-2'!H108)</f>
        <v/>
      </c>
      <c r="H107" s="1789" t="str">
        <f>CONCATENATE('3 pr-2'!I108)</f>
        <v/>
      </c>
      <c r="I107" s="1790" t="str">
        <f>CONCATENATE('3 pr-2'!J108)</f>
        <v/>
      </c>
      <c r="J107" s="629">
        <f>SUM('3 pr-2'!L108)</f>
        <v>1973901.3</v>
      </c>
      <c r="K107" s="629">
        <f>SUM('3 pr-2'!O108)</f>
        <v>487893.3</v>
      </c>
      <c r="L107" s="629">
        <f>SUM('3 pr-2'!R108)</f>
        <v>0</v>
      </c>
      <c r="M107" s="629">
        <f>SUM('3 pr-2'!U108)</f>
        <v>0</v>
      </c>
      <c r="N107" s="629">
        <f>SUM('3 pr-2'!X108)</f>
        <v>0</v>
      </c>
      <c r="O107" s="629">
        <f>SUM('3 pr-2'!AA108)</f>
        <v>1486008</v>
      </c>
      <c r="P107" s="630"/>
      <c r="Q107" s="631"/>
      <c r="R107" s="630"/>
      <c r="S107" s="631"/>
    </row>
    <row r="108" spans="1:19" ht="37.5" customHeight="1" x14ac:dyDescent="0.25">
      <c r="A108" s="255" t="str">
        <f>CONCATENATE('3 pr-2'!A109)</f>
        <v>2.1.1.2.1</v>
      </c>
      <c r="B108" s="473" t="s">
        <v>872</v>
      </c>
      <c r="C108" s="255" t="str">
        <f>CONCATENATE('3 pr-2'!D109)</f>
        <v>Varėnos moksleivių kūrybos centro pastato J. Basanavičiaus g. 38, Varėnoje, modernizavimas</v>
      </c>
      <c r="D108" s="255" t="str">
        <f>CONCATENATE('3 pr-2'!E109)</f>
        <v>Varėnos rajono savivaldybės administracija</v>
      </c>
      <c r="E108" s="255" t="str">
        <f>CONCATENATE('3 pr-2'!F109)</f>
        <v>Lietuvos Respublikos švietimo ir mokslo ministerija</v>
      </c>
      <c r="F108" s="255" t="str">
        <f>CONCATENATE('3 pr-2'!G109)</f>
        <v>Varėnos miestas</v>
      </c>
      <c r="G108" s="255" t="str">
        <f>CONCATENATE('3 pr-2'!H109)</f>
        <v>09.13.CPVA-R-725</v>
      </c>
      <c r="H108" s="255" t="str">
        <f>CONCATENATE('3 pr-2'!I109)</f>
        <v>R</v>
      </c>
      <c r="I108" s="255" t="str">
        <f>CONCATENATE('3 pr-2'!J109)</f>
        <v>-</v>
      </c>
      <c r="J108" s="474">
        <f>IF(Q108&gt;0,'3 pr-2'!L109,0)</f>
        <v>437551</v>
      </c>
      <c r="K108" s="474">
        <f>IF(Q108&gt;0,'3 pr-2'!O109,0)</f>
        <v>65633</v>
      </c>
      <c r="L108" s="474">
        <f>IF(Q108&gt;0,'3 pr-2'!R109,0)</f>
        <v>0</v>
      </c>
      <c r="M108" s="474">
        <f>IF(Q108&gt;0,'3 pr-2'!U109,0)</f>
        <v>0</v>
      </c>
      <c r="N108" s="474">
        <f>IF(Q108&gt;0,'3 pr-2'!X109,0)</f>
        <v>0</v>
      </c>
      <c r="O108" s="474">
        <f>IF(Q108&gt;0,'3 pr-2'!AA109,0)</f>
        <v>371918</v>
      </c>
      <c r="P108" s="290">
        <f>SUM('3 pr-2'!AF109)</f>
        <v>42916</v>
      </c>
      <c r="Q108" s="678">
        <v>42923</v>
      </c>
      <c r="R108" s="291">
        <f t="shared" ref="R108:R110" si="46">IF((YEAR(P108)-YEAR(Q108))=0,0,YEAR(P108)-YEAR(Q108))</f>
        <v>0</v>
      </c>
      <c r="S108" s="720">
        <f t="shared" ref="S108:S112" si="47">IF(P108-Q108&lt;0,(P108-Q108)/30.41667,"–")</f>
        <v>-0.23013696108088097</v>
      </c>
    </row>
    <row r="109" spans="1:19" ht="60.75" x14ac:dyDescent="0.25">
      <c r="A109" s="255" t="str">
        <f>CONCATENATE('3 pr-2'!A110)</f>
        <v>2.1.1.2.2</v>
      </c>
      <c r="B109" s="473" t="s">
        <v>874</v>
      </c>
      <c r="C109" s="255" t="str">
        <f>CONCATENATE('3 pr-2'!D110)</f>
        <v>Alytaus r. meno ir sporto mokyklos edukacinių erdvių įkūrimas ir atnaujinimas</v>
      </c>
      <c r="D109" s="255" t="str">
        <f>CONCATENATE('3 pr-2'!E110)</f>
        <v>Alytaus rajono savivaldybės administracija</v>
      </c>
      <c r="E109" s="255" t="str">
        <f>CONCATENATE('3 pr-2'!F110)</f>
        <v>Lietuvos Respublikos švietimo ir mokslo ministerija</v>
      </c>
      <c r="F109" s="255" t="str">
        <f>CONCATENATE('3 pr-2'!G110)</f>
        <v>Alytaus  rajono savivaldybė</v>
      </c>
      <c r="G109" s="255" t="str">
        <f>CONCATENATE('3 pr-2'!H110)</f>
        <v>09.13.CPVA-R-725</v>
      </c>
      <c r="H109" s="255" t="str">
        <f>CONCATENATE('3 pr-2'!I110)</f>
        <v>R</v>
      </c>
      <c r="I109" s="255" t="str">
        <f>CONCATENATE('3 pr-2'!J110)</f>
        <v>-</v>
      </c>
      <c r="J109" s="474">
        <f>IF(Q109&gt;0,'3 pr-2'!L110,0)</f>
        <v>856456</v>
      </c>
      <c r="K109" s="474">
        <f>IF(Q109&gt;0,'3 pr-2'!O110,0)</f>
        <v>319845</v>
      </c>
      <c r="L109" s="474">
        <f>IF(Q109&gt;0,'3 pr-2'!R110,0)</f>
        <v>0</v>
      </c>
      <c r="M109" s="474">
        <f>IF(Q109&gt;0,'3 pr-2'!U110,0)</f>
        <v>0</v>
      </c>
      <c r="N109" s="474">
        <f>IF(Q109&gt;0,'3 pr-2'!X110,0)</f>
        <v>0</v>
      </c>
      <c r="O109" s="474">
        <f>IF(Q109&gt;0,'3 pr-2'!AA110,0)</f>
        <v>536611</v>
      </c>
      <c r="P109" s="290">
        <f>SUM('3 pr-2'!AF110)</f>
        <v>42916</v>
      </c>
      <c r="Q109" s="678">
        <v>42923</v>
      </c>
      <c r="R109" s="291">
        <f t="shared" si="46"/>
        <v>0</v>
      </c>
      <c r="S109" s="720">
        <f t="shared" si="47"/>
        <v>-0.23013696108088097</v>
      </c>
    </row>
    <row r="110" spans="1:19" ht="60.75" x14ac:dyDescent="0.25">
      <c r="A110" s="255" t="str">
        <f>CONCATENATE('3 pr-2'!A111)</f>
        <v>2.1.1.2.3</v>
      </c>
      <c r="B110" s="473" t="s">
        <v>873</v>
      </c>
      <c r="C110" s="255" t="str">
        <f>CONCATENATE('3 pr-2'!D111)</f>
        <v>Alytaus muzikos mokyklos pastato modernizavimas ir ugdymo aplinkos gerinimas</v>
      </c>
      <c r="D110" s="255" t="str">
        <f>CONCATENATE('3 pr-2'!E111)</f>
        <v>Alytaus miesto savivaldybės administracija</v>
      </c>
      <c r="E110" s="255" t="str">
        <f>CONCATENATE('3 pr-2'!F111)</f>
        <v>Lietuvos Respublikos švietimo ir mokslo ministerija</v>
      </c>
      <c r="F110" s="255" t="str">
        <f>CONCATENATE('3 pr-2'!G111)</f>
        <v>Alytaus  miestas</v>
      </c>
      <c r="G110" s="255" t="str">
        <f>CONCATENATE('3 pr-2'!H111)</f>
        <v>09.13.CPVA-R-725</v>
      </c>
      <c r="H110" s="255" t="str">
        <f>CONCATENATE('3 pr-2'!I111)</f>
        <v>R</v>
      </c>
      <c r="I110" s="255" t="str">
        <f>CONCATENATE('3 pr-2'!J111)</f>
        <v>-</v>
      </c>
      <c r="J110" s="474">
        <f>IF(Q110&gt;0,'3 pr-2'!L111,0)</f>
        <v>397378</v>
      </c>
      <c r="K110" s="474">
        <f>IF(Q110&gt;0,'3 pr-2'!O111,0)</f>
        <v>59607</v>
      </c>
      <c r="L110" s="474">
        <f>IF(Q110&gt;0,'3 pr-2'!R111,0)</f>
        <v>0</v>
      </c>
      <c r="M110" s="474">
        <f>IF(Q110&gt;0,'3 pr-2'!U111,0)</f>
        <v>0</v>
      </c>
      <c r="N110" s="474">
        <f>IF(Q110&gt;0,'3 pr-2'!X111,0)</f>
        <v>0</v>
      </c>
      <c r="O110" s="474">
        <f>IF(Q110&gt;0,'3 pr-2'!AA111,0)</f>
        <v>337771</v>
      </c>
      <c r="P110" s="290">
        <f>SUM('3 pr-2'!AF111)</f>
        <v>42916</v>
      </c>
      <c r="Q110" s="678">
        <v>42923</v>
      </c>
      <c r="R110" s="291">
        <f t="shared" si="46"/>
        <v>0</v>
      </c>
      <c r="S110" s="720">
        <f t="shared" si="47"/>
        <v>-0.23013696108088097</v>
      </c>
    </row>
    <row r="111" spans="1:19" ht="60.75" x14ac:dyDescent="0.25">
      <c r="A111" s="255" t="str">
        <f>CONCATENATE('3 pr-2'!A112)</f>
        <v>2.1.1.2.4</v>
      </c>
      <c r="B111" s="473" t="s">
        <v>869</v>
      </c>
      <c r="C111" s="255" t="str">
        <f>CONCATENATE('3 pr-2'!D112)</f>
        <v>Druskininkų M. K. Čiurlionio meno mokyklos infrastruktūros tobulinimas</v>
      </c>
      <c r="D111" s="255" t="str">
        <f>CONCATENATE('3 pr-2'!E112)</f>
        <v xml:space="preserve">Druskininkų savivaldybės administracija  </v>
      </c>
      <c r="E111" s="255" t="str">
        <f>CONCATENATE('3 pr-2'!F112)</f>
        <v>Lietuvos Respublikos švietimo ir mokslo ministerija</v>
      </c>
      <c r="F111" s="255" t="str">
        <f>CONCATENATE('3 pr-2'!G112)</f>
        <v>Druskininkų miestas</v>
      </c>
      <c r="G111" s="255" t="str">
        <f>CONCATENATE('3 pr-2'!H112)</f>
        <v>09.13.CPVA-R-725</v>
      </c>
      <c r="H111" s="255" t="str">
        <f>CONCATENATE('3 pr-2'!I112)</f>
        <v>R</v>
      </c>
      <c r="I111" s="255" t="str">
        <f>CONCATENATE('3 pr-2'!J112)</f>
        <v>-</v>
      </c>
      <c r="J111" s="474">
        <f>IF(Q111&gt;0,'3 pr-2'!L112,0)</f>
        <v>146702.29999999999</v>
      </c>
      <c r="K111" s="474">
        <f>IF(Q111&gt;0,'3 pr-2'!O112,0)</f>
        <v>22436.3</v>
      </c>
      <c r="L111" s="474">
        <f>IF(Q111&gt;0,'3 pr-2'!R112,0)</f>
        <v>0</v>
      </c>
      <c r="M111" s="474">
        <f>IF(Q111&gt;0,'3 pr-2'!U112,0)</f>
        <v>0</v>
      </c>
      <c r="N111" s="474">
        <f>IF(Q111&gt;0,'3 pr-2'!X112,0)</f>
        <v>0</v>
      </c>
      <c r="O111" s="474">
        <f>IF(Q111&gt;0,'3 pr-2'!AA112,0)</f>
        <v>124266</v>
      </c>
      <c r="P111" s="290">
        <f>SUM('3 pr-2'!AF112)</f>
        <v>42916</v>
      </c>
      <c r="Q111" s="678">
        <v>42866</v>
      </c>
      <c r="R111" s="291">
        <f t="shared" ref="R111:R112" si="48">IF((YEAR(P111)-YEAR(Q111))=0,0,YEAR(P111)-YEAR(Q111))</f>
        <v>0</v>
      </c>
      <c r="S111" s="720" t="str">
        <f t="shared" si="47"/>
        <v>–</v>
      </c>
    </row>
    <row r="112" spans="1:19" ht="61.5" thickBot="1" x14ac:dyDescent="0.3">
      <c r="A112" s="255" t="str">
        <f>CONCATENATE('3 pr-2'!A113)</f>
        <v>2.1.1.2.5</v>
      </c>
      <c r="B112" s="473" t="s">
        <v>844</v>
      </c>
      <c r="C112" s="255" t="str">
        <f>CONCATENATE('3 pr-2'!D113)</f>
        <v>Neformaliojo švietimo įstaigų Lazdijų rajono savivaldybėje infrastruktūros tobulinimas</v>
      </c>
      <c r="D112" s="255" t="str">
        <f>CONCATENATE('3 pr-2'!E113)</f>
        <v>VšĮ „Lazdijų sporto centras“</v>
      </c>
      <c r="E112" s="255" t="str">
        <f>CONCATENATE('3 pr-2'!F113)</f>
        <v>Lietuvos Respublikos švietimo ir mokslo ministerija</v>
      </c>
      <c r="F112" s="255" t="str">
        <f>CONCATENATE('3 pr-2'!G113)</f>
        <v>Lazdijų rajono savivaldybė</v>
      </c>
      <c r="G112" s="255" t="str">
        <f>CONCATENATE('3 pr-2'!H113)</f>
        <v>09.13.CPVA-R-725</v>
      </c>
      <c r="H112" s="255" t="str">
        <f>CONCATENATE('3 pr-2'!I113)</f>
        <v>R</v>
      </c>
      <c r="I112" s="255" t="str">
        <f>CONCATENATE('3 pr-2'!J113)</f>
        <v>-</v>
      </c>
      <c r="J112" s="474">
        <f>IF(Q112&gt;0,'3 pr-2'!L113,0)</f>
        <v>135814</v>
      </c>
      <c r="K112" s="474">
        <f>IF(Q112&gt;0,'3 pr-2'!O113,0)</f>
        <v>20372</v>
      </c>
      <c r="L112" s="474">
        <f>IF(Q112&gt;0,'3 pr-2'!R113,0)</f>
        <v>0</v>
      </c>
      <c r="M112" s="474">
        <f>IF(Q112&gt;0,'3 pr-2'!U113,0)</f>
        <v>0</v>
      </c>
      <c r="N112" s="474">
        <f>IF(Q112&gt;0,'3 pr-2'!X113,0)</f>
        <v>0</v>
      </c>
      <c r="O112" s="474">
        <f>IF(Q112&gt;0,'3 pr-2'!AA113,0)</f>
        <v>115442</v>
      </c>
      <c r="P112" s="290">
        <f>SUM('3 pr-2'!AF113)</f>
        <v>42866</v>
      </c>
      <c r="Q112" s="678">
        <v>42866</v>
      </c>
      <c r="R112" s="291">
        <f t="shared" si="48"/>
        <v>0</v>
      </c>
      <c r="S112" s="720" t="str">
        <f t="shared" si="47"/>
        <v>–</v>
      </c>
    </row>
    <row r="113" spans="1:20" ht="37.5" customHeight="1" thickBot="1" x14ac:dyDescent="0.3">
      <c r="A113" s="497" t="str">
        <f>CONCATENATE('3 pr-2'!A114)</f>
        <v>2.1.1.3</v>
      </c>
      <c r="B113" s="613"/>
      <c r="C113" s="1656" t="str">
        <f>CONCATENATE('3 pr-2'!D114)</f>
        <v/>
      </c>
      <c r="D113" s="1789" t="str">
        <f>CONCATENATE('3 pr-2'!E114)</f>
        <v/>
      </c>
      <c r="E113" s="1789" t="str">
        <f>CONCATENATE('3 pr-2'!F114)</f>
        <v/>
      </c>
      <c r="F113" s="1789" t="str">
        <f>CONCATENATE('3 pr-2'!G114)</f>
        <v/>
      </c>
      <c r="G113" s="1789" t="str">
        <f>CONCATENATE('3 pr-2'!H114)</f>
        <v/>
      </c>
      <c r="H113" s="1789" t="str">
        <f>CONCATENATE('3 pr-2'!I114)</f>
        <v/>
      </c>
      <c r="I113" s="1790" t="str">
        <f>CONCATENATE('3 pr-2'!J114)</f>
        <v/>
      </c>
      <c r="J113" s="629">
        <f>SUM(J114:J118)</f>
        <v>1387789.0699999996</v>
      </c>
      <c r="K113" s="629">
        <f t="shared" ref="K113:O113" si="49">SUM(K114:K118)</f>
        <v>148738.06999999998</v>
      </c>
      <c r="L113" s="629">
        <f t="shared" si="49"/>
        <v>100462.7837837838</v>
      </c>
      <c r="M113" s="629">
        <f t="shared" si="49"/>
        <v>0</v>
      </c>
      <c r="N113" s="629">
        <f t="shared" si="49"/>
        <v>0</v>
      </c>
      <c r="O113" s="629">
        <f t="shared" si="49"/>
        <v>1138588.2162162161</v>
      </c>
      <c r="P113" s="630"/>
      <c r="Q113" s="631"/>
      <c r="R113" s="630"/>
      <c r="S113" s="631"/>
    </row>
    <row r="114" spans="1:20" ht="60.75" x14ac:dyDescent="0.25">
      <c r="A114" s="255" t="str">
        <f>CONCATENATE('3 pr-2'!A115)</f>
        <v>2.1.1.3.1</v>
      </c>
      <c r="B114" s="473" t="s">
        <v>1533</v>
      </c>
      <c r="C114" s="255" t="str">
        <f>CONCATENATE('3 pr-2'!D115)</f>
        <v>Varėnos "Pasakos" vaikų lopšelio-darželio pastato modernizavimas</v>
      </c>
      <c r="D114" s="255" t="str">
        <f>CONCATENATE('3 pr-2'!E115)</f>
        <v>Varėnos rajono savivaldybės administracija</v>
      </c>
      <c r="E114" s="255" t="str">
        <f>CONCATENATE('3 pr-2'!F115)</f>
        <v>Lietuvos Respublikos švietimo ir mokslo ministerija</v>
      </c>
      <c r="F114" s="255" t="str">
        <f>CONCATENATE('3 pr-2'!G115)</f>
        <v>Varėnos miestas</v>
      </c>
      <c r="G114" s="255" t="str">
        <f>CONCATENATE('3 pr-2'!H115)</f>
        <v>09.1.3-CPVA-R-705</v>
      </c>
      <c r="H114" s="255" t="str">
        <f>CONCATENATE('3 pr-2'!I115)</f>
        <v>R</v>
      </c>
      <c r="I114" s="255" t="str">
        <f>CONCATENATE('3 pr-2'!J115)</f>
        <v>-</v>
      </c>
      <c r="J114" s="474">
        <f>IF(Q114&gt;0,'3 pr-2'!L115,0)</f>
        <v>370000</v>
      </c>
      <c r="K114" s="474">
        <f>IF(Q114&gt;0,'3 pr-2'!O115,0)</f>
        <v>57342</v>
      </c>
      <c r="L114" s="474">
        <f>IF(Q114&gt;0,'3 pr-2'!R115,0)</f>
        <v>25351</v>
      </c>
      <c r="M114" s="474">
        <f>IF(Q114&gt;0,'3 pr-2'!U115,0)</f>
        <v>0</v>
      </c>
      <c r="N114" s="474">
        <f>IF(Q114&gt;0,'3 pr-2'!X115,0)</f>
        <v>0</v>
      </c>
      <c r="O114" s="474">
        <f>IF(Q114&gt;0,'3 pr-2'!AA115,0)</f>
        <v>287307</v>
      </c>
      <c r="P114" s="290">
        <f>SUM('3 pr-2'!AF115)</f>
        <v>43039</v>
      </c>
      <c r="Q114" s="308">
        <v>43039</v>
      </c>
      <c r="R114" s="255"/>
      <c r="S114" s="720" t="str">
        <f t="shared" ref="S114:S118" si="50">IF(P114-Q114&lt;0,(P114-Q114)/30.41667,"–")</f>
        <v>–</v>
      </c>
      <c r="T114" s="30"/>
    </row>
    <row r="115" spans="1:20" ht="60.75" x14ac:dyDescent="0.25">
      <c r="A115" s="255" t="str">
        <f>CONCATENATE('3 pr-2'!A116)</f>
        <v>2.1.1.3.2</v>
      </c>
      <c r="B115" s="473" t="s">
        <v>1534</v>
      </c>
      <c r="C115" s="255" t="str">
        <f>CONCATENATE('3 pr-2'!D116)</f>
        <v>Alytaus r. ikimokyklinio ir priešmokyklinio ugdymo prieinamumo didinimas įkuriant ir atnaujinant edukacines erdves</v>
      </c>
      <c r="D115" s="255" t="str">
        <f>CONCATENATE('3 pr-2'!E116)</f>
        <v>Alytaus rajono savivaldybės administracija</v>
      </c>
      <c r="E115" s="255" t="str">
        <f>CONCATENATE('3 pr-2'!F116)</f>
        <v>Lietuvos Respublikos švietimo ir mokslo ministerija</v>
      </c>
      <c r="F115" s="255" t="str">
        <f>CONCATENATE('3 pr-2'!G116)</f>
        <v>Alytaus  rajono savivaldybė</v>
      </c>
      <c r="G115" s="255" t="str">
        <f>CONCATENATE('3 pr-2'!H116)</f>
        <v>09.1.3-CPVA-R-705</v>
      </c>
      <c r="H115" s="255" t="str">
        <f>CONCATENATE('3 pr-2'!I116)</f>
        <v>R</v>
      </c>
      <c r="I115" s="255" t="str">
        <f>CONCATENATE('3 pr-2'!J116)</f>
        <v/>
      </c>
      <c r="J115" s="474">
        <f>IF(Q115&gt;0,'3 pr-2'!L116,0)</f>
        <v>597456.86</v>
      </c>
      <c r="K115" s="474">
        <f>IF(Q115&gt;0,'3 pr-2'!O116,0)</f>
        <v>59861.86</v>
      </c>
      <c r="L115" s="474">
        <f>IF(Q115&gt;0,'3 pr-2'!R116,0)</f>
        <v>43588</v>
      </c>
      <c r="M115" s="474">
        <f>IF(Q115&gt;0,'3 pr-2'!U116,0)</f>
        <v>0</v>
      </c>
      <c r="N115" s="474">
        <f>IF(Q115&gt;0,'3 pr-2'!X116,0)</f>
        <v>0</v>
      </c>
      <c r="O115" s="474">
        <f>IF(Q115&gt;0,'3 pr-2'!AA116,0)</f>
        <v>494007</v>
      </c>
      <c r="P115" s="290">
        <f>SUM('3 pr-2'!AF116)</f>
        <v>43039</v>
      </c>
      <c r="Q115" s="308">
        <v>43039</v>
      </c>
      <c r="R115" s="255"/>
      <c r="S115" s="720" t="str">
        <f t="shared" si="50"/>
        <v>–</v>
      </c>
    </row>
    <row r="116" spans="1:20" ht="60.75" x14ac:dyDescent="0.25">
      <c r="A116" s="255" t="str">
        <f>CONCATENATE('3 pr-2'!A117)</f>
        <v>2.1.1.3.3</v>
      </c>
      <c r="B116" s="473" t="s">
        <v>1531</v>
      </c>
      <c r="C116" s="255" t="str">
        <f>CONCATENATE('3 pr-2'!D117)</f>
        <v>Alytaus lopšelio-darželio " Girinukas" ugdymo aplinkos modernizavimas</v>
      </c>
      <c r="D116" s="255" t="str">
        <f>CONCATENATE('3 pr-2'!E117)</f>
        <v>Alytaus miesto savivaldybės administracija</v>
      </c>
      <c r="E116" s="255" t="str">
        <f>CONCATENATE('3 pr-2'!F117)</f>
        <v>Lietuvos Respublikos švietimo ir mokslo ministerija</v>
      </c>
      <c r="F116" s="255" t="str">
        <f>CONCATENATE('3 pr-2'!G117)</f>
        <v>Alytaus  miestas</v>
      </c>
      <c r="G116" s="255" t="str">
        <f>CONCATENATE('3 pr-2'!H117)</f>
        <v>09.1.3-CPVA-R-705</v>
      </c>
      <c r="H116" s="255" t="str">
        <f>CONCATENATE('3 pr-2'!I117)</f>
        <v>R</v>
      </c>
      <c r="I116" s="255" t="str">
        <f>CONCATENATE('3 pr-2'!J117)</f>
        <v>-</v>
      </c>
      <c r="J116" s="474">
        <f>IF(Q116&gt;0,'3 pr-2'!L117,0)</f>
        <v>181986</v>
      </c>
      <c r="K116" s="474">
        <f>IF(Q116&gt;0,'3 pr-2'!O117,0)</f>
        <v>13649</v>
      </c>
      <c r="L116" s="474">
        <f>IF(Q116&gt;0,'3 pr-2'!R117,0)</f>
        <v>13649</v>
      </c>
      <c r="M116" s="474">
        <f>IF(Q116&gt;0,'3 pr-2'!U117,0)</f>
        <v>0</v>
      </c>
      <c r="N116" s="474">
        <f>IF(Q116&gt;0,'3 pr-2'!X117,0)</f>
        <v>0</v>
      </c>
      <c r="O116" s="474">
        <f>IF(Q116&gt;0,'3 pr-2'!AA117,0)</f>
        <v>154688</v>
      </c>
      <c r="P116" s="290">
        <f>SUM('3 pr-2'!AF117)</f>
        <v>43039</v>
      </c>
      <c r="Q116" s="308">
        <v>42992</v>
      </c>
      <c r="R116" s="255"/>
      <c r="S116" s="720" t="str">
        <f t="shared" si="50"/>
        <v>–</v>
      </c>
    </row>
    <row r="117" spans="1:20" ht="60.75" x14ac:dyDescent="0.25">
      <c r="A117" s="255" t="str">
        <f>CONCATENATE('3 pr-2'!A118)</f>
        <v>2.1.1.3.4</v>
      </c>
      <c r="B117" s="473" t="s">
        <v>1535</v>
      </c>
      <c r="C117" s="255" t="str">
        <f>CONCATENATE('3 pr-2'!D118)</f>
        <v>Druskininkų sav. Viečiūnų progimnazijos ikimokyklinio ugdymo skyriaus „Linelis“ ugdymo prieinamumo didinimas</v>
      </c>
      <c r="D117" s="255" t="str">
        <f>CONCATENATE('3 pr-2'!E118)</f>
        <v xml:space="preserve">Druskininkų savivaldybės administracija  </v>
      </c>
      <c r="E117" s="255" t="str">
        <f>CONCATENATE('3 pr-2'!F118)</f>
        <v>Lietuvos Respublikos švietimo ir mokslo ministerija</v>
      </c>
      <c r="F117" s="255" t="str">
        <f>CONCATENATE('3 pr-2'!G118)</f>
        <v>Druskininkų savivaldybė</v>
      </c>
      <c r="G117" s="255" t="str">
        <f>CONCATENATE('3 pr-2'!H118)</f>
        <v>09.1.3-CPVA-R-705</v>
      </c>
      <c r="H117" s="255" t="str">
        <f>CONCATENATE('3 pr-2'!I118)</f>
        <v>R</v>
      </c>
      <c r="I117" s="255" t="str">
        <f>CONCATENATE('3 pr-2'!J118)</f>
        <v>-</v>
      </c>
      <c r="J117" s="474">
        <f>IF(Q117&gt;0,'3 pr-2'!L118,0)</f>
        <v>104792</v>
      </c>
      <c r="K117" s="474">
        <f>IF(Q117&gt;0,'3 pr-2'!O118,0)</f>
        <v>7859</v>
      </c>
      <c r="L117" s="474">
        <f>IF(Q117&gt;0,'3 pr-2'!R118,0)</f>
        <v>7859</v>
      </c>
      <c r="M117" s="474">
        <f>IF(Q117&gt;0,'3 pr-2'!U118,0)</f>
        <v>0</v>
      </c>
      <c r="N117" s="474">
        <f>IF(Q117&gt;0,'3 pr-2'!X118,0)</f>
        <v>0</v>
      </c>
      <c r="O117" s="474">
        <f>IF(Q117&gt;0,'3 pr-2'!AA118,0)</f>
        <v>89074</v>
      </c>
      <c r="P117" s="290">
        <f>SUM('3 pr-2'!AF118)</f>
        <v>43008</v>
      </c>
      <c r="Q117" s="308">
        <v>42992</v>
      </c>
      <c r="R117" s="255"/>
      <c r="S117" s="720" t="str">
        <f t="shared" si="50"/>
        <v>–</v>
      </c>
    </row>
    <row r="118" spans="1:20" ht="61.5" thickBot="1" x14ac:dyDescent="0.3">
      <c r="A118" s="255" t="str">
        <f>CONCATENATE('3 pr-2'!A119)</f>
        <v>2.1.1.3.5</v>
      </c>
      <c r="B118" s="473" t="s">
        <v>1532</v>
      </c>
      <c r="C118" s="255" t="str">
        <f>CONCATENATE('3 pr-2'!D119)</f>
        <v>Ikimokyklinio ir priešmokyklinio ugdymo įstaigų Lazdijų rajono savivaldybėje modernizavimas</v>
      </c>
      <c r="D118" s="255" t="str">
        <f>CONCATENATE('3 pr-2'!E119)</f>
        <v>Lazdijų rajono savivaldybės administracija</v>
      </c>
      <c r="E118" s="255" t="str">
        <f>CONCATENATE('3 pr-2'!F119)</f>
        <v>Lietuvos Respublikos švietimo ir mokslo ministerija</v>
      </c>
      <c r="F118" s="255" t="str">
        <f>CONCATENATE('3 pr-2'!G119)</f>
        <v>Lazdijų rajono savivaldybė</v>
      </c>
      <c r="G118" s="255" t="str">
        <f>CONCATENATE('3 pr-2'!H119)</f>
        <v>09.1.3-CPVA-R-705</v>
      </c>
      <c r="H118" s="255" t="str">
        <f>CONCATENATE('3 pr-2'!I119)</f>
        <v>R</v>
      </c>
      <c r="I118" s="255" t="str">
        <f>CONCATENATE('3 pr-2'!J119)</f>
        <v>-</v>
      </c>
      <c r="J118" s="474">
        <f>IF(Q118&gt;0,'3 pr-2'!L119,0)</f>
        <v>133554.20999999979</v>
      </c>
      <c r="K118" s="474">
        <f>IF(Q118&gt;0,'3 pr-2'!O119,0)</f>
        <v>10026.209999999999</v>
      </c>
      <c r="L118" s="474">
        <f>IF(Q118&gt;0,'3 pr-2'!R119,0)</f>
        <v>10015.7837837838</v>
      </c>
      <c r="M118" s="474">
        <f>IF(Q118&gt;0,'3 pr-2'!U119,0)</f>
        <v>0</v>
      </c>
      <c r="N118" s="474">
        <f>IF(Q118&gt;0,'3 pr-2'!X119,0)</f>
        <v>0</v>
      </c>
      <c r="O118" s="474">
        <f>IF(Q118&gt;0,'3 pr-2'!AA119,0)</f>
        <v>113512.21621621599</v>
      </c>
      <c r="P118" s="290">
        <f>SUM('3 pr-2'!AF119)</f>
        <v>43039</v>
      </c>
      <c r="Q118" s="308">
        <v>42992</v>
      </c>
      <c r="R118" s="255"/>
      <c r="S118" s="720" t="str">
        <f t="shared" si="50"/>
        <v>–</v>
      </c>
    </row>
    <row r="119" spans="1:20" ht="50.25" customHeight="1" thickBot="1" x14ac:dyDescent="0.3">
      <c r="A119" s="345" t="str">
        <f>CONCATENATE('3 pr-2'!A120)</f>
        <v>2.1.2.</v>
      </c>
      <c r="B119" s="648"/>
      <c r="C119" s="1668" t="str">
        <f>CONCATENATE('3 pr-2'!D120)</f>
        <v/>
      </c>
      <c r="D119" s="1669" t="str">
        <f>CONCATENATE('3 pr-2'!E120)</f>
        <v/>
      </c>
      <c r="E119" s="1669" t="str">
        <f>CONCATENATE('3 pr-2'!F120)</f>
        <v/>
      </c>
      <c r="F119" s="1669" t="str">
        <f>CONCATENATE('3 pr-2'!G120)</f>
        <v/>
      </c>
      <c r="G119" s="1669" t="str">
        <f>CONCATENATE('3 pr-2'!H120)</f>
        <v/>
      </c>
      <c r="H119" s="1669" t="str">
        <f>CONCATENATE('3 pr-2'!I120)</f>
        <v/>
      </c>
      <c r="I119" s="1670" t="str">
        <f>CONCATENATE('3 pr-2'!J120)</f>
        <v/>
      </c>
      <c r="J119" s="303">
        <f t="shared" ref="J119:O119" si="51">SUM(J120+J133+J139)</f>
        <v>0</v>
      </c>
      <c r="K119" s="303">
        <f t="shared" si="51"/>
        <v>0</v>
      </c>
      <c r="L119" s="303">
        <f t="shared" si="51"/>
        <v>0</v>
      </c>
      <c r="M119" s="303">
        <f t="shared" si="51"/>
        <v>0</v>
      </c>
      <c r="N119" s="303">
        <f t="shared" si="51"/>
        <v>0</v>
      </c>
      <c r="O119" s="303">
        <f t="shared" si="51"/>
        <v>0</v>
      </c>
      <c r="P119" s="311"/>
      <c r="Q119" s="650"/>
      <c r="R119" s="649"/>
      <c r="S119" s="314"/>
    </row>
    <row r="120" spans="1:20" ht="33" customHeight="1" thickBot="1" x14ac:dyDescent="0.3">
      <c r="A120" s="497" t="str">
        <f>CONCATENATE('3 pr-2'!A121)</f>
        <v>2.1.2.1</v>
      </c>
      <c r="B120" s="613"/>
      <c r="C120" s="1656" t="str">
        <f>CONCATENATE('3 pr-2'!D121)</f>
        <v/>
      </c>
      <c r="D120" s="1789" t="str">
        <f>CONCATENATE('3 pr-2'!E121)</f>
        <v/>
      </c>
      <c r="E120" s="1789" t="str">
        <f>CONCATENATE('3 pr-2'!F121)</f>
        <v/>
      </c>
      <c r="F120" s="1789" t="str">
        <f>CONCATENATE('3 pr-2'!G121)</f>
        <v/>
      </c>
      <c r="G120" s="1789" t="str">
        <f>CONCATENATE('3 pr-2'!H121)</f>
        <v/>
      </c>
      <c r="H120" s="1789" t="str">
        <f>CONCATENATE('3 pr-2'!I121)</f>
        <v/>
      </c>
      <c r="I120" s="1790" t="str">
        <f>CONCATENATE('3 pr-2'!J121)</f>
        <v/>
      </c>
      <c r="J120" s="629">
        <f>SUM(J121:J128)</f>
        <v>0</v>
      </c>
      <c r="K120" s="629">
        <f t="shared" ref="K120:O120" si="52">SUM(K121:K128)</f>
        <v>0</v>
      </c>
      <c r="L120" s="629">
        <f t="shared" si="52"/>
        <v>0</v>
      </c>
      <c r="M120" s="629">
        <f t="shared" si="52"/>
        <v>0</v>
      </c>
      <c r="N120" s="629">
        <f t="shared" si="52"/>
        <v>0</v>
      </c>
      <c r="O120" s="629">
        <f t="shared" si="52"/>
        <v>0</v>
      </c>
      <c r="P120" s="630"/>
      <c r="Q120" s="631"/>
      <c r="R120" s="630"/>
      <c r="S120" s="631"/>
    </row>
    <row r="121" spans="1:20" ht="60.75" x14ac:dyDescent="0.25">
      <c r="A121" s="255" t="str">
        <f>CONCATENATE('3 pr-2'!A122)</f>
        <v>2.1.2.1.1</v>
      </c>
      <c r="B121" s="473"/>
      <c r="C121" s="255" t="str">
        <f>CONCATENATE('3 pr-2'!D122)</f>
        <v xml:space="preserve">Alytaus poliklinikos teikiamų pirminės sveikatos priežiūros paslaugų prieinamumo didinimas ir kokybės gerinimas </v>
      </c>
      <c r="D121" s="255" t="str">
        <f>CONCATENATE('3 pr-2'!E122)</f>
        <v>VšĮ Alytaus poliklinika</v>
      </c>
      <c r="E121" s="255" t="str">
        <f>CONCATENATE('3 pr-2'!F122)</f>
        <v>Lietuvos Respublikos Sveikatos apsaugos ministerija</v>
      </c>
      <c r="F121" s="255" t="str">
        <f>CONCATENATE('3 pr-2'!G122)</f>
        <v>Alytaus  miestas</v>
      </c>
      <c r="G121" s="255" t="str">
        <f>CONCATENATE('3 pr-2'!H122)</f>
        <v>08.1.3-CPVA-R-609</v>
      </c>
      <c r="H121" s="255" t="str">
        <f>CONCATENATE('3 pr-2'!I122)</f>
        <v>R</v>
      </c>
      <c r="I121" s="255" t="str">
        <f>CONCATENATE('3 pr-2'!J122)</f>
        <v>-</v>
      </c>
      <c r="J121" s="474">
        <f>IF(Q121&gt;0,'3 pr-2'!L122,0)</f>
        <v>0</v>
      </c>
      <c r="K121" s="474">
        <f>IF(Q121&gt;0,'3 pr-2'!O122,0)</f>
        <v>0</v>
      </c>
      <c r="L121" s="474">
        <f>IF(Q121&gt;0,'3 pr-2'!R122,0)</f>
        <v>0</v>
      </c>
      <c r="M121" s="474">
        <f>IF(Q121&gt;0,'3 pr-2'!U122,0)</f>
        <v>0</v>
      </c>
      <c r="N121" s="474">
        <f>IF(Q121&gt;0,'3 pr-2'!X122,0)</f>
        <v>0</v>
      </c>
      <c r="O121" s="474">
        <f>IF(Q121&gt;0,'3 pr-2'!AA122,0)</f>
        <v>0</v>
      </c>
      <c r="P121" s="290">
        <f>SUM('3 pr-2'!AF122)</f>
        <v>43312</v>
      </c>
      <c r="Q121" s="289"/>
      <c r="R121" s="291"/>
      <c r="S121" s="720" t="str">
        <f t="shared" ref="S121:S128" si="53">IF(P121-Q121&lt;0,(P121-Q121)/30.41667,"–")</f>
        <v>–</v>
      </c>
    </row>
    <row r="122" spans="1:20" ht="84.75" x14ac:dyDescent="0.25">
      <c r="A122" s="255" t="str">
        <f>CONCATENATE('3 pr-2'!A123)</f>
        <v>2.1.2.1.2</v>
      </c>
      <c r="B122" s="473"/>
      <c r="C122" s="255" t="str">
        <f>CONCATENATE('3 pr-2'!D123)</f>
        <v>Sveikatos priežiūros paslaugų modernizavimas bei optimizavimas pirminės sveikatos priežiūros centre</v>
      </c>
      <c r="D122" s="255" t="str">
        <f>CONCATENATE('3 pr-2'!E123)</f>
        <v xml:space="preserve">VšĮ Alytaus miesto savivaldybės pirminės sveikatos priežiūros centras </v>
      </c>
      <c r="E122" s="255" t="str">
        <f>CONCATENATE('3 pr-2'!F123)</f>
        <v>Lietuvos Respublikos Sveikatos apsaugos ministerija</v>
      </c>
      <c r="F122" s="255" t="str">
        <f>CONCATENATE('3 pr-2'!G123)</f>
        <v>Alytaus  miestas</v>
      </c>
      <c r="G122" s="255" t="str">
        <f>CONCATENATE('3 pr-2'!H123)</f>
        <v>08.1.3-CPVA-R-609</v>
      </c>
      <c r="H122" s="255" t="str">
        <f>CONCATENATE('3 pr-2'!I123)</f>
        <v>R</v>
      </c>
      <c r="I122" s="255" t="str">
        <f>CONCATENATE('3 pr-2'!J123)</f>
        <v>-</v>
      </c>
      <c r="J122" s="474">
        <f>IF(Q122&gt;0,'3 pr-2'!L123,0)</f>
        <v>0</v>
      </c>
      <c r="K122" s="474">
        <f>IF(Q122&gt;0,'3 pr-2'!O123,0)</f>
        <v>0</v>
      </c>
      <c r="L122" s="474">
        <f>IF(Q122&gt;0,'3 pr-2'!R123,0)</f>
        <v>0</v>
      </c>
      <c r="M122" s="474">
        <f>IF(Q122&gt;0,'3 pr-2'!U123,0)</f>
        <v>0</v>
      </c>
      <c r="N122" s="474">
        <f>IF(Q122&gt;0,'3 pr-2'!X123,0)</f>
        <v>0</v>
      </c>
      <c r="O122" s="474">
        <f>IF(Q122&gt;0,'3 pr-2'!AA123,0)</f>
        <v>0</v>
      </c>
      <c r="P122" s="290">
        <f>SUM('3 pr-2'!AF123)</f>
        <v>43312</v>
      </c>
      <c r="Q122" s="289"/>
      <c r="R122" s="291"/>
      <c r="S122" s="720" t="str">
        <f t="shared" si="53"/>
        <v>–</v>
      </c>
    </row>
    <row r="123" spans="1:20" ht="60.75" x14ac:dyDescent="0.25">
      <c r="A123" s="255" t="str">
        <f>CONCATENATE('3 pr-2'!A124)</f>
        <v>2.1.2.1.3</v>
      </c>
      <c r="B123" s="473"/>
      <c r="C123" s="255" t="str">
        <f>CONCATENATE('3 pr-2'!D124)</f>
        <v>UAB „MediCA klinika“ teikiamų pirminės asmens sveikatos priežiūros paslaugų efektyvumo didinimas Alytaus miesto savivaldybėje</v>
      </c>
      <c r="D123" s="255" t="str">
        <f>CONCATENATE('3 pr-2'!E124)</f>
        <v>UAB „MediCA klinika“</v>
      </c>
      <c r="E123" s="255" t="str">
        <f>CONCATENATE('3 pr-2'!F124)</f>
        <v>Lietuvos Respublikos Sveikatos apsaugos ministerija</v>
      </c>
      <c r="F123" s="255" t="str">
        <f>CONCATENATE('3 pr-2'!G124)</f>
        <v>Alytaus  miestas</v>
      </c>
      <c r="G123" s="255" t="str">
        <f>CONCATENATE('3 pr-2'!H124)</f>
        <v>08.1.3-CPVA-R-609</v>
      </c>
      <c r="H123" s="255" t="str">
        <f>CONCATENATE('3 pr-2'!I124)</f>
        <v>R</v>
      </c>
      <c r="I123" s="255" t="str">
        <f>CONCATENATE('3 pr-2'!J124)</f>
        <v>-</v>
      </c>
      <c r="J123" s="474">
        <f>IF(Q123&gt;0,'3 pr-2'!L124,0)</f>
        <v>0</v>
      </c>
      <c r="K123" s="474">
        <f>IF(Q123&gt;0,'3 pr-2'!O124,0)</f>
        <v>0</v>
      </c>
      <c r="L123" s="474">
        <f>IF(Q123&gt;0,'3 pr-2'!R124,0)</f>
        <v>0</v>
      </c>
      <c r="M123" s="474">
        <f>IF(Q123&gt;0,'3 pr-2'!U124,0)</f>
        <v>0</v>
      </c>
      <c r="N123" s="474">
        <f>IF(Q123&gt;0,'3 pr-2'!X124,0)</f>
        <v>0</v>
      </c>
      <c r="O123" s="474">
        <f>IF(Q123&gt;0,'3 pr-2'!AA124,0)</f>
        <v>0</v>
      </c>
      <c r="P123" s="290">
        <f>SUM('3 pr-2'!AF124)</f>
        <v>43312</v>
      </c>
      <c r="Q123" s="289"/>
      <c r="R123" s="291"/>
      <c r="S123" s="720" t="str">
        <f t="shared" si="53"/>
        <v>–</v>
      </c>
    </row>
    <row r="124" spans="1:20" ht="60.75" x14ac:dyDescent="0.25">
      <c r="A124" s="255" t="str">
        <f>CONCATENATE('3 pr-2'!A125)</f>
        <v>2.1.2.1.4</v>
      </c>
      <c r="B124" s="473"/>
      <c r="C124" s="255" t="str">
        <f>CONCATENATE('3 pr-2'!D125)</f>
        <v>UAB "Pagalba ligoniui" teikiamų paslaugų efektyvumo didinimas</v>
      </c>
      <c r="D124" s="255" t="str">
        <f>CONCATENATE('3 pr-2'!E125)</f>
        <v>UAB „Pagalba ligoniui“, Alytaus filialas</v>
      </c>
      <c r="E124" s="255" t="str">
        <f>CONCATENATE('3 pr-2'!F125)</f>
        <v>Lietuvos Respublikos Sveikatos apsaugos ministerija</v>
      </c>
      <c r="F124" s="255" t="str">
        <f>CONCATENATE('3 pr-2'!G125)</f>
        <v>Alytaus  miestas</v>
      </c>
      <c r="G124" s="255" t="str">
        <f>CONCATENATE('3 pr-2'!H125)</f>
        <v>08.1.3-CPVA-R-609</v>
      </c>
      <c r="H124" s="255" t="str">
        <f>CONCATENATE('3 pr-2'!I125)</f>
        <v>R</v>
      </c>
      <c r="I124" s="255" t="str">
        <f>CONCATENATE('3 pr-2'!J125)</f>
        <v>-</v>
      </c>
      <c r="J124" s="474">
        <f>IF(Q124&gt;0,'3 pr-2'!L125,0)</f>
        <v>0</v>
      </c>
      <c r="K124" s="474">
        <f>IF(Q124&gt;0,'3 pr-2'!O125,0)</f>
        <v>0</v>
      </c>
      <c r="L124" s="474">
        <f>IF(Q124&gt;0,'3 pr-2'!R125,0)</f>
        <v>0</v>
      </c>
      <c r="M124" s="474">
        <f>IF(Q124&gt;0,'3 pr-2'!U125,0)</f>
        <v>0</v>
      </c>
      <c r="N124" s="474">
        <f>IF(Q124&gt;0,'3 pr-2'!X125,0)</f>
        <v>0</v>
      </c>
      <c r="O124" s="474">
        <f>IF(Q124&gt;0,'3 pr-2'!AA125,0)</f>
        <v>0</v>
      </c>
      <c r="P124" s="290">
        <f>SUM('3 pr-2'!AF125)</f>
        <v>43312</v>
      </c>
      <c r="Q124" s="289"/>
      <c r="R124" s="291"/>
      <c r="S124" s="720" t="str">
        <f t="shared" si="53"/>
        <v>–</v>
      </c>
    </row>
    <row r="125" spans="1:20" ht="84.75" x14ac:dyDescent="0.25">
      <c r="A125" s="255" t="str">
        <f>CONCATENATE('3 pr-2'!A126)</f>
        <v>2.1.2.1.5</v>
      </c>
      <c r="B125" s="473"/>
      <c r="C125" s="255" t="str">
        <f>CONCATENATE('3 pr-2'!D126)</f>
        <v>Pirminės asmens sveikatos priežiūros veiklos efektyvumo didinimas Alytaus rajono savivaldybėje</v>
      </c>
      <c r="D125" s="255" t="str">
        <f>CONCATENATE('3 pr-2'!E126)</f>
        <v>VšĮ Alytaus rajono savivaldybės pirminės sveikatos priežiūros centras</v>
      </c>
      <c r="E125" s="255" t="str">
        <f>CONCATENATE('3 pr-2'!F126)</f>
        <v>Lietuvos Respublikos Sveikatos apsaugos ministerija</v>
      </c>
      <c r="F125" s="255" t="str">
        <f>CONCATENATE('3 pr-2'!G126)</f>
        <v>Alytaus rajonas</v>
      </c>
      <c r="G125" s="255" t="str">
        <f>CONCATENATE('3 pr-2'!H126)</f>
        <v>08.1.3-CPVA-R-609</v>
      </c>
      <c r="H125" s="255" t="str">
        <f>CONCATENATE('3 pr-2'!I126)</f>
        <v>R</v>
      </c>
      <c r="I125" s="255" t="str">
        <f>CONCATENATE('3 pr-2'!J126)</f>
        <v>-</v>
      </c>
      <c r="J125" s="474">
        <f>IF(Q125&gt;0,'3 pr-2'!L126,0)</f>
        <v>0</v>
      </c>
      <c r="K125" s="474">
        <f>IF(Q125&gt;0,'3 pr-2'!O126,0)</f>
        <v>0</v>
      </c>
      <c r="L125" s="474">
        <f>IF(Q125&gt;0,'3 pr-2'!R126,0)</f>
        <v>0</v>
      </c>
      <c r="M125" s="474">
        <f>IF(Q125&gt;0,'3 pr-2'!U126,0)</f>
        <v>0</v>
      </c>
      <c r="N125" s="474">
        <f>IF(Q125&gt;0,'3 pr-2'!X126,0)</f>
        <v>0</v>
      </c>
      <c r="O125" s="474">
        <f>IF(Q125&gt;0,'3 pr-2'!AA126,0)</f>
        <v>0</v>
      </c>
      <c r="P125" s="290">
        <f>SUM('3 pr-2'!AF126)</f>
        <v>43312</v>
      </c>
      <c r="Q125" s="289"/>
      <c r="R125" s="291"/>
      <c r="S125" s="720" t="str">
        <f t="shared" si="53"/>
        <v>–</v>
      </c>
    </row>
    <row r="126" spans="1:20" ht="60.75" x14ac:dyDescent="0.25">
      <c r="A126" s="255" t="str">
        <f>CONCATENATE('3 pr-2'!A127)</f>
        <v>2.1.2.1.6</v>
      </c>
      <c r="B126" s="473"/>
      <c r="C126" s="255" t="str">
        <f>CONCATENATE('3 pr-2'!D127)</f>
        <v>Sveikatos priežiūros paslaugų gerinimas "UAB "Disolis"</v>
      </c>
      <c r="D126" s="255" t="str">
        <f>CONCATENATE('3 pr-2'!E127)</f>
        <v>UAB „Disolis“</v>
      </c>
      <c r="E126" s="255" t="str">
        <f>CONCATENATE('3 pr-2'!F127)</f>
        <v>Lietuvos Respublikos Sveikatos apsaugos ministerija</v>
      </c>
      <c r="F126" s="255" t="str">
        <f>CONCATENATE('3 pr-2'!G127)</f>
        <v>Alytaus rajonas</v>
      </c>
      <c r="G126" s="255" t="str">
        <f>CONCATENATE('3 pr-2'!H127)</f>
        <v>08.1.3-CPVA-R-609</v>
      </c>
      <c r="H126" s="255" t="str">
        <f>CONCATENATE('3 pr-2'!I127)</f>
        <v>R</v>
      </c>
      <c r="I126" s="255" t="str">
        <f>CONCATENATE('3 pr-2'!J127)</f>
        <v>-</v>
      </c>
      <c r="J126" s="474">
        <f>IF(Q126&gt;0,'3 pr-2'!L127,0)</f>
        <v>0</v>
      </c>
      <c r="K126" s="474">
        <f>IF(Q126&gt;0,'3 pr-2'!O127,0)</f>
        <v>0</v>
      </c>
      <c r="L126" s="474">
        <f>IF(Q126&gt;0,'3 pr-2'!R127,0)</f>
        <v>0</v>
      </c>
      <c r="M126" s="474">
        <f>IF(Q126&gt;0,'3 pr-2'!U127,0)</f>
        <v>0</v>
      </c>
      <c r="N126" s="474">
        <f>IF(Q126&gt;0,'3 pr-2'!X127,0)</f>
        <v>0</v>
      </c>
      <c r="O126" s="474">
        <f>IF(Q126&gt;0,'3 pr-2'!AA127,0)</f>
        <v>0</v>
      </c>
      <c r="P126" s="290">
        <f>SUM('3 pr-2'!AF127)</f>
        <v>43312</v>
      </c>
      <c r="Q126" s="289"/>
      <c r="R126" s="291"/>
      <c r="S126" s="720" t="str">
        <f t="shared" si="53"/>
        <v>–</v>
      </c>
    </row>
    <row r="127" spans="1:20" ht="60.75" x14ac:dyDescent="0.25">
      <c r="A127" s="255" t="str">
        <f>CONCATENATE('3 pr-2'!A128)</f>
        <v>2.1.2.1.7</v>
      </c>
      <c r="B127" s="473"/>
      <c r="C127" s="255" t="str">
        <f>CONCATENATE('3 pr-2'!D128)</f>
        <v>Pirminės asmens sveikatos priežiūros kokybės ir prieinamumo gerinimas Druskininkų savivaldybėje</v>
      </c>
      <c r="D127" s="255" t="str">
        <f>CONCATENATE('3 pr-2'!E128)</f>
        <v>VšĮ Druskininkų pirminės sveikatos priežiūros centras</v>
      </c>
      <c r="E127" s="255" t="str">
        <f>CONCATENATE('3 pr-2'!F128)</f>
        <v>Lietuvos Respublikos Sveikatos apsaugos ministerija</v>
      </c>
      <c r="F127" s="255" t="str">
        <f>CONCATENATE('3 pr-2'!G128)</f>
        <v>Druskininkų sav.</v>
      </c>
      <c r="G127" s="255" t="str">
        <f>CONCATENATE('3 pr-2'!H128)</f>
        <v>08.1.3-CPVA-R-609</v>
      </c>
      <c r="H127" s="255" t="str">
        <f>CONCATENATE('3 pr-2'!I128)</f>
        <v>R</v>
      </c>
      <c r="I127" s="255" t="str">
        <f>CONCATENATE('3 pr-2'!J128)</f>
        <v>-</v>
      </c>
      <c r="J127" s="474">
        <f>IF(Q127&gt;0,'3 pr-2'!L128,0)</f>
        <v>0</v>
      </c>
      <c r="K127" s="474">
        <f>IF(Q127&gt;0,'3 pr-2'!O128,0)</f>
        <v>0</v>
      </c>
      <c r="L127" s="474">
        <f>IF(Q127&gt;0,'3 pr-2'!R128,0)</f>
        <v>0</v>
      </c>
      <c r="M127" s="474">
        <f>IF(Q127&gt;0,'3 pr-2'!U128,0)</f>
        <v>0</v>
      </c>
      <c r="N127" s="474">
        <f>IF(Q127&gt;0,'3 pr-2'!X128,0)</f>
        <v>0</v>
      </c>
      <c r="O127" s="474">
        <f>IF(Q127&gt;0,'3 pr-2'!AA128,0)</f>
        <v>0</v>
      </c>
      <c r="P127" s="290">
        <f>SUM('3 pr-2'!AF128)</f>
        <v>43312</v>
      </c>
      <c r="Q127" s="289"/>
      <c r="R127" s="291"/>
      <c r="S127" s="720" t="str">
        <f t="shared" si="53"/>
        <v>–</v>
      </c>
    </row>
    <row r="128" spans="1:20" ht="60.75" x14ac:dyDescent="0.25">
      <c r="A128" s="255" t="str">
        <f>CONCATENATE('3 pr-2'!A129)</f>
        <v>2.1.2.1.8</v>
      </c>
      <c r="B128" s="473"/>
      <c r="C128" s="255" t="str">
        <f>CONCATENATE('3 pr-2'!D129)</f>
        <v>UAB "Druskininkų šeimos klinika" asmens sveikatos priežiūros paslaugų prieinamumo ir efektyvumo didinimas</v>
      </c>
      <c r="D128" s="255" t="str">
        <f>CONCATENATE('3 pr-2'!E129)</f>
        <v>UAB „Druskininkų šeimos klinika“</v>
      </c>
      <c r="E128" s="255" t="str">
        <f>CONCATENATE('3 pr-2'!F129)</f>
        <v>Lietuvos Respublikos Sveikatos apsaugos ministerija</v>
      </c>
      <c r="F128" s="255" t="str">
        <f>CONCATENATE('3 pr-2'!G129)</f>
        <v>Druskininkų sav.</v>
      </c>
      <c r="G128" s="255" t="str">
        <f>CONCATENATE('3 pr-2'!H129)</f>
        <v>08.1.3-CPVA-R-609</v>
      </c>
      <c r="H128" s="255" t="str">
        <f>CONCATENATE('3 pr-2'!I129)</f>
        <v>R</v>
      </c>
      <c r="I128" s="255" t="str">
        <f>CONCATENATE('3 pr-2'!J129)</f>
        <v>-</v>
      </c>
      <c r="J128" s="474">
        <f>IF(Q128&gt;0,'3 pr-2'!L129,0)</f>
        <v>0</v>
      </c>
      <c r="K128" s="474">
        <f>IF(Q128&gt;0,'3 pr-2'!O129,0)</f>
        <v>0</v>
      </c>
      <c r="L128" s="474">
        <f>IF(Q128&gt;0,'3 pr-2'!R129,0)</f>
        <v>0</v>
      </c>
      <c r="M128" s="474">
        <f>IF(Q128&gt;0,'3 pr-2'!U129,0)</f>
        <v>0</v>
      </c>
      <c r="N128" s="474">
        <f>IF(Q128&gt;0,'3 pr-2'!X129,0)</f>
        <v>0</v>
      </c>
      <c r="O128" s="474">
        <f>IF(Q128&gt;0,'3 pr-2'!AA129,0)</f>
        <v>0</v>
      </c>
      <c r="P128" s="290">
        <f>SUM('3 pr-2'!AF129)</f>
        <v>43312</v>
      </c>
      <c r="Q128" s="289"/>
      <c r="R128" s="291"/>
      <c r="S128" s="720" t="str">
        <f t="shared" si="53"/>
        <v>–</v>
      </c>
    </row>
    <row r="129" spans="1:19" ht="60.75" x14ac:dyDescent="0.25">
      <c r="A129" s="255" t="str">
        <f>CONCATENATE('3 pr-2'!A130)</f>
        <v>2.1.2.1.9</v>
      </c>
      <c r="B129" s="473"/>
      <c r="C129" s="255" t="str">
        <f>CONCATENATE('3 pr-2'!D130)</f>
        <v>I. S. Kavaliauskienės įmonės teikiamų pirminės ambulatorinės asmens sveikatos priežiūros paslaugų kokybės ir prieinamumo gerinimas.</v>
      </c>
      <c r="D129" s="255" t="str">
        <f>CONCATENATE('3 pr-2'!E130)</f>
        <v>Irenos Stanislavos Kavaliauskienės įmonė</v>
      </c>
      <c r="E129" s="255" t="str">
        <f>CONCATENATE('3 pr-2'!F130)</f>
        <v>Lietuvos Respublikos Sveikatos apsaugos ministerija</v>
      </c>
      <c r="F129" s="255" t="str">
        <f>CONCATENATE('3 pr-2'!G130)</f>
        <v>Druskininkų sav.</v>
      </c>
      <c r="G129" s="255" t="str">
        <f>CONCATENATE('3 pr-2'!H130)</f>
        <v>08.1.3-CPVA-R-609</v>
      </c>
      <c r="H129" s="255" t="str">
        <f>CONCATENATE('3 pr-2'!I130)</f>
        <v>R</v>
      </c>
      <c r="I129" s="255" t="str">
        <f>CONCATENATE('3 pr-2'!J130)</f>
        <v>-</v>
      </c>
      <c r="J129" s="474">
        <f>IF(Q129&gt;0,'3 pr-2'!L130,0)</f>
        <v>0</v>
      </c>
      <c r="K129" s="474">
        <f>IF(Q129&gt;0,'3 pr-2'!O130,0)</f>
        <v>0</v>
      </c>
      <c r="L129" s="474">
        <f>IF(Q129&gt;0,'3 pr-2'!R130,0)</f>
        <v>0</v>
      </c>
      <c r="M129" s="474">
        <f>IF(Q129&gt;0,'3 pr-2'!U130,0)</f>
        <v>0</v>
      </c>
      <c r="N129" s="474">
        <f>IF(Q129&gt;0,'3 pr-2'!X130,0)</f>
        <v>0</v>
      </c>
      <c r="O129" s="474">
        <f>IF(Q129&gt;0,'3 pr-2'!AA130,0)</f>
        <v>0</v>
      </c>
      <c r="P129" s="290">
        <f>SUM('3 pr-2'!AF130)</f>
        <v>43312</v>
      </c>
      <c r="Q129" s="289"/>
      <c r="R129" s="291"/>
      <c r="S129" s="720" t="str">
        <f t="shared" ref="S129:S132" si="54">IF(P129-Q129&lt;0,(P129-Q129)/30.41667,"–")</f>
        <v>–</v>
      </c>
    </row>
    <row r="130" spans="1:19" ht="60.75" x14ac:dyDescent="0.25">
      <c r="A130" s="255" t="str">
        <f>CONCATENATE('3 pr-2'!A131)</f>
        <v>2.1.2.1.10</v>
      </c>
      <c r="B130" s="473"/>
      <c r="C130" s="255" t="str">
        <f>CONCATENATE('3 pr-2'!D131)</f>
        <v>Pirminės ambulatorinės asmens sveikatos priežiūros efektyvumo didinimas R.Ambrazaitienės ir L. Puzinovienės šeimos gydytojų kabinetuose</v>
      </c>
      <c r="D130" s="255" t="str">
        <f>CONCATENATE('3 pr-2'!E131)</f>
        <v>UAB „Rasos Ambrazaitienės šeimos gydytojo kabinetas“</v>
      </c>
      <c r="E130" s="255" t="str">
        <f>CONCATENATE('3 pr-2'!F131)</f>
        <v>Lietuvos Respublikos Sveikatos apsaugos ministerija</v>
      </c>
      <c r="F130" s="255" t="str">
        <f>CONCATENATE('3 pr-2'!G131)</f>
        <v>Druskininkų sav.</v>
      </c>
      <c r="G130" s="255" t="str">
        <f>CONCATENATE('3 pr-2'!H131)</f>
        <v>08.1.3-CPVA-R-609</v>
      </c>
      <c r="H130" s="255" t="str">
        <f>CONCATENATE('3 pr-2'!I131)</f>
        <v>R</v>
      </c>
      <c r="I130" s="255" t="str">
        <f>CONCATENATE('3 pr-2'!J131)</f>
        <v>-</v>
      </c>
      <c r="J130" s="474">
        <f>IF(Q130&gt;0,'3 pr-2'!L131,0)</f>
        <v>0</v>
      </c>
      <c r="K130" s="474">
        <f>IF(Q130&gt;0,'3 pr-2'!O131,0)</f>
        <v>0</v>
      </c>
      <c r="L130" s="474">
        <f>IF(Q130&gt;0,'3 pr-2'!R131,0)</f>
        <v>0</v>
      </c>
      <c r="M130" s="474">
        <f>IF(Q130&gt;0,'3 pr-2'!U131,0)</f>
        <v>0</v>
      </c>
      <c r="N130" s="474">
        <f>IF(Q130&gt;0,'3 pr-2'!X131,0)</f>
        <v>0</v>
      </c>
      <c r="O130" s="474">
        <f>IF(Q130&gt;0,'3 pr-2'!AA131,0)</f>
        <v>0</v>
      </c>
      <c r="P130" s="290">
        <f>SUM('3 pr-2'!AF131)</f>
        <v>43312</v>
      </c>
      <c r="Q130" s="289"/>
      <c r="R130" s="291"/>
      <c r="S130" s="720" t="str">
        <f t="shared" si="54"/>
        <v>–</v>
      </c>
    </row>
    <row r="131" spans="1:19" ht="60.75" x14ac:dyDescent="0.25">
      <c r="A131" s="255" t="str">
        <f>CONCATENATE('3 pr-2'!A132)</f>
        <v>2.1.2.1.11</v>
      </c>
      <c r="B131" s="473"/>
      <c r="C131" s="255" t="str">
        <f>CONCATENATE('3 pr-2'!D132)</f>
        <v xml:space="preserve">Pirminės asmens sveikatos priežiūros veiklos efektyvumo didinimas Lazdijų rajono savivaldybėje </v>
      </c>
      <c r="D131" s="255" t="str">
        <f>CONCATENATE('3 pr-2'!E132)</f>
        <v>Lazdijų rajono savivaldybės administracija</v>
      </c>
      <c r="E131" s="255" t="str">
        <f>CONCATENATE('3 pr-2'!F132)</f>
        <v>Lietuvos Respublikos Sveikatos apsaugos ministerija</v>
      </c>
      <c r="F131" s="255" t="str">
        <f>CONCATENATE('3 pr-2'!G132)</f>
        <v>Lazdijai</v>
      </c>
      <c r="G131" s="255" t="str">
        <f>CONCATENATE('3 pr-2'!H132)</f>
        <v>08.1.3-CPVA-R-609</v>
      </c>
      <c r="H131" s="255" t="str">
        <f>CONCATENATE('3 pr-2'!I132)</f>
        <v>R</v>
      </c>
      <c r="I131" s="255" t="str">
        <f>CONCATENATE('3 pr-2'!J132)</f>
        <v>-</v>
      </c>
      <c r="J131" s="474">
        <f>IF(Q131&gt;0,'3 pr-2'!L132,0)</f>
        <v>0</v>
      </c>
      <c r="K131" s="474">
        <f>IF(Q131&gt;0,'3 pr-2'!O132,0)</f>
        <v>0</v>
      </c>
      <c r="L131" s="474">
        <f>IF(Q131&gt;0,'3 pr-2'!R132,0)</f>
        <v>0</v>
      </c>
      <c r="M131" s="474">
        <f>IF(Q131&gt;0,'3 pr-2'!U132,0)</f>
        <v>0</v>
      </c>
      <c r="N131" s="474">
        <f>IF(Q131&gt;0,'3 pr-2'!X132,0)</f>
        <v>0</v>
      </c>
      <c r="O131" s="474">
        <f>IF(Q131&gt;0,'3 pr-2'!AA132,0)</f>
        <v>0</v>
      </c>
      <c r="P131" s="290">
        <f>SUM('3 pr-2'!AF132)</f>
        <v>43312</v>
      </c>
      <c r="Q131" s="289"/>
      <c r="R131" s="291"/>
      <c r="S131" s="720" t="str">
        <f t="shared" si="54"/>
        <v>–</v>
      </c>
    </row>
    <row r="132" spans="1:19" ht="61.5" thickBot="1" x14ac:dyDescent="0.3">
      <c r="A132" s="255" t="str">
        <f>CONCATENATE('3 pr-2'!A133)</f>
        <v>2.1.2.1.12</v>
      </c>
      <c r="B132" s="473"/>
      <c r="C132" s="255" t="str">
        <f>CONCATENATE('3 pr-2'!D133)</f>
        <v>Pirminės asmens sveikatos priežiūros veiklos efektyvumo didinimas Varėnos rajono savivaldybėje</v>
      </c>
      <c r="D132" s="255" t="str">
        <f>CONCATENATE('3 pr-2'!E133)</f>
        <v>VšĮ Varėnos pirminės sveikatos priežiūros centras</v>
      </c>
      <c r="E132" s="255" t="str">
        <f>CONCATENATE('3 pr-2'!F133)</f>
        <v>Lietuvos Respublikos Sveikatos apsaugos ministerija</v>
      </c>
      <c r="F132" s="255" t="str">
        <f>CONCATENATE('3 pr-2'!G133)</f>
        <v>Varėnos r. sav.</v>
      </c>
      <c r="G132" s="255" t="str">
        <f>CONCATENATE('3 pr-2'!H133)</f>
        <v>08.1.3-CPVA-R-609</v>
      </c>
      <c r="H132" s="255" t="str">
        <f>CONCATENATE('3 pr-2'!I133)</f>
        <v>R</v>
      </c>
      <c r="I132" s="255" t="str">
        <f>CONCATENATE('3 pr-2'!J133)</f>
        <v>-</v>
      </c>
      <c r="J132" s="474">
        <f>IF(Q132&gt;0,'3 pr-2'!L133,0)</f>
        <v>0</v>
      </c>
      <c r="K132" s="474">
        <f>IF(Q132&gt;0,'3 pr-2'!O133,0)</f>
        <v>0</v>
      </c>
      <c r="L132" s="474">
        <f>IF(Q132&gt;0,'3 pr-2'!R133,0)</f>
        <v>0</v>
      </c>
      <c r="M132" s="474">
        <f>IF(Q132&gt;0,'3 pr-2'!U133,0)</f>
        <v>0</v>
      </c>
      <c r="N132" s="474">
        <f>IF(Q132&gt;0,'3 pr-2'!X133,0)</f>
        <v>0</v>
      </c>
      <c r="O132" s="474">
        <f>IF(Q132&gt;0,'3 pr-2'!AA133,0)</f>
        <v>0</v>
      </c>
      <c r="P132" s="290">
        <f>SUM('3 pr-2'!AF133)</f>
        <v>43312</v>
      </c>
      <c r="Q132" s="289"/>
      <c r="R132" s="291"/>
      <c r="S132" s="720" t="str">
        <f t="shared" si="54"/>
        <v>–</v>
      </c>
    </row>
    <row r="133" spans="1:19" ht="41.25" customHeight="1" thickBot="1" x14ac:dyDescent="0.3">
      <c r="A133" s="497" t="str">
        <f>CONCATENATE('3 pr-2'!A135)</f>
        <v>2.1.2.2</v>
      </c>
      <c r="B133" s="613"/>
      <c r="C133" s="1656" t="str">
        <f>CONCATENATE('3 pr-2'!D135)</f>
        <v/>
      </c>
      <c r="D133" s="1787" t="str">
        <f>CONCATENATE('3 pr-2'!E135)</f>
        <v/>
      </c>
      <c r="E133" s="1787" t="str">
        <f>CONCATENATE('3 pr-2'!F135)</f>
        <v/>
      </c>
      <c r="F133" s="1787" t="str">
        <f>CONCATENATE('3 pr-2'!G135)</f>
        <v/>
      </c>
      <c r="G133" s="1787" t="str">
        <f>CONCATENATE('3 pr-2'!H135)</f>
        <v/>
      </c>
      <c r="H133" s="1787" t="str">
        <f>CONCATENATE('3 pr-2'!I135)</f>
        <v/>
      </c>
      <c r="I133" s="1788" t="str">
        <f>CONCATENATE('3 pr-2'!J135)</f>
        <v/>
      </c>
      <c r="J133" s="987">
        <f t="shared" ref="J133:O133" si="55">SUM(J134:J138)</f>
        <v>0</v>
      </c>
      <c r="K133" s="987">
        <f t="shared" si="55"/>
        <v>0</v>
      </c>
      <c r="L133" s="987">
        <f t="shared" si="55"/>
        <v>0</v>
      </c>
      <c r="M133" s="987">
        <f t="shared" si="55"/>
        <v>0</v>
      </c>
      <c r="N133" s="987">
        <f t="shared" si="55"/>
        <v>0</v>
      </c>
      <c r="O133" s="987">
        <f t="shared" si="55"/>
        <v>0</v>
      </c>
      <c r="P133" s="988"/>
      <c r="Q133" s="989"/>
      <c r="R133" s="988"/>
      <c r="S133" s="989"/>
    </row>
    <row r="134" spans="1:19" ht="60.75" x14ac:dyDescent="0.25">
      <c r="A134" s="992" t="str">
        <f>CONCATENATE('3 pr-2'!A136)</f>
        <v>2.1.2.2.1</v>
      </c>
      <c r="B134" s="674"/>
      <c r="C134" s="992" t="str">
        <f>CONCATENATE('3 pr-2'!D136)</f>
        <v>Sveikos gyvensenos skatinimas Alytaus rajone</v>
      </c>
      <c r="D134" s="992" t="str">
        <f>CONCATENATE('3 pr-2'!E136)</f>
        <v>Alytaus rajono savivaldybės visuomenės sveikatos biuras</v>
      </c>
      <c r="E134" s="992" t="str">
        <f>CONCATENATE('3 pr-2'!F136)</f>
        <v>Lietuvos Respublikos Sveikatos apsaugos ministerija</v>
      </c>
      <c r="F134" s="992" t="str">
        <f>CONCATENATE('3 pr-2'!G136)</f>
        <v>Alytaus rajono savivaldybė</v>
      </c>
      <c r="G134" s="992" t="str">
        <f>CONCATENATE('3 pr-2'!H136)</f>
        <v>08.4.2-ESFA-R-630</v>
      </c>
      <c r="H134" s="992" t="str">
        <f>CONCATENATE('3 pr-2'!I136)</f>
        <v>R</v>
      </c>
      <c r="I134" s="992" t="str">
        <f>CONCATENATE('3 pr-2'!J136)</f>
        <v>-</v>
      </c>
      <c r="J134" s="994">
        <f>IF(Q134&gt;0,'3 pr-2'!L136,0)</f>
        <v>0</v>
      </c>
      <c r="K134" s="994">
        <f>IF(Q134&gt;0,'3 pr-2'!O136,0)</f>
        <v>0</v>
      </c>
      <c r="L134" s="994">
        <f>IF(Q134&gt;0,'3 pr-2'!R136,0)</f>
        <v>0</v>
      </c>
      <c r="M134" s="994">
        <f>IF(Q134&gt;0,'3 pr-2'!U136,0)</f>
        <v>0</v>
      </c>
      <c r="N134" s="994">
        <f>IF(Q134&gt;0,'3 pr-2'!X136,0)</f>
        <v>0</v>
      </c>
      <c r="O134" s="994">
        <f>IF(Q134&gt;0,'3 pr-2'!AA136,0)</f>
        <v>0</v>
      </c>
      <c r="P134" s="1000">
        <f>SUM('3 pr-2'!AF136)</f>
        <v>43159</v>
      </c>
      <c r="Q134" s="992"/>
      <c r="R134" s="992"/>
      <c r="S134" s="720" t="str">
        <f t="shared" ref="S134:S138" si="56">IF(P134-Q134&lt;0,(P134-Q134)/30.41667,"–")</f>
        <v>–</v>
      </c>
    </row>
    <row r="135" spans="1:19" ht="60.75" x14ac:dyDescent="0.25">
      <c r="A135" s="992" t="str">
        <f>CONCATENATE('3 pr-2'!A137)</f>
        <v>2.1.2.2.2</v>
      </c>
      <c r="B135" s="674"/>
      <c r="C135" s="992" t="str">
        <f>CONCATENATE('3 pr-2'!D137)</f>
        <v>Mažais žingsneliais – sveikos gyvensenos link</v>
      </c>
      <c r="D135" s="992" t="str">
        <f>CONCATENATE('3 pr-2'!E137)</f>
        <v>Alytaus miesto savivaldybės administracija</v>
      </c>
      <c r="E135" s="992" t="str">
        <f>CONCATENATE('3 pr-2'!F137)</f>
        <v>Lietuvos Respublikos Sveikatos apsaugos ministerija</v>
      </c>
      <c r="F135" s="992" t="str">
        <f>CONCATENATE('3 pr-2'!G137)</f>
        <v>Alytaus  miestas</v>
      </c>
      <c r="G135" s="992" t="str">
        <f>CONCATENATE('3 pr-2'!H137)</f>
        <v>08.4.2-ESFA-R-630</v>
      </c>
      <c r="H135" s="992" t="str">
        <f>CONCATENATE('3 pr-2'!I137)</f>
        <v>R</v>
      </c>
      <c r="I135" s="992" t="str">
        <f>CONCATENATE('3 pr-2'!J137)</f>
        <v>-</v>
      </c>
      <c r="J135" s="994">
        <f>IF(Q135&gt;0,'3 pr-2'!L137,0)</f>
        <v>0</v>
      </c>
      <c r="K135" s="994">
        <f>IF(Q135&gt;0,'3 pr-2'!O137,0)</f>
        <v>0</v>
      </c>
      <c r="L135" s="994">
        <f>IF(Q135&gt;0,'3 pr-2'!R137,0)</f>
        <v>0</v>
      </c>
      <c r="M135" s="994">
        <f>IF(Q135&gt;0,'3 pr-2'!U137,0)</f>
        <v>0</v>
      </c>
      <c r="N135" s="994">
        <f>IF(Q135&gt;0,'3 pr-2'!X137,0)</f>
        <v>0</v>
      </c>
      <c r="O135" s="994">
        <f>IF(Q135&gt;0,'3 pr-2'!AA137,0)</f>
        <v>0</v>
      </c>
      <c r="P135" s="1000">
        <f>SUM('3 pr-2'!AF137)</f>
        <v>43189</v>
      </c>
      <c r="Q135" s="992"/>
      <c r="R135" s="992"/>
      <c r="S135" s="720" t="str">
        <f t="shared" si="56"/>
        <v>–</v>
      </c>
    </row>
    <row r="136" spans="1:19" ht="60.75" x14ac:dyDescent="0.25">
      <c r="A136" s="992" t="str">
        <f>CONCATENATE('3 pr-2'!A138)</f>
        <v>2.1.2.2.3</v>
      </c>
      <c r="B136" s="674"/>
      <c r="C136" s="992" t="str">
        <f>CONCATENATE('3 pr-2'!D138)</f>
        <v>Sveikos gyvensenos skatinimas Varėnos rajono savivaldybėje</v>
      </c>
      <c r="D136" s="992" t="str">
        <f>CONCATENATE('3 pr-2'!E138)</f>
        <v>Varėnos rajono savivaldybės visuomenės sveikatos biuras</v>
      </c>
      <c r="E136" s="992" t="str">
        <f>CONCATENATE('3 pr-2'!F138)</f>
        <v>Lietuvos Respublikos Sveikatos apsaugos ministerija</v>
      </c>
      <c r="F136" s="992" t="str">
        <f>CONCATENATE('3 pr-2'!G138)</f>
        <v>Varėnos rajono savivaldybė</v>
      </c>
      <c r="G136" s="992" t="str">
        <f>CONCATENATE('3 pr-2'!H138)</f>
        <v>08.4.2-ESFA-R-630</v>
      </c>
      <c r="H136" s="992" t="str">
        <f>CONCATENATE('3 pr-2'!I138)</f>
        <v>R</v>
      </c>
      <c r="I136" s="992" t="str">
        <f>CONCATENATE('3 pr-2'!J138)</f>
        <v>-</v>
      </c>
      <c r="J136" s="994">
        <f>IF(Q136&gt;0,'3 pr-2'!L138,0)</f>
        <v>0</v>
      </c>
      <c r="K136" s="994">
        <f>IF(Q136&gt;0,'3 pr-2'!O138,0)</f>
        <v>0</v>
      </c>
      <c r="L136" s="994">
        <f>IF(Q136&gt;0,'3 pr-2'!R138,0)</f>
        <v>0</v>
      </c>
      <c r="M136" s="994">
        <f>IF(Q136&gt;0,'3 pr-2'!U138,0)</f>
        <v>0</v>
      </c>
      <c r="N136" s="994">
        <f>IF(Q136&gt;0,'3 pr-2'!X138,0)</f>
        <v>0</v>
      </c>
      <c r="O136" s="994">
        <f>IF(Q136&gt;0,'3 pr-2'!AA138,0)</f>
        <v>0</v>
      </c>
      <c r="P136" s="1000">
        <f>SUM('3 pr-2'!AF138)</f>
        <v>43160</v>
      </c>
      <c r="Q136" s="992"/>
      <c r="R136" s="992"/>
      <c r="S136" s="720" t="str">
        <f t="shared" si="56"/>
        <v>–</v>
      </c>
    </row>
    <row r="137" spans="1:19" ht="60.75" x14ac:dyDescent="0.25">
      <c r="A137" s="992" t="str">
        <f>CONCATENATE('3 pr-2'!A139)</f>
        <v>2.1.2.2.4.</v>
      </c>
      <c r="B137" s="674"/>
      <c r="C137" s="992" t="str">
        <f>CONCATENATE('3 pr-2'!D139)</f>
        <v>Sveika bendruomenė – stipri visuomenė</v>
      </c>
      <c r="D137" s="992" t="str">
        <f>CONCATENATE('3 pr-2'!E139)</f>
        <v>Druskininkų savivaldybės visuomenės sveikatos biuras</v>
      </c>
      <c r="E137" s="992" t="str">
        <f>CONCATENATE('3 pr-2'!F139)</f>
        <v>Lietuvos Respublikos Sveikatos apsaugos ministerija</v>
      </c>
      <c r="F137" s="992" t="str">
        <f>CONCATENATE('3 pr-2'!G139)</f>
        <v>Druskininkų savivaldybė</v>
      </c>
      <c r="G137" s="992" t="str">
        <f>CONCATENATE('3 pr-2'!H139)</f>
        <v>08.4.2-ESFA-R-630</v>
      </c>
      <c r="H137" s="992" t="str">
        <f>CONCATENATE('3 pr-2'!I139)</f>
        <v>R</v>
      </c>
      <c r="I137" s="992" t="str">
        <f>CONCATENATE('3 pr-2'!J139)</f>
        <v>-</v>
      </c>
      <c r="J137" s="994">
        <f>IF(Q137&gt;0,'3 pr-2'!L139,0)</f>
        <v>0</v>
      </c>
      <c r="K137" s="994">
        <f>IF(Q137&gt;0,'3 pr-2'!O139,0)</f>
        <v>0</v>
      </c>
      <c r="L137" s="994">
        <f>IF(Q137&gt;0,'3 pr-2'!R139,0)</f>
        <v>0</v>
      </c>
      <c r="M137" s="994">
        <f>IF(Q137&gt;0,'3 pr-2'!U139,0)</f>
        <v>0</v>
      </c>
      <c r="N137" s="994">
        <f>IF(Q137&gt;0,'3 pr-2'!X139,0)</f>
        <v>0</v>
      </c>
      <c r="O137" s="994">
        <f>IF(Q137&gt;0,'3 pr-2'!AA139,0)</f>
        <v>0</v>
      </c>
      <c r="P137" s="1000">
        <f>SUM('3 pr-2'!AF139)</f>
        <v>43189</v>
      </c>
      <c r="Q137" s="992"/>
      <c r="R137" s="992"/>
      <c r="S137" s="720" t="str">
        <f t="shared" si="56"/>
        <v>–</v>
      </c>
    </row>
    <row r="138" spans="1:19" ht="61.5" thickBot="1" x14ac:dyDescent="0.3">
      <c r="A138" s="992" t="str">
        <f>CONCATENATE('3 pr-2'!A140)</f>
        <v>2.1.2.2.5</v>
      </c>
      <c r="B138" s="674"/>
      <c r="C138" s="992" t="str">
        <f>CONCATENATE('3 pr-2'!D140)</f>
        <v>Sveikos gyvensenos skatinimas Lazdijų rajono savivaldybėje</v>
      </c>
      <c r="D138" s="992" t="str">
        <f>CONCATENATE('3 pr-2'!E140)</f>
        <v>Lazdijų rajono savivaldybės visuomenės sveikatos biuras</v>
      </c>
      <c r="E138" s="992" t="str">
        <f>CONCATENATE('3 pr-2'!F140)</f>
        <v>Lietuvos Respublikos Sveikatos apsaugos ministerija</v>
      </c>
      <c r="F138" s="992" t="str">
        <f>CONCATENATE('3 pr-2'!G140)</f>
        <v>Lazdijų rajono savivaldybė</v>
      </c>
      <c r="G138" s="992" t="str">
        <f>CONCATENATE('3 pr-2'!H140)</f>
        <v>08.4.2-ESFA-R-630</v>
      </c>
      <c r="H138" s="992" t="str">
        <f>CONCATENATE('3 pr-2'!I140)</f>
        <v>R</v>
      </c>
      <c r="I138" s="992" t="str">
        <f>CONCATENATE('3 pr-2'!J140)</f>
        <v>-</v>
      </c>
      <c r="J138" s="994">
        <f>IF(Q138&gt;0,'3 pr-2'!L140,0)</f>
        <v>0</v>
      </c>
      <c r="K138" s="994">
        <f>IF(Q138&gt;0,'3 pr-2'!O140,0)</f>
        <v>0</v>
      </c>
      <c r="L138" s="994">
        <f>IF(Q138&gt;0,'3 pr-2'!R140,0)</f>
        <v>0</v>
      </c>
      <c r="M138" s="994">
        <f>IF(Q138&gt;0,'3 pr-2'!U140,0)</f>
        <v>0</v>
      </c>
      <c r="N138" s="994">
        <f>IF(Q138&gt;0,'3 pr-2'!X140,0)</f>
        <v>0</v>
      </c>
      <c r="O138" s="994">
        <f>IF(Q138&gt;0,'3 pr-2'!AA140,0)</f>
        <v>0</v>
      </c>
      <c r="P138" s="1000">
        <f>SUM('3 pr-2'!AF140)</f>
        <v>43189</v>
      </c>
      <c r="Q138" s="992"/>
      <c r="R138" s="992"/>
      <c r="S138" s="720" t="str">
        <f t="shared" si="56"/>
        <v>–</v>
      </c>
    </row>
    <row r="139" spans="1:19" s="58" customFormat="1" ht="41.25" customHeight="1" thickBot="1" x14ac:dyDescent="0.3">
      <c r="A139" s="497" t="str">
        <f>CONCATENATE('3 pr-2'!A141)</f>
        <v>2.1.2.3</v>
      </c>
      <c r="B139" s="613"/>
      <c r="C139" s="1656" t="str">
        <f>CONCATENATE('3 pr-2'!D141)</f>
        <v/>
      </c>
      <c r="D139" s="1787" t="str">
        <f>CONCATENATE('3 pr-2'!E141)</f>
        <v/>
      </c>
      <c r="E139" s="1787" t="str">
        <f>CONCATENATE('3 pr-2'!F141)</f>
        <v/>
      </c>
      <c r="F139" s="1787" t="str">
        <f>CONCATENATE('3 pr-2'!G141)</f>
        <v/>
      </c>
      <c r="G139" s="1787" t="str">
        <f>CONCATENATE('3 pr-2'!H141)</f>
        <v/>
      </c>
      <c r="H139" s="1787" t="str">
        <f>CONCATENATE('3 pr-2'!I141)</f>
        <v/>
      </c>
      <c r="I139" s="1788" t="str">
        <f>CONCATENATE('3 pr-2'!J141)</f>
        <v/>
      </c>
      <c r="J139" s="987">
        <f>SUM(J140:J144)</f>
        <v>0</v>
      </c>
      <c r="K139" s="987">
        <f t="shared" ref="K139:O139" si="57">SUM(K140:K144)</f>
        <v>0</v>
      </c>
      <c r="L139" s="987">
        <f t="shared" si="57"/>
        <v>0</v>
      </c>
      <c r="M139" s="987">
        <f t="shared" si="57"/>
        <v>0</v>
      </c>
      <c r="N139" s="987">
        <f t="shared" si="57"/>
        <v>0</v>
      </c>
      <c r="O139" s="987">
        <f t="shared" si="57"/>
        <v>0</v>
      </c>
      <c r="P139" s="988"/>
      <c r="Q139" s="989"/>
      <c r="R139" s="988"/>
      <c r="S139" s="989"/>
    </row>
    <row r="140" spans="1:19" s="58" customFormat="1" ht="84.75" x14ac:dyDescent="0.25">
      <c r="A140" s="992" t="str">
        <f>CONCATENATE('3 pr-2'!A142)</f>
        <v>2.1.2.3.1</v>
      </c>
      <c r="B140" s="674"/>
      <c r="C140" s="992" t="str">
        <f>CONCATENATE('3 pr-2'!D142)</f>
        <v>Priemonių gerinančių ambulatorinių sveikatos priežiūros paslaugų prieinamumą tuberkulioze sergantiems asmenims, Alytaus rajone įgyvendinimas</v>
      </c>
      <c r="D140" s="992" t="str">
        <f>CONCATENATE('3 pr-2'!E142)</f>
        <v>VšĮ Alytaus rajono savivaldybės pirminės sveikatos priežiūros centras</v>
      </c>
      <c r="E140" s="992" t="str">
        <f>CONCATENATE('3 pr-2'!F142)</f>
        <v>Lietuvos Respublikos Sveikatos apsaugos ministerija</v>
      </c>
      <c r="F140" s="992" t="str">
        <f>CONCATENATE('3 pr-2'!G142)</f>
        <v>Alytaus rajono savivaldybė</v>
      </c>
      <c r="G140" s="1008" t="str">
        <f>CONCATENATE('3 pr-2'!H142)</f>
        <v>08.4.2-ESFA-R-615</v>
      </c>
      <c r="H140" s="1001" t="str">
        <f>CONCATENATE('3 pr-2'!I142)</f>
        <v>R</v>
      </c>
      <c r="I140" s="1001" t="str">
        <f>CONCATENATE('3 pr-2'!J142)</f>
        <v>-</v>
      </c>
      <c r="J140" s="994">
        <f>IF(Q140&gt;0,'3 pr-2'!L142,0)</f>
        <v>0</v>
      </c>
      <c r="K140" s="994">
        <f>IF(Q140&gt;0,'3 pr-2'!O142,0)</f>
        <v>0</v>
      </c>
      <c r="L140" s="994">
        <f>IF(Q140&gt;0,'3 pr-2'!R142,0)</f>
        <v>0</v>
      </c>
      <c r="M140" s="994">
        <f>IF(Q140&gt;0,'3 pr-2'!U142,0)</f>
        <v>0</v>
      </c>
      <c r="N140" s="994">
        <f>IF(Q140&gt;0,'3 pr-2'!X142,0)</f>
        <v>0</v>
      </c>
      <c r="O140" s="994">
        <f>IF(Q140&gt;0,'3 pr-2'!AA142,0)</f>
        <v>0</v>
      </c>
      <c r="P140" s="1000">
        <f>SUM('3 pr-2'!AF142)</f>
        <v>43189</v>
      </c>
      <c r="Q140" s="992"/>
      <c r="R140" s="992"/>
      <c r="S140" s="720" t="str">
        <f t="shared" ref="S140:S144" si="58">IF(P140-Q140&lt;0,(P140-Q140)/30.41667,"–")</f>
        <v>–</v>
      </c>
    </row>
    <row r="141" spans="1:19" s="58" customFormat="1" ht="60.75" x14ac:dyDescent="0.25">
      <c r="A141" s="992" t="str">
        <f>CONCATENATE('3 pr-2'!A143)</f>
        <v>2.1.2.3.2</v>
      </c>
      <c r="B141" s="674"/>
      <c r="C141" s="992" t="str">
        <f>CONCATENATE('3 pr-2'!D143)</f>
        <v>Ambulatorinių sveikatos priežiūros paslaugų gerinimas tuberkulioze sergantiems asmenims</v>
      </c>
      <c r="D141" s="992" t="str">
        <f>CONCATENATE('3 pr-2'!E143)</f>
        <v>Alytaus miesto savivaldybės administracija</v>
      </c>
      <c r="E141" s="992" t="str">
        <f>CONCATENATE('3 pr-2'!F143)</f>
        <v>Lietuvos Respublikos Sveikatos apsaugos ministerija</v>
      </c>
      <c r="F141" s="992" t="str">
        <f>CONCATENATE('3 pr-2'!G143)</f>
        <v>Alytaus  miestas</v>
      </c>
      <c r="G141" s="1008" t="str">
        <f>CONCATENATE('3 pr-2'!H143)</f>
        <v>08.4.2-ESFA-R-615</v>
      </c>
      <c r="H141" s="1001" t="str">
        <f>CONCATENATE('3 pr-2'!I143)</f>
        <v>R</v>
      </c>
      <c r="I141" s="1001" t="str">
        <f>CONCATENATE('3 pr-2'!J143)</f>
        <v>-</v>
      </c>
      <c r="J141" s="994">
        <f>IF(Q141&gt;0,'3 pr-2'!L143,0)</f>
        <v>0</v>
      </c>
      <c r="K141" s="994">
        <f>IF(Q141&gt;0,'3 pr-2'!O143,0)</f>
        <v>0</v>
      </c>
      <c r="L141" s="994">
        <f>IF(Q141&gt;0,'3 pr-2'!R143,0)</f>
        <v>0</v>
      </c>
      <c r="M141" s="994">
        <f>IF(Q141&gt;0,'3 pr-2'!U143,0)</f>
        <v>0</v>
      </c>
      <c r="N141" s="994">
        <f>IF(Q141&gt;0,'3 pr-2'!X143,0)</f>
        <v>0</v>
      </c>
      <c r="O141" s="994">
        <f>IF(Q141&gt;0,'3 pr-2'!AA143,0)</f>
        <v>0</v>
      </c>
      <c r="P141" s="1000">
        <f>SUM('3 pr-2'!AF143)</f>
        <v>43189</v>
      </c>
      <c r="Q141" s="992"/>
      <c r="R141" s="992"/>
      <c r="S141" s="720" t="str">
        <f t="shared" si="58"/>
        <v>–</v>
      </c>
    </row>
    <row r="142" spans="1:19" s="58" customFormat="1" ht="60.75" x14ac:dyDescent="0.25">
      <c r="A142" s="992" t="str">
        <f>CONCATENATE('3 pr-2'!A144)</f>
        <v>2.1.2.3.3</v>
      </c>
      <c r="B142" s="674"/>
      <c r="C142" s="992" t="str">
        <f>CONCATENATE('3 pr-2'!D144)</f>
        <v xml:space="preserve">Paslaugų tuberkulioze sergantiems asmenims gerinimas Lazdijų rajono savivaldybėje </v>
      </c>
      <c r="D142" s="992" t="str">
        <f>CONCATENATE('3 pr-2'!E144)</f>
        <v>Lazdijų rajono savivaldybės administracija</v>
      </c>
      <c r="E142" s="992" t="str">
        <f>CONCATENATE('3 pr-2'!F144)</f>
        <v>Lietuvos Respublikos Sveikatos apsaugos ministerija</v>
      </c>
      <c r="F142" s="992" t="str">
        <f>CONCATENATE('3 pr-2'!G144)</f>
        <v>Lazdijų rajono savivaldybė</v>
      </c>
      <c r="G142" s="1008" t="str">
        <f>CONCATENATE('3 pr-2'!H144)</f>
        <v>08.4.2-ESFA-R-615</v>
      </c>
      <c r="H142" s="1001" t="str">
        <f>CONCATENATE('3 pr-2'!I144)</f>
        <v>R</v>
      </c>
      <c r="I142" s="1001" t="str">
        <f>CONCATENATE('3 pr-2'!J144)</f>
        <v>-</v>
      </c>
      <c r="J142" s="994">
        <f>IF(Q142&gt;0,'3 pr-2'!L144,0)</f>
        <v>0</v>
      </c>
      <c r="K142" s="994">
        <f>IF(Q142&gt;0,'3 pr-2'!O144,0)</f>
        <v>0</v>
      </c>
      <c r="L142" s="994">
        <f>IF(Q142&gt;0,'3 pr-2'!R144,0)</f>
        <v>0</v>
      </c>
      <c r="M142" s="994">
        <f>IF(Q142&gt;0,'3 pr-2'!U144,0)</f>
        <v>0</v>
      </c>
      <c r="N142" s="994">
        <f>IF(Q142&gt;0,'3 pr-2'!X144,0)</f>
        <v>0</v>
      </c>
      <c r="O142" s="994">
        <f>IF(Q142&gt;0,'3 pr-2'!AA144,0)</f>
        <v>0</v>
      </c>
      <c r="P142" s="1000">
        <f>SUM('3 pr-2'!AF144)</f>
        <v>43189</v>
      </c>
      <c r="Q142" s="992"/>
      <c r="R142" s="992"/>
      <c r="S142" s="720" t="str">
        <f t="shared" si="58"/>
        <v>–</v>
      </c>
    </row>
    <row r="143" spans="1:19" s="58" customFormat="1" ht="60.75" x14ac:dyDescent="0.25">
      <c r="A143" s="992" t="str">
        <f>CONCATENATE('3 pr-2'!A145)</f>
        <v>2.1.2.3.4</v>
      </c>
      <c r="B143" s="674"/>
      <c r="C143" s="992" t="str">
        <f>CONCATENATE('3 pr-2'!D145)</f>
        <v>Ambulatorinių sveikatos priežiūros paslaugų tuberkulioze sergantiems asmenims prieinamumo gerinimas Druskininkų savivaldybėje</v>
      </c>
      <c r="D143" s="992" t="str">
        <f>CONCATENATE('3 pr-2'!E145)</f>
        <v>Druskininkų pirminės sveikatos priežiūros centras</v>
      </c>
      <c r="E143" s="992" t="str">
        <f>CONCATENATE('3 pr-2'!F145)</f>
        <v>Lietuvos Respublikos Sveikatos apsaugos ministerija</v>
      </c>
      <c r="F143" s="992" t="str">
        <f>CONCATENATE('3 pr-2'!G145)</f>
        <v>Druskininkų savivaldybė</v>
      </c>
      <c r="G143" s="992" t="str">
        <f>CONCATENATE('3 pr-2'!H145)</f>
        <v>08.4.2-ESFA-R-615</v>
      </c>
      <c r="H143" s="1001" t="str">
        <f>CONCATENATE('3 pr-2'!I145)</f>
        <v>R</v>
      </c>
      <c r="I143" s="1001" t="str">
        <f>CONCATENATE('3 pr-2'!J145)</f>
        <v>-</v>
      </c>
      <c r="J143" s="994">
        <f>IF(Q143&gt;0,'3 pr-2'!L145,0)</f>
        <v>0</v>
      </c>
      <c r="K143" s="994">
        <f>IF(Q143&gt;0,'3 pr-2'!O145,0)</f>
        <v>0</v>
      </c>
      <c r="L143" s="994">
        <f>IF(Q143&gt;0,'3 pr-2'!R145,0)</f>
        <v>0</v>
      </c>
      <c r="M143" s="994">
        <f>IF(Q143&gt;0,'3 pr-2'!U145,0)</f>
        <v>0</v>
      </c>
      <c r="N143" s="994">
        <f>IF(Q143&gt;0,'3 pr-2'!X145,0)</f>
        <v>0</v>
      </c>
      <c r="O143" s="994">
        <f>IF(Q143&gt;0,'3 pr-2'!AA145,0)</f>
        <v>0</v>
      </c>
      <c r="P143" s="1000">
        <f>SUM('3 pr-2'!AF145)</f>
        <v>43159</v>
      </c>
      <c r="Q143" s="992"/>
      <c r="R143" s="992"/>
      <c r="S143" s="720" t="str">
        <f t="shared" si="58"/>
        <v>–</v>
      </c>
    </row>
    <row r="144" spans="1:19" s="58" customFormat="1" ht="61.5" thickBot="1" x14ac:dyDescent="0.3">
      <c r="A144" s="992" t="str">
        <f>CONCATENATE('3 pr-2'!A146)</f>
        <v>2.1.2.3.5</v>
      </c>
      <c r="B144" s="674"/>
      <c r="C144" s="992" t="str">
        <f>CONCATENATE('3 pr-2'!D146)</f>
        <v>Ambulatorinių sveikatos priežiūros paslaugų prieinamumo gerinimas tuberkulioze sergantiems asmenims Varėnos rajono savivaldybėje</v>
      </c>
      <c r="D144" s="992" t="str">
        <f>CONCATENATE('3 pr-2'!E146)</f>
        <v>Varėnos rajono savivaldybės administracija</v>
      </c>
      <c r="E144" s="992" t="str">
        <f>CONCATENATE('3 pr-2'!F146)</f>
        <v>Lietuvos Respublikos Sveikatos apsaugos ministerija</v>
      </c>
      <c r="F144" s="992" t="str">
        <f>CONCATENATE('3 pr-2'!G146)</f>
        <v>Varėnos rajono savivaldybė</v>
      </c>
      <c r="G144" s="992" t="str">
        <f>CONCATENATE('3 pr-2'!H146)</f>
        <v>08.4.2-ESFA-R-615</v>
      </c>
      <c r="H144" s="1008" t="str">
        <f>CONCATENATE('3 pr-2'!I146)</f>
        <v>R</v>
      </c>
      <c r="I144" s="1008" t="str">
        <f>CONCATENATE('3 pr-2'!J146)</f>
        <v>-</v>
      </c>
      <c r="J144" s="994">
        <f>IF(Q144&gt;0,'3 pr-2'!L146,0)</f>
        <v>0</v>
      </c>
      <c r="K144" s="994">
        <f>IF(Q144&gt;0,'3 pr-2'!O146,0)</f>
        <v>0</v>
      </c>
      <c r="L144" s="994">
        <f>IF(Q144&gt;0,'3 pr-2'!R146,0)</f>
        <v>0</v>
      </c>
      <c r="M144" s="994">
        <f>IF(Q144&gt;0,'3 pr-2'!U146,0)</f>
        <v>0</v>
      </c>
      <c r="N144" s="994">
        <f>IF(Q144&gt;0,'3 pr-2'!X146,0)</f>
        <v>0</v>
      </c>
      <c r="O144" s="994">
        <f>IF(Q144&gt;0,'3 pr-2'!AA146,0)</f>
        <v>0</v>
      </c>
      <c r="P144" s="1000">
        <f>SUM('3 pr-2'!AF146)</f>
        <v>43160</v>
      </c>
      <c r="Q144" s="992"/>
      <c r="R144" s="992"/>
      <c r="S144" s="720" t="str">
        <f t="shared" si="58"/>
        <v>–</v>
      </c>
    </row>
    <row r="145" spans="1:19" ht="44.25" customHeight="1" thickBot="1" x14ac:dyDescent="0.3">
      <c r="A145" s="345" t="str">
        <f>CONCATENATE('3 pr-2'!A147)</f>
        <v>2.1.3.</v>
      </c>
      <c r="B145" s="648"/>
      <c r="C145" s="1668" t="str">
        <f>CONCATENATE('3 pr-2'!D147)</f>
        <v/>
      </c>
      <c r="D145" s="1669" t="str">
        <f>CONCATENATE('3 pr-2'!E147)</f>
        <v/>
      </c>
      <c r="E145" s="1669" t="str">
        <f>CONCATENATE('3 pr-2'!F147)</f>
        <v/>
      </c>
      <c r="F145" s="1669" t="str">
        <f>CONCATENATE('3 pr-2'!G147)</f>
        <v/>
      </c>
      <c r="G145" s="1669" t="str">
        <f>CONCATENATE('3 pr-2'!H147)</f>
        <v/>
      </c>
      <c r="H145" s="1669" t="str">
        <f>CONCATENATE('3 pr-2'!I147)</f>
        <v/>
      </c>
      <c r="I145" s="1670" t="str">
        <f>CONCATENATE('3 pr-2'!J147)</f>
        <v/>
      </c>
      <c r="J145" s="303">
        <f>SUM(J146+J152)</f>
        <v>4238690.55</v>
      </c>
      <c r="K145" s="303">
        <f t="shared" ref="K145:O145" si="59">SUM(K146+K152)</f>
        <v>810007.55</v>
      </c>
      <c r="L145" s="303">
        <f t="shared" si="59"/>
        <v>21948</v>
      </c>
      <c r="M145" s="303">
        <f t="shared" si="59"/>
        <v>0</v>
      </c>
      <c r="N145" s="303">
        <f t="shared" si="59"/>
        <v>0</v>
      </c>
      <c r="O145" s="303">
        <f t="shared" si="59"/>
        <v>3406735</v>
      </c>
      <c r="P145" s="311" t="s">
        <v>725</v>
      </c>
      <c r="Q145" s="650" t="s">
        <v>725</v>
      </c>
      <c r="R145" s="649" t="s">
        <v>725</v>
      </c>
      <c r="S145" s="314"/>
    </row>
    <row r="146" spans="1:19" ht="42.75" customHeight="1" thickBot="1" x14ac:dyDescent="0.3">
      <c r="A146" s="497" t="str">
        <f>CONCATENATE('3 pr-2'!A148)</f>
        <v>2.1.3.1</v>
      </c>
      <c r="B146" s="613"/>
      <c r="C146" s="1656" t="str">
        <f>CONCATENATE('3 pr-2'!D148)</f>
        <v/>
      </c>
      <c r="D146" s="1789" t="str">
        <f>CONCATENATE('3 pr-2'!E148)</f>
        <v/>
      </c>
      <c r="E146" s="1789" t="str">
        <f>CONCATENATE('3 pr-2'!F148)</f>
        <v/>
      </c>
      <c r="F146" s="1789" t="str">
        <f>CONCATENATE('3 pr-2'!G148)</f>
        <v/>
      </c>
      <c r="G146" s="1789" t="str">
        <f>CONCATENATE('3 pr-2'!H148)</f>
        <v/>
      </c>
      <c r="H146" s="1789" t="str">
        <f>CONCATENATE('3 pr-2'!I148)</f>
        <v/>
      </c>
      <c r="I146" s="1790" t="str">
        <f>CONCATENATE('3 pr-2'!J148)</f>
        <v/>
      </c>
      <c r="J146" s="629">
        <f>SUM(J147:J151)</f>
        <v>1272489.55</v>
      </c>
      <c r="K146" s="629">
        <f t="shared" ref="K146:O146" si="60">SUM(K147:K151)</f>
        <v>364780.55000000005</v>
      </c>
      <c r="L146" s="629">
        <f t="shared" si="60"/>
        <v>21948</v>
      </c>
      <c r="M146" s="629">
        <f t="shared" si="60"/>
        <v>0</v>
      </c>
      <c r="N146" s="629">
        <f t="shared" si="60"/>
        <v>0</v>
      </c>
      <c r="O146" s="629">
        <f t="shared" si="60"/>
        <v>885761</v>
      </c>
      <c r="P146" s="630"/>
      <c r="Q146" s="631"/>
      <c r="R146" s="630"/>
      <c r="S146" s="631"/>
    </row>
    <row r="147" spans="1:19" ht="60.75" x14ac:dyDescent="0.25">
      <c r="A147" s="255" t="str">
        <f>CONCATENATE('3 pr-2'!A149)</f>
        <v>2.1.3.1.1</v>
      </c>
      <c r="B147" s="473" t="s">
        <v>770</v>
      </c>
      <c r="C147" s="255" t="str">
        <f>CONCATENATE('3 pr-2'!D149)</f>
        <v>Socialinių paslaugų infrastruktūros plėtra Varėnos rajono savivaldybėje</v>
      </c>
      <c r="D147" s="255" t="str">
        <f>CONCATENATE('3 pr-2'!E149)</f>
        <v>Varėnos rajono savivaldybės administracija</v>
      </c>
      <c r="E147" s="255" t="str">
        <f>CONCATENATE('3 pr-2'!F149)</f>
        <v>Lietuvos Respublikos socialinės apsaugos ir darbo ministerija</v>
      </c>
      <c r="F147" s="255" t="str">
        <f>CONCATENATE('3 pr-2'!G149)</f>
        <v>Varėnos rajono savivaldybė</v>
      </c>
      <c r="G147" s="255" t="str">
        <f>CONCATENATE('3 pr-2'!H149)</f>
        <v>08.1.2-CPVA-R-407</v>
      </c>
      <c r="H147" s="255" t="str">
        <f>CONCATENATE('3 pr-2'!I149)</f>
        <v>R</v>
      </c>
      <c r="I147" s="255" t="str">
        <f>CONCATENATE('3 pr-2'!J149)</f>
        <v>-</v>
      </c>
      <c r="J147" s="474">
        <f>IF(Q147&gt;0,'3 pr-2'!L149,0)</f>
        <v>148480</v>
      </c>
      <c r="K147" s="474">
        <f>IF(Q147&gt;0,'3 pr-2'!O149,0)</f>
        <v>22272</v>
      </c>
      <c r="L147" s="474">
        <f>IF(Q147&gt;0,'3 pr-2'!R149,0)</f>
        <v>0</v>
      </c>
      <c r="M147" s="474">
        <f>IF(Q147&gt;0,'3 pr-2'!U149,0)</f>
        <v>0</v>
      </c>
      <c r="N147" s="474">
        <f>IF(Q147&gt;0,'3 pr-2'!X149,0)</f>
        <v>0</v>
      </c>
      <c r="O147" s="474">
        <f>IF(Q147&gt;0,'3 pr-2'!AA149,0)</f>
        <v>126208</v>
      </c>
      <c r="P147" s="290">
        <f>SUM('3 pr-2'!AF149)</f>
        <v>42669</v>
      </c>
      <c r="Q147" s="675">
        <v>42669</v>
      </c>
      <c r="R147" s="291">
        <f t="shared" ref="R147" si="61">IF((YEAR(P147)-YEAR(Q147))=0,0,YEAR(P147)-YEAR(Q147))</f>
        <v>0</v>
      </c>
      <c r="S147" s="720" t="str">
        <f t="shared" ref="S147:S151" si="62">IF(P147-Q147&lt;0,(P147-Q147)/30.41667,"–")</f>
        <v>–</v>
      </c>
    </row>
    <row r="148" spans="1:19" ht="60.75" x14ac:dyDescent="0.25">
      <c r="A148" s="255" t="str">
        <f>CONCATENATE('3 pr-2'!A150)</f>
        <v>2.1.3.1.2</v>
      </c>
      <c r="B148" s="473" t="s">
        <v>773</v>
      </c>
      <c r="C148" s="255" t="str">
        <f>CONCATENATE('3 pr-2'!D150)</f>
        <v>Psichosocialinės pagalbos centro įkūrimas</v>
      </c>
      <c r="D148" s="255" t="str">
        <f>CONCATENATE('3 pr-2'!E150)</f>
        <v>Alytaus rajono savivaldybės administracija</v>
      </c>
      <c r="E148" s="255" t="str">
        <f>CONCATENATE('3 pr-2'!F150)</f>
        <v>Lietuvos Respublikos socialinės apsaugos ir darbo ministerija</v>
      </c>
      <c r="F148" s="255" t="str">
        <f>CONCATENATE('3 pr-2'!G150)</f>
        <v>Alytaus  miestas</v>
      </c>
      <c r="G148" s="255" t="str">
        <f>CONCATENATE('3 pr-2'!H150)</f>
        <v>08.1.2-CPVA-R-407</v>
      </c>
      <c r="H148" s="255" t="str">
        <f>CONCATENATE('3 pr-2'!I150)</f>
        <v>R</v>
      </c>
      <c r="I148" s="255" t="str">
        <f>CONCATENATE('3 pr-2'!J150)</f>
        <v/>
      </c>
      <c r="J148" s="474">
        <f>IF(Q148&gt;0,'3 pr-2'!L150,0)</f>
        <v>188353</v>
      </c>
      <c r="K148" s="474">
        <f>IF(Q148&gt;0,'3 pr-2'!O150,0)</f>
        <v>28253</v>
      </c>
      <c r="L148" s="474">
        <f>IF(Q148&gt;0,'3 pr-2'!R150,0)</f>
        <v>0</v>
      </c>
      <c r="M148" s="474">
        <f>IF(Q148&gt;0,'3 pr-2'!U150,0)</f>
        <v>0</v>
      </c>
      <c r="N148" s="474">
        <f>IF(Q148&gt;0,'3 pr-2'!X150,0)</f>
        <v>0</v>
      </c>
      <c r="O148" s="474">
        <f>IF(Q148&gt;0,'3 pr-2'!AA150,0)</f>
        <v>160100</v>
      </c>
      <c r="P148" s="290">
        <f>SUM('3 pr-2'!AF150)</f>
        <v>42669</v>
      </c>
      <c r="Q148" s="675">
        <v>42669</v>
      </c>
      <c r="R148" s="291">
        <f t="shared" ref="R148" si="63">IF((YEAR(P148)-YEAR(Q148))=0,0,YEAR(P148)-YEAR(Q148))</f>
        <v>0</v>
      </c>
      <c r="S148" s="720" t="str">
        <f t="shared" si="62"/>
        <v>–</v>
      </c>
    </row>
    <row r="149" spans="1:19" ht="60.75" x14ac:dyDescent="0.25">
      <c r="A149" s="255" t="str">
        <f>CONCATENATE('3 pr-2'!A151)</f>
        <v>2.1.3.1.3</v>
      </c>
      <c r="B149" s="473" t="s">
        <v>774</v>
      </c>
      <c r="C149" s="255" t="str">
        <f>CONCATENATE('3 pr-2'!D151)</f>
        <v>Socialinių paslaugų plėtra Alytaus mieste</v>
      </c>
      <c r="D149" s="255" t="str">
        <f>CONCATENATE('3 pr-2'!E151)</f>
        <v>Alytaus miesto savivaldybės administracija</v>
      </c>
      <c r="E149" s="255" t="str">
        <f>CONCATENATE('3 pr-2'!F151)</f>
        <v>Lietuvos Respublikos socialinės apsaugos ir darbo ministerija</v>
      </c>
      <c r="F149" s="255" t="str">
        <f>CONCATENATE('3 pr-2'!G151)</f>
        <v>Alytaus  miestas</v>
      </c>
      <c r="G149" s="255" t="str">
        <f>CONCATENATE('3 pr-2'!H151)</f>
        <v>08.1.2-CPVA-R-407</v>
      </c>
      <c r="H149" s="255" t="str">
        <f>CONCATENATE('3 pr-2'!I151)</f>
        <v>R</v>
      </c>
      <c r="I149" s="255" t="str">
        <f>CONCATENATE('3 pr-2'!J151)</f>
        <v>-</v>
      </c>
      <c r="J149" s="474">
        <f>IF(Q149&gt;0,'3 pr-2'!L151,0)</f>
        <v>637900.55000000005</v>
      </c>
      <c r="K149" s="474">
        <f>IF(Q149&gt;0,'3 pr-2'!O151,0)</f>
        <v>291539.55000000005</v>
      </c>
      <c r="L149" s="474">
        <f>IF(Q149&gt;0,'3 pr-2'!R151,0)</f>
        <v>0</v>
      </c>
      <c r="M149" s="474">
        <f>IF(Q149&gt;0,'3 pr-2'!U151,0)</f>
        <v>0</v>
      </c>
      <c r="N149" s="474">
        <f>IF(Q149&gt;0,'3 pr-2'!X151,0)</f>
        <v>0</v>
      </c>
      <c r="O149" s="474">
        <f>IF(Q149&gt;0,'3 pr-2'!AA151,0)</f>
        <v>346361</v>
      </c>
      <c r="P149" s="290">
        <f>SUM('3 pr-2'!AF151)</f>
        <v>42735</v>
      </c>
      <c r="Q149" s="675">
        <v>42754</v>
      </c>
      <c r="R149" s="291">
        <f t="shared" ref="R149" si="64">IF((YEAR(P149)-YEAR(Q149))=0,0,YEAR(P149)-YEAR(Q149))</f>
        <v>-1</v>
      </c>
      <c r="S149" s="720">
        <f t="shared" si="62"/>
        <v>-0.62465746579096271</v>
      </c>
    </row>
    <row r="150" spans="1:19" ht="60.75" x14ac:dyDescent="0.25">
      <c r="A150" s="255" t="str">
        <f>CONCATENATE('3 pr-2'!A152)</f>
        <v>2.1.3.1.4</v>
      </c>
      <c r="B150" s="473" t="s">
        <v>771</v>
      </c>
      <c r="C150" s="255" t="str">
        <f>CONCATENATE('3 pr-2'!D152)</f>
        <v>Socialinių paslaugų infrastruktūros plėtra Druskininkų savivaldybėje</v>
      </c>
      <c r="D150" s="255" t="str">
        <f>CONCATENATE('3 pr-2'!E152)</f>
        <v>Druskininkų savivaldybės administracija</v>
      </c>
      <c r="E150" s="255" t="str">
        <f>CONCATENATE('3 pr-2'!F152)</f>
        <v>Lietuvos Respublikos socialinės apsaugos ir darbo ministerija</v>
      </c>
      <c r="F150" s="255" t="str">
        <f>CONCATENATE('3 pr-2'!G152)</f>
        <v>Druskininkų savivaldybė</v>
      </c>
      <c r="G150" s="255" t="str">
        <f>CONCATENATE('3 pr-2'!H152)</f>
        <v>08.1.2-CPVA-R-407</v>
      </c>
      <c r="H150" s="255" t="str">
        <f>CONCATENATE('3 pr-2'!I152)</f>
        <v>R</v>
      </c>
      <c r="I150" s="255" t="str">
        <f>CONCATENATE('3 pr-2'!J152)</f>
        <v>-</v>
      </c>
      <c r="J150" s="474">
        <f>IF(Q150&gt;0,'3 pr-2'!L152,0)</f>
        <v>151437</v>
      </c>
      <c r="K150" s="474">
        <f>IF(Q150&gt;0,'3 pr-2'!O152,0)</f>
        <v>22716</v>
      </c>
      <c r="L150" s="474">
        <f>IF(Q150&gt;0,'3 pr-2'!R152,0)</f>
        <v>0</v>
      </c>
      <c r="M150" s="474">
        <f>IF(Q150&gt;0,'3 pr-2'!U152,0)</f>
        <v>0</v>
      </c>
      <c r="N150" s="474">
        <f>IF(Q150&gt;0,'3 pr-2'!X152,0)</f>
        <v>0</v>
      </c>
      <c r="O150" s="474">
        <f>IF(Q150&gt;0,'3 pr-2'!AA152,0)</f>
        <v>128721</v>
      </c>
      <c r="P150" s="290">
        <f>SUM('3 pr-2'!AF152)</f>
        <v>42669</v>
      </c>
      <c r="Q150" s="675">
        <v>42669</v>
      </c>
      <c r="R150" s="291">
        <f t="shared" ref="R150:R151" si="65">IF((YEAR(P150)-YEAR(Q150))=0,0,YEAR(P150)-YEAR(Q150))</f>
        <v>0</v>
      </c>
      <c r="S150" s="720" t="str">
        <f t="shared" si="62"/>
        <v>–</v>
      </c>
    </row>
    <row r="151" spans="1:19" ht="61.5" thickBot="1" x14ac:dyDescent="0.3">
      <c r="A151" s="255" t="str">
        <f>CONCATENATE('3 pr-2'!A153)</f>
        <v>2.1.3.1.5</v>
      </c>
      <c r="B151" s="473" t="s">
        <v>772</v>
      </c>
      <c r="C151" s="255" t="str">
        <f>CONCATENATE('3 pr-2'!D153)</f>
        <v>Socialinių paslaugų infrastruktūros modernizavimas ir plėtra VšĮ Kapčiamiesčio globos namuose</v>
      </c>
      <c r="D151" s="255" t="str">
        <f>CONCATENATE('3 pr-2'!E153)</f>
        <v>VšĮ Kapčiamiesčio globos namai</v>
      </c>
      <c r="E151" s="255" t="str">
        <f>CONCATENATE('3 pr-2'!F153)</f>
        <v>Lietuvos Respublikos socialinės apsaugos ir darbo ministerija</v>
      </c>
      <c r="F151" s="255" t="str">
        <f>CONCATENATE('3 pr-2'!G153)</f>
        <v>Lazdijų rajono savivaldybė</v>
      </c>
      <c r="G151" s="255" t="str">
        <f>CONCATENATE('3 pr-2'!H153)</f>
        <v>08.1.2-CPVA-R-407</v>
      </c>
      <c r="H151" s="255" t="str">
        <f>CONCATENATE('3 pr-2'!I153)</f>
        <v>R</v>
      </c>
      <c r="I151" s="255" t="str">
        <f>CONCATENATE('3 pr-2'!J153)</f>
        <v>-</v>
      </c>
      <c r="J151" s="474">
        <f>IF(Q151&gt;0,'3 pr-2'!L153,0)</f>
        <v>146319</v>
      </c>
      <c r="K151" s="474">
        <f>IF(Q151&gt;0,'3 pr-2'!O153,0)</f>
        <v>0</v>
      </c>
      <c r="L151" s="474">
        <f>IF(Q151&gt;0,'3 pr-2'!R153,0)</f>
        <v>21948</v>
      </c>
      <c r="M151" s="474">
        <f>IF(Q151&gt;0,'3 pr-2'!U153,0)</f>
        <v>0</v>
      </c>
      <c r="N151" s="474">
        <f>IF(Q151&gt;0,'3 pr-2'!X153,0)</f>
        <v>0</v>
      </c>
      <c r="O151" s="474">
        <f>IF(Q151&gt;0,'3 pr-2'!AA153,0)</f>
        <v>124371</v>
      </c>
      <c r="P151" s="290">
        <f>SUM('3 pr-2'!AF153)</f>
        <v>42669</v>
      </c>
      <c r="Q151" s="675">
        <v>42669</v>
      </c>
      <c r="R151" s="291">
        <f t="shared" si="65"/>
        <v>0</v>
      </c>
      <c r="S151" s="720" t="str">
        <f t="shared" si="62"/>
        <v>–</v>
      </c>
    </row>
    <row r="152" spans="1:19" ht="33.75" customHeight="1" thickBot="1" x14ac:dyDescent="0.3">
      <c r="A152" s="497" t="str">
        <f>CONCATENATE('3 pr-2'!A154)</f>
        <v>2.1.3.2</v>
      </c>
      <c r="B152" s="613"/>
      <c r="C152" s="1656" t="str">
        <f>CONCATENATE('3 pr-2'!D154)</f>
        <v/>
      </c>
      <c r="D152" s="1789" t="s">
        <v>66</v>
      </c>
      <c r="E152" s="1789" t="s">
        <v>66</v>
      </c>
      <c r="F152" s="1789" t="s">
        <v>66</v>
      </c>
      <c r="G152" s="1789" t="s">
        <v>66</v>
      </c>
      <c r="H152" s="1789" t="s">
        <v>66</v>
      </c>
      <c r="I152" s="1790" t="s">
        <v>66</v>
      </c>
      <c r="J152" s="629">
        <f>SUM('3 pr-2'!L154)</f>
        <v>2966201</v>
      </c>
      <c r="K152" s="629">
        <f>SUM('3 pr-2'!O154)</f>
        <v>445227</v>
      </c>
      <c r="L152" s="629">
        <f>SUM('3 pr-2'!R154)</f>
        <v>0</v>
      </c>
      <c r="M152" s="629">
        <f>SUM('3 pr-2'!U154)</f>
        <v>0</v>
      </c>
      <c r="N152" s="629">
        <f>SUM('3 pr-2'!X154)</f>
        <v>0</v>
      </c>
      <c r="O152" s="629">
        <f>SUM('3 pr-2'!AA154)</f>
        <v>2520974</v>
      </c>
      <c r="P152" s="630"/>
      <c r="Q152" s="631"/>
      <c r="R152" s="630"/>
      <c r="S152" s="631"/>
    </row>
    <row r="153" spans="1:19" ht="60.75" x14ac:dyDescent="0.25">
      <c r="A153" s="255" t="str">
        <f>CONCATENATE('3 pr-2'!A155)</f>
        <v>2.1.3.2.1</v>
      </c>
      <c r="B153" s="473" t="s">
        <v>775</v>
      </c>
      <c r="C153" s="255" t="str">
        <f>CONCATENATE('3 pr-2'!D155)</f>
        <v>Socialinio būsto plėtra Varėnos rajone</v>
      </c>
      <c r="D153" s="255" t="str">
        <f>CONCATENATE('3 pr-2'!E155)</f>
        <v>Varėnos rajono savivaldybės administracija</v>
      </c>
      <c r="E153" s="255" t="str">
        <f>CONCATENATE('3 pr-2'!F155)</f>
        <v>Lietuvos Respublikos socialinės apsaugos ir darbo ministerija</v>
      </c>
      <c r="F153" s="255" t="str">
        <f>CONCATENATE('3 pr-2'!G155)</f>
        <v>Varėnos rajono savivaldybė</v>
      </c>
      <c r="G153" s="255" t="str">
        <f>CONCATENATE('3 pr-2'!H155)</f>
        <v>08.1.1-CPVA·R-408</v>
      </c>
      <c r="H153" s="255" t="str">
        <f>CONCATENATE('3 pr-2'!I155)</f>
        <v>R</v>
      </c>
      <c r="I153" s="255" t="str">
        <f>CONCATENATE('3 pr-2'!J155)</f>
        <v>-</v>
      </c>
      <c r="J153" s="474">
        <f>IF(Q153&gt;0,'3 pr-2'!L155,0)</f>
        <v>736499</v>
      </c>
      <c r="K153" s="474">
        <f>IF(Q153&gt;0,'3 pr-2'!O155,0)</f>
        <v>110475</v>
      </c>
      <c r="L153" s="474">
        <f>IF(Q153&gt;0,'3 pr-2'!R155,0)</f>
        <v>0</v>
      </c>
      <c r="M153" s="474">
        <f>IF(Q153&gt;0,'3 pr-2'!U155,0)</f>
        <v>0</v>
      </c>
      <c r="N153" s="474">
        <f>IF(Q153&gt;0,'3 pr-2'!X155,0)</f>
        <v>0</v>
      </c>
      <c r="O153" s="474">
        <f>IF(Q153&gt;0,'3 pr-2'!AA155,0)</f>
        <v>626024</v>
      </c>
      <c r="P153" s="290">
        <f>SUM('3 pr-2'!AF155)</f>
        <v>42490</v>
      </c>
      <c r="Q153" s="678">
        <v>42464</v>
      </c>
      <c r="R153" s="291">
        <f t="shared" ref="R153:R157" si="66">IF((YEAR(P153)-YEAR(Q153))=0,0,YEAR(P153)-YEAR(Q153))</f>
        <v>0</v>
      </c>
      <c r="S153" s="720" t="str">
        <f t="shared" ref="S153:S157" si="67">IF(P153-Q153&lt;0,(P153-Q153)/30.41667,"–")</f>
        <v>–</v>
      </c>
    </row>
    <row r="154" spans="1:19" ht="60.75" x14ac:dyDescent="0.25">
      <c r="A154" s="255" t="str">
        <f>CONCATENATE('3 pr-2'!A156)</f>
        <v>2.1.3.2.2</v>
      </c>
      <c r="B154" s="473" t="s">
        <v>779</v>
      </c>
      <c r="C154" s="255" t="str">
        <f>CONCATENATE('3 pr-2'!D156)</f>
        <v>Būsto prieinamumo pažeidžiamoms gyventojų grupėms didinimas Alytaus rajone</v>
      </c>
      <c r="D154" s="255" t="str">
        <f>CONCATENATE('3 pr-2'!E156)</f>
        <v>Alytaus rajono savivaldybės administracija</v>
      </c>
      <c r="E154" s="255" t="str">
        <f>CONCATENATE('3 pr-2'!F156)</f>
        <v>Lietuvos Respublikos socialinės apsaugos ir darbo ministerija</v>
      </c>
      <c r="F154" s="255" t="str">
        <f>CONCATENATE('3 pr-2'!G156)</f>
        <v>Alytaus  rajono savivaldybė</v>
      </c>
      <c r="G154" s="255" t="str">
        <f>CONCATENATE('3 pr-2'!H156)</f>
        <v>08.1.1-CPVA·R-408</v>
      </c>
      <c r="H154" s="255" t="str">
        <f>CONCATENATE('3 pr-2'!I156)</f>
        <v>R</v>
      </c>
      <c r="I154" s="255" t="str">
        <f>CONCATENATE('3 pr-2'!J156)</f>
        <v>-</v>
      </c>
      <c r="J154" s="474">
        <f>IF(Q154&gt;0,'3 pr-2'!L156,0)</f>
        <v>241889</v>
      </c>
      <c r="K154" s="474">
        <f>IF(Q154&gt;0,'3 pr-2'!O156,0)</f>
        <v>36283</v>
      </c>
      <c r="L154" s="474">
        <f>IF(Q154&gt;0,'3 pr-2'!R156,0)</f>
        <v>0</v>
      </c>
      <c r="M154" s="474">
        <f>IF(Q154&gt;0,'3 pr-2'!U156,0)</f>
        <v>0</v>
      </c>
      <c r="N154" s="474">
        <f>IF(Q154&gt;0,'3 pr-2'!X156,0)</f>
        <v>0</v>
      </c>
      <c r="O154" s="474">
        <f>IF(Q154&gt;0,'3 pr-2'!AA156,0)</f>
        <v>205606</v>
      </c>
      <c r="P154" s="290">
        <f>SUM('3 pr-2'!AF156)</f>
        <v>42490</v>
      </c>
      <c r="Q154" s="678">
        <v>42464</v>
      </c>
      <c r="R154" s="291">
        <f t="shared" si="66"/>
        <v>0</v>
      </c>
      <c r="S154" s="720" t="str">
        <f t="shared" si="67"/>
        <v>–</v>
      </c>
    </row>
    <row r="155" spans="1:19" ht="60.75" x14ac:dyDescent="0.25">
      <c r="A155" s="255" t="str">
        <f>CONCATENATE('3 pr-2'!A157)</f>
        <v>2.1.3.1.3</v>
      </c>
      <c r="B155" s="473" t="s">
        <v>776</v>
      </c>
      <c r="C155" s="255" t="str">
        <f>CONCATENATE('3 pr-2'!D157)</f>
        <v>Socialinio būsto plėtra Alytaus mieste</v>
      </c>
      <c r="D155" s="255" t="str">
        <f>CONCATENATE('3 pr-2'!E157)</f>
        <v>Alytaus miesto savivaldybės administracija</v>
      </c>
      <c r="E155" s="255" t="str">
        <f>CONCATENATE('3 pr-2'!F157)</f>
        <v>Lietuvos Respublikos socialinės apsaugos ir darbo ministerija</v>
      </c>
      <c r="F155" s="255" t="str">
        <f>CONCATENATE('3 pr-2'!G157)</f>
        <v>Alytaus miestas</v>
      </c>
      <c r="G155" s="255" t="str">
        <f>CONCATENATE('3 pr-2'!H157)</f>
        <v>08.1.1-CPVA·R-408</v>
      </c>
      <c r="H155" s="255" t="str">
        <f>CONCATENATE('3 pr-2'!I157)</f>
        <v>R</v>
      </c>
      <c r="I155" s="255" t="str">
        <f>CONCATENATE('3 pr-2'!J157)</f>
        <v>-</v>
      </c>
      <c r="J155" s="474">
        <f>IF(Q155&gt;0,'3 pr-2'!L157,0)</f>
        <v>891741</v>
      </c>
      <c r="K155" s="474">
        <f>IF(Q155&gt;0,'3 pr-2'!O157,0)</f>
        <v>133761</v>
      </c>
      <c r="L155" s="474">
        <f>IF(Q155&gt;0,'3 pr-2'!R157,0)</f>
        <v>0</v>
      </c>
      <c r="M155" s="474">
        <f>IF(Q155&gt;0,'3 pr-2'!U157,0)</f>
        <v>0</v>
      </c>
      <c r="N155" s="474">
        <f>IF(Q155&gt;0,'3 pr-2'!X157,0)</f>
        <v>0</v>
      </c>
      <c r="O155" s="474">
        <f>IF(Q155&gt;0,'3 pr-2'!AA157,0)</f>
        <v>757980</v>
      </c>
      <c r="P155" s="290">
        <f>SUM('3 pr-2'!AF157)</f>
        <v>42464</v>
      </c>
      <c r="Q155" s="678">
        <v>42464</v>
      </c>
      <c r="R155" s="291">
        <f t="shared" si="66"/>
        <v>0</v>
      </c>
      <c r="S155" s="720" t="str">
        <f t="shared" si="67"/>
        <v>–</v>
      </c>
    </row>
    <row r="156" spans="1:19" ht="60.75" x14ac:dyDescent="0.25">
      <c r="A156" s="255" t="str">
        <f>CONCATENATE('3 pr-2'!A158)</f>
        <v>2.1.3.2.4</v>
      </c>
      <c r="B156" s="473" t="s">
        <v>777</v>
      </c>
      <c r="C156" s="255" t="str">
        <f>CONCATENATE('3 pr-2'!D158)</f>
        <v>Socialinio būsto fondo plėtra Druskininkų savivaldybėje</v>
      </c>
      <c r="D156" s="255" t="str">
        <f>CONCATENATE('3 pr-2'!E158)</f>
        <v>Druskininkų savivaldybės administracija</v>
      </c>
      <c r="E156" s="255" t="str">
        <f>CONCATENATE('3 pr-2'!F158)</f>
        <v>Lietuvos Respublikos socialinės apsaugos ir darbo ministerija</v>
      </c>
      <c r="F156" s="255" t="str">
        <f>CONCATENATE('3 pr-2'!G158)</f>
        <v>Druskininkų savivaldybė</v>
      </c>
      <c r="G156" s="255" t="str">
        <f>CONCATENATE('3 pr-2'!H158)</f>
        <v>08.1.1-CPVA·R-408</v>
      </c>
      <c r="H156" s="255" t="str">
        <f>CONCATENATE('3 pr-2'!I158)</f>
        <v>R</v>
      </c>
      <c r="I156" s="255" t="str">
        <f>CONCATENATE('3 pr-2'!J158)</f>
        <v>-</v>
      </c>
      <c r="J156" s="474">
        <f>IF(Q156&gt;0,'3 pr-2'!L158,0)</f>
        <v>727473</v>
      </c>
      <c r="K156" s="474">
        <f>IF(Q156&gt;0,'3 pr-2'!O158,0)</f>
        <v>109121</v>
      </c>
      <c r="L156" s="474">
        <f>IF(Q156&gt;0,'3 pr-2'!R158,0)</f>
        <v>0</v>
      </c>
      <c r="M156" s="474">
        <f>IF(Q156&gt;0,'3 pr-2'!U158,0)</f>
        <v>0</v>
      </c>
      <c r="N156" s="474">
        <f>IF(Q156&gt;0,'3 pr-2'!X158,0)</f>
        <v>0</v>
      </c>
      <c r="O156" s="474">
        <f>IF(Q156&gt;0,'3 pr-2'!AA158,0)</f>
        <v>618352</v>
      </c>
      <c r="P156" s="290">
        <f>SUM('3 pr-2'!AF158)</f>
        <v>42490</v>
      </c>
      <c r="Q156" s="678">
        <v>42464</v>
      </c>
      <c r="R156" s="291">
        <f t="shared" si="66"/>
        <v>0</v>
      </c>
      <c r="S156" s="720" t="str">
        <f t="shared" si="67"/>
        <v>–</v>
      </c>
    </row>
    <row r="157" spans="1:19" ht="61.5" thickBot="1" x14ac:dyDescent="0.3">
      <c r="A157" s="255" t="str">
        <f>CONCATENATE('3 pr-2'!A159)</f>
        <v>2.1.3.2.5</v>
      </c>
      <c r="B157" s="473" t="s">
        <v>778</v>
      </c>
      <c r="C157" s="255" t="str">
        <f>CONCATENATE('3 pr-2'!D159)</f>
        <v>Socialinio būsto fondo plėtra Lazdijų rajono savivaldybėje</v>
      </c>
      <c r="D157" s="255" t="str">
        <f>CONCATENATE('3 pr-2'!E159)</f>
        <v>Lazdijų rajono savivaldybės administracija</v>
      </c>
      <c r="E157" s="255" t="str">
        <f>CONCATENATE('3 pr-2'!F159)</f>
        <v>Lietuvos Respublikos socialinės apsaugos ir darbo ministerija</v>
      </c>
      <c r="F157" s="255" t="str">
        <f>CONCATENATE('3 pr-2'!G159)</f>
        <v>Lazdijų rajono savivaldybė</v>
      </c>
      <c r="G157" s="255" t="str">
        <f>CONCATENATE('3 pr-2'!H159)</f>
        <v>08.1.1-CPVA·R-408</v>
      </c>
      <c r="H157" s="255" t="str">
        <f>CONCATENATE('3 pr-2'!I159)</f>
        <v>R</v>
      </c>
      <c r="I157" s="255" t="str">
        <f>CONCATENATE('3 pr-2'!J159)</f>
        <v>-</v>
      </c>
      <c r="J157" s="474">
        <f>IF(Q157&gt;0,'3 pr-2'!L159,0)</f>
        <v>368599</v>
      </c>
      <c r="K157" s="474">
        <f>IF(Q157&gt;0,'3 pr-2'!O159,0)</f>
        <v>55587</v>
      </c>
      <c r="L157" s="474">
        <f>IF(Q157&gt;0,'3 pr-2'!R159,0)</f>
        <v>0</v>
      </c>
      <c r="M157" s="474">
        <f>IF(Q157&gt;0,'3 pr-2'!U159,0)</f>
        <v>0</v>
      </c>
      <c r="N157" s="474">
        <f>IF(Q157&gt;0,'3 pr-2'!X159,0)</f>
        <v>0</v>
      </c>
      <c r="O157" s="474">
        <f>IF(Q157&gt;0,'3 pr-2'!AA159,0)</f>
        <v>313012</v>
      </c>
      <c r="P157" s="290">
        <f>SUM('3 pr-2'!AF159)</f>
        <v>42490</v>
      </c>
      <c r="Q157" s="678">
        <v>42464</v>
      </c>
      <c r="R157" s="291">
        <f t="shared" si="66"/>
        <v>0</v>
      </c>
      <c r="S157" s="720" t="str">
        <f t="shared" si="67"/>
        <v>–</v>
      </c>
    </row>
    <row r="158" spans="1:19" ht="40.5" customHeight="1" thickBot="1" x14ac:dyDescent="0.3">
      <c r="A158" s="345" t="str">
        <f>CONCATENATE('3 pr-2'!A160)</f>
        <v>2.1.4.</v>
      </c>
      <c r="B158" s="648"/>
      <c r="C158" s="1668" t="str">
        <f>CONCATENATE('3 pr-2'!D160)</f>
        <v/>
      </c>
      <c r="D158" s="1669" t="str">
        <f>CONCATENATE('3 pr-2'!E160)</f>
        <v/>
      </c>
      <c r="E158" s="1669" t="str">
        <f>CONCATENATE('3 pr-2'!F160)</f>
        <v/>
      </c>
      <c r="F158" s="1669" t="str">
        <f>CONCATENATE('3 pr-2'!G160)</f>
        <v/>
      </c>
      <c r="G158" s="1669" t="str">
        <f>CONCATENATE('3 pr-2'!H160)</f>
        <v/>
      </c>
      <c r="H158" s="1669" t="str">
        <f>CONCATENATE('3 pr-2'!I160)</f>
        <v/>
      </c>
      <c r="I158" s="1670" t="str">
        <f>CONCATENATE('3 pr-2'!J160)</f>
        <v/>
      </c>
      <c r="J158" s="303">
        <f>SUM(J159)</f>
        <v>944134.52</v>
      </c>
      <c r="K158" s="303">
        <f t="shared" ref="K158:O158" si="68">SUM(K159)</f>
        <v>141620.03</v>
      </c>
      <c r="L158" s="303">
        <f t="shared" si="68"/>
        <v>0</v>
      </c>
      <c r="M158" s="303">
        <f t="shared" si="68"/>
        <v>0</v>
      </c>
      <c r="N158" s="303">
        <f t="shared" si="68"/>
        <v>0</v>
      </c>
      <c r="O158" s="303">
        <f t="shared" si="68"/>
        <v>802514.49</v>
      </c>
      <c r="P158" s="311" t="s">
        <v>725</v>
      </c>
      <c r="Q158" s="650" t="s">
        <v>725</v>
      </c>
      <c r="R158" s="649" t="s">
        <v>725</v>
      </c>
      <c r="S158" s="314"/>
    </row>
    <row r="159" spans="1:19" ht="38.25" customHeight="1" thickBot="1" x14ac:dyDescent="0.3">
      <c r="A159" s="497" t="str">
        <f>CONCATENATE('3 pr-2'!A161)</f>
        <v>2.1.4.1</v>
      </c>
      <c r="B159" s="613"/>
      <c r="C159" s="1656" t="str">
        <f>CONCATENATE('3 pr-2'!D161)</f>
        <v/>
      </c>
      <c r="D159" s="1789" t="str">
        <f>CONCATENATE('3 pr-2'!E161)</f>
        <v/>
      </c>
      <c r="E159" s="1789" t="str">
        <f>CONCATENATE('3 pr-2'!F161)</f>
        <v/>
      </c>
      <c r="F159" s="1789" t="str">
        <f>CONCATENATE('3 pr-2'!G161)</f>
        <v/>
      </c>
      <c r="G159" s="1789" t="str">
        <f>CONCATENATE('3 pr-2'!H161)</f>
        <v/>
      </c>
      <c r="H159" s="1789" t="str">
        <f>CONCATENATE('3 pr-2'!I161)</f>
        <v/>
      </c>
      <c r="I159" s="1790" t="str">
        <f>CONCATENATE('3 pr-2'!J161)</f>
        <v/>
      </c>
      <c r="J159" s="629">
        <f>SUM(J160:J165)</f>
        <v>944134.52</v>
      </c>
      <c r="K159" s="629">
        <f t="shared" ref="K159:O159" si="69">SUM(K160:K165)</f>
        <v>141620.03</v>
      </c>
      <c r="L159" s="629">
        <f t="shared" si="69"/>
        <v>0</v>
      </c>
      <c r="M159" s="629">
        <f t="shared" si="69"/>
        <v>0</v>
      </c>
      <c r="N159" s="629">
        <f t="shared" si="69"/>
        <v>0</v>
      </c>
      <c r="O159" s="629">
        <f t="shared" si="69"/>
        <v>802514.49</v>
      </c>
      <c r="P159" s="630"/>
      <c r="Q159" s="631"/>
      <c r="R159" s="630"/>
      <c r="S159" s="631"/>
    </row>
    <row r="160" spans="1:19" ht="48.75" x14ac:dyDescent="0.25">
      <c r="A160" s="255" t="str">
        <f>CONCATENATE('3 pr-2'!A162)</f>
        <v>2.1.4.1.1</v>
      </c>
      <c r="B160" s="473" t="s">
        <v>1502</v>
      </c>
      <c r="C160" s="255" t="str">
        <f>CONCATENATE('3 pr-2'!D162)</f>
        <v>Paslaugų teikimo ir asmenų aptarnavimo kokybės gerinimas Varėnos rajono savivaldybėje</v>
      </c>
      <c r="D160" s="255" t="str">
        <f>CONCATENATE('3 pr-2'!E162)</f>
        <v>Varėnos rajono savivaldybės administracija</v>
      </c>
      <c r="E160" s="255" t="str">
        <f>CONCATENATE('3 pr-2'!F162)</f>
        <v>Lietuvos Respublikos vidaus reikalų ministerija</v>
      </c>
      <c r="F160" s="255" t="str">
        <f>CONCATENATE('3 pr-2'!G162)</f>
        <v>Varėnos miestas</v>
      </c>
      <c r="G160" s="255" t="str">
        <f>CONCATENATE('3 pr-2'!H162)</f>
        <v>10.1.3-ESFA-R-920</v>
      </c>
      <c r="H160" s="255" t="str">
        <f>CONCATENATE('3 pr-2'!I162)</f>
        <v>R</v>
      </c>
      <c r="I160" s="255" t="str">
        <f>CONCATENATE('3 pr-2'!J162)</f>
        <v>-</v>
      </c>
      <c r="J160" s="474">
        <f>IF(Q160&gt;0,'3 pr-2'!L162,0)</f>
        <v>172733.52</v>
      </c>
      <c r="K160" s="474">
        <f>IF(Q160&gt;0,'3 pr-2'!O162,0)</f>
        <v>25910.03</v>
      </c>
      <c r="L160" s="474">
        <f>IF(Q160&gt;0,'3 pr-2'!R162,0)</f>
        <v>0</v>
      </c>
      <c r="M160" s="474">
        <f>IF(Q160&gt;0,'3 pr-2'!U162,0)</f>
        <v>0</v>
      </c>
      <c r="N160" s="474">
        <f>IF(Q160&gt;0,'3 pr-2'!X162,0)</f>
        <v>0</v>
      </c>
      <c r="O160" s="474">
        <f>IF(Q160&gt;0,'3 pr-2'!AA162,0)</f>
        <v>146823.49</v>
      </c>
      <c r="P160" s="290">
        <f>SUM('3 pr-2'!AF162)</f>
        <v>42992</v>
      </c>
      <c r="Q160" s="290">
        <v>42992</v>
      </c>
      <c r="R160" s="255"/>
      <c r="S160" s="720" t="str">
        <f t="shared" ref="S160:S165" si="70">IF(P160-Q160&lt;0,(P160-Q160)/30.41667,"–")</f>
        <v>–</v>
      </c>
    </row>
    <row r="161" spans="1:20" ht="48.75" x14ac:dyDescent="0.25">
      <c r="A161" s="255" t="str">
        <f>CONCATENATE('3 pr-2'!A163)</f>
        <v>2.1.4.1.2</v>
      </c>
      <c r="B161" s="473"/>
      <c r="C161" s="255" t="str">
        <f>CONCATENATE('3 pr-2'!D163)</f>
        <v>Paslaugų ir asmenų aptarnavimo kokybės gerinimas Alytaus rajono savivaldybėje</v>
      </c>
      <c r="D161" s="255" t="str">
        <f>CONCATENATE('3 pr-2'!E163)</f>
        <v>Alytaus rajono savivaldybės administracija</v>
      </c>
      <c r="E161" s="255" t="str">
        <f>CONCATENATE('3 pr-2'!F163)</f>
        <v>Lietuvos Respublikos vidaus reikalų ministerija</v>
      </c>
      <c r="F161" s="255" t="str">
        <f>CONCATENATE('3 pr-2'!G163)</f>
        <v>Alytaus  rajono savivaldybė</v>
      </c>
      <c r="G161" s="255" t="str">
        <f>CONCATENATE('3 pr-2'!H163)</f>
        <v>10.1.3-ESFA-R-920</v>
      </c>
      <c r="H161" s="255" t="str">
        <f>CONCATENATE('3 pr-2'!I163)</f>
        <v>R</v>
      </c>
      <c r="I161" s="255" t="str">
        <f>CONCATENATE('3 pr-2'!J163)</f>
        <v>-</v>
      </c>
      <c r="J161" s="474">
        <f>IF(Q161&gt;0,'3 pr-2'!L163,0)</f>
        <v>210999</v>
      </c>
      <c r="K161" s="474">
        <f>IF(Q161&gt;0,'3 pr-2'!O163,0)</f>
        <v>31650</v>
      </c>
      <c r="L161" s="474">
        <f>IF(Q161&gt;0,'3 pr-2'!R163,0)</f>
        <v>0</v>
      </c>
      <c r="M161" s="474">
        <f>IF(Q161&gt;0,'3 pr-2'!U163,0)</f>
        <v>0</v>
      </c>
      <c r="N161" s="474">
        <f>IF(Q161&gt;0,'3 pr-2'!X163,0)</f>
        <v>0</v>
      </c>
      <c r="O161" s="474">
        <f>IF(Q161&gt;0,'3 pr-2'!AA163,0)</f>
        <v>179349</v>
      </c>
      <c r="P161" s="290">
        <f>SUM('3 pr-2'!AF163)</f>
        <v>43100</v>
      </c>
      <c r="Q161" s="290">
        <v>43080</v>
      </c>
      <c r="R161" s="255"/>
      <c r="S161" s="720" t="str">
        <f t="shared" si="70"/>
        <v>–</v>
      </c>
      <c r="T161" s="30"/>
    </row>
    <row r="162" spans="1:20" ht="48.75" x14ac:dyDescent="0.25">
      <c r="A162" s="255" t="str">
        <f>CONCATENATE('3 pr-2'!A164)</f>
        <v>2.1.4.1.3</v>
      </c>
      <c r="B162" s="473" t="s">
        <v>1503</v>
      </c>
      <c r="C162" s="255" t="str">
        <f>CONCATENATE('3 pr-2'!D164)</f>
        <v>Lazdijų rajono savivaldybės administracijos ir jos viešojo valdymo institucijų teikiamų paslaugų procesų tobulinimas</v>
      </c>
      <c r="D162" s="255" t="str">
        <f>CONCATENATE('3 pr-2'!E164)</f>
        <v>Lazdijų rajono savivaldybės administracija</v>
      </c>
      <c r="E162" s="255" t="str">
        <f>CONCATENATE('3 pr-2'!F164)</f>
        <v>Lietuvos Respublikos vidaus reikalų ministerija</v>
      </c>
      <c r="F162" s="255" t="str">
        <f>CONCATENATE('3 pr-2'!G164)</f>
        <v>Lazdijų rajono savivaldybė</v>
      </c>
      <c r="G162" s="255" t="str">
        <f>CONCATENATE('3 pr-2'!H164)</f>
        <v>10.1.3-ESFA-R-920</v>
      </c>
      <c r="H162" s="255" t="str">
        <f>CONCATENATE('3 pr-2'!I164)</f>
        <v>R</v>
      </c>
      <c r="I162" s="255" t="str">
        <f>CONCATENATE('3 pr-2'!J164)</f>
        <v>-</v>
      </c>
      <c r="J162" s="474">
        <f>IF(Q162&gt;0,'3 pr-2'!L164,0)</f>
        <v>163987</v>
      </c>
      <c r="K162" s="474">
        <f>IF(Q162&gt;0,'3 pr-2'!O164,0)</f>
        <v>24598</v>
      </c>
      <c r="L162" s="474">
        <f>IF(Q162&gt;0,'3 pr-2'!R164,0)</f>
        <v>0</v>
      </c>
      <c r="M162" s="474">
        <f>IF(Q162&gt;0,'3 pr-2'!U164,0)</f>
        <v>0</v>
      </c>
      <c r="N162" s="474">
        <f>IF(Q162&gt;0,'3 pr-2'!X164,0)</f>
        <v>0</v>
      </c>
      <c r="O162" s="474">
        <f>IF(Q162&gt;0,'3 pr-2'!AA164,0)</f>
        <v>139389</v>
      </c>
      <c r="P162" s="290">
        <f>SUM('3 pr-2'!AF164)</f>
        <v>43039</v>
      </c>
      <c r="Q162" s="290">
        <v>43039</v>
      </c>
      <c r="R162" s="255"/>
      <c r="S162" s="720" t="str">
        <f t="shared" si="70"/>
        <v>–</v>
      </c>
    </row>
    <row r="163" spans="1:20" ht="48.75" x14ac:dyDescent="0.25">
      <c r="A163" s="255" t="str">
        <f>CONCATENATE('3 pr-2'!A165)</f>
        <v>2.1.4.1.4</v>
      </c>
      <c r="B163" s="473"/>
      <c r="C163" s="255" t="str">
        <f>CONCATENATE('3 pr-2'!D165)</f>
        <v>Teikiamų paslaugų procesų tobulinimas ir asmenų aptarnavimo kokybės gerinimas Alytaus miesto savivaldybės administracijoje ir jai pavaldžiose įstaigose. I etapas</v>
      </c>
      <c r="D163" s="255" t="str">
        <f>CONCATENATE('3 pr-2'!E165)</f>
        <v>Alytaus miesto savivaldybės administracija</v>
      </c>
      <c r="E163" s="255" t="str">
        <f>CONCATENATE('3 pr-2'!F165)</f>
        <v>Lietuvos Respublikos vidaus reikalų ministerija</v>
      </c>
      <c r="F163" s="255" t="str">
        <f>CONCATENATE('3 pr-2'!G165)</f>
        <v>Alytaus miestas</v>
      </c>
      <c r="G163" s="255" t="str">
        <f>CONCATENATE('3 pr-2'!H165)</f>
        <v>10.1.3-ESFA-R-920</v>
      </c>
      <c r="H163" s="255" t="str">
        <f>CONCATENATE('3 pr-2'!I165)</f>
        <v>R</v>
      </c>
      <c r="I163" s="255" t="str">
        <f>CONCATENATE('3 pr-2'!J165)</f>
        <v>-</v>
      </c>
      <c r="J163" s="474">
        <f>IF(Q163&gt;0,'3 pr-2'!L165,0)</f>
        <v>234827</v>
      </c>
      <c r="K163" s="474">
        <f>IF(Q163&gt;0,'3 pr-2'!O165,0)</f>
        <v>35224</v>
      </c>
      <c r="L163" s="474">
        <f>IF(Q163&gt;0,'3 pr-2'!R165,0)</f>
        <v>0</v>
      </c>
      <c r="M163" s="474">
        <f>IF(Q163&gt;0,'3 pr-2'!U165,0)</f>
        <v>0</v>
      </c>
      <c r="N163" s="474">
        <f>IF(Q163&gt;0,'3 pr-2'!X165,0)</f>
        <v>0</v>
      </c>
      <c r="O163" s="474">
        <f>IF(Q163&gt;0,'3 pr-2'!AA165,0)</f>
        <v>199603</v>
      </c>
      <c r="P163" s="290">
        <f>SUM('3 pr-2'!AF165)</f>
        <v>43100</v>
      </c>
      <c r="Q163" s="290">
        <v>43080</v>
      </c>
      <c r="R163" s="255"/>
      <c r="S163" s="720" t="str">
        <f t="shared" si="70"/>
        <v>–</v>
      </c>
    </row>
    <row r="164" spans="1:20" ht="48.75" x14ac:dyDescent="0.25">
      <c r="A164" s="255" t="str">
        <f>CONCATENATE('3 pr-2'!A166)</f>
        <v>2.1.4.1.5</v>
      </c>
      <c r="B164" s="473"/>
      <c r="C164" s="255" t="str">
        <f>CONCATENATE('3 pr-2'!D166)</f>
        <v>Paslaugų teikimo ir asmenų aptarnavimo kokybės gerinimas Druskininkų savivaldybėje</v>
      </c>
      <c r="D164" s="255" t="str">
        <f>CONCATENATE('3 pr-2'!E166)</f>
        <v>Druskininkų savivaldybės administracija</v>
      </c>
      <c r="E164" s="255" t="str">
        <f>CONCATENATE('3 pr-2'!F166)</f>
        <v>Lietuvos Respublikos vidaus reikalų ministerija</v>
      </c>
      <c r="F164" s="255" t="str">
        <f>CONCATENATE('3 pr-2'!G166)</f>
        <v>Druskininkų savivaldybė</v>
      </c>
      <c r="G164" s="255" t="str">
        <f>CONCATENATE('3 pr-2'!H166)</f>
        <v>10.1.3-ESFA-R-920</v>
      </c>
      <c r="H164" s="255" t="str">
        <f>CONCATENATE('3 pr-2'!I166)</f>
        <v>R</v>
      </c>
      <c r="I164" s="255" t="str">
        <f>CONCATENATE('3 pr-2'!J166)</f>
        <v>-</v>
      </c>
      <c r="J164" s="474">
        <f>IF(Q164&gt;0,'3 pr-2'!L166,0)</f>
        <v>161588</v>
      </c>
      <c r="K164" s="474">
        <f>IF(Q164&gt;0,'3 pr-2'!O166,0)</f>
        <v>24238</v>
      </c>
      <c r="L164" s="474">
        <f>IF(Q164&gt;0,'3 pr-2'!R166,0)</f>
        <v>0</v>
      </c>
      <c r="M164" s="474">
        <f>IF(Q164&gt;0,'3 pr-2'!U166,0)</f>
        <v>0</v>
      </c>
      <c r="N164" s="474">
        <f>IF(Q164&gt;0,'3 pr-2'!X166,0)</f>
        <v>0</v>
      </c>
      <c r="O164" s="474">
        <f>IF(Q164&gt;0,'3 pr-2'!AA166,0)</f>
        <v>137350</v>
      </c>
      <c r="P164" s="290">
        <f>SUM('3 pr-2'!AF166)</f>
        <v>42992</v>
      </c>
      <c r="Q164" s="290">
        <v>42992</v>
      </c>
      <c r="R164" s="255"/>
      <c r="S164" s="720" t="str">
        <f t="shared" si="70"/>
        <v>–</v>
      </c>
    </row>
    <row r="165" spans="1:20" ht="49.5" thickBot="1" x14ac:dyDescent="0.3">
      <c r="A165" s="255" t="str">
        <f>CONCATENATE('3 pr-2'!A167)</f>
        <v>2.1.4.1.6</v>
      </c>
      <c r="B165" s="473"/>
      <c r="C165" s="255" t="str">
        <f>CONCATENATE('3 pr-2'!D167)</f>
        <v>Teikiamų paslaugų procesų tobulinimas ir asmenų aptarnavimo kokybės gerinimas Alytaus miesto savivaldybės administracijoje ir jai pavaldžiose įstaigose. II etapas</v>
      </c>
      <c r="D165" s="255" t="str">
        <f>CONCATENATE('3 pr-2'!E167)</f>
        <v>Alytaus miesto savivaldybės administracija</v>
      </c>
      <c r="E165" s="255" t="str">
        <f>CONCATENATE('3 pr-2'!F167)</f>
        <v>Lietuvos Respublikos vidaus reikalų ministerija</v>
      </c>
      <c r="F165" s="255" t="str">
        <f>CONCATENATE('3 pr-2'!G167)</f>
        <v>Alytaus miestas</v>
      </c>
      <c r="G165" s="255" t="str">
        <f>CONCATENATE('3 pr-2'!H167)</f>
        <v>10.1.3-ESFA-R-920</v>
      </c>
      <c r="H165" s="255" t="str">
        <f>CONCATENATE('3 pr-2'!I167)</f>
        <v>R</v>
      </c>
      <c r="I165" s="255" t="str">
        <f>CONCATENATE('3 pr-2'!J167)</f>
        <v>-</v>
      </c>
      <c r="J165" s="474">
        <f>IF(Q165&gt;0,'3 pr-2'!L167,0)</f>
        <v>0</v>
      </c>
      <c r="K165" s="474">
        <f>IF(Q165&gt;0,'3 pr-2'!O167,0)</f>
        <v>0</v>
      </c>
      <c r="L165" s="474">
        <f>IF(Q165&gt;0,'3 pr-2'!R167,0)</f>
        <v>0</v>
      </c>
      <c r="M165" s="474">
        <f>IF(Q165&gt;0,'3 pr-2'!U167,0)</f>
        <v>0</v>
      </c>
      <c r="N165" s="474">
        <f>IF(Q165&gt;0,'3 pr-2'!X167,0)</f>
        <v>0</v>
      </c>
      <c r="O165" s="474">
        <f>IF(Q165&gt;0,'3 pr-2'!AA167,0)</f>
        <v>0</v>
      </c>
      <c r="P165" s="290">
        <f>SUM('3 pr-2'!AF167)</f>
        <v>43465</v>
      </c>
      <c r="Q165" s="290"/>
      <c r="R165" s="255"/>
      <c r="S165" s="720" t="str">
        <f t="shared" si="70"/>
        <v>–</v>
      </c>
    </row>
    <row r="166" spans="1:20" ht="42" customHeight="1" thickBot="1" x14ac:dyDescent="0.35">
      <c r="A166" s="655" t="str">
        <f>CONCATENATE('3 pr-2'!A168)</f>
        <v>3.1.</v>
      </c>
      <c r="B166" s="656"/>
      <c r="C166" s="1799" t="str">
        <f>CONCATENATE('3 pr-2'!D168)</f>
        <v/>
      </c>
      <c r="D166" s="1800" t="str">
        <f>CONCATENATE('3 pr-2'!E168)</f>
        <v/>
      </c>
      <c r="E166" s="1800" t="str">
        <f>CONCATENATE('3 pr-2'!F168)</f>
        <v/>
      </c>
      <c r="F166" s="1800" t="str">
        <f>CONCATENATE('3 pr-2'!G168)</f>
        <v/>
      </c>
      <c r="G166" s="1800" t="str">
        <f>CONCATENATE('3 pr-2'!H168)</f>
        <v/>
      </c>
      <c r="H166" s="1800" t="str">
        <f>CONCATENATE('3 pr-2'!I168)</f>
        <v/>
      </c>
      <c r="I166" s="1801" t="str">
        <f>CONCATENATE('3 pr-2'!J168)</f>
        <v/>
      </c>
      <c r="J166" s="657">
        <f>SUM(J167+J170)</f>
        <v>5366399.1899999995</v>
      </c>
      <c r="K166" s="657">
        <f t="shared" ref="K166:O166" si="71">SUM(K167+K170)</f>
        <v>963235.93999999971</v>
      </c>
      <c r="L166" s="657">
        <f t="shared" si="71"/>
        <v>0</v>
      </c>
      <c r="M166" s="657">
        <f t="shared" si="71"/>
        <v>0</v>
      </c>
      <c r="N166" s="657">
        <f t="shared" si="71"/>
        <v>0</v>
      </c>
      <c r="O166" s="657">
        <f t="shared" si="71"/>
        <v>4403162.95</v>
      </c>
      <c r="P166" s="222" t="s">
        <v>725</v>
      </c>
      <c r="Q166" s="222" t="s">
        <v>725</v>
      </c>
      <c r="R166" s="222" t="s">
        <v>725</v>
      </c>
      <c r="S166" s="222"/>
    </row>
    <row r="167" spans="1:20" ht="32.25" customHeight="1" thickBot="1" x14ac:dyDescent="0.3">
      <c r="A167" s="345" t="str">
        <f>CONCATENATE('3 pr-2'!A169)</f>
        <v>3.1.1.</v>
      </c>
      <c r="B167" s="648"/>
      <c r="C167" s="1668" t="str">
        <f>CONCATENATE('3 pr-2'!D169)</f>
        <v/>
      </c>
      <c r="D167" s="1669" t="str">
        <f>CONCATENATE('3 pr-2'!E169)</f>
        <v/>
      </c>
      <c r="E167" s="1669" t="str">
        <f>CONCATENATE('3 pr-2'!F169)</f>
        <v/>
      </c>
      <c r="F167" s="1669" t="str">
        <f>CONCATENATE('3 pr-2'!G169)</f>
        <v/>
      </c>
      <c r="G167" s="1669" t="str">
        <f>CONCATENATE('3 pr-2'!H169)</f>
        <v/>
      </c>
      <c r="H167" s="1669" t="str">
        <f>CONCATENATE('3 pr-2'!I169)</f>
        <v/>
      </c>
      <c r="I167" s="1670" t="str">
        <f>CONCATENATE('3 pr-2'!J169)</f>
        <v/>
      </c>
      <c r="J167" s="303">
        <f>SUM(J168)</f>
        <v>4130687.05</v>
      </c>
      <c r="K167" s="303">
        <f t="shared" ref="K167:O167" si="72">SUM(K168)</f>
        <v>777879.2799999998</v>
      </c>
      <c r="L167" s="303">
        <f t="shared" si="72"/>
        <v>0</v>
      </c>
      <c r="M167" s="303">
        <f t="shared" si="72"/>
        <v>0</v>
      </c>
      <c r="N167" s="303">
        <f t="shared" si="72"/>
        <v>0</v>
      </c>
      <c r="O167" s="303">
        <f t="shared" si="72"/>
        <v>3352807.77</v>
      </c>
      <c r="P167" s="311" t="s">
        <v>725</v>
      </c>
      <c r="Q167" s="650" t="s">
        <v>725</v>
      </c>
      <c r="R167" s="649" t="s">
        <v>725</v>
      </c>
      <c r="S167" s="314"/>
    </row>
    <row r="168" spans="1:20" ht="33.75" customHeight="1" thickBot="1" x14ac:dyDescent="0.3">
      <c r="A168" s="497" t="str">
        <f>CONCATENATE('3 pr-2'!A170)</f>
        <v>3.1.1.1</v>
      </c>
      <c r="B168" s="613"/>
      <c r="C168" s="1656" t="str">
        <f>CONCATENATE('3 pr-2'!D170)</f>
        <v/>
      </c>
      <c r="D168" s="1789" t="str">
        <f>CONCATENATE('3 pr-2'!E170)</f>
        <v/>
      </c>
      <c r="E168" s="1789" t="str">
        <f>CONCATENATE('3 pr-2'!F170)</f>
        <v/>
      </c>
      <c r="F168" s="1789" t="str">
        <f>CONCATENATE('3 pr-2'!G170)</f>
        <v/>
      </c>
      <c r="G168" s="1789" t="str">
        <f>CONCATENATE('3 pr-2'!H170)</f>
        <v/>
      </c>
      <c r="H168" s="1789" t="str">
        <f>CONCATENATE('3 pr-2'!I170)</f>
        <v/>
      </c>
      <c r="I168" s="1790" t="str">
        <f>CONCATENATE('3 pr-2'!J170)</f>
        <v/>
      </c>
      <c r="J168" s="629">
        <f>SUM(J169)</f>
        <v>4130687.05</v>
      </c>
      <c r="K168" s="629">
        <f t="shared" ref="K168:O168" si="73">SUM(K169)</f>
        <v>777879.2799999998</v>
      </c>
      <c r="L168" s="629">
        <f t="shared" si="73"/>
        <v>0</v>
      </c>
      <c r="M168" s="629">
        <f t="shared" si="73"/>
        <v>0</v>
      </c>
      <c r="N168" s="629">
        <f t="shared" si="73"/>
        <v>0</v>
      </c>
      <c r="O168" s="629">
        <f t="shared" si="73"/>
        <v>3352807.77</v>
      </c>
      <c r="P168" s="630"/>
      <c r="Q168" s="631"/>
      <c r="R168" s="630"/>
      <c r="S168" s="631"/>
    </row>
    <row r="169" spans="1:20" ht="49.5" thickBot="1" x14ac:dyDescent="0.3">
      <c r="A169" s="255" t="str">
        <f>CONCATENATE('3 pr-2'!A171)</f>
        <v>3.1.1.1.1</v>
      </c>
      <c r="B169" s="473" t="s">
        <v>780</v>
      </c>
      <c r="C169" s="255" t="str">
        <f>CONCATENATE('3 pr-2'!D171)</f>
        <v>Komunalinių atliekų tvarkymo sistemos plėtra Alytaus regione</v>
      </c>
      <c r="D169" s="255" t="str">
        <f>CONCATENATE('3 pr-2'!E171)</f>
        <v>Alytaus regiono atliekų tvarkymo centras</v>
      </c>
      <c r="E169" s="255" t="str">
        <f>CONCATENATE('3 pr-2'!F171)</f>
        <v>Lietuvos Respublikos aplinkos ministerija</v>
      </c>
      <c r="F169" s="255" t="str">
        <f>CONCATENATE('3 pr-2'!G171)</f>
        <v>Alytaus atliekų tvarkymo regionas</v>
      </c>
      <c r="G169" s="255" t="str">
        <f>CONCATENATE('3 pr-2'!H171)</f>
        <v>05.2.1-APVA-R-008</v>
      </c>
      <c r="H169" s="255" t="str">
        <f>CONCATENATE('3 pr-2'!I171)</f>
        <v>R</v>
      </c>
      <c r="I169" s="255" t="str">
        <f>CONCATENATE('3 pr-2'!J171)</f>
        <v>-</v>
      </c>
      <c r="J169" s="474">
        <f>IF(Q169&gt;0,'3 pr-2'!L171,0)</f>
        <v>4130687.05</v>
      </c>
      <c r="K169" s="474">
        <f>IF(Q169&gt;0,'3 pr-2'!O171,0)</f>
        <v>777879.2799999998</v>
      </c>
      <c r="L169" s="474">
        <f>IF(Q169&gt;0,'3 pr-2'!R171,0)</f>
        <v>0</v>
      </c>
      <c r="M169" s="474">
        <f>IF(Q169&gt;0,'3 pr-2'!U171,0)</f>
        <v>0</v>
      </c>
      <c r="N169" s="474">
        <f>IF(Q169&gt;0,'3 pr-2'!X171,0)</f>
        <v>0</v>
      </c>
      <c r="O169" s="474">
        <f>IF(Q169&gt;0,'3 pr-2'!AA171,0)</f>
        <v>3352807.77</v>
      </c>
      <c r="P169" s="290">
        <f>SUM('3 pr-2'!AF171)</f>
        <v>42754</v>
      </c>
      <c r="Q169" s="675">
        <v>42754</v>
      </c>
      <c r="R169" s="291">
        <f t="shared" ref="R169" si="74">IF((YEAR(P169)-YEAR(Q169))=0,0,YEAR(P169)-YEAR(Q169))</f>
        <v>0</v>
      </c>
      <c r="S169" s="720" t="str">
        <f t="shared" ref="S169" si="75">IF(P169-Q169&lt;0,(P169-Q169)/30.41667,"–")</f>
        <v>–</v>
      </c>
    </row>
    <row r="170" spans="1:20" ht="39.75" customHeight="1" thickBot="1" x14ac:dyDescent="0.3">
      <c r="A170" s="345" t="str">
        <f>CONCATENATE('3 pr-2'!A172)</f>
        <v>3.1.2.</v>
      </c>
      <c r="B170" s="648"/>
      <c r="C170" s="1668" t="str">
        <f>CONCATENATE('3 pr-2'!D172)</f>
        <v/>
      </c>
      <c r="D170" s="1669" t="str">
        <f>CONCATENATE('3 pr-2'!E172)</f>
        <v/>
      </c>
      <c r="E170" s="1669" t="str">
        <f>CONCATENATE('3 pr-2'!F172)</f>
        <v/>
      </c>
      <c r="F170" s="1669" t="str">
        <f>CONCATENATE('3 pr-2'!G172)</f>
        <v/>
      </c>
      <c r="G170" s="1669" t="str">
        <f>CONCATENATE('3 pr-2'!H172)</f>
        <v/>
      </c>
      <c r="H170" s="1669" t="str">
        <f>CONCATENATE('3 pr-2'!I172)</f>
        <v/>
      </c>
      <c r="I170" s="1670" t="str">
        <f>CONCATENATE('3 pr-2'!J172)</f>
        <v/>
      </c>
      <c r="J170" s="303">
        <f>SUM(J171)</f>
        <v>1235712.1400000001</v>
      </c>
      <c r="K170" s="303">
        <f t="shared" ref="K170:O170" si="76">SUM(K171)</f>
        <v>185356.65999999997</v>
      </c>
      <c r="L170" s="303">
        <f t="shared" si="76"/>
        <v>0</v>
      </c>
      <c r="M170" s="303">
        <f t="shared" si="76"/>
        <v>0</v>
      </c>
      <c r="N170" s="303">
        <f t="shared" si="76"/>
        <v>0</v>
      </c>
      <c r="O170" s="303">
        <f t="shared" si="76"/>
        <v>1050355.1800000002</v>
      </c>
      <c r="P170" s="311" t="s">
        <v>725</v>
      </c>
      <c r="Q170" s="650" t="s">
        <v>725</v>
      </c>
      <c r="R170" s="649" t="s">
        <v>725</v>
      </c>
      <c r="S170" s="314"/>
    </row>
    <row r="171" spans="1:20" ht="33.75" customHeight="1" thickBot="1" x14ac:dyDescent="0.3">
      <c r="A171" s="497" t="str">
        <f>CONCATENATE('3 pr-2'!A173)</f>
        <v>3.1.2.1</v>
      </c>
      <c r="B171" s="613"/>
      <c r="C171" s="1656" t="str">
        <f>CONCATENATE('3 pr-2'!D173)</f>
        <v/>
      </c>
      <c r="D171" s="1789" t="str">
        <f>CONCATENATE('3 pr-2'!E173)</f>
        <v/>
      </c>
      <c r="E171" s="1789" t="str">
        <f>CONCATENATE('3 pr-2'!F173)</f>
        <v/>
      </c>
      <c r="F171" s="1789" t="str">
        <f>CONCATENATE('3 pr-2'!G173)</f>
        <v/>
      </c>
      <c r="G171" s="1789" t="str">
        <f>CONCATENATE('3 pr-2'!H173)</f>
        <v/>
      </c>
      <c r="H171" s="1789" t="str">
        <f>CONCATENATE('3 pr-2'!I173)</f>
        <v/>
      </c>
      <c r="I171" s="1790" t="str">
        <f>CONCATENATE('3 pr-2'!J173)</f>
        <v/>
      </c>
      <c r="J171" s="629">
        <f>SUM(J172:J179)</f>
        <v>1235712.1400000001</v>
      </c>
      <c r="K171" s="629">
        <f t="shared" ref="K171:O171" si="77">SUM(K172:K179)</f>
        <v>185356.65999999997</v>
      </c>
      <c r="L171" s="629">
        <f t="shared" si="77"/>
        <v>0</v>
      </c>
      <c r="M171" s="629">
        <f t="shared" si="77"/>
        <v>0</v>
      </c>
      <c r="N171" s="629">
        <f t="shared" si="77"/>
        <v>0</v>
      </c>
      <c r="O171" s="629">
        <f t="shared" si="77"/>
        <v>1050355.1800000002</v>
      </c>
      <c r="P171" s="630"/>
      <c r="Q171" s="631"/>
      <c r="R171" s="630"/>
      <c r="S171" s="631"/>
    </row>
    <row r="172" spans="1:20" ht="48.75" x14ac:dyDescent="0.25">
      <c r="A172" s="255" t="str">
        <f>CONCATENATE('3 pr-2'!A174)</f>
        <v>3.1.2.1.1</v>
      </c>
      <c r="B172" s="473" t="s">
        <v>782</v>
      </c>
      <c r="C172" s="255" t="str">
        <f>CONCATENATE('3 pr-2'!D174)</f>
        <v>Kraštovaizdžio formavimas ir tvarkymas Varėnos r. savivaldybėje (I etapas)</v>
      </c>
      <c r="D172" s="255" t="str">
        <f>CONCATENATE('3 pr-2'!E174)</f>
        <v>Varėnos rajono savivaldybės administracija</v>
      </c>
      <c r="E172" s="255" t="str">
        <f>CONCATENATE('3 pr-2'!F174)</f>
        <v>Lietuvos Respublikos aplinkos ministerija</v>
      </c>
      <c r="F172" s="255" t="str">
        <f>CONCATENATE('3 pr-2'!G174)</f>
        <v>Varėnos  rajono savivaldybė</v>
      </c>
      <c r="G172" s="255" t="str">
        <f>CONCATENATE('3 pr-2'!H174)</f>
        <v>05.5.1-APVA-R-019</v>
      </c>
      <c r="H172" s="255" t="str">
        <f>CONCATENATE('3 pr-2'!I174)</f>
        <v>R</v>
      </c>
      <c r="I172" s="255" t="str">
        <f>CONCATENATE('3 pr-2'!J174)</f>
        <v>-</v>
      </c>
      <c r="J172" s="474">
        <f>IF(Q172&gt;0,'3 pr-2'!L174,0)</f>
        <v>566501</v>
      </c>
      <c r="K172" s="474">
        <f>IF(Q172&gt;0,'3 pr-2'!O174,0)</f>
        <v>84975</v>
      </c>
      <c r="L172" s="474">
        <f>IF(Q172&gt;0,'3 pr-2'!R174,0)</f>
        <v>0</v>
      </c>
      <c r="M172" s="474">
        <f>IF(Q172&gt;0,'3 pr-2'!U174,0)</f>
        <v>0</v>
      </c>
      <c r="N172" s="474">
        <f>IF(Q172&gt;0,'3 pr-2'!X174,0)</f>
        <v>0</v>
      </c>
      <c r="O172" s="474">
        <f>IF(Q172&gt;0,'3 pr-2'!AA174,0)</f>
        <v>481526</v>
      </c>
      <c r="P172" s="290">
        <f>SUM('3 pr-2'!AF174)</f>
        <v>42632</v>
      </c>
      <c r="Q172" s="675">
        <v>42632</v>
      </c>
      <c r="R172" s="291">
        <f t="shared" ref="R172" si="78">IF((YEAR(P172)-YEAR(Q172))=0,0,YEAR(P172)-YEAR(Q172))</f>
        <v>0</v>
      </c>
      <c r="S172" s="720" t="str">
        <f t="shared" ref="S172:S179" si="79">IF(P172-Q172&lt;0,(P172-Q172)/30.41667,"–")</f>
        <v>–</v>
      </c>
    </row>
    <row r="173" spans="1:20" ht="48.75" x14ac:dyDescent="0.25">
      <c r="A173" s="255" t="str">
        <f>CONCATENATE('3 pr-2'!A175)</f>
        <v>3.1.2.1.2</v>
      </c>
      <c r="B173" s="473"/>
      <c r="C173" s="255" t="str">
        <f>CONCATENATE('3 pr-2'!D175)</f>
        <v>Kraštovaizdžio formavimas ir tvarkymas Varėnos r. savivaldybėje (II etapas)</v>
      </c>
      <c r="D173" s="255" t="str">
        <f>CONCATENATE('3 pr-2'!E175)</f>
        <v>Varėnos rajono savivaldybės administracija</v>
      </c>
      <c r="E173" s="255" t="str">
        <f>CONCATENATE('3 pr-2'!F175)</f>
        <v>Lietuvos Respublikos aplinkos ministerija</v>
      </c>
      <c r="F173" s="255" t="str">
        <f>CONCATENATE('3 pr-2'!G175)</f>
        <v>Varėnos  rajono savivaldybė</v>
      </c>
      <c r="G173" s="255" t="str">
        <f>CONCATENATE('3 pr-2'!H175)</f>
        <v>05.5.1-APVA-R-019</v>
      </c>
      <c r="H173" s="255" t="str">
        <f>CONCATENATE('3 pr-2'!I175)</f>
        <v>R</v>
      </c>
      <c r="I173" s="255" t="str">
        <f>CONCATENATE('3 pr-2'!J175)</f>
        <v>-</v>
      </c>
      <c r="J173" s="474">
        <f>IF(Q173&gt;0,'3 pr-2'!L175,0)</f>
        <v>0</v>
      </c>
      <c r="K173" s="474">
        <f>IF(Q173&gt;0,'3 pr-2'!O175,0)</f>
        <v>0</v>
      </c>
      <c r="L173" s="474">
        <f>IF(Q173&gt;0,'3 pr-2'!R175,0)</f>
        <v>0</v>
      </c>
      <c r="M173" s="474">
        <f>IF(Q173&gt;0,'3 pr-2'!U175,0)</f>
        <v>0</v>
      </c>
      <c r="N173" s="474">
        <f>IF(Q173&gt;0,'3 pr-2'!X175,0)</f>
        <v>0</v>
      </c>
      <c r="O173" s="474">
        <f>IF(Q173&gt;0,'3 pr-2'!AA175,0)</f>
        <v>0</v>
      </c>
      <c r="P173" s="290">
        <f>SUM('3 pr-2'!AF175)</f>
        <v>43373</v>
      </c>
      <c r="Q173" s="290"/>
      <c r="R173" s="291"/>
      <c r="S173" s="720" t="str">
        <f t="shared" si="79"/>
        <v>–</v>
      </c>
    </row>
    <row r="174" spans="1:20" ht="48.75" x14ac:dyDescent="0.25">
      <c r="A174" s="255" t="str">
        <f>CONCATENATE('3 pr-2'!A176)</f>
        <v>3.1.2.1.3</v>
      </c>
      <c r="B174" s="473" t="s">
        <v>781</v>
      </c>
      <c r="C174" s="255" t="str">
        <f>CONCATENATE('3 pr-2'!D176)</f>
        <v>Bešeimininkių apleistų pastatų ir įrenginių tvarkymas Alytaus rajono savivaldybėje</v>
      </c>
      <c r="D174" s="255" t="str">
        <f>CONCATENATE('3 pr-2'!E176)</f>
        <v>Alytaus rajono savivaldybės administracija</v>
      </c>
      <c r="E174" s="255" t="str">
        <f>CONCATENATE('3 pr-2'!F176)</f>
        <v>Lietuvos Respublikos aplinkos ministerija</v>
      </c>
      <c r="F174" s="255" t="str">
        <f>CONCATENATE('3 pr-2'!G176)</f>
        <v>Alytaus rajonas</v>
      </c>
      <c r="G174" s="255" t="str">
        <f>CONCATENATE('3 pr-2'!H176)</f>
        <v>05.5.1-APVA-R-019</v>
      </c>
      <c r="H174" s="255" t="str">
        <f>CONCATENATE('3 pr-2'!I176)</f>
        <v>R</v>
      </c>
      <c r="I174" s="255" t="str">
        <f>CONCATENATE('3 pr-2'!J176)</f>
        <v/>
      </c>
      <c r="J174" s="474">
        <f>IF(Q174&gt;0,'3 pr-2'!L176,0)</f>
        <v>101766</v>
      </c>
      <c r="K174" s="474">
        <f>IF(Q174&gt;0,'3 pr-2'!O176,0)</f>
        <v>15264.9</v>
      </c>
      <c r="L174" s="474">
        <f>IF(Q174&gt;0,'3 pr-2'!R176,0)</f>
        <v>0</v>
      </c>
      <c r="M174" s="474">
        <f>IF(Q174&gt;0,'3 pr-2'!U176,0)</f>
        <v>0</v>
      </c>
      <c r="N174" s="474">
        <f>IF(Q174&gt;0,'3 pr-2'!X176,0)</f>
        <v>0</v>
      </c>
      <c r="O174" s="474">
        <f>IF(Q174&gt;0,'3 pr-2'!AA176,0)</f>
        <v>86500.800000000003</v>
      </c>
      <c r="P174" s="290">
        <f>SUM('3 pr-2'!AF176)</f>
        <v>42632</v>
      </c>
      <c r="Q174" s="675">
        <v>42632</v>
      </c>
      <c r="R174" s="291">
        <f t="shared" ref="R174:R175" si="80">IF((YEAR(P174)-YEAR(Q174))=0,0,YEAR(P174)-YEAR(Q174))</f>
        <v>0</v>
      </c>
      <c r="S174" s="720" t="str">
        <f t="shared" si="79"/>
        <v>–</v>
      </c>
    </row>
    <row r="175" spans="1:20" ht="48.75" x14ac:dyDescent="0.25">
      <c r="A175" s="255" t="str">
        <f>CONCATENATE('3 pr-2'!A177)</f>
        <v>3.1.2.1.4</v>
      </c>
      <c r="B175" s="473" t="s">
        <v>784</v>
      </c>
      <c r="C175" s="255" t="str">
        <f>CONCATENATE('3 pr-2'!D177)</f>
        <v>Alytaus miesto bendrojo plano korektūra zonuojant kraštovaizdžio struktūrą, nustatant reglamentus ir principus</v>
      </c>
      <c r="D175" s="255" t="str">
        <f>CONCATENATE('3 pr-2'!E177)</f>
        <v>Alytaus miesto savivaldybės administracija</v>
      </c>
      <c r="E175" s="255" t="str">
        <f>CONCATENATE('3 pr-2'!F177)</f>
        <v>Lietuvos Respublikos aplinkos ministerija</v>
      </c>
      <c r="F175" s="255" t="str">
        <f>CONCATENATE('3 pr-2'!G177)</f>
        <v>Alytaus miestas</v>
      </c>
      <c r="G175" s="255" t="str">
        <f>CONCATENATE('3 pr-2'!H177)</f>
        <v>05.5.1-APVA-R-019</v>
      </c>
      <c r="H175" s="255" t="str">
        <f>CONCATENATE('3 pr-2'!I177)</f>
        <v>R</v>
      </c>
      <c r="I175" s="255" t="str">
        <f>CONCATENATE('3 pr-2'!J177)</f>
        <v/>
      </c>
      <c r="J175" s="474">
        <f>IF(Q175&gt;0,'3 pr-2'!L177,0)</f>
        <v>3993</v>
      </c>
      <c r="K175" s="474">
        <f>IF(Q175&gt;0,'3 pr-2'!O177,0)</f>
        <v>598.95000000000005</v>
      </c>
      <c r="L175" s="474">
        <f>IF(Q175&gt;0,'3 pr-2'!R177,0)</f>
        <v>0</v>
      </c>
      <c r="M175" s="474">
        <f>IF(Q175&gt;0,'3 pr-2'!U177,0)</f>
        <v>0</v>
      </c>
      <c r="N175" s="474">
        <f>IF(Q175&gt;0,'3 pr-2'!X177,0)</f>
        <v>0</v>
      </c>
      <c r="O175" s="474">
        <f>IF(Q175&gt;0,'3 pr-2'!AA177,0)</f>
        <v>3394.05</v>
      </c>
      <c r="P175" s="290">
        <f>SUM('3 pr-2'!AF177)</f>
        <v>42632</v>
      </c>
      <c r="Q175" s="675">
        <v>42632</v>
      </c>
      <c r="R175" s="291">
        <f t="shared" si="80"/>
        <v>0</v>
      </c>
      <c r="S175" s="720" t="str">
        <f t="shared" si="79"/>
        <v>–</v>
      </c>
    </row>
    <row r="176" spans="1:20" ht="48.75" x14ac:dyDescent="0.25">
      <c r="A176" s="255" t="str">
        <f>CONCATENATE('3 pr-2'!A178)</f>
        <v>3.1.2.1.5</v>
      </c>
      <c r="B176" s="473" t="s">
        <v>785</v>
      </c>
      <c r="C176" s="255" t="str">
        <f>CONCATENATE('3 pr-2'!D178)</f>
        <v>Bešeimininkių apleistų pastatų Druskininkų savivaldybės teritorijoje likvidavimas</v>
      </c>
      <c r="D176" s="255" t="str">
        <f>CONCATENATE('3 pr-2'!E178)</f>
        <v>Druskininkų savivaldybės administracija</v>
      </c>
      <c r="E176" s="255" t="str">
        <f>CONCATENATE('3 pr-2'!F178)</f>
        <v>Lietuvos Respublikos aplinkos ministerija</v>
      </c>
      <c r="F176" s="255" t="str">
        <f>CONCATENATE('3 pr-2'!G178)</f>
        <v>Druskininkų savivaldybė</v>
      </c>
      <c r="G176" s="255" t="str">
        <f>CONCATENATE('3 pr-2'!H178)</f>
        <v>05.5.1-APVA-R-019</v>
      </c>
      <c r="H176" s="255" t="str">
        <f>CONCATENATE('3 pr-2'!I178)</f>
        <v>R</v>
      </c>
      <c r="I176" s="255" t="str">
        <f>CONCATENATE('3 pr-2'!J178)</f>
        <v>-</v>
      </c>
      <c r="J176" s="474">
        <f>IF(Q176&gt;0,'3 pr-2'!L178,0)</f>
        <v>121153.55</v>
      </c>
      <c r="K176" s="474">
        <f>IF(Q176&gt;0,'3 pr-2'!O178,0)</f>
        <v>18173.03</v>
      </c>
      <c r="L176" s="474">
        <f>IF(Q176&gt;0,'3 pr-2'!R178,0)</f>
        <v>0</v>
      </c>
      <c r="M176" s="474">
        <f>IF(Q176&gt;0,'3 pr-2'!U178,0)</f>
        <v>0</v>
      </c>
      <c r="N176" s="474">
        <f>IF(Q176&gt;0,'3 pr-2'!X178,0)</f>
        <v>0</v>
      </c>
      <c r="O176" s="474">
        <f>IF(Q176&gt;0,'3 pr-2'!AA178,0)</f>
        <v>102980.52</v>
      </c>
      <c r="P176" s="290">
        <f>SUM('3 pr-2'!AF178)</f>
        <v>42704</v>
      </c>
      <c r="Q176" s="675">
        <v>42632</v>
      </c>
      <c r="R176" s="291">
        <f t="shared" ref="R176" si="81">IF((YEAR(P176)-YEAR(Q176))=0,0,YEAR(P176)-YEAR(Q176))</f>
        <v>0</v>
      </c>
      <c r="S176" s="720" t="str">
        <f t="shared" si="79"/>
        <v>–</v>
      </c>
    </row>
    <row r="177" spans="1:19" ht="48.75" x14ac:dyDescent="0.25">
      <c r="A177" s="255" t="str">
        <f>CONCATENATE('3 pr-2'!A179)</f>
        <v>3.1.2.1.6</v>
      </c>
      <c r="B177" s="473" t="s">
        <v>783</v>
      </c>
      <c r="C177" s="255" t="str">
        <f>CONCATENATE('3 pr-2'!D179)</f>
        <v>Kraštovaizdžio formavimas Lazdijų rajono savivaldybėje</v>
      </c>
      <c r="D177" s="255" t="str">
        <f>CONCATENATE('3 pr-2'!E179)</f>
        <v>Lazdijų rajono savivaldybės administracija</v>
      </c>
      <c r="E177" s="255" t="str">
        <f>CONCATENATE('3 pr-2'!F179)</f>
        <v>Lietuvos Respublikos aplinkos ministerija</v>
      </c>
      <c r="F177" s="255" t="str">
        <f>CONCATENATE('3 pr-2'!G179)</f>
        <v>Lazdijų rajono savivaldybė</v>
      </c>
      <c r="G177" s="255" t="str">
        <f>CONCATENATE('3 pr-2'!H179)</f>
        <v>05.5.1-APVA-R-019</v>
      </c>
      <c r="H177" s="255" t="str">
        <f>CONCATENATE('3 pr-2'!I179)</f>
        <v>R</v>
      </c>
      <c r="I177" s="255" t="str">
        <f>CONCATENATE('3 pr-2'!J179)</f>
        <v>-</v>
      </c>
      <c r="J177" s="474">
        <f>IF(Q177&gt;0,'3 pr-2'!L179,0)</f>
        <v>442298.58999999997</v>
      </c>
      <c r="K177" s="474">
        <f>IF(Q177&gt;0,'3 pr-2'!O179,0)</f>
        <v>66344.78</v>
      </c>
      <c r="L177" s="474">
        <f>IF(Q177&gt;0,'3 pr-2'!R179,0)</f>
        <v>0</v>
      </c>
      <c r="M177" s="474">
        <f>IF(Q177&gt;0,'3 pr-2'!U179,0)</f>
        <v>0</v>
      </c>
      <c r="N177" s="474">
        <f>IF(Q177&gt;0,'3 pr-2'!X179,0)</f>
        <v>0</v>
      </c>
      <c r="O177" s="474">
        <f>IF(Q177&gt;0,'3 pr-2'!AA179,0)</f>
        <v>375953.81</v>
      </c>
      <c r="P177" s="290">
        <f>SUM('3 pr-2'!AF179)</f>
        <v>42704</v>
      </c>
      <c r="Q177" s="675">
        <v>42703</v>
      </c>
      <c r="R177" s="291">
        <f t="shared" ref="R177" si="82">IF((YEAR(P177)-YEAR(Q177))=0,0,YEAR(P177)-YEAR(Q177))</f>
        <v>0</v>
      </c>
      <c r="S177" s="720" t="str">
        <f t="shared" si="79"/>
        <v>–</v>
      </c>
    </row>
    <row r="178" spans="1:19" ht="48.75" x14ac:dyDescent="0.25">
      <c r="A178" s="255" t="str">
        <f>CONCATENATE('3 pr-2'!A180)</f>
        <v>3.1.2.1.7</v>
      </c>
      <c r="B178" s="473"/>
      <c r="C178" s="255" t="str">
        <f>CONCATENATE('3 pr-2'!D180)</f>
        <v>Kraštovaizdžio formavimas Lazdijų rajono savivaldybėje (II etapas)</v>
      </c>
      <c r="D178" s="255" t="str">
        <f>CONCATENATE('3 pr-2'!E180)</f>
        <v>Lazdijų rajono savivaldybės administracija</v>
      </c>
      <c r="E178" s="255" t="str">
        <f>CONCATENATE('3 pr-2'!F180)</f>
        <v>Lietuvos Respublikos aplinkos ministerija</v>
      </c>
      <c r="F178" s="255" t="str">
        <f>CONCATENATE('3 pr-2'!G180)</f>
        <v>Lazdijų rajono savivaldybė</v>
      </c>
      <c r="G178" s="255" t="str">
        <f>CONCATENATE('3 pr-2'!H180)</f>
        <v>05.5.1-APVA-R-019</v>
      </c>
      <c r="H178" s="255" t="str">
        <f>CONCATENATE('3 pr-2'!I180)</f>
        <v>R</v>
      </c>
      <c r="I178" s="255" t="str">
        <f>CONCATENATE('3 pr-2'!J180)</f>
        <v>-</v>
      </c>
      <c r="J178" s="474">
        <f>IF(Q178&gt;0,'3 pr-2'!L180,0)</f>
        <v>0</v>
      </c>
      <c r="K178" s="474">
        <f>IF(Q178&gt;0,'3 pr-2'!O180,0)</f>
        <v>0</v>
      </c>
      <c r="L178" s="474">
        <f>IF(Q178&gt;0,'3 pr-2'!R180,0)</f>
        <v>0</v>
      </c>
      <c r="M178" s="474">
        <f>IF(Q178&gt;0,'3 pr-2'!U180,0)</f>
        <v>0</v>
      </c>
      <c r="N178" s="474">
        <f>IF(Q178&gt;0,'3 pr-2'!X180,0)</f>
        <v>0</v>
      </c>
      <c r="O178" s="474">
        <f>IF(Q178&gt;0,'3 pr-2'!AA180,0)</f>
        <v>0</v>
      </c>
      <c r="P178" s="290">
        <f>SUM('3 pr-2'!AF180)</f>
        <v>43343</v>
      </c>
      <c r="Q178" s="290"/>
      <c r="R178" s="291"/>
      <c r="S178" s="720" t="str">
        <f t="shared" si="79"/>
        <v>–</v>
      </c>
    </row>
    <row r="179" spans="1:19" ht="48.75" x14ac:dyDescent="0.25">
      <c r="A179" s="255" t="str">
        <f>CONCATENATE('3 pr-2'!A181)</f>
        <v>3.1.2.1.8</v>
      </c>
      <c r="B179" s="473"/>
      <c r="C179" s="255" t="str">
        <f>CONCATENATE('3 pr-2'!D181)</f>
        <v>Bešeimininkių apleistų pastatų ir įrenginių tvarkymas Alytaus rajono savivaldybėje (II etapas)</v>
      </c>
      <c r="D179" s="255" t="str">
        <f>CONCATENATE('3 pr-2'!E181)</f>
        <v>Alytaus rajono savivaldybės administracija</v>
      </c>
      <c r="E179" s="255" t="str">
        <f>CONCATENATE('3 pr-2'!F181)</f>
        <v>Lietuvos Respublikos aplinkos ministerija</v>
      </c>
      <c r="F179" s="255" t="str">
        <f>CONCATENATE('3 pr-2'!G181)</f>
        <v>Alytaus rajono savivaldybė</v>
      </c>
      <c r="G179" s="255" t="str">
        <f>CONCATENATE('3 pr-2'!H181)</f>
        <v>05.5.1-APVA-R-019</v>
      </c>
      <c r="H179" s="255" t="str">
        <f>CONCATENATE('3 pr-2'!I181)</f>
        <v>R</v>
      </c>
      <c r="I179" s="255" t="str">
        <f>CONCATENATE('3 pr-2'!J181)</f>
        <v>-</v>
      </c>
      <c r="J179" s="474">
        <f>IF(Q179&gt;0,'3 pr-2'!L181,0)</f>
        <v>0</v>
      </c>
      <c r="K179" s="474">
        <f>IF(Q179&gt;0,'3 pr-2'!O181,0)</f>
        <v>0</v>
      </c>
      <c r="L179" s="474">
        <f>IF(Q179&gt;0,'3 pr-2'!R181,0)</f>
        <v>0</v>
      </c>
      <c r="M179" s="474">
        <f>IF(Q179&gt;0,'3 pr-2'!U181,0)</f>
        <v>0</v>
      </c>
      <c r="N179" s="474">
        <f>IF(Q179&gt;0,'3 pr-2'!X181,0)</f>
        <v>0</v>
      </c>
      <c r="O179" s="474">
        <f>IF(Q179&gt;0,'3 pr-2'!AA181,0)</f>
        <v>0</v>
      </c>
      <c r="P179" s="290">
        <f>SUM('3 pr-2'!AF181)</f>
        <v>43159</v>
      </c>
      <c r="Q179" s="291"/>
      <c r="R179" s="291" t="s">
        <v>725</v>
      </c>
      <c r="S179" s="720" t="str">
        <f t="shared" si="79"/>
        <v>–</v>
      </c>
    </row>
    <row r="181" spans="1:19" x14ac:dyDescent="0.25">
      <c r="J181" t="str">
        <f>CONCATENATE(J32+J38+J45+J49+J55+J57+J61+J66+J73+J85+J91+J101+J107+J113+J120+J133+J139+J146+J152+J159+J168+J171)</f>
        <v>52117192,95</v>
      </c>
    </row>
  </sheetData>
  <autoFilter ref="A1:S180">
    <filterColumn colId="0" showButton="0"/>
    <filterColumn colId="1" showButton="0"/>
    <filterColumn colId="2" showButton="0"/>
    <filterColumn colId="3" showButton="0"/>
    <filterColumn colId="4" showButton="0"/>
    <filterColumn colId="5" showButton="0"/>
    <filterColumn colId="6" showButton="0"/>
    <filterColumn colId="7" showButton="0"/>
    <filterColumn colId="8" showButton="0"/>
    <filterColumn colId="9" showButton="0"/>
  </autoFilter>
  <mergeCells count="39">
    <mergeCell ref="C166:I166"/>
    <mergeCell ref="C167:I167"/>
    <mergeCell ref="C168:I168"/>
    <mergeCell ref="C170:I170"/>
    <mergeCell ref="C171:I171"/>
    <mergeCell ref="C145:I145"/>
    <mergeCell ref="C146:I146"/>
    <mergeCell ref="C152:I152"/>
    <mergeCell ref="C158:I158"/>
    <mergeCell ref="C159:I159"/>
    <mergeCell ref="C113:I113"/>
    <mergeCell ref="C119:I119"/>
    <mergeCell ref="C133:I133"/>
    <mergeCell ref="C91:I91"/>
    <mergeCell ref="C99:I99"/>
    <mergeCell ref="C100:I100"/>
    <mergeCell ref="C101:I101"/>
    <mergeCell ref="C120:I120"/>
    <mergeCell ref="C55:I55"/>
    <mergeCell ref="C57:I57"/>
    <mergeCell ref="C61:I61"/>
    <mergeCell ref="C66:I66"/>
    <mergeCell ref="C107:I107"/>
    <mergeCell ref="C139:I139"/>
    <mergeCell ref="C38:I38"/>
    <mergeCell ref="P2:S2"/>
    <mergeCell ref="C45:I45"/>
    <mergeCell ref="A1:K1"/>
    <mergeCell ref="A2:I2"/>
    <mergeCell ref="J2:O2"/>
    <mergeCell ref="C6:I6"/>
    <mergeCell ref="C8:I8"/>
    <mergeCell ref="C32:I32"/>
    <mergeCell ref="C7:I7"/>
    <mergeCell ref="C72:I72"/>
    <mergeCell ref="C73:I73"/>
    <mergeCell ref="C78:I78"/>
    <mergeCell ref="C85:I85"/>
    <mergeCell ref="C49:I49"/>
  </mergeCells>
  <pageMargins left="0.25" right="0.25" top="0.75" bottom="0.75" header="0.3" footer="0.3"/>
  <pageSetup paperSize="8" scale="90" fitToHeight="0"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81"/>
  <sheetViews>
    <sheetView workbookViewId="0">
      <pane ySplit="3240" topLeftCell="A34" activePane="bottomLeft"/>
      <selection activeCell="P3" sqref="P3:S3"/>
      <selection pane="bottomLeft" activeCell="K163" sqref="K163"/>
    </sheetView>
  </sheetViews>
  <sheetFormatPr defaultRowHeight="15" x14ac:dyDescent="0.25"/>
  <cols>
    <col min="1" max="1" width="7.85546875" customWidth="1"/>
    <col min="2" max="2" width="13" hidden="1" customWidth="1"/>
    <col min="3" max="3" width="37.28515625" customWidth="1"/>
    <col min="4" max="4" width="13.140625" customWidth="1"/>
    <col min="5" max="5" width="13" customWidth="1"/>
    <col min="6" max="6" width="11.28515625" customWidth="1"/>
    <col min="7" max="7" width="27.140625" customWidth="1"/>
    <col min="8" max="8" width="5.42578125" customWidth="1"/>
    <col min="9" max="9" width="5.5703125" customWidth="1"/>
    <col min="10" max="10" width="14.28515625" customWidth="1"/>
    <col min="11" max="11" width="12.85546875" customWidth="1"/>
    <col min="12" max="13" width="12.7109375" customWidth="1"/>
    <col min="15" max="15" width="14.28515625" customWidth="1"/>
    <col min="16" max="16" width="9" customWidth="1"/>
    <col min="17" max="17" width="9.5703125" customWidth="1"/>
    <col min="18" max="18" width="9.7109375" customWidth="1"/>
    <col min="19" max="19" width="11.5703125" customWidth="1"/>
  </cols>
  <sheetData>
    <row r="1" spans="1:19" ht="15.75" x14ac:dyDescent="0.25">
      <c r="A1" s="1806" t="s">
        <v>741</v>
      </c>
      <c r="B1" s="1806"/>
      <c r="C1" s="1807"/>
      <c r="D1" s="1807"/>
      <c r="E1" s="1807"/>
      <c r="F1" s="1807"/>
      <c r="G1" s="1807"/>
      <c r="H1" s="1807"/>
      <c r="I1" s="1807"/>
      <c r="J1" s="1807"/>
      <c r="K1" s="1807"/>
    </row>
    <row r="2" spans="1:19" ht="15.75" thickBot="1" x14ac:dyDescent="0.3"/>
    <row r="3" spans="1:19" ht="47.25" customHeight="1" thickTop="1" thickBot="1" x14ac:dyDescent="0.3">
      <c r="A3" s="1808" t="s">
        <v>46</v>
      </c>
      <c r="B3" s="1809"/>
      <c r="C3" s="1809"/>
      <c r="D3" s="1809"/>
      <c r="E3" s="1809"/>
      <c r="F3" s="1809"/>
      <c r="G3" s="1809"/>
      <c r="H3" s="1809"/>
      <c r="I3" s="1809"/>
      <c r="J3" s="1796" t="s">
        <v>47</v>
      </c>
      <c r="K3" s="1797"/>
      <c r="L3" s="1797"/>
      <c r="M3" s="1797"/>
      <c r="N3" s="1797"/>
      <c r="O3" s="1798"/>
      <c r="P3" s="1810" t="s">
        <v>1378</v>
      </c>
      <c r="Q3" s="1811"/>
      <c r="R3" s="1811"/>
      <c r="S3" s="1812"/>
    </row>
    <row r="4" spans="1:19" ht="64.5" thickBot="1" x14ac:dyDescent="0.3">
      <c r="A4" s="272" t="s">
        <v>7</v>
      </c>
      <c r="B4" s="318" t="s">
        <v>739</v>
      </c>
      <c r="C4" s="273" t="s">
        <v>49</v>
      </c>
      <c r="D4" s="273" t="s">
        <v>50</v>
      </c>
      <c r="E4" s="273" t="s">
        <v>51</v>
      </c>
      <c r="F4" s="273" t="s">
        <v>52</v>
      </c>
      <c r="G4" s="273" t="s">
        <v>722</v>
      </c>
      <c r="H4" s="273" t="s">
        <v>723</v>
      </c>
      <c r="I4" s="274" t="s">
        <v>724</v>
      </c>
      <c r="J4" s="275" t="s">
        <v>57</v>
      </c>
      <c r="K4" s="276" t="s">
        <v>58</v>
      </c>
      <c r="L4" s="276" t="s">
        <v>59</v>
      </c>
      <c r="M4" s="276" t="s">
        <v>60</v>
      </c>
      <c r="N4" s="276" t="s">
        <v>61</v>
      </c>
      <c r="O4" s="277" t="s">
        <v>10</v>
      </c>
      <c r="P4" s="287" t="s">
        <v>1383</v>
      </c>
      <c r="Q4" s="287" t="s">
        <v>737</v>
      </c>
      <c r="R4" s="285" t="s">
        <v>1380</v>
      </c>
      <c r="S4" s="285" t="s">
        <v>1380</v>
      </c>
    </row>
    <row r="5" spans="1:19" ht="16.5" thickBot="1" x14ac:dyDescent="0.3">
      <c r="A5" s="252"/>
      <c r="B5" s="319"/>
      <c r="C5" s="253"/>
      <c r="D5" s="253"/>
      <c r="E5" s="253"/>
      <c r="F5" s="253"/>
      <c r="G5" s="253"/>
      <c r="H5" s="253"/>
      <c r="I5" s="257"/>
      <c r="J5" s="258"/>
      <c r="K5" s="259"/>
      <c r="L5" s="259"/>
      <c r="M5" s="259"/>
      <c r="N5" s="259"/>
      <c r="O5" s="269"/>
      <c r="P5" s="270" t="s">
        <v>725</v>
      </c>
      <c r="Q5" s="270" t="s">
        <v>728</v>
      </c>
      <c r="R5" s="256" t="s">
        <v>1384</v>
      </c>
      <c r="S5" s="256" t="s">
        <v>735</v>
      </c>
    </row>
    <row r="6" spans="1:19" ht="16.5" thickBot="1" x14ac:dyDescent="0.3">
      <c r="A6" s="281"/>
      <c r="B6" s="320"/>
      <c r="C6" s="282"/>
      <c r="D6" s="282"/>
      <c r="E6" s="282"/>
      <c r="F6" s="282"/>
      <c r="G6" s="282"/>
      <c r="H6" s="282"/>
      <c r="I6" s="282"/>
      <c r="J6" s="258"/>
      <c r="K6" s="259"/>
      <c r="L6" s="259"/>
      <c r="M6" s="259"/>
      <c r="N6" s="259"/>
      <c r="O6" s="269"/>
      <c r="P6" s="283"/>
      <c r="Q6" s="284"/>
      <c r="R6" s="256"/>
      <c r="S6" s="256"/>
    </row>
    <row r="7" spans="1:19" ht="77.25" customHeight="1" thickBot="1" x14ac:dyDescent="0.3">
      <c r="A7" s="221" t="str">
        <f>CONCATENATE('3 pr-2'!A7)</f>
        <v>1.1.</v>
      </c>
      <c r="B7" s="321"/>
      <c r="C7" s="1671" t="str">
        <f>CONCATENATE('3 pr-2'!D7)</f>
        <v/>
      </c>
      <c r="D7" s="1803" t="str">
        <f>CONCATENATE('3 pr-2'!E7)</f>
        <v/>
      </c>
      <c r="E7" s="1803" t="str">
        <f>CONCATENATE('3 pr-2'!F7)</f>
        <v/>
      </c>
      <c r="F7" s="1803" t="str">
        <f>CONCATENATE('3 pr-2'!G7)</f>
        <v/>
      </c>
      <c r="G7" s="1803" t="str">
        <f>CONCATENATE('3 pr-2'!H7)</f>
        <v/>
      </c>
      <c r="H7" s="1803" t="str">
        <f>CONCATENATE('3 pr-2'!I7)</f>
        <v/>
      </c>
      <c r="I7" s="1803" t="str">
        <f>CONCATENATE('3 pr-2'!J7)</f>
        <v/>
      </c>
      <c r="J7" s="296">
        <f>SUM('3 pr-2'!L7)</f>
        <v>47273678.625294112</v>
      </c>
      <c r="K7" s="297">
        <f>SUM('3 pr-2'!O7)</f>
        <v>4499762.6952941176</v>
      </c>
      <c r="L7" s="297">
        <f>SUM('3 pr-2'!R7)</f>
        <v>1600234.9300000002</v>
      </c>
      <c r="M7" s="297">
        <f>SUM('3 pr-2'!U7)</f>
        <v>8638955.3399999999</v>
      </c>
      <c r="N7" s="297">
        <f>SUM('3 pr-2'!X7)</f>
        <v>62660</v>
      </c>
      <c r="O7" s="298">
        <f>SUM('3 pr-2'!AA7)</f>
        <v>32300292.659999996</v>
      </c>
      <c r="P7" s="279" t="s">
        <v>725</v>
      </c>
      <c r="Q7" s="260" t="s">
        <v>725</v>
      </c>
      <c r="R7" s="261" t="s">
        <v>725</v>
      </c>
      <c r="S7" s="261"/>
    </row>
    <row r="8" spans="1:19" ht="33" customHeight="1" thickBot="1" x14ac:dyDescent="0.3">
      <c r="A8" s="220" t="s">
        <v>726</v>
      </c>
      <c r="B8" s="322"/>
      <c r="C8" s="1668" t="str">
        <f>CONCATENATE('3 pr-2'!D8)</f>
        <v/>
      </c>
      <c r="D8" s="1595" t="str">
        <f>CONCATENATE('3 pr-2'!E8)</f>
        <v/>
      </c>
      <c r="E8" s="1595" t="str">
        <f>CONCATENATE('3 pr-2'!F8)</f>
        <v/>
      </c>
      <c r="F8" s="1595" t="str">
        <f>CONCATENATE('3 pr-2'!G8)</f>
        <v/>
      </c>
      <c r="G8" s="1595" t="str">
        <f>CONCATENATE('3 pr-2'!H8)</f>
        <v/>
      </c>
      <c r="H8" s="1595" t="str">
        <f>CONCATENATE('3 pr-2'!I8)</f>
        <v/>
      </c>
      <c r="I8" s="1595" t="str">
        <f>CONCATENATE('3 pr-2'!J8)</f>
        <v/>
      </c>
      <c r="J8" s="295">
        <f>SUM('3 pr-2'!L8)</f>
        <v>38611337.177058816</v>
      </c>
      <c r="K8" s="295">
        <f>SUM('3 pr-2'!O8)</f>
        <v>2665278.1070588236</v>
      </c>
      <c r="L8" s="295">
        <f>SUM('3 pr-2'!R8)</f>
        <v>1600234.9300000002</v>
      </c>
      <c r="M8" s="295">
        <f>SUM('3 pr-2'!U8)</f>
        <v>8216263.3399999999</v>
      </c>
      <c r="N8" s="295">
        <f>SUM('3 pr-2'!X8)</f>
        <v>0</v>
      </c>
      <c r="O8" s="295">
        <f>SUM('3 pr-2'!AA8)</f>
        <v>25957787.799999997</v>
      </c>
      <c r="P8" s="280" t="s">
        <v>725</v>
      </c>
      <c r="Q8" s="262" t="s">
        <v>725</v>
      </c>
      <c r="R8" s="263" t="s">
        <v>725</v>
      </c>
      <c r="S8" s="263"/>
    </row>
    <row r="9" spans="1:19" ht="33.75" customHeight="1" thickBot="1" x14ac:dyDescent="0.3">
      <c r="A9" s="488" t="s">
        <v>67</v>
      </c>
      <c r="B9" s="790"/>
      <c r="C9" s="1656" t="str">
        <f>CONCATENATE('3 pr-2'!D9)</f>
        <v/>
      </c>
      <c r="D9" s="1802" t="str">
        <f>CONCATENATE('3 pr-2'!E9)</f>
        <v/>
      </c>
      <c r="E9" s="1802" t="str">
        <f>CONCATENATE('3 pr-2'!F9)</f>
        <v/>
      </c>
      <c r="F9" s="1802" t="str">
        <f>CONCATENATE('3 pr-2'!G9)</f>
        <v/>
      </c>
      <c r="G9" s="1802" t="str">
        <f>CONCATENATE('3 pr-2'!H9)</f>
        <v/>
      </c>
      <c r="H9" s="1802" t="str">
        <f>CONCATENATE('3 pr-2'!I9)</f>
        <v/>
      </c>
      <c r="I9" s="1802" t="str">
        <f>CONCATENATE('3 pr-2'!J9)</f>
        <v/>
      </c>
      <c r="J9" s="791">
        <f>SUM(J10:J32)</f>
        <v>4207747</v>
      </c>
      <c r="K9" s="791">
        <f t="shared" ref="K9:O9" si="0">SUM(K10:K32)</f>
        <v>908274</v>
      </c>
      <c r="L9" s="791">
        <f t="shared" si="0"/>
        <v>494922</v>
      </c>
      <c r="M9" s="791">
        <f t="shared" si="0"/>
        <v>0</v>
      </c>
      <c r="N9" s="791">
        <f t="shared" si="0"/>
        <v>0</v>
      </c>
      <c r="O9" s="792">
        <f t="shared" si="0"/>
        <v>2804551</v>
      </c>
      <c r="P9" s="793"/>
      <c r="Q9" s="794"/>
      <c r="R9" s="795"/>
      <c r="S9" s="795"/>
    </row>
    <row r="10" spans="1:19" ht="49.5" thickBot="1" x14ac:dyDescent="0.3">
      <c r="A10" s="254" t="str">
        <f>CONCATENATE('3 pr-2'!A10)</f>
        <v>1.1.1.1.1</v>
      </c>
      <c r="B10" s="323"/>
      <c r="C10" s="255" t="str">
        <f>CONCATENATE('3 pr-2'!D10)</f>
        <v xml:space="preserve">Druskininkų savivaldybės Viečiūnų seniūnijos Ilgio ir Raigardo seniūnaitijų kelių būklės gerinimas  </v>
      </c>
      <c r="D10" s="255" t="str">
        <f>CONCATENATE('3 pr-2'!E10)</f>
        <v xml:space="preserve">Druskininkų savivaldybės administracija  </v>
      </c>
      <c r="E10" s="255" t="str">
        <f>CONCATENATE('3 pr-2'!F10)</f>
        <v>Lietuvos Respublikos žemės ūkio ministerija</v>
      </c>
      <c r="F10" s="255" t="str">
        <f>CONCATENATE('3 pr-2'!G10)</f>
        <v>Druskininkų savivaldybė</v>
      </c>
      <c r="G10" s="255" t="str">
        <f>CONCATENATE('3 pr-2'!H10)</f>
        <v xml:space="preserve">Pagrindinės paslaugos ir kaimų atnaujinimas kaimo vietovėse </v>
      </c>
      <c r="H10" s="255" t="str">
        <f>CONCATENATE('3 pr-2'!I10)</f>
        <v>R</v>
      </c>
      <c r="I10" s="265" t="str">
        <f>CONCATENATE('3 pr-2'!J10)</f>
        <v>-</v>
      </c>
      <c r="J10" s="266">
        <f>SUM('3 pr-2'!L10)</f>
        <v>198893</v>
      </c>
      <c r="K10" s="267">
        <f>SUM('3 pr-2'!O10)</f>
        <v>39779</v>
      </c>
      <c r="L10" s="267">
        <f>SUM('3 pr-2'!R10)</f>
        <v>23867</v>
      </c>
      <c r="M10" s="267">
        <f>SUM('3 pr-2'!U10)</f>
        <v>0</v>
      </c>
      <c r="N10" s="267">
        <f>SUM('3 pr-2'!X10)</f>
        <v>0</v>
      </c>
      <c r="O10" s="268">
        <f>SUM('3 pr-2'!AA10)</f>
        <v>135247</v>
      </c>
      <c r="P10" s="288">
        <f>SUM('3 pr-2'!AE10)</f>
        <v>42643</v>
      </c>
      <c r="Q10" s="349">
        <v>42643</v>
      </c>
      <c r="R10" s="264">
        <f t="shared" ref="R10:R32" si="1">SUM(P10-Q10)</f>
        <v>0</v>
      </c>
      <c r="S10" s="264">
        <f>IF((MONTH(P10)-MONTH(Q10))=0,0,MONTH(P10)-MONTH(Q10))</f>
        <v>0</v>
      </c>
    </row>
    <row r="11" spans="1:19" ht="49.5" thickBot="1" x14ac:dyDescent="0.3">
      <c r="A11" s="254" t="str">
        <f>CONCATENATE('3 pr-2'!A11)</f>
        <v>1.1.1.1.2</v>
      </c>
      <c r="B11" s="323"/>
      <c r="C11" s="255" t="str">
        <f>CONCATENATE('3 pr-2'!D11)</f>
        <v>Druskininkų savivaldybės Viečiūnų seniūnijos Ratnyčėlės seniūnaitijos kelių būklės gerinimas</v>
      </c>
      <c r="D11" s="255" t="str">
        <f>CONCATENATE('3 pr-2'!E11)</f>
        <v xml:space="preserve">Druskininkų savivaldybės administracija  </v>
      </c>
      <c r="E11" s="255" t="str">
        <f>CONCATENATE('3 pr-2'!F11)</f>
        <v>Lietuvos Respublikos žemės ūkio ministerija</v>
      </c>
      <c r="F11" s="255" t="str">
        <f>CONCATENATE('3 pr-2'!G11)</f>
        <v>Druskininkų savivaldybė</v>
      </c>
      <c r="G11" s="255" t="str">
        <f>CONCATENATE('3 pr-2'!H11)</f>
        <v xml:space="preserve">Pagrindinės paslaugos ir kaimų atnaujinimas kaimo vietovėse </v>
      </c>
      <c r="H11" s="255" t="str">
        <f>CONCATENATE('3 pr-2'!I11)</f>
        <v>R</v>
      </c>
      <c r="I11" s="265" t="str">
        <f>CONCATENATE('3 pr-2'!J11)</f>
        <v>-</v>
      </c>
      <c r="J11" s="266">
        <f>SUM('3 pr-2'!L11)</f>
        <v>151340</v>
      </c>
      <c r="K11" s="267">
        <f>SUM('3 pr-2'!O11)</f>
        <v>30268</v>
      </c>
      <c r="L11" s="267">
        <f>SUM('3 pr-2'!R11)</f>
        <v>18161</v>
      </c>
      <c r="M11" s="267">
        <f>SUM('3 pr-2'!U11)</f>
        <v>0</v>
      </c>
      <c r="N11" s="267">
        <f>SUM('3 pr-2'!X11)</f>
        <v>0</v>
      </c>
      <c r="O11" s="268">
        <f>SUM('3 pr-2'!AA11)</f>
        <v>102911</v>
      </c>
      <c r="P11" s="288">
        <f>SUM('3 pr-2'!AE11)</f>
        <v>42643</v>
      </c>
      <c r="Q11" s="349">
        <v>42643</v>
      </c>
      <c r="R11" s="264">
        <f t="shared" si="1"/>
        <v>0</v>
      </c>
      <c r="S11" s="264">
        <f t="shared" ref="S11:S32" si="2">IF((MONTH(P11)-MONTH(Q11))=0,0,MONTH(P11)-MONTH(Q11))</f>
        <v>0</v>
      </c>
    </row>
    <row r="12" spans="1:19" ht="49.5" thickBot="1" x14ac:dyDescent="0.3">
      <c r="A12" s="254" t="str">
        <f>CONCATENATE('3 pr-2'!A12)</f>
        <v>1.1.1.1.3</v>
      </c>
      <c r="B12" s="323"/>
      <c r="C12" s="255" t="str">
        <f>CONCATENATE('3 pr-2'!D12)</f>
        <v>Druskininkų savivaldybės Leipalingio seniūnijos Klonio seniūnaitijos kelių būklės gerinimas</v>
      </c>
      <c r="D12" s="255" t="str">
        <f>CONCATENATE('3 pr-2'!E12)</f>
        <v xml:space="preserve">Druskininkų savivaldybės administracija  </v>
      </c>
      <c r="E12" s="255" t="str">
        <f>CONCATENATE('3 pr-2'!F12)</f>
        <v>Lietuvos Respublikos žemės ūkio ministerija</v>
      </c>
      <c r="F12" s="255" t="str">
        <f>CONCATENATE('3 pr-2'!G12)</f>
        <v>Druskininkų savivaldybė</v>
      </c>
      <c r="G12" s="255" t="str">
        <f>CONCATENATE('3 pr-2'!H12)</f>
        <v xml:space="preserve">Pagrindinės paslaugos ir kaimų atnaujinimas kaimo vietovėse </v>
      </c>
      <c r="H12" s="255" t="str">
        <f>CONCATENATE('3 pr-2'!I12)</f>
        <v>R</v>
      </c>
      <c r="I12" s="265" t="str">
        <f>CONCATENATE('3 pr-2'!J12)</f>
        <v>-</v>
      </c>
      <c r="J12" s="266">
        <f>SUM('3 pr-2'!L12)</f>
        <v>193059</v>
      </c>
      <c r="K12" s="267">
        <f>SUM('3 pr-2'!O12)</f>
        <v>38612</v>
      </c>
      <c r="L12" s="267">
        <f>SUM('3 pr-2'!R12)</f>
        <v>23167</v>
      </c>
      <c r="M12" s="267">
        <f>SUM('3 pr-2'!U12)</f>
        <v>0</v>
      </c>
      <c r="N12" s="267">
        <f>SUM('3 pr-2'!X12)</f>
        <v>0</v>
      </c>
      <c r="O12" s="268">
        <f>SUM('3 pr-2'!AA12)</f>
        <v>131280</v>
      </c>
      <c r="P12" s="288">
        <f>SUM('3 pr-2'!AE12)</f>
        <v>42643</v>
      </c>
      <c r="Q12" s="349">
        <v>42643</v>
      </c>
      <c r="R12" s="264">
        <f t="shared" si="1"/>
        <v>0</v>
      </c>
      <c r="S12" s="264">
        <f t="shared" si="2"/>
        <v>0</v>
      </c>
    </row>
    <row r="13" spans="1:19" ht="49.5" thickBot="1" x14ac:dyDescent="0.3">
      <c r="A13" s="254" t="str">
        <f>CONCATENATE('3 pr-2'!A13)</f>
        <v>1.1.1.1.4</v>
      </c>
      <c r="B13" s="323"/>
      <c r="C13" s="255" t="str">
        <f>CONCATENATE('3 pr-2'!D13)</f>
        <v>Rudaminos laisvalaikio salės pritaikymas bendruomenės poreikiams ir liaudies amatų plėtrai</v>
      </c>
      <c r="D13" s="255" t="str">
        <f>CONCATENATE('3 pr-2'!E13)</f>
        <v>Viešoji įstaiga Lazdijų kultūros centras</v>
      </c>
      <c r="E13" s="255" t="str">
        <f>CONCATENATE('3 pr-2'!F13)</f>
        <v>Lietuvos Respublikos žemės ūkio ministerija</v>
      </c>
      <c r="F13" s="255" t="str">
        <f>CONCATENATE('3 pr-2'!G13)</f>
        <v>Lazdijų rajono savivaldybė</v>
      </c>
      <c r="G13" s="255" t="str">
        <f>CONCATENATE('3 pr-2'!H13)</f>
        <v xml:space="preserve">Pagrindinės paslaugos ir kaimų atnaujinimas kaimo vietovėse </v>
      </c>
      <c r="H13" s="255" t="str">
        <f>CONCATENATE('3 pr-2'!I13)</f>
        <v>R</v>
      </c>
      <c r="I13" s="265" t="str">
        <f>CONCATENATE('3 pr-2'!J13)</f>
        <v>-</v>
      </c>
      <c r="J13" s="266">
        <f>SUM('3 pr-2'!L13)</f>
        <v>125000</v>
      </c>
      <c r="K13" s="267">
        <f>SUM('3 pr-2'!O13)</f>
        <v>25000</v>
      </c>
      <c r="L13" s="267">
        <f>SUM('3 pr-2'!R13)</f>
        <v>15000</v>
      </c>
      <c r="M13" s="267">
        <f>SUM('3 pr-2'!U13)</f>
        <v>0</v>
      </c>
      <c r="N13" s="267">
        <f>SUM('3 pr-2'!X13)</f>
        <v>0</v>
      </c>
      <c r="O13" s="268">
        <f>SUM('3 pr-2'!AA13)</f>
        <v>85000</v>
      </c>
      <c r="P13" s="288">
        <f>SUM('3 pr-2'!AE13)</f>
        <v>42643</v>
      </c>
      <c r="Q13" s="349">
        <v>42643</v>
      </c>
      <c r="R13" s="264">
        <f t="shared" si="1"/>
        <v>0</v>
      </c>
      <c r="S13" s="264">
        <f t="shared" si="2"/>
        <v>0</v>
      </c>
    </row>
    <row r="14" spans="1:19" ht="49.5" thickBot="1" x14ac:dyDescent="0.3">
      <c r="A14" s="254" t="str">
        <f>CONCATENATE('3 pr-2'!A14)</f>
        <v>1.1.1.1.5</v>
      </c>
      <c r="B14" s="323"/>
      <c r="C14" s="255" t="str">
        <f>CONCATENATE('3 pr-2'!D14)</f>
        <v>Druskininkų savivaldybės Leipalingio seniūnijos Bilso seniūnaitijos kelių būklės gerinimas</v>
      </c>
      <c r="D14" s="255" t="str">
        <f>CONCATENATE('3 pr-2'!E14)</f>
        <v xml:space="preserve">Druskininkų savivaldybės administracija  </v>
      </c>
      <c r="E14" s="255" t="str">
        <f>CONCATENATE('3 pr-2'!F14)</f>
        <v>Lietuvos Respublikos žemės ūkio ministerija</v>
      </c>
      <c r="F14" s="255" t="str">
        <f>CONCATENATE('3 pr-2'!G14)</f>
        <v>Druskininkų savivaldybė</v>
      </c>
      <c r="G14" s="255" t="str">
        <f>CONCATENATE('3 pr-2'!H14)</f>
        <v xml:space="preserve">Pagrindinės paslaugos ir kaimų atnaujinimas kaimo vietovėse </v>
      </c>
      <c r="H14" s="255" t="str">
        <f>CONCATENATE('3 pr-2'!I14)</f>
        <v>R</v>
      </c>
      <c r="I14" s="265" t="str">
        <f>CONCATENATE('3 pr-2'!J14)</f>
        <v>-</v>
      </c>
      <c r="J14" s="266">
        <f>SUM('3 pr-2'!L14)</f>
        <v>240940</v>
      </c>
      <c r="K14" s="267">
        <f>SUM('3 pr-2'!O14)</f>
        <v>112896</v>
      </c>
      <c r="L14" s="267">
        <f>SUM('3 pr-2'!R14)</f>
        <v>19207</v>
      </c>
      <c r="M14" s="267">
        <f>SUM('3 pr-2'!U14)</f>
        <v>0</v>
      </c>
      <c r="N14" s="267">
        <f>SUM('3 pr-2'!X14)</f>
        <v>0</v>
      </c>
      <c r="O14" s="268">
        <f>SUM('3 pr-2'!AA14)</f>
        <v>108837</v>
      </c>
      <c r="P14" s="288">
        <f>SUM('3 pr-2'!AE14)</f>
        <v>42643</v>
      </c>
      <c r="Q14" s="349">
        <v>42643</v>
      </c>
      <c r="R14" s="264">
        <f t="shared" si="1"/>
        <v>0</v>
      </c>
      <c r="S14" s="264">
        <f t="shared" si="2"/>
        <v>0</v>
      </c>
    </row>
    <row r="15" spans="1:19" ht="61.5" thickBot="1" x14ac:dyDescent="0.3">
      <c r="A15" s="254" t="str">
        <f>CONCATENATE('3 pr-2'!A15)</f>
        <v>1.1.1.1.6</v>
      </c>
      <c r="B15" s="323"/>
      <c r="C15" s="255" t="str">
        <f>CONCATENATE('3 pr-2'!D15)</f>
        <v>Lazdijų rajono kaimų patrauklumo didinimas atnaujinant bibliotekas</v>
      </c>
      <c r="D15" s="255" t="str">
        <f>CONCATENATE('3 pr-2'!E15)</f>
        <v xml:space="preserve">Biudžetinė įstaiga Lazdijų rajono savivaldybės viešoji biblioteka </v>
      </c>
      <c r="E15" s="255" t="str">
        <f>CONCATENATE('3 pr-2'!F15)</f>
        <v>Lietuvos Respublikos žemės ūkio ministerija</v>
      </c>
      <c r="F15" s="255" t="str">
        <f>CONCATENATE('3 pr-2'!G15)</f>
        <v>Lazdijų rajono savivaldybė</v>
      </c>
      <c r="G15" s="255" t="str">
        <f>CONCATENATE('3 pr-2'!H15)</f>
        <v xml:space="preserve">Pagrindinės paslaugos ir kaimų atnaujinimas kaimo vietovėse </v>
      </c>
      <c r="H15" s="255" t="str">
        <f>CONCATENATE('3 pr-2'!I15)</f>
        <v>R</v>
      </c>
      <c r="I15" s="265" t="str">
        <f>CONCATENATE('3 pr-2'!J15)</f>
        <v>-</v>
      </c>
      <c r="J15" s="266">
        <f>SUM('3 pr-2'!L15)</f>
        <v>201000</v>
      </c>
      <c r="K15" s="267">
        <f>SUM('3 pr-2'!O15)</f>
        <v>40200</v>
      </c>
      <c r="L15" s="267">
        <f>SUM('3 pr-2'!R15)</f>
        <v>24120</v>
      </c>
      <c r="M15" s="267">
        <f>SUM('3 pr-2'!U15)</f>
        <v>0</v>
      </c>
      <c r="N15" s="267">
        <f>SUM('3 pr-2'!X15)</f>
        <v>0</v>
      </c>
      <c r="O15" s="268">
        <f>SUM('3 pr-2'!AA15)</f>
        <v>136680</v>
      </c>
      <c r="P15" s="288">
        <f>SUM('3 pr-2'!AE15)</f>
        <v>42643</v>
      </c>
      <c r="Q15" s="349">
        <v>42643</v>
      </c>
      <c r="R15" s="264">
        <f t="shared" si="1"/>
        <v>0</v>
      </c>
      <c r="S15" s="264">
        <f t="shared" si="2"/>
        <v>0</v>
      </c>
    </row>
    <row r="16" spans="1:19" ht="49.5" thickBot="1" x14ac:dyDescent="0.3">
      <c r="A16" s="254" t="str">
        <f>CONCATENATE('3 pr-2'!A16)</f>
        <v>1.1.1.1.7</v>
      </c>
      <c r="B16" s="323"/>
      <c r="C16" s="255" t="str">
        <f>CONCATENATE('3 pr-2'!D16)</f>
        <v>Alytaus rajono Miroslavo kaimo multifunkcinės sporto aikštės įrengimas ir gatvių bei šaligatvių rekonstrukcija</v>
      </c>
      <c r="D16" s="255" t="str">
        <f>CONCATENATE('3 pr-2'!E16)</f>
        <v>Alytaus rajono savivaldybės administracija</v>
      </c>
      <c r="E16" s="255" t="str">
        <f>CONCATENATE('3 pr-2'!F16)</f>
        <v>Lietuvos Respublikos žemės ūkio ministerija</v>
      </c>
      <c r="F16" s="255" t="str">
        <f>CONCATENATE('3 pr-2'!G16)</f>
        <v>Alytaus rajono savivaldybė</v>
      </c>
      <c r="G16" s="255" t="str">
        <f>CONCATENATE('3 pr-2'!H16)</f>
        <v xml:space="preserve">Pagrindinės paslaugos ir kaimų atnaujinimas kaimo vietovėse </v>
      </c>
      <c r="H16" s="255" t="str">
        <f>CONCATENATE('3 pr-2'!I16)</f>
        <v>R</v>
      </c>
      <c r="I16" s="265" t="str">
        <f>CONCATENATE('3 pr-2'!J16)</f>
        <v>-</v>
      </c>
      <c r="J16" s="266">
        <f>SUM('3 pr-2'!L16)</f>
        <v>252212</v>
      </c>
      <c r="K16" s="267">
        <f>SUM('3 pr-2'!O16)</f>
        <v>52212</v>
      </c>
      <c r="L16" s="267">
        <f>SUM('3 pr-2'!R16)</f>
        <v>30000</v>
      </c>
      <c r="M16" s="267">
        <f>SUM('3 pr-2'!U16)</f>
        <v>0</v>
      </c>
      <c r="N16" s="267">
        <f>SUM('3 pr-2'!X16)</f>
        <v>0</v>
      </c>
      <c r="O16" s="268">
        <f>SUM('3 pr-2'!AA16)</f>
        <v>170000</v>
      </c>
      <c r="P16" s="288">
        <f>SUM('3 pr-2'!AE16)</f>
        <v>42643</v>
      </c>
      <c r="Q16" s="349">
        <v>42643</v>
      </c>
      <c r="R16" s="264">
        <f t="shared" si="1"/>
        <v>0</v>
      </c>
      <c r="S16" s="264">
        <f t="shared" si="2"/>
        <v>0</v>
      </c>
    </row>
    <row r="17" spans="1:19" ht="49.5" thickBot="1" x14ac:dyDescent="0.3">
      <c r="A17" s="254" t="str">
        <f>CONCATENATE('3 pr-2'!A17)</f>
        <v>1.1.1.1.8</v>
      </c>
      <c r="B17" s="323"/>
      <c r="C17" s="255" t="str">
        <f>CONCATENATE('3 pr-2'!D17)</f>
        <v>Alytaus rajono Luksnėnų kaimo multifunkcinės sporto aikštės įrengimas ir gatvių rekonstrukcija</v>
      </c>
      <c r="D17" s="255" t="str">
        <f>CONCATENATE('3 pr-2'!E17)</f>
        <v>Alytaus rajono savivaldybės administracija</v>
      </c>
      <c r="E17" s="255" t="str">
        <f>CONCATENATE('3 pr-2'!F17)</f>
        <v>Lietuvos Respublikos žemės ūkio ministerija</v>
      </c>
      <c r="F17" s="255" t="str">
        <f>CONCATENATE('3 pr-2'!G17)</f>
        <v>Alytaus rajono savivaldybė</v>
      </c>
      <c r="G17" s="255" t="str">
        <f>CONCATENATE('3 pr-2'!H17)</f>
        <v xml:space="preserve">Pagrindinės paslaugos ir kaimų atnaujinimas kaimo vietovėse </v>
      </c>
      <c r="H17" s="255" t="str">
        <f>CONCATENATE('3 pr-2'!I17)</f>
        <v>R</v>
      </c>
      <c r="I17" s="265" t="str">
        <f>CONCATENATE('3 pr-2'!J17)</f>
        <v>-</v>
      </c>
      <c r="J17" s="266">
        <f>SUM('3 pr-2'!L17)</f>
        <v>250309</v>
      </c>
      <c r="K17" s="267">
        <f>SUM('3 pr-2'!O17)</f>
        <v>50309</v>
      </c>
      <c r="L17" s="267">
        <f>SUM('3 pr-2'!R17)</f>
        <v>30000</v>
      </c>
      <c r="M17" s="267">
        <f>SUM('3 pr-2'!U17)</f>
        <v>0</v>
      </c>
      <c r="N17" s="267">
        <f>SUM('3 pr-2'!X17)</f>
        <v>0</v>
      </c>
      <c r="O17" s="268">
        <f>SUM('3 pr-2'!AA17)</f>
        <v>170000</v>
      </c>
      <c r="P17" s="288">
        <f>SUM('3 pr-2'!AE17)</f>
        <v>42643</v>
      </c>
      <c r="Q17" s="349">
        <v>42643</v>
      </c>
      <c r="R17" s="264">
        <f t="shared" si="1"/>
        <v>0</v>
      </c>
      <c r="S17" s="264">
        <f t="shared" si="2"/>
        <v>0</v>
      </c>
    </row>
    <row r="18" spans="1:19" ht="49.5" thickBot="1" x14ac:dyDescent="0.3">
      <c r="A18" s="254" t="str">
        <f>CONCATENATE('3 pr-2'!A18)</f>
        <v>1.1.1.1.9</v>
      </c>
      <c r="B18" s="323"/>
      <c r="C18" s="255" t="str">
        <f>CONCATENATE('3 pr-2'!D18)</f>
        <v>Krikštonių laisvalaikio salės pritaikymas bendruomenės poreikiams</v>
      </c>
      <c r="D18" s="255" t="str">
        <f>CONCATENATE('3 pr-2'!E18)</f>
        <v xml:space="preserve">Viešoji įstaiga Lazdijų kultūros centras </v>
      </c>
      <c r="E18" s="255" t="str">
        <f>CONCATENATE('3 pr-2'!F18)</f>
        <v>Lietuvos Respublikos žemės ūkio ministerija</v>
      </c>
      <c r="F18" s="255" t="str">
        <f>CONCATENATE('3 pr-2'!G18)</f>
        <v>Lazdijų rajono savivaldybė</v>
      </c>
      <c r="G18" s="255" t="str">
        <f>CONCATENATE('3 pr-2'!H18)</f>
        <v xml:space="preserve">Pagrindinės paslaugos ir kaimų atnaujinimas kaimo vietovėse </v>
      </c>
      <c r="H18" s="255" t="str">
        <f>CONCATENATE('3 pr-2'!I18)</f>
        <v>R</v>
      </c>
      <c r="I18" s="265" t="str">
        <f>CONCATENATE('3 pr-2'!J18)</f>
        <v>-</v>
      </c>
      <c r="J18" s="266">
        <f>SUM('3 pr-2'!L18)</f>
        <v>250000</v>
      </c>
      <c r="K18" s="267">
        <f>SUM('3 pr-2'!O18)</f>
        <v>50000</v>
      </c>
      <c r="L18" s="267">
        <f>SUM('3 pr-2'!R18)</f>
        <v>30000</v>
      </c>
      <c r="M18" s="267">
        <f>SUM('3 pr-2'!U18)</f>
        <v>0</v>
      </c>
      <c r="N18" s="267">
        <f>SUM('3 pr-2'!X18)</f>
        <v>0</v>
      </c>
      <c r="O18" s="268">
        <f>SUM('3 pr-2'!AA18)</f>
        <v>170000</v>
      </c>
      <c r="P18" s="288">
        <f>SUM('3 pr-2'!AE18)</f>
        <v>42643</v>
      </c>
      <c r="Q18" s="349">
        <v>42643</v>
      </c>
      <c r="R18" s="264">
        <f t="shared" si="1"/>
        <v>0</v>
      </c>
      <c r="S18" s="264">
        <f t="shared" si="2"/>
        <v>0</v>
      </c>
    </row>
    <row r="19" spans="1:19" ht="49.5" thickBot="1" x14ac:dyDescent="0.3">
      <c r="A19" s="254" t="str">
        <f>CONCATENATE('3 pr-2'!A19)</f>
        <v>1.1.1.1.10</v>
      </c>
      <c r="B19" s="323"/>
      <c r="C19" s="255" t="str">
        <f>CONCATENATE('3 pr-2'!D19)</f>
        <v>Kučiūnų laisvalaikio salės pritaikymas bendruomenės poreikiams</v>
      </c>
      <c r="D19" s="255" t="str">
        <f>CONCATENATE('3 pr-2'!E19)</f>
        <v xml:space="preserve">Viešoji įstaiga Lazdijų kultūros centras </v>
      </c>
      <c r="E19" s="255" t="str">
        <f>CONCATENATE('3 pr-2'!F19)</f>
        <v>Lietuvos Respublikos žemės ūkio ministerija</v>
      </c>
      <c r="F19" s="255" t="str">
        <f>CONCATENATE('3 pr-2'!G19)</f>
        <v>Lazdijų rajono savivaldybė</v>
      </c>
      <c r="G19" s="255" t="str">
        <f>CONCATENATE('3 pr-2'!H19)</f>
        <v xml:space="preserve">Pagrindinės paslaugos ir kaimų atnaujinimas kaimo vietovėse </v>
      </c>
      <c r="H19" s="255" t="str">
        <f>CONCATENATE('3 pr-2'!I19)</f>
        <v>R</v>
      </c>
      <c r="I19" s="265" t="str">
        <f>CONCATENATE('3 pr-2'!J19)</f>
        <v>-</v>
      </c>
      <c r="J19" s="266">
        <f>SUM('3 pr-2'!L19)</f>
        <v>250000</v>
      </c>
      <c r="K19" s="267">
        <f>SUM('3 pr-2'!O19)</f>
        <v>50000</v>
      </c>
      <c r="L19" s="267">
        <f>SUM('3 pr-2'!R19)</f>
        <v>30000</v>
      </c>
      <c r="M19" s="267">
        <f>SUM('3 pr-2'!U19)</f>
        <v>0</v>
      </c>
      <c r="N19" s="267">
        <f>SUM('3 pr-2'!X19)</f>
        <v>0</v>
      </c>
      <c r="O19" s="268">
        <f>SUM('3 pr-2'!AA19)</f>
        <v>170000</v>
      </c>
      <c r="P19" s="288">
        <f>SUM('3 pr-2'!AE19)</f>
        <v>42643</v>
      </c>
      <c r="Q19" s="349">
        <v>42643</v>
      </c>
      <c r="R19" s="264">
        <f t="shared" si="1"/>
        <v>0</v>
      </c>
      <c r="S19" s="264">
        <f t="shared" si="2"/>
        <v>0</v>
      </c>
    </row>
    <row r="20" spans="1:19" ht="49.5" thickBot="1" x14ac:dyDescent="0.3">
      <c r="A20" s="254" t="str">
        <f>CONCATENATE('3 pr-2'!A20)</f>
        <v>1.1.1.1.11</v>
      </c>
      <c r="B20" s="323"/>
      <c r="C20" s="255" t="str">
        <f>CONCATENATE('3 pr-2'!D20)</f>
        <v>Laisvalaikio infrastruktūros sukūrimas Lazdijų rajono kaimo gyvenamosiose vietovėse</v>
      </c>
      <c r="D20" s="255" t="str">
        <f>CONCATENATE('3 pr-2'!E20)</f>
        <v>Lazdijų rajono savivaldybės administracija</v>
      </c>
      <c r="E20" s="255" t="str">
        <f>CONCATENATE('3 pr-2'!F20)</f>
        <v>Lietuvos Respublikos žemės ūkio ministerija</v>
      </c>
      <c r="F20" s="255" t="str">
        <f>CONCATENATE('3 pr-2'!G20)</f>
        <v>Lazdijų rajono savivaldybė</v>
      </c>
      <c r="G20" s="255" t="str">
        <f>CONCATENATE('3 pr-2'!H20)</f>
        <v xml:space="preserve">Pagrindinės paslaugos ir kaimų atnaujinimas kaimo vietovėse </v>
      </c>
      <c r="H20" s="255" t="str">
        <f>CONCATENATE('3 pr-2'!I20)</f>
        <v>R</v>
      </c>
      <c r="I20" s="265" t="str">
        <f>CONCATENATE('3 pr-2'!J20)</f>
        <v>-</v>
      </c>
      <c r="J20" s="266">
        <f>SUM('3 pr-2'!L20)</f>
        <v>125000</v>
      </c>
      <c r="K20" s="267">
        <f>SUM('3 pr-2'!O20)</f>
        <v>25000</v>
      </c>
      <c r="L20" s="267">
        <f>SUM('3 pr-2'!R20)</f>
        <v>15000</v>
      </c>
      <c r="M20" s="267">
        <f>SUM('3 pr-2'!U20)</f>
        <v>0</v>
      </c>
      <c r="N20" s="267">
        <f>SUM('3 pr-2'!X20)</f>
        <v>0</v>
      </c>
      <c r="O20" s="268">
        <f>SUM('3 pr-2'!AA20)</f>
        <v>85000</v>
      </c>
      <c r="P20" s="288">
        <f>SUM('3 pr-2'!AE20)</f>
        <v>42643</v>
      </c>
      <c r="Q20" s="349">
        <v>42643</v>
      </c>
      <c r="R20" s="264">
        <f t="shared" si="1"/>
        <v>0</v>
      </c>
      <c r="S20" s="264">
        <f t="shared" si="2"/>
        <v>0</v>
      </c>
    </row>
    <row r="21" spans="1:19" ht="49.5" thickBot="1" x14ac:dyDescent="0.3">
      <c r="A21" s="254" t="str">
        <f>CONCATENATE('3 pr-2'!A21)</f>
        <v>1.1.1.1.12</v>
      </c>
      <c r="B21" s="323"/>
      <c r="C21" s="255" t="str">
        <f>CONCATENATE('3 pr-2'!D21)</f>
        <v>Alytaus rajono Butrimonių miestelio šaligatvių kapitalinis remontas ir gyvenvietės apšvietimo įrengimas</v>
      </c>
      <c r="D21" s="255" t="str">
        <f>CONCATENATE('3 pr-2'!E21)</f>
        <v>Alytaus rajono savivaldybės administracija</v>
      </c>
      <c r="E21" s="255" t="str">
        <f>CONCATENATE('3 pr-2'!F21)</f>
        <v>Lietuvos Respublikos žemės ūkio ministerija</v>
      </c>
      <c r="F21" s="255" t="str">
        <f>CONCATENATE('3 pr-2'!G21)</f>
        <v>Alytaus rajono savivaldybė</v>
      </c>
      <c r="G21" s="255" t="str">
        <f>CONCATENATE('3 pr-2'!H21)</f>
        <v xml:space="preserve">Pagrindinės paslaugos ir kaimų atnaujinimas kaimo vietovėse </v>
      </c>
      <c r="H21" s="255" t="str">
        <f>CONCATENATE('3 pr-2'!I21)</f>
        <v>R</v>
      </c>
      <c r="I21" s="265" t="str">
        <f>CONCATENATE('3 pr-2'!J21)</f>
        <v>-</v>
      </c>
      <c r="J21" s="266">
        <f>SUM('3 pr-2'!L21)</f>
        <v>153566</v>
      </c>
      <c r="K21" s="267">
        <f>SUM('3 pr-2'!O21)</f>
        <v>30713</v>
      </c>
      <c r="L21" s="267">
        <f>SUM('3 pr-2'!R21)</f>
        <v>18428</v>
      </c>
      <c r="M21" s="267">
        <f>SUM('3 pr-2'!U21)</f>
        <v>0</v>
      </c>
      <c r="N21" s="267">
        <f>SUM('3 pr-2'!X21)</f>
        <v>0</v>
      </c>
      <c r="O21" s="268">
        <f>SUM('3 pr-2'!AA21)</f>
        <v>104425</v>
      </c>
      <c r="P21" s="288">
        <f>SUM('3 pr-2'!AE21)</f>
        <v>42643</v>
      </c>
      <c r="Q21" s="349">
        <v>42643</v>
      </c>
      <c r="R21" s="264">
        <f t="shared" si="1"/>
        <v>0</v>
      </c>
      <c r="S21" s="264">
        <f t="shared" si="2"/>
        <v>0</v>
      </c>
    </row>
    <row r="22" spans="1:19" ht="49.5" thickBot="1" x14ac:dyDescent="0.3">
      <c r="A22" s="254" t="str">
        <f>CONCATENATE('3 pr-2'!A22)</f>
        <v>1.1.1.1.13</v>
      </c>
      <c r="B22" s="323"/>
      <c r="C22" s="255" t="str">
        <f>CONCATENATE('3 pr-2'!D22)</f>
        <v>Alytaus rajono Genių kaimo sporto aikštės įrengimas ir gatvių rekonstrukcija</v>
      </c>
      <c r="D22" s="255" t="str">
        <f>CONCATENATE('3 pr-2'!E22)</f>
        <v>Alytaus rajono savivaldybės administracija</v>
      </c>
      <c r="E22" s="255" t="str">
        <f>CONCATENATE('3 pr-2'!F22)</f>
        <v>Lietuvos Respublikos žemės ūkio ministerija</v>
      </c>
      <c r="F22" s="255" t="str">
        <f>CONCATENATE('3 pr-2'!G22)</f>
        <v>Alytaus rajono savivaldybė</v>
      </c>
      <c r="G22" s="255" t="str">
        <f>CONCATENATE('3 pr-2'!H22)</f>
        <v xml:space="preserve">Pagrindinės paslaugos ir kaimų atnaujinimas kaimo vietovėse </v>
      </c>
      <c r="H22" s="255" t="str">
        <f>CONCATENATE('3 pr-2'!I22)</f>
        <v>R</v>
      </c>
      <c r="I22" s="265" t="str">
        <f>CONCATENATE('3 pr-2'!J22)</f>
        <v>-</v>
      </c>
      <c r="J22" s="266">
        <f>SUM('3 pr-2'!L22)</f>
        <v>250000</v>
      </c>
      <c r="K22" s="267">
        <f>SUM('3 pr-2'!O22)</f>
        <v>50000</v>
      </c>
      <c r="L22" s="267">
        <f>SUM('3 pr-2'!R22)</f>
        <v>30000</v>
      </c>
      <c r="M22" s="267">
        <f>SUM('3 pr-2'!U22)</f>
        <v>0</v>
      </c>
      <c r="N22" s="267">
        <f>SUM('3 pr-2'!X22)</f>
        <v>0</v>
      </c>
      <c r="O22" s="268">
        <f>SUM('3 pr-2'!AA22)</f>
        <v>170000</v>
      </c>
      <c r="P22" s="288">
        <f>SUM('3 pr-2'!AE22)</f>
        <v>42643</v>
      </c>
      <c r="Q22" s="349">
        <v>42643</v>
      </c>
      <c r="R22" s="264">
        <f t="shared" si="1"/>
        <v>0</v>
      </c>
      <c r="S22" s="264">
        <f t="shared" si="2"/>
        <v>0</v>
      </c>
    </row>
    <row r="23" spans="1:19" ht="49.5" thickBot="1" x14ac:dyDescent="0.3">
      <c r="A23" s="254" t="str">
        <f>CONCATENATE('3 pr-2'!A23)</f>
        <v>1.1.1.1.14</v>
      </c>
      <c r="B23" s="323"/>
      <c r="C23" s="255" t="str">
        <f>CONCATENATE('3 pr-2'!D23)</f>
        <v>Varėnos r. Dargužių kaimo Liepų gatvės ir viešosios erdvės įrengimas</v>
      </c>
      <c r="D23" s="255" t="str">
        <f>CONCATENATE('3 pr-2'!E23)</f>
        <v xml:space="preserve">Varėnos rajono savivaldybės administracija </v>
      </c>
      <c r="E23" s="255" t="str">
        <f>CONCATENATE('3 pr-2'!F23)</f>
        <v>Lietuvos Respublikos žemės ūkio ministerija</v>
      </c>
      <c r="F23" s="255" t="str">
        <f>CONCATENATE('3 pr-2'!G23)</f>
        <v>Varėnos rajono savivaldybė</v>
      </c>
      <c r="G23" s="255" t="str">
        <f>CONCATENATE('3 pr-2'!H23)</f>
        <v xml:space="preserve">Pagrindinės paslaugos ir kaimų atnaujinimas kaimo vietovėse </v>
      </c>
      <c r="H23" s="255" t="str">
        <f>CONCATENATE('3 pr-2'!I23)</f>
        <v>R</v>
      </c>
      <c r="I23" s="265" t="str">
        <f>CONCATENATE('3 pr-2'!J23)</f>
        <v>-</v>
      </c>
      <c r="J23" s="266">
        <f>SUM('3 pr-2'!L23)</f>
        <v>215626</v>
      </c>
      <c r="K23" s="267">
        <f>SUM('3 pr-2'!O23)</f>
        <v>43125</v>
      </c>
      <c r="L23" s="267">
        <f>SUM('3 pr-2'!R23)</f>
        <v>25875</v>
      </c>
      <c r="M23" s="267">
        <f>SUM('3 pr-2'!U23)</f>
        <v>0</v>
      </c>
      <c r="N23" s="267">
        <f>SUM('3 pr-2'!X23)</f>
        <v>0</v>
      </c>
      <c r="O23" s="268">
        <f>SUM('3 pr-2'!AA23)</f>
        <v>146626</v>
      </c>
      <c r="P23" s="288">
        <f>SUM('3 pr-2'!AE23)</f>
        <v>42643</v>
      </c>
      <c r="Q23" s="349">
        <v>42643</v>
      </c>
      <c r="R23" s="264">
        <f t="shared" si="1"/>
        <v>0</v>
      </c>
      <c r="S23" s="264">
        <f t="shared" si="2"/>
        <v>0</v>
      </c>
    </row>
    <row r="24" spans="1:19" ht="49.5" thickBot="1" x14ac:dyDescent="0.3">
      <c r="A24" s="254" t="str">
        <f>CONCATENATE('3 pr-2'!A24)</f>
        <v>1.1.1.1.15</v>
      </c>
      <c r="B24" s="323"/>
      <c r="C24" s="255" t="str">
        <f>CONCATENATE('3 pr-2'!D24)</f>
        <v>Alytaus rajono Vaisodžių kaimo sporto aikštės įrengimas ir gatvių apšvietimo atnaujinimas bei plėtra</v>
      </c>
      <c r="D24" s="255" t="str">
        <f>CONCATENATE('3 pr-2'!E24)</f>
        <v>Alytaus rajono savivaldybės administracija</v>
      </c>
      <c r="E24" s="255" t="str">
        <f>CONCATENATE('3 pr-2'!F24)</f>
        <v>Lietuvos Respublikos žemės ūkio ministerija</v>
      </c>
      <c r="F24" s="255" t="str">
        <f>CONCATENATE('3 pr-2'!G24)</f>
        <v>Alytaus rajono savivaldybė</v>
      </c>
      <c r="G24" s="255" t="str">
        <f>CONCATENATE('3 pr-2'!H24)</f>
        <v xml:space="preserve">Pagrindinės paslaugos ir kaimų atnaujinimas kaimo vietovėse </v>
      </c>
      <c r="H24" s="255" t="str">
        <f>CONCATENATE('3 pr-2'!I24)</f>
        <v>R</v>
      </c>
      <c r="I24" s="265" t="str">
        <f>CONCATENATE('3 pr-2'!J24)</f>
        <v>-</v>
      </c>
      <c r="J24" s="266">
        <f>SUM('3 pr-2'!L24)</f>
        <v>76480</v>
      </c>
      <c r="K24" s="267">
        <f>SUM('3 pr-2'!O24)</f>
        <v>15296</v>
      </c>
      <c r="L24" s="267">
        <f>SUM('3 pr-2'!R24)</f>
        <v>9178</v>
      </c>
      <c r="M24" s="267">
        <f>SUM('3 pr-2'!U24)</f>
        <v>0</v>
      </c>
      <c r="N24" s="267">
        <f>SUM('3 pr-2'!X24)</f>
        <v>0</v>
      </c>
      <c r="O24" s="268">
        <f>SUM('3 pr-2'!AA24)</f>
        <v>52006</v>
      </c>
      <c r="P24" s="288">
        <f>SUM('3 pr-2'!AE24)</f>
        <v>42643</v>
      </c>
      <c r="Q24" s="349">
        <v>42643</v>
      </c>
      <c r="R24" s="264">
        <f t="shared" si="1"/>
        <v>0</v>
      </c>
      <c r="S24" s="264">
        <f t="shared" si="2"/>
        <v>0</v>
      </c>
    </row>
    <row r="25" spans="1:19" ht="49.5" thickBot="1" x14ac:dyDescent="0.3">
      <c r="A25" s="254" t="str">
        <f>CONCATENATE('3 pr-2'!A25)</f>
        <v>1.1.1.1.16</v>
      </c>
      <c r="B25" s="323"/>
      <c r="C25" s="255" t="str">
        <f>CONCATENATE('3 pr-2'!D25)</f>
        <v>Alytaus rajono Talokių kaimo sporto aikštės įrengimas ir Plytinės gatvės apšvietimas</v>
      </c>
      <c r="D25" s="255" t="str">
        <f>CONCATENATE('3 pr-2'!E25)</f>
        <v>Alytaus rajono savivaldybės administracija</v>
      </c>
      <c r="E25" s="255" t="str">
        <f>CONCATENATE('3 pr-2'!F25)</f>
        <v>Lietuvos Respublikos žemės ūkio ministerija</v>
      </c>
      <c r="F25" s="255" t="str">
        <f>CONCATENATE('3 pr-2'!G25)</f>
        <v>Alytaus rajono savivaldybė</v>
      </c>
      <c r="G25" s="255" t="str">
        <f>CONCATENATE('3 pr-2'!H25)</f>
        <v xml:space="preserve">Pagrindinės paslaugos ir kaimų atnaujinimas kaimo vietovėse </v>
      </c>
      <c r="H25" s="255" t="str">
        <f>CONCATENATE('3 pr-2'!I25)</f>
        <v>R</v>
      </c>
      <c r="I25" s="265" t="str">
        <f>CONCATENATE('3 pr-2'!J25)</f>
        <v>-</v>
      </c>
      <c r="J25" s="266">
        <f>SUM('3 pr-2'!L25)</f>
        <v>139472</v>
      </c>
      <c r="K25" s="267">
        <f>SUM('3 pr-2'!O25)</f>
        <v>27894</v>
      </c>
      <c r="L25" s="267">
        <f>SUM('3 pr-2'!R25)</f>
        <v>16737</v>
      </c>
      <c r="M25" s="267">
        <f>SUM('3 pr-2'!U25)</f>
        <v>0</v>
      </c>
      <c r="N25" s="267">
        <f>SUM('3 pr-2'!X25)</f>
        <v>0</v>
      </c>
      <c r="O25" s="268">
        <f>SUM('3 pr-2'!AA25)</f>
        <v>94841</v>
      </c>
      <c r="P25" s="288">
        <f>SUM('3 pr-2'!AE25)</f>
        <v>42643</v>
      </c>
      <c r="Q25" s="349">
        <v>42643</v>
      </c>
      <c r="R25" s="264">
        <f t="shared" si="1"/>
        <v>0</v>
      </c>
      <c r="S25" s="264">
        <f t="shared" si="2"/>
        <v>0</v>
      </c>
    </row>
    <row r="26" spans="1:19" ht="49.5" thickBot="1" x14ac:dyDescent="0.3">
      <c r="A26" s="254" t="str">
        <f>CONCATENATE('3 pr-2'!A26)</f>
        <v>1.1.1.1.17</v>
      </c>
      <c r="B26" s="323"/>
      <c r="C26" s="255" t="str">
        <f>CONCATENATE('3 pr-2'!D26)</f>
        <v>Varėnos r. Rudnios kaimo Pušyno gatvės įrengimas</v>
      </c>
      <c r="D26" s="255" t="str">
        <f>CONCATENATE('3 pr-2'!E26)</f>
        <v xml:space="preserve">Varėnos rajono savivaldybės administracija </v>
      </c>
      <c r="E26" s="255" t="str">
        <f>CONCATENATE('3 pr-2'!F26)</f>
        <v>Lietuvos Respublikos žemės ūkio ministerija</v>
      </c>
      <c r="F26" s="255" t="str">
        <f>CONCATENATE('3 pr-2'!G26)</f>
        <v>Varėnos rajono savivaldybė</v>
      </c>
      <c r="G26" s="255" t="str">
        <f>CONCATENATE('3 pr-2'!H26)</f>
        <v xml:space="preserve">Pagrindinės paslaugos ir kaimų atnaujinimas kaimo vietovėse </v>
      </c>
      <c r="H26" s="255" t="str">
        <f>CONCATENATE('3 pr-2'!I26)</f>
        <v>R</v>
      </c>
      <c r="I26" s="265" t="str">
        <f>CONCATENATE('3 pr-2'!J26)</f>
        <v>-</v>
      </c>
      <c r="J26" s="266">
        <f>SUM('3 pr-2'!L26)</f>
        <v>115824</v>
      </c>
      <c r="K26" s="267">
        <f>SUM('3 pr-2'!O26)</f>
        <v>23165</v>
      </c>
      <c r="L26" s="267">
        <f>SUM('3 pr-2'!R26)</f>
        <v>13899</v>
      </c>
      <c r="M26" s="267">
        <f>SUM('3 pr-2'!U26)</f>
        <v>0</v>
      </c>
      <c r="N26" s="267">
        <f>SUM('3 pr-2'!X26)</f>
        <v>0</v>
      </c>
      <c r="O26" s="268">
        <f>SUM('3 pr-2'!AA26)</f>
        <v>78760</v>
      </c>
      <c r="P26" s="288">
        <f>SUM('3 pr-2'!AE26)</f>
        <v>42643</v>
      </c>
      <c r="Q26" s="349">
        <v>42643</v>
      </c>
      <c r="R26" s="264">
        <f t="shared" si="1"/>
        <v>0</v>
      </c>
      <c r="S26" s="264">
        <f t="shared" si="2"/>
        <v>0</v>
      </c>
    </row>
    <row r="27" spans="1:19" ht="49.5" thickBot="1" x14ac:dyDescent="0.3">
      <c r="A27" s="254" t="str">
        <f>CONCATENATE('3 pr-2'!A27)</f>
        <v>1.1.1.1.18</v>
      </c>
      <c r="B27" s="323"/>
      <c r="C27" s="255" t="str">
        <f>CONCATENATE('3 pr-2'!D27)</f>
        <v>Varėnos kultūros centro Žilinų filialo pastato atnaujinimas ir pritaikymas bendruomenės poreikiams</v>
      </c>
      <c r="D27" s="255" t="str">
        <f>CONCATENATE('3 pr-2'!E27)</f>
        <v xml:space="preserve">Varėnos rajono savivaldybės administracija </v>
      </c>
      <c r="E27" s="255" t="str">
        <f>CONCATENATE('3 pr-2'!F27)</f>
        <v>Lietuvos Respublikos žemės ūkio ministerija</v>
      </c>
      <c r="F27" s="255" t="str">
        <f>CONCATENATE('3 pr-2'!G27)</f>
        <v>Varėnos rajono savivaldybė</v>
      </c>
      <c r="G27" s="255" t="str">
        <f>CONCATENATE('3 pr-2'!H27)</f>
        <v xml:space="preserve">Pagrindinės paslaugos ir kaimų atnaujinimas kaimo vietovėse </v>
      </c>
      <c r="H27" s="255" t="str">
        <f>CONCATENATE('3 pr-2'!I27)</f>
        <v>R</v>
      </c>
      <c r="I27" s="265" t="str">
        <f>CONCATENATE('3 pr-2'!J27)</f>
        <v>-</v>
      </c>
      <c r="J27" s="266">
        <f>SUM('3 pr-2'!L27)</f>
        <v>250000</v>
      </c>
      <c r="K27" s="267">
        <f>SUM('3 pr-2'!O27)</f>
        <v>50000</v>
      </c>
      <c r="L27" s="267">
        <f>SUM('3 pr-2'!R27)</f>
        <v>30000</v>
      </c>
      <c r="M27" s="267">
        <f>SUM('3 pr-2'!U27)</f>
        <v>0</v>
      </c>
      <c r="N27" s="267">
        <f>SUM('3 pr-2'!X27)</f>
        <v>0</v>
      </c>
      <c r="O27" s="268">
        <f>SUM('3 pr-2'!AA27)</f>
        <v>170000</v>
      </c>
      <c r="P27" s="288">
        <f>SUM('3 pr-2'!AE27)</f>
        <v>42643</v>
      </c>
      <c r="Q27" s="349">
        <v>42643</v>
      </c>
      <c r="R27" s="264">
        <f t="shared" si="1"/>
        <v>0</v>
      </c>
      <c r="S27" s="264">
        <f t="shared" si="2"/>
        <v>0</v>
      </c>
    </row>
    <row r="28" spans="1:19" ht="49.5" thickBot="1" x14ac:dyDescent="0.3">
      <c r="A28" s="254" t="str">
        <f>CONCATENATE('3 pr-2'!A28)</f>
        <v>1.1.1.1.19</v>
      </c>
      <c r="B28" s="323"/>
      <c r="C28" s="255" t="str">
        <f>CONCATENATE('3 pr-2'!D28)</f>
        <v>Alytaus rajono Pivašiūnų kaimo šaligatvių, laiptų kapitalinis remontas ir gyvenvietės apšvietimo įrengimas</v>
      </c>
      <c r="D28" s="255" t="str">
        <f>CONCATENATE('3 pr-2'!E28)</f>
        <v>Alytaus rajono savivaldybės administracija</v>
      </c>
      <c r="E28" s="255" t="str">
        <f>CONCATENATE('3 pr-2'!F28)</f>
        <v>Lietuvos Respublikos žemės ūkio ministerija</v>
      </c>
      <c r="F28" s="255" t="str">
        <f>CONCATENATE('3 pr-2'!G28)</f>
        <v>Alytaus rajono savivaldybė</v>
      </c>
      <c r="G28" s="255" t="str">
        <f>CONCATENATE('3 pr-2'!H28)</f>
        <v xml:space="preserve">Pagrindinės paslaugos ir kaimų atnaujinimas kaimo vietovėse </v>
      </c>
      <c r="H28" s="255" t="str">
        <f>CONCATENATE('3 pr-2'!I28)</f>
        <v>R</v>
      </c>
      <c r="I28" s="265" t="str">
        <f>CONCATENATE('3 pr-2'!J28)</f>
        <v>-</v>
      </c>
      <c r="J28" s="266">
        <f>SUM('3 pr-2'!L28)</f>
        <v>117986</v>
      </c>
      <c r="K28" s="267">
        <f>SUM('3 pr-2'!O28)</f>
        <v>23597</v>
      </c>
      <c r="L28" s="267">
        <f>SUM('3 pr-2'!R28)</f>
        <v>14158</v>
      </c>
      <c r="M28" s="267">
        <f>SUM('3 pr-2'!U28)</f>
        <v>0</v>
      </c>
      <c r="N28" s="267">
        <f>SUM('3 pr-2'!X28)</f>
        <v>0</v>
      </c>
      <c r="O28" s="268">
        <f>SUM('3 pr-2'!AA28)</f>
        <v>80231</v>
      </c>
      <c r="P28" s="288">
        <f>SUM('3 pr-2'!AE28)</f>
        <v>42643</v>
      </c>
      <c r="Q28" s="349">
        <v>42643</v>
      </c>
      <c r="R28" s="264">
        <f t="shared" si="1"/>
        <v>0</v>
      </c>
      <c r="S28" s="264">
        <f t="shared" si="2"/>
        <v>0</v>
      </c>
    </row>
    <row r="29" spans="1:19" ht="49.5" thickBot="1" x14ac:dyDescent="0.3">
      <c r="A29" s="254" t="str">
        <f>CONCATENATE('3 pr-2'!A29)</f>
        <v>1.1.1.1.20</v>
      </c>
      <c r="B29" s="323"/>
      <c r="C29" s="255" t="str">
        <f>CONCATENATE('3 pr-2'!D29)</f>
        <v>Pastato, esančio Pušelės g. 11, Naujųjų Valkininkų k., Varėnos r., atnaujinimas ir pritaikymas bendruomenės poreikiams</v>
      </c>
      <c r="D29" s="255" t="str">
        <f>CONCATENATE('3 pr-2'!E29)</f>
        <v xml:space="preserve">Varėnos rajono savivaldybės administracija </v>
      </c>
      <c r="E29" s="255" t="str">
        <f>CONCATENATE('3 pr-2'!F29)</f>
        <v>Lietuvos Respublikos žemės ūkio ministerija</v>
      </c>
      <c r="F29" s="255" t="str">
        <f>CONCATENATE('3 pr-2'!G29)</f>
        <v>Varėnos rajono savivaldybė</v>
      </c>
      <c r="G29" s="255" t="str">
        <f>CONCATENATE('3 pr-2'!H29)</f>
        <v xml:space="preserve">Pagrindinės paslaugos ir kaimų atnaujinimas kaimo vietovėse </v>
      </c>
      <c r="H29" s="255" t="str">
        <f>CONCATENATE('3 pr-2'!I29)</f>
        <v>R</v>
      </c>
      <c r="I29" s="265" t="str">
        <f>CONCATENATE('3 pr-2'!J29)</f>
        <v>-</v>
      </c>
      <c r="J29" s="266">
        <f>SUM('3 pr-2'!L29)</f>
        <v>250000</v>
      </c>
      <c r="K29" s="267">
        <f>SUM('3 pr-2'!O29)</f>
        <v>50000</v>
      </c>
      <c r="L29" s="267">
        <f>SUM('3 pr-2'!R29)</f>
        <v>30000</v>
      </c>
      <c r="M29" s="267">
        <f>SUM('3 pr-2'!U29)</f>
        <v>0</v>
      </c>
      <c r="N29" s="267">
        <f>SUM('3 pr-2'!X29)</f>
        <v>0</v>
      </c>
      <c r="O29" s="268">
        <f>SUM('3 pr-2'!AA29)</f>
        <v>170000</v>
      </c>
      <c r="P29" s="288">
        <f>SUM('3 pr-2'!AE29)</f>
        <v>42643</v>
      </c>
      <c r="Q29" s="349">
        <v>42643</v>
      </c>
      <c r="R29" s="264">
        <f t="shared" si="1"/>
        <v>0</v>
      </c>
      <c r="S29" s="264">
        <f t="shared" si="2"/>
        <v>0</v>
      </c>
    </row>
    <row r="30" spans="1:19" ht="49.5" thickBot="1" x14ac:dyDescent="0.3">
      <c r="A30" s="254" t="str">
        <f>CONCATENATE('3 pr-2'!A30)</f>
        <v>1.1.1.1.21</v>
      </c>
      <c r="B30" s="323"/>
      <c r="C30" s="255" t="str">
        <f>CONCATENATE('3 pr-2'!D30)</f>
        <v>Kaimo gyvenamųjų vietovių Lazdijų rajono savivaldybėje patrauklumo gerinimas</v>
      </c>
      <c r="D30" s="255" t="str">
        <f>CONCATENATE('3 pr-2'!E30)</f>
        <v>Lazdijų rajono savivaldybės administracija</v>
      </c>
      <c r="E30" s="255" t="str">
        <f>CONCATENATE('3 pr-2'!F30)</f>
        <v>Lietuvos Respublikos žemės ūkio ministerija</v>
      </c>
      <c r="F30" s="255" t="str">
        <f>CONCATENATE('3 pr-2'!G30)</f>
        <v>Lazdijų rajono savivaldybė</v>
      </c>
      <c r="G30" s="255" t="str">
        <f>CONCATENATE('3 pr-2'!H30)</f>
        <v xml:space="preserve">Pagrindinės paslaugos ir kaimų atnaujinimas kaimo vietovėse </v>
      </c>
      <c r="H30" s="255" t="str">
        <f>CONCATENATE('3 pr-2'!I30)</f>
        <v>R</v>
      </c>
      <c r="I30" s="265" t="str">
        <f>CONCATENATE('3 pr-2'!J30)</f>
        <v>-</v>
      </c>
      <c r="J30" s="266">
        <f>SUM('3 pr-2'!L30)</f>
        <v>170000</v>
      </c>
      <c r="K30" s="267">
        <f>SUM('3 pr-2'!O30)</f>
        <v>34000</v>
      </c>
      <c r="L30" s="267">
        <f>SUM('3 pr-2'!R30)</f>
        <v>20400</v>
      </c>
      <c r="M30" s="267">
        <f>SUM('3 pr-2'!U30)</f>
        <v>0</v>
      </c>
      <c r="N30" s="267">
        <f>SUM('3 pr-2'!X30)</f>
        <v>0</v>
      </c>
      <c r="O30" s="268">
        <f>SUM('3 pr-2'!AA30)</f>
        <v>115600</v>
      </c>
      <c r="P30" s="288">
        <f>SUM('3 pr-2'!AE30)</f>
        <v>42643</v>
      </c>
      <c r="Q30" s="349">
        <v>42643</v>
      </c>
      <c r="R30" s="264">
        <f t="shared" si="1"/>
        <v>0</v>
      </c>
      <c r="S30" s="264">
        <f t="shared" si="2"/>
        <v>0</v>
      </c>
    </row>
    <row r="31" spans="1:19" ht="49.5" thickBot="1" x14ac:dyDescent="0.3">
      <c r="A31" s="254" t="str">
        <f>CONCATENATE('3 pr-2'!A31)</f>
        <v>1.1.1.1.22</v>
      </c>
      <c r="B31" s="323"/>
      <c r="C31" s="255" t="str">
        <f>CONCATENATE('3 pr-2'!D31)</f>
        <v>Alytaus rajono Makniūnų kaimo šaligatvių atnaujinimas ir plėtra</v>
      </c>
      <c r="D31" s="255" t="str">
        <f>CONCATENATE('3 pr-2'!E31)</f>
        <v>Alytaus rajono savivaldybės administracija</v>
      </c>
      <c r="E31" s="255" t="str">
        <f>CONCATENATE('3 pr-2'!F31)</f>
        <v>Lietuvos Respublikos žemės ūkio ministerija</v>
      </c>
      <c r="F31" s="255" t="str">
        <f>CONCATENATE('3 pr-2'!G31)</f>
        <v>Alytaus rajono savivaldybė</v>
      </c>
      <c r="G31" s="255" t="str">
        <f>CONCATENATE('3 pr-2'!H31)</f>
        <v xml:space="preserve">Pagrindinės paslaugos ir kaimų atnaujinimas kaimo vietovėse </v>
      </c>
      <c r="H31" s="255" t="str">
        <f>CONCATENATE('3 pr-2'!I31)</f>
        <v>R</v>
      </c>
      <c r="I31" s="265" t="str">
        <f>CONCATENATE('3 pr-2'!J31)</f>
        <v>-</v>
      </c>
      <c r="J31" s="266">
        <f>SUM('3 pr-2'!L31)</f>
        <v>70991</v>
      </c>
      <c r="K31" s="267">
        <f>SUM('3 pr-2'!O31)</f>
        <v>14198</v>
      </c>
      <c r="L31" s="267">
        <f>SUM('3 pr-2'!R31)</f>
        <v>8519</v>
      </c>
      <c r="M31" s="267">
        <f>SUM('3 pr-2'!U31)</f>
        <v>0</v>
      </c>
      <c r="N31" s="267">
        <f>SUM('3 pr-2'!X31)</f>
        <v>0</v>
      </c>
      <c r="O31" s="268">
        <f>SUM('3 pr-2'!AA31)</f>
        <v>48274</v>
      </c>
      <c r="P31" s="288">
        <f>SUM('3 pr-2'!AE31)</f>
        <v>42643</v>
      </c>
      <c r="Q31" s="349">
        <v>42643</v>
      </c>
      <c r="R31" s="264">
        <f t="shared" si="1"/>
        <v>0</v>
      </c>
      <c r="S31" s="264">
        <f t="shared" si="2"/>
        <v>0</v>
      </c>
    </row>
    <row r="32" spans="1:19" ht="49.5" thickBot="1" x14ac:dyDescent="0.3">
      <c r="A32" s="254" t="str">
        <f>CONCATENATE('3 pr-2'!A32)</f>
        <v>1.1.1.1.23</v>
      </c>
      <c r="B32" s="323"/>
      <c r="C32" s="255" t="str">
        <f>CONCATENATE('3 pr-2'!D32)</f>
        <v>Varėnos r. Vazgirdonių kaimo Klevų gatvės įrengimas</v>
      </c>
      <c r="D32" s="255" t="str">
        <f>CONCATENATE('3 pr-2'!E32)</f>
        <v xml:space="preserve">Varėnos rajono savivaldybės administracija </v>
      </c>
      <c r="E32" s="255" t="str">
        <f>CONCATENATE('3 pr-2'!F32)</f>
        <v>Lietuvos Respublikos žemės ūkio ministerija</v>
      </c>
      <c r="F32" s="255" t="str">
        <f>CONCATENATE('3 pr-2'!G32)</f>
        <v>Varėnos rajono savivaldybė</v>
      </c>
      <c r="G32" s="255" t="str">
        <f>CONCATENATE('3 pr-2'!H32)</f>
        <v xml:space="preserve">Pagrindinės paslaugos ir kaimų atnaujinimas kaimo vietovėse </v>
      </c>
      <c r="H32" s="255" t="str">
        <f>CONCATENATE('3 pr-2'!I32)</f>
        <v>R</v>
      </c>
      <c r="I32" s="265" t="str">
        <f>CONCATENATE('3 pr-2'!J32)</f>
        <v>-</v>
      </c>
      <c r="J32" s="266">
        <f>SUM('3 pr-2'!L32)</f>
        <v>160049</v>
      </c>
      <c r="K32" s="267">
        <f>SUM('3 pr-2'!O32)</f>
        <v>32010</v>
      </c>
      <c r="L32" s="267">
        <f>SUM('3 pr-2'!R32)</f>
        <v>19206</v>
      </c>
      <c r="M32" s="267">
        <f>SUM('3 pr-2'!U32)</f>
        <v>0</v>
      </c>
      <c r="N32" s="267">
        <f>SUM('3 pr-2'!X32)</f>
        <v>0</v>
      </c>
      <c r="O32" s="268">
        <f>SUM('3 pr-2'!AA32)</f>
        <v>108833</v>
      </c>
      <c r="P32" s="288">
        <f>SUM('3 pr-2'!AE32)</f>
        <v>42643</v>
      </c>
      <c r="Q32" s="349">
        <v>42643</v>
      </c>
      <c r="R32" s="264">
        <f t="shared" si="1"/>
        <v>0</v>
      </c>
      <c r="S32" s="264">
        <f t="shared" si="2"/>
        <v>0</v>
      </c>
    </row>
    <row r="33" spans="1:19" ht="28.5" customHeight="1" thickBot="1" x14ac:dyDescent="0.3">
      <c r="A33" s="488" t="str">
        <f>CONCATENATE('3 pr-2'!A33)</f>
        <v>1.1.1.2</v>
      </c>
      <c r="B33" s="790"/>
      <c r="C33" s="1656" t="str">
        <f>CONCATENATE('3 pr-2'!D33)</f>
        <v/>
      </c>
      <c r="D33" s="1802" t="str">
        <f>CONCATENATE('3 pr-2'!E33)</f>
        <v/>
      </c>
      <c r="E33" s="1802" t="str">
        <f>CONCATENATE('3 pr-2'!F33)</f>
        <v/>
      </c>
      <c r="F33" s="1802" t="str">
        <f>CONCATENATE('3 pr-2'!G33)</f>
        <v/>
      </c>
      <c r="G33" s="1802" t="str">
        <f>CONCATENATE('3 pr-2'!H33)</f>
        <v/>
      </c>
      <c r="H33" s="1802" t="str">
        <f>CONCATENATE('3 pr-2'!I33)</f>
        <v/>
      </c>
      <c r="I33" s="1802" t="str">
        <f>CONCATENATE('3 pr-2'!J33)</f>
        <v/>
      </c>
      <c r="J33" s="791" t="s">
        <v>66</v>
      </c>
      <c r="K33" s="791" t="s">
        <v>66</v>
      </c>
      <c r="L33" s="791" t="s">
        <v>66</v>
      </c>
      <c r="M33" s="791" t="s">
        <v>66</v>
      </c>
      <c r="N33" s="791" t="s">
        <v>66</v>
      </c>
      <c r="O33" s="792" t="s">
        <v>66</v>
      </c>
      <c r="P33" s="793" t="s">
        <v>725</v>
      </c>
      <c r="Q33" s="794" t="s">
        <v>725</v>
      </c>
      <c r="R33" s="795" t="s">
        <v>725</v>
      </c>
      <c r="S33" s="795"/>
    </row>
    <row r="34" spans="1:19" ht="49.5" thickBot="1" x14ac:dyDescent="0.3">
      <c r="A34" s="254" t="str">
        <f>CONCATENATE('3 pr-2'!A34)</f>
        <v>1.1.1.2.1</v>
      </c>
      <c r="B34" s="323"/>
      <c r="C34" s="255" t="str">
        <f>CONCATENATE('3 pr-2'!D34)</f>
        <v>Matuizų kaimo viešosios infrastruktūros atnaujinimas ir pritaikymas bendruomenės poreikiams</v>
      </c>
      <c r="D34" s="255" t="str">
        <f>CONCATENATE('3 pr-2'!E34)</f>
        <v>Varėnos rajono savivaldybės administracija</v>
      </c>
      <c r="E34" s="255" t="str">
        <f>CONCATENATE('3 pr-2'!F34)</f>
        <v>Lietuvos Respublikos vidaus reikalų ministerija</v>
      </c>
      <c r="F34" s="255" t="str">
        <f>CONCATENATE('3 pr-2'!G34)</f>
        <v>Varėnos rajono savivaldybė</v>
      </c>
      <c r="G34" s="255" t="str">
        <f>CONCATENATE('3 pr-2'!H34)</f>
        <v>8.2.1-CPVA-R-908</v>
      </c>
      <c r="H34" s="255" t="str">
        <f>CONCATENATE('3 pr-2'!I34)</f>
        <v>R</v>
      </c>
      <c r="I34" s="265" t="str">
        <f>CONCATENATE('3 pr-2'!J34)</f>
        <v>-</v>
      </c>
      <c r="J34" s="266">
        <f>SUM('3 pr-2'!L34)</f>
        <v>646197</v>
      </c>
      <c r="K34" s="267">
        <f>SUM('3 pr-2'!O34)</f>
        <v>115855</v>
      </c>
      <c r="L34" s="267">
        <f>SUM('3 pr-2'!R34)</f>
        <v>43001</v>
      </c>
      <c r="M34" s="267">
        <f>SUM('3 pr-2'!U34)</f>
        <v>0</v>
      </c>
      <c r="N34" s="267">
        <f>SUM('3 pr-2'!X34)</f>
        <v>0</v>
      </c>
      <c r="O34" s="268">
        <f>SUM('3 pr-2'!AA34)</f>
        <v>487341</v>
      </c>
      <c r="P34" s="288">
        <f>SUM('3 pr-2'!AE34)</f>
        <v>43006</v>
      </c>
      <c r="Q34" s="349">
        <v>43005</v>
      </c>
      <c r="R34" s="264">
        <f t="shared" ref="R34:R38" si="3">SUM(P34-Q34)</f>
        <v>1</v>
      </c>
      <c r="S34" s="341">
        <f>SUM(P34-Q34)/30.1667</f>
        <v>3.3149134641840175E-2</v>
      </c>
    </row>
    <row r="35" spans="1:19" ht="49.5" thickBot="1" x14ac:dyDescent="0.3">
      <c r="A35" s="254" t="str">
        <f>CONCATENATE('3 pr-2'!A35)</f>
        <v>1.1.1.2.2</v>
      </c>
      <c r="B35" s="323"/>
      <c r="C35" s="255" t="str">
        <f>CONCATENATE('3 pr-2'!D35)</f>
        <v>Senosios Varėnos kaimo viešosios infrastruktūros atnaujinimas ir pritaikymas bendruomenės poreikiams</v>
      </c>
      <c r="D35" s="255" t="str">
        <f>CONCATENATE('3 pr-2'!E35)</f>
        <v>Varėnos rajono savivaldybės administracija</v>
      </c>
      <c r="E35" s="255" t="str">
        <f>CONCATENATE('3 pr-2'!F35)</f>
        <v>Lietuvos Respublikos vidaus reikalų ministerija</v>
      </c>
      <c r="F35" s="255" t="str">
        <f>CONCATENATE('3 pr-2'!G35)</f>
        <v>Varėnos rajono savivaldybė</v>
      </c>
      <c r="G35" s="255" t="str">
        <f>CONCATENATE('3 pr-2'!H35)</f>
        <v>8.2.1-CPVA-R-908</v>
      </c>
      <c r="H35" s="255" t="str">
        <f>CONCATENATE('3 pr-2'!I35)</f>
        <v>R</v>
      </c>
      <c r="I35" s="265" t="str">
        <f>CONCATENATE('3 pr-2'!J35)</f>
        <v>-</v>
      </c>
      <c r="J35" s="266">
        <f>SUM('3 pr-2'!L35)</f>
        <v>605025</v>
      </c>
      <c r="K35" s="267">
        <f>SUM('3 pr-2'!O35)</f>
        <v>45377</v>
      </c>
      <c r="L35" s="267">
        <f>SUM('3 pr-2'!R35)</f>
        <v>45377</v>
      </c>
      <c r="M35" s="267">
        <f>SUM('3 pr-2'!U35)</f>
        <v>0</v>
      </c>
      <c r="N35" s="267">
        <f>SUM('3 pr-2'!X35)</f>
        <v>0</v>
      </c>
      <c r="O35" s="268">
        <f>SUM('3 pr-2'!AA35)</f>
        <v>514271</v>
      </c>
      <c r="P35" s="288">
        <f>SUM('3 pr-2'!AE35)</f>
        <v>42982</v>
      </c>
      <c r="Q35" s="349">
        <v>42905</v>
      </c>
      <c r="R35" s="264">
        <f t="shared" si="3"/>
        <v>77</v>
      </c>
      <c r="S35" s="341">
        <f>SUM(P35-Q35)/30.1667</f>
        <v>2.5524833674216936</v>
      </c>
    </row>
    <row r="36" spans="1:19" ht="49.5" thickBot="1" x14ac:dyDescent="0.3">
      <c r="A36" s="254" t="str">
        <f>CONCATENATE('3 pr-2'!A36)</f>
        <v>1.1.1.2.3</v>
      </c>
      <c r="B36" s="323"/>
      <c r="C36" s="255" t="str">
        <f>CONCATENATE('3 pr-2'!D36)</f>
        <v>Kompleksinė Miklusėnų gyvenvietės plėtra</v>
      </c>
      <c r="D36" s="255" t="str">
        <f>CONCATENATE('3 pr-2'!E36)</f>
        <v>Alytaus rajono savivaldybės administracija</v>
      </c>
      <c r="E36" s="255" t="str">
        <f>CONCATENATE('3 pr-2'!F36)</f>
        <v>Lietuvos Respublikos vidaus reikalų ministerija</v>
      </c>
      <c r="F36" s="255" t="str">
        <f>CONCATENATE('3 pr-2'!G36)</f>
        <v>Alytaus rajono  savivaldybė</v>
      </c>
      <c r="G36" s="255" t="str">
        <f>CONCATENATE('3 pr-2'!H36)</f>
        <v>8.2.1-CPVA-R-908</v>
      </c>
      <c r="H36" s="255" t="str">
        <f>CONCATENATE('3 pr-2'!I36)</f>
        <v>R</v>
      </c>
      <c r="I36" s="265" t="str">
        <f>CONCATENATE('3 pr-2'!J36)</f>
        <v>-</v>
      </c>
      <c r="J36" s="266">
        <f>SUM('3 pr-2'!L36)</f>
        <v>1043467</v>
      </c>
      <c r="K36" s="267">
        <f>SUM('3 pr-2'!O36)</f>
        <v>78260</v>
      </c>
      <c r="L36" s="267">
        <f>SUM('3 pr-2'!R36)</f>
        <v>78260</v>
      </c>
      <c r="M36" s="267">
        <f>SUM('3 pr-2'!U36)</f>
        <v>0</v>
      </c>
      <c r="N36" s="267">
        <f>SUM('3 pr-2'!X36)</f>
        <v>0</v>
      </c>
      <c r="O36" s="268">
        <f>SUM('3 pr-2'!AA36)</f>
        <v>886947</v>
      </c>
      <c r="P36" s="895">
        <f>SUM('3 pr-2'!AE36)</f>
        <v>43130</v>
      </c>
      <c r="Q36" s="349"/>
      <c r="R36" s="264"/>
      <c r="S36" s="341"/>
    </row>
    <row r="37" spans="1:19" ht="49.5" thickBot="1" x14ac:dyDescent="0.3">
      <c r="A37" s="254" t="str">
        <f>CONCATENATE('3 pr-2'!A37)</f>
        <v>1.1.1.2.4</v>
      </c>
      <c r="B37" s="323"/>
      <c r="C37" s="255" t="str">
        <f>CONCATENATE('3 pr-2'!D37)</f>
        <v>Leipalingio viešosios erdvės pritaikymas bendruomenės poreikiams</v>
      </c>
      <c r="D37" s="255" t="str">
        <f>CONCATENATE('3 pr-2'!E37)</f>
        <v xml:space="preserve">Druskininkų savivaldybės administracija  </v>
      </c>
      <c r="E37" s="255" t="str">
        <f>CONCATENATE('3 pr-2'!F37)</f>
        <v>Lietuvos Respublikos vidaus reikalų ministerija</v>
      </c>
      <c r="F37" s="255" t="str">
        <f>CONCATENATE('3 pr-2'!G37)</f>
        <v>Druskininkų savivaldybė, Leipalingio seniūnija</v>
      </c>
      <c r="G37" s="255" t="str">
        <f>CONCATENATE('3 pr-2'!H37)</f>
        <v>8.2.1-CPVA-R-908</v>
      </c>
      <c r="H37" s="255" t="str">
        <f>CONCATENATE('3 pr-2'!I37)</f>
        <v>R</v>
      </c>
      <c r="I37" s="265" t="str">
        <f>CONCATENATE('3 pr-2'!J37)</f>
        <v>-</v>
      </c>
      <c r="J37" s="266">
        <f>SUM('3 pr-2'!L37)</f>
        <v>417761</v>
      </c>
      <c r="K37" s="267">
        <f>SUM('3 pr-2'!O37)</f>
        <v>31332</v>
      </c>
      <c r="L37" s="267">
        <f>SUM('3 pr-2'!R37)</f>
        <v>31332</v>
      </c>
      <c r="M37" s="267">
        <f>SUM('3 pr-2'!U37)</f>
        <v>0</v>
      </c>
      <c r="N37" s="267">
        <f>SUM('3 pr-2'!X37)</f>
        <v>0</v>
      </c>
      <c r="O37" s="268">
        <f>SUM('3 pr-2'!AA37)</f>
        <v>355097</v>
      </c>
      <c r="P37" s="985">
        <f>SUM('3 pr-2'!AE37)</f>
        <v>43038</v>
      </c>
      <c r="Q37" s="349">
        <v>43038</v>
      </c>
      <c r="R37" s="264">
        <f t="shared" si="3"/>
        <v>0</v>
      </c>
      <c r="S37" s="341">
        <f>SUM(P37-Q37)/30.1667</f>
        <v>0</v>
      </c>
    </row>
    <row r="38" spans="1:19" ht="49.5" thickBot="1" x14ac:dyDescent="0.3">
      <c r="A38" s="254" t="str">
        <f>CONCATENATE('3 pr-2'!A38)</f>
        <v>1.1.1.2.5</v>
      </c>
      <c r="B38" s="323"/>
      <c r="C38" s="255" t="str">
        <f>CONCATENATE('3 pr-2'!D38)</f>
        <v>Viečiūnų viešosios erdvės pritaikymas bendruomenės poreikiams</v>
      </c>
      <c r="D38" s="255" t="str">
        <f>CONCATENATE('3 pr-2'!E38)</f>
        <v xml:space="preserve">Druskininkų savivaldybės administracija  </v>
      </c>
      <c r="E38" s="255" t="str">
        <f>CONCATENATE('3 pr-2'!F38)</f>
        <v>Lietuvos Respublikos vidaus reikalų ministerija</v>
      </c>
      <c r="F38" s="255" t="str">
        <f>CONCATENATE('3 pr-2'!G38)</f>
        <v>Druskininkų savivaldybė, Viečiūnų seniūnija</v>
      </c>
      <c r="G38" s="255" t="str">
        <f>CONCATENATE('3 pr-2'!H38)</f>
        <v>8.2.1-CPVA-R-908</v>
      </c>
      <c r="H38" s="255" t="str">
        <f>CONCATENATE('3 pr-2'!I38)</f>
        <v>R</v>
      </c>
      <c r="I38" s="265" t="str">
        <f>CONCATENATE('3 pr-2'!J38)</f>
        <v>-</v>
      </c>
      <c r="J38" s="266">
        <f>SUM('3 pr-2'!L38)</f>
        <v>673879</v>
      </c>
      <c r="K38" s="267">
        <f>SUM('3 pr-2'!O38)</f>
        <v>50541</v>
      </c>
      <c r="L38" s="267">
        <f>SUM('3 pr-2'!R38)</f>
        <v>50541</v>
      </c>
      <c r="M38" s="267">
        <f>SUM('3 pr-2'!U38)</f>
        <v>0</v>
      </c>
      <c r="N38" s="267">
        <f>SUM('3 pr-2'!X38)</f>
        <v>0</v>
      </c>
      <c r="O38" s="268">
        <f>SUM('3 pr-2'!AA38)</f>
        <v>572797</v>
      </c>
      <c r="P38" s="985">
        <f>SUM('3 pr-2'!AE38)</f>
        <v>43038</v>
      </c>
      <c r="Q38" s="349">
        <v>43038</v>
      </c>
      <c r="R38" s="264">
        <f t="shared" si="3"/>
        <v>0</v>
      </c>
      <c r="S38" s="341">
        <f>SUM(P38-Q38)/30.1667</f>
        <v>0</v>
      </c>
    </row>
    <row r="39" spans="1:19" ht="30" customHeight="1" thickBot="1" x14ac:dyDescent="0.3">
      <c r="A39" s="488" t="str">
        <f>CONCATENATE('3 pr-2'!A39)</f>
        <v>1.1.1.3</v>
      </c>
      <c r="B39" s="790"/>
      <c r="C39" s="1656" t="str">
        <f>CONCATENATE('3 pr-2'!D39)</f>
        <v/>
      </c>
      <c r="D39" s="1802" t="str">
        <f>CONCATENATE('3 pr-2'!E39)</f>
        <v/>
      </c>
      <c r="E39" s="1802" t="str">
        <f>CONCATENATE('3 pr-2'!F39)</f>
        <v/>
      </c>
      <c r="F39" s="1802" t="str">
        <f>CONCATENATE('3 pr-2'!G39)</f>
        <v/>
      </c>
      <c r="G39" s="1802" t="str">
        <f>CONCATENATE('3 pr-2'!H39)</f>
        <v/>
      </c>
      <c r="H39" s="1802" t="str">
        <f>CONCATENATE('3 pr-2'!I39)</f>
        <v/>
      </c>
      <c r="I39" s="1802" t="str">
        <f>CONCATENATE('3 pr-2'!J39)</f>
        <v/>
      </c>
      <c r="J39" s="791">
        <f>SUM('3 pr-2'!L39)</f>
        <v>4402013.13</v>
      </c>
      <c r="K39" s="791">
        <f>SUM('3 pr-2'!O39)</f>
        <v>433824.5</v>
      </c>
      <c r="L39" s="791">
        <f>SUM('3 pr-2'!R39)</f>
        <v>356593.09</v>
      </c>
      <c r="M39" s="791">
        <f>SUM('3 pr-2'!U39)</f>
        <v>0</v>
      </c>
      <c r="N39" s="791">
        <f>SUM('3 pr-2'!X39)</f>
        <v>0</v>
      </c>
      <c r="O39" s="792">
        <f>SUM('3 pr-2'!AA39)</f>
        <v>3611595.5399999996</v>
      </c>
      <c r="P39" s="793" t="s">
        <v>725</v>
      </c>
      <c r="Q39" s="794" t="s">
        <v>725</v>
      </c>
      <c r="R39" s="795" t="s">
        <v>725</v>
      </c>
      <c r="S39" s="795"/>
    </row>
    <row r="40" spans="1:19" ht="49.5" thickBot="1" x14ac:dyDescent="0.3">
      <c r="A40" s="254" t="str">
        <f>CONCATENATE('3 pr-2'!A40)</f>
        <v>1.1.1.3.1</v>
      </c>
      <c r="B40" s="323" t="str">
        <f>CONCATENATE('ketv. 2lent'!B39)</f>
        <v>07.1.1-CPVA-R-905-11-0001</v>
      </c>
      <c r="C40" s="255" t="str">
        <f>CONCATENATE('3 pr-2'!D40)</f>
        <v>Varėnos miesto centrinės dalies modernizavimas ir pritaikymas visuomenės poreikiams (I etapas)</v>
      </c>
      <c r="D40" s="255" t="str">
        <f>CONCATENATE('3 pr-2'!E40)</f>
        <v>Varėnos rajono savivaldybės administracija</v>
      </c>
      <c r="E40" s="255" t="str">
        <f>CONCATENATE('3 pr-2'!F40)</f>
        <v>Lietuvos Respublikos vidaus reikalų ministerija</v>
      </c>
      <c r="F40" s="255" t="str">
        <f>CONCATENATE('3 pr-2'!G40)</f>
        <v>Varėnos miestas</v>
      </c>
      <c r="G40" s="255" t="str">
        <f>CONCATENATE('3 pr-2'!H40)</f>
        <v xml:space="preserve">07.1.1-CPVA-R-905 </v>
      </c>
      <c r="H40" s="255" t="str">
        <f>CONCATENATE('3 pr-2'!I40)</f>
        <v>R</v>
      </c>
      <c r="I40" s="265" t="str">
        <f>CONCATENATE('3 pr-2'!J40)</f>
        <v>ITI</v>
      </c>
      <c r="J40" s="266">
        <f>SUM('3 pr-2'!L40)</f>
        <v>1516932.01</v>
      </c>
      <c r="K40" s="267">
        <f>SUM('3 pr-2'!O40)</f>
        <v>75846.61</v>
      </c>
      <c r="L40" s="267">
        <f>SUM('3 pr-2'!R40)</f>
        <v>151693.20000000001</v>
      </c>
      <c r="M40" s="267">
        <f>SUM('3 pr-2'!U40)</f>
        <v>0</v>
      </c>
      <c r="N40" s="267">
        <f>SUM('3 pr-2'!X40)</f>
        <v>0</v>
      </c>
      <c r="O40" s="268">
        <f>SUM('3 pr-2'!AA40)</f>
        <v>1289392.2</v>
      </c>
      <c r="P40" s="288">
        <f>SUM('3 pr-2'!AE40)</f>
        <v>43108</v>
      </c>
      <c r="Q40" s="346">
        <v>42395</v>
      </c>
      <c r="R40" s="264">
        <f t="shared" ref="R40:R43" si="4">SUM(P40-Q40)</f>
        <v>713</v>
      </c>
      <c r="S40" s="341">
        <f>SUM(P40-Q40)/30.1667</f>
        <v>23.635332999632045</v>
      </c>
    </row>
    <row r="41" spans="1:19" ht="49.5" thickBot="1" x14ac:dyDescent="0.3">
      <c r="A41" s="254" t="str">
        <f>CONCATENATE('3 pr-2'!A41)</f>
        <v>1.1.1.3.2</v>
      </c>
      <c r="B41" s="323" t="str">
        <f>CONCATENATE('ketv. 2lent'!B40)</f>
        <v>07.1.1-CPVA-R-905-11-0002</v>
      </c>
      <c r="C41" s="255" t="str">
        <f>CONCATENATE('3 pr-2'!D41)</f>
        <v>Varėnos miesto centrinės dalies modernizavimas ir pritaikymas visuomenės poreikiams (II etapas)</v>
      </c>
      <c r="D41" s="255" t="str">
        <f>CONCATENATE('3 pr-2'!E41)</f>
        <v>Varėnos rajono savivaldybės administracija</v>
      </c>
      <c r="E41" s="255" t="str">
        <f>CONCATENATE('3 pr-2'!F41)</f>
        <v>Lietuvos Respublikos vidaus reikalų ministerija</v>
      </c>
      <c r="F41" s="255" t="str">
        <f>CONCATENATE('3 pr-2'!G41)</f>
        <v>Varėnos miestas</v>
      </c>
      <c r="G41" s="255" t="str">
        <f>CONCATENATE('3 pr-2'!H41)</f>
        <v xml:space="preserve">07.1.1-CPVA-R-905 </v>
      </c>
      <c r="H41" s="255" t="str">
        <f>CONCATENATE('3 pr-2'!I41)</f>
        <v>R</v>
      </c>
      <c r="I41" s="265" t="str">
        <f>CONCATENATE('3 pr-2'!J41)</f>
        <v>ITI</v>
      </c>
      <c r="J41" s="266">
        <f>SUM('3 pr-2'!L41)</f>
        <v>995216.11</v>
      </c>
      <c r="K41" s="267">
        <f>SUM('3 pr-2'!O41)</f>
        <v>74641.210000000006</v>
      </c>
      <c r="L41" s="267">
        <f>SUM('3 pr-2'!R41)</f>
        <v>74641.210000000006</v>
      </c>
      <c r="M41" s="267">
        <f>SUM('3 pr-2'!U41)</f>
        <v>0</v>
      </c>
      <c r="N41" s="267">
        <f>SUM('3 pr-2'!X41)</f>
        <v>0</v>
      </c>
      <c r="O41" s="268">
        <f>SUM('3 pr-2'!AA41)</f>
        <v>845933.69</v>
      </c>
      <c r="P41" s="288">
        <f>SUM('3 pr-2'!AE41)</f>
        <v>43108</v>
      </c>
      <c r="Q41" s="346">
        <v>42653</v>
      </c>
      <c r="R41" s="264">
        <f t="shared" si="4"/>
        <v>455</v>
      </c>
      <c r="S41" s="341">
        <f>SUM(P41-Q41)/30.1667</f>
        <v>15.08285626203728</v>
      </c>
    </row>
    <row r="42" spans="1:19" ht="49.5" thickBot="1" x14ac:dyDescent="0.3">
      <c r="A42" s="254" t="str">
        <f>CONCATENATE('3 pr-2'!A42)</f>
        <v>1.1.1.3.3</v>
      </c>
      <c r="B42" s="323" t="str">
        <f>CONCATENATE('ketv. 2lent'!B41)</f>
        <v/>
      </c>
      <c r="C42" s="255" t="str">
        <f>CONCATENATE('3 pr-2'!D42)</f>
        <v xml:space="preserve">Varėnos miesto Dainų slėnio infrastruktūros atnaujinimas ir pritaikymas visuomenės poreikiams </v>
      </c>
      <c r="D42" s="255" t="str">
        <f>CONCATENATE('3 pr-2'!E42)</f>
        <v>Varėnos rajono savivaldybės administracija</v>
      </c>
      <c r="E42" s="255" t="str">
        <f>CONCATENATE('3 pr-2'!F42)</f>
        <v>Lietuvos Respublikos vidaus reikalų ministerija</v>
      </c>
      <c r="F42" s="255" t="str">
        <f>CONCATENATE('3 pr-2'!G42)</f>
        <v>Varėnos miestas</v>
      </c>
      <c r="G42" s="255" t="str">
        <f>CONCATENATE('3 pr-2'!H42)</f>
        <v xml:space="preserve">07.1.1-CPVA-R-905 </v>
      </c>
      <c r="H42" s="255" t="str">
        <f>CONCATENATE('3 pr-2'!I42)</f>
        <v>R</v>
      </c>
      <c r="I42" s="265" t="str">
        <f>CONCATENATE('3 pr-2'!J42)</f>
        <v>ITI</v>
      </c>
      <c r="J42" s="266">
        <f>SUM('3 pr-2'!L42)</f>
        <v>630000</v>
      </c>
      <c r="K42" s="267">
        <f>SUM('3 pr-2'!O42)</f>
        <v>47250</v>
      </c>
      <c r="L42" s="267">
        <f>SUM('3 pr-2'!R42)</f>
        <v>47250</v>
      </c>
      <c r="M42" s="267">
        <f>SUM('3 pr-2'!U42)</f>
        <v>0</v>
      </c>
      <c r="N42" s="267">
        <f>SUM('3 pr-2'!X42)</f>
        <v>0</v>
      </c>
      <c r="O42" s="268">
        <f>SUM('3 pr-2'!AA42)</f>
        <v>535500</v>
      </c>
      <c r="P42" s="288">
        <f>SUM('3 pr-2'!AE42)</f>
        <v>43108</v>
      </c>
      <c r="Q42" s="291"/>
      <c r="R42" s="264">
        <f>IF(Q42&gt;0,P42-Q42,0)</f>
        <v>0</v>
      </c>
      <c r="S42" s="341">
        <f>IF(Q42&gt;0,(P42-Q42)/30.1667,0)</f>
        <v>0</v>
      </c>
    </row>
    <row r="43" spans="1:19" ht="49.5" thickBot="1" x14ac:dyDescent="0.3">
      <c r="A43" s="254" t="str">
        <f>CONCATENATE('3 pr-2'!A43)</f>
        <v>1.1.1.3.4</v>
      </c>
      <c r="B43" s="323" t="str">
        <f>CONCATENATE('ketv. 2lent'!B42)</f>
        <v>07.1.1-CPVA-R-905-11-0003</v>
      </c>
      <c r="C43" s="255" t="str">
        <f>CONCATENATE('3 pr-2'!D43)</f>
        <v>Karloniškės ežero ir jo prieigų sutvarkymas ir pritaikymas aktyviam poilsiui</v>
      </c>
      <c r="D43" s="255" t="str">
        <f>CONCATENATE('3 pr-2'!E43)</f>
        <v>Varėnos rajono savivaldybės administracija</v>
      </c>
      <c r="E43" s="255" t="str">
        <f>CONCATENATE('3 pr-2'!F43)</f>
        <v>Lietuvos Respublikos vidaus reikalų ministerija</v>
      </c>
      <c r="F43" s="255" t="str">
        <f>CONCATENATE('3 pr-2'!G43)</f>
        <v>Varėnos miestas</v>
      </c>
      <c r="G43" s="255" t="str">
        <f>CONCATENATE('3 pr-2'!H43)</f>
        <v xml:space="preserve">07.1.1-CPVA-R-905 </v>
      </c>
      <c r="H43" s="255" t="str">
        <f>CONCATENATE('3 pr-2'!I43)</f>
        <v>R</v>
      </c>
      <c r="I43" s="265" t="str">
        <f>CONCATENATE('3 pr-2'!J43)</f>
        <v>ITI</v>
      </c>
      <c r="J43" s="266">
        <f>SUM('3 pr-2'!L43)</f>
        <v>757246.01</v>
      </c>
      <c r="K43" s="267">
        <f>SUM('3 pr-2'!O43)</f>
        <v>198389.68</v>
      </c>
      <c r="L43" s="267">
        <f>SUM('3 pr-2'!R43)</f>
        <v>45312.68</v>
      </c>
      <c r="M43" s="267">
        <f>SUM('3 pr-2'!U43)</f>
        <v>0</v>
      </c>
      <c r="N43" s="267">
        <f>SUM('3 pr-2'!X43)</f>
        <v>0</v>
      </c>
      <c r="O43" s="268">
        <f>SUM('3 pr-2'!AA43)</f>
        <v>513543.65</v>
      </c>
      <c r="P43" s="288">
        <f>SUM('3 pr-2'!AE43)</f>
        <v>43108</v>
      </c>
      <c r="Q43" s="346">
        <v>42870</v>
      </c>
      <c r="R43" s="264">
        <f t="shared" si="4"/>
        <v>238</v>
      </c>
      <c r="S43" s="341">
        <f>SUM(P43-Q43)/30.1667</f>
        <v>7.8894940447579618</v>
      </c>
    </row>
    <row r="44" spans="1:19" ht="49.5" thickBot="1" x14ac:dyDescent="0.3">
      <c r="A44" s="254" t="str">
        <f>CONCATENATE('3 pr-2'!A44)</f>
        <v>1.1.1.3.5</v>
      </c>
      <c r="B44" s="323" t="str">
        <f>CONCATENATE('ketv. 2lent'!B43)</f>
        <v/>
      </c>
      <c r="C44" s="255" t="str">
        <f>CONCATENATE('3 pr-2'!D44)</f>
        <v xml:space="preserve">Nenaudojamų teritorijų Varėnos mieste sutvarkymas ir pritaikymas verslui </v>
      </c>
      <c r="D44" s="255" t="str">
        <f>CONCATENATE('3 pr-2'!E44)</f>
        <v>Varėnos rajono savivaldybės administracija</v>
      </c>
      <c r="E44" s="255" t="str">
        <f>CONCATENATE('3 pr-2'!F44)</f>
        <v>Lietuvos Respublikos vidaus reikalų ministerija</v>
      </c>
      <c r="F44" s="255" t="str">
        <f>CONCATENATE('3 pr-2'!G44)</f>
        <v>Varėnos miestas</v>
      </c>
      <c r="G44" s="255" t="str">
        <f>CONCATENATE('3 pr-2'!H44)</f>
        <v xml:space="preserve">07.1.1-CPVA-R-905 </v>
      </c>
      <c r="H44" s="255" t="str">
        <f>CONCATENATE('3 pr-2'!I44)</f>
        <v>R</v>
      </c>
      <c r="I44" s="265" t="str">
        <f>CONCATENATE('3 pr-2'!J44)</f>
        <v>ITI</v>
      </c>
      <c r="J44" s="266">
        <f>SUM('3 pr-2'!L44)</f>
        <v>250000</v>
      </c>
      <c r="K44" s="267">
        <f>SUM('3 pr-2'!O44)</f>
        <v>18750</v>
      </c>
      <c r="L44" s="267">
        <f>SUM('3 pr-2'!R44)</f>
        <v>18750</v>
      </c>
      <c r="M44" s="267">
        <f>SUM('3 pr-2'!U44)</f>
        <v>0</v>
      </c>
      <c r="N44" s="267">
        <f>SUM('3 pr-2'!X44)</f>
        <v>0</v>
      </c>
      <c r="O44" s="268">
        <f>SUM('3 pr-2'!AA44)</f>
        <v>212500</v>
      </c>
      <c r="P44" s="288">
        <f>SUM('3 pr-2'!AE44)</f>
        <v>43108</v>
      </c>
      <c r="Q44" s="291"/>
      <c r="R44" s="264">
        <f>IF(Q44&gt;0,P44-Q44,0)</f>
        <v>0</v>
      </c>
      <c r="S44" s="341">
        <f>IF(Q44&gt;0,(P44-Q44)/30.1667,0)</f>
        <v>0</v>
      </c>
    </row>
    <row r="45" spans="1:19" ht="49.5" thickBot="1" x14ac:dyDescent="0.3">
      <c r="A45" s="254" t="str">
        <f>CONCATENATE('3 pr-2'!A45)</f>
        <v>1.1.1.3.6</v>
      </c>
      <c r="B45" s="323" t="str">
        <f>CONCATENATE('ketv. 2lent'!B44)</f>
        <v/>
      </c>
      <c r="C45" s="255" t="str">
        <f>CONCATENATE('3 pr-2'!D45)</f>
        <v xml:space="preserve">Teritorijų prie daugiabučių gyvenamųjų pastatų Varėnos mieste sutvarkymas ir pritaikymas visuomenės poreikiams  </v>
      </c>
      <c r="D45" s="255" t="str">
        <f>CONCATENATE('3 pr-2'!E45)</f>
        <v>Varėnos rajono savivaldybės administracija</v>
      </c>
      <c r="E45" s="255" t="str">
        <f>CONCATENATE('3 pr-2'!F45)</f>
        <v>Lietuvos Respublikos vidaus reikalų ministerija</v>
      </c>
      <c r="F45" s="255" t="str">
        <f>CONCATENATE('3 pr-2'!G45)</f>
        <v>Varėnos miestas</v>
      </c>
      <c r="G45" s="255" t="str">
        <f>CONCATENATE('3 pr-2'!H45)</f>
        <v xml:space="preserve">07.1.1-CPVA-R-905 </v>
      </c>
      <c r="H45" s="255" t="str">
        <f>CONCATENATE('3 pr-2'!I45)</f>
        <v>R</v>
      </c>
      <c r="I45" s="265" t="str">
        <f>CONCATENATE('3 pr-2'!J45)</f>
        <v>ITI</v>
      </c>
      <c r="J45" s="266">
        <f>SUM('3 pr-2'!L45)</f>
        <v>252619</v>
      </c>
      <c r="K45" s="267">
        <f>SUM('3 pr-2'!O45)</f>
        <v>18947</v>
      </c>
      <c r="L45" s="267">
        <f>SUM('3 pr-2'!R45)</f>
        <v>18946</v>
      </c>
      <c r="M45" s="267">
        <f>SUM('3 pr-2'!U45)</f>
        <v>0</v>
      </c>
      <c r="N45" s="267">
        <f>SUM('3 pr-2'!X45)</f>
        <v>0</v>
      </c>
      <c r="O45" s="268">
        <f>SUM('3 pr-2'!AA45)</f>
        <v>214726</v>
      </c>
      <c r="P45" s="895">
        <f>SUM('3 pr-2'!AE45)</f>
        <v>43108</v>
      </c>
      <c r="Q45" s="676"/>
      <c r="R45" s="264">
        <f>IF(Q45&gt;0,P45-Q45,0)</f>
        <v>0</v>
      </c>
      <c r="S45" s="341">
        <f>IF(Q45&gt;0,(P45-Q45)/30.1667,0)</f>
        <v>0</v>
      </c>
    </row>
    <row r="46" spans="1:19" ht="31.5" customHeight="1" thickBot="1" x14ac:dyDescent="0.3">
      <c r="A46" s="488" t="str">
        <f>CONCATENATE('3 pr-2'!A46)</f>
        <v>1.1.1.4</v>
      </c>
      <c r="B46" s="790"/>
      <c r="C46" s="1656" t="str">
        <f>CONCATENATE('3 pr-2'!D46)</f>
        <v/>
      </c>
      <c r="D46" s="1802" t="str">
        <f>CONCATENATE('3 pr-2'!E46)</f>
        <v/>
      </c>
      <c r="E46" s="1802" t="str">
        <f>CONCATENATE('3 pr-2'!F46)</f>
        <v/>
      </c>
      <c r="F46" s="1802" t="str">
        <f>CONCATENATE('3 pr-2'!G46)</f>
        <v/>
      </c>
      <c r="G46" s="1802" t="str">
        <f>CONCATENATE('3 pr-2'!H46)</f>
        <v/>
      </c>
      <c r="H46" s="1802" t="str">
        <f>CONCATENATE('3 pr-2'!I46)</f>
        <v/>
      </c>
      <c r="I46" s="1802" t="str">
        <f>CONCATENATE('3 pr-2'!J46)</f>
        <v/>
      </c>
      <c r="J46" s="791">
        <f>SUM('3 pr-2'!L46)</f>
        <v>2112023.5599999996</v>
      </c>
      <c r="K46" s="791">
        <f>SUM('3 pr-2'!O46)</f>
        <v>289057.97000000003</v>
      </c>
      <c r="L46" s="791">
        <f>SUM('3 pr-2'!R46)</f>
        <v>147808.01999999999</v>
      </c>
      <c r="M46" s="791">
        <f>SUM('3 pr-2'!U46)</f>
        <v>0</v>
      </c>
      <c r="N46" s="791">
        <f>SUM('3 pr-2'!X46)</f>
        <v>0</v>
      </c>
      <c r="O46" s="792">
        <f>SUM('3 pr-2'!AA46)</f>
        <v>1675157.5699999998</v>
      </c>
      <c r="P46" s="793" t="s">
        <v>725</v>
      </c>
      <c r="Q46" s="794" t="s">
        <v>725</v>
      </c>
      <c r="R46" s="795" t="s">
        <v>725</v>
      </c>
      <c r="S46" s="795"/>
    </row>
    <row r="47" spans="1:19" ht="49.5" thickBot="1" x14ac:dyDescent="0.3">
      <c r="A47" s="254" t="str">
        <f>CONCATENATE('3 pr-2'!A47)</f>
        <v>1.1.1.4.1</v>
      </c>
      <c r="B47" s="323" t="str">
        <f>CONCATENATE('ketv. 2lent'!B46)</f>
        <v>07.1.1-CPVA-V-902-01-0008</v>
      </c>
      <c r="C47" s="255" t="str">
        <f>CONCATENATE('3 pr-2'!D47)</f>
        <v>Buvusios pramoninės teritorijos Pramonės g. 1 Alytuje, pritaikymas verslo vystymui ir plėtrai.</v>
      </c>
      <c r="D47" s="255" t="str">
        <f>CONCATENATE('3 pr-2'!E47)</f>
        <v>Alytaus miesto savivaldybės administracija</v>
      </c>
      <c r="E47" s="255" t="str">
        <f>CONCATENATE('3 pr-2'!F47)</f>
        <v>Lietuvos Respublikos vidaus reikalų ministerija</v>
      </c>
      <c r="F47" s="255" t="str">
        <f>CONCATENATE('3 pr-2'!G47)</f>
        <v>Alytaus m.</v>
      </c>
      <c r="G47" s="255" t="str">
        <f>CONCATENATE('3 pr-2'!H47)</f>
        <v>07.1.1-CPVA-V-902</v>
      </c>
      <c r="H47" s="255" t="str">
        <f>CONCATENATE('3 pr-2'!I47)</f>
        <v>V</v>
      </c>
      <c r="I47" s="265" t="str">
        <f>CONCATENATE('3 pr-2'!J47)</f>
        <v>ITI</v>
      </c>
      <c r="J47" s="266">
        <f>SUM('3 pr-2'!L47)</f>
        <v>1293732.5699999998</v>
      </c>
      <c r="K47" s="267">
        <f>SUM('3 pr-2'!O47)</f>
        <v>97029.95</v>
      </c>
      <c r="L47" s="267">
        <f>SUM('3 pr-2'!R47)</f>
        <v>97029.94</v>
      </c>
      <c r="M47" s="267">
        <f>SUM('3 pr-2'!U47)</f>
        <v>0</v>
      </c>
      <c r="N47" s="267">
        <f>SUM('3 pr-2'!X47)</f>
        <v>0</v>
      </c>
      <c r="O47" s="268">
        <f>SUM('3 pr-2'!AA47)</f>
        <v>1099672.68</v>
      </c>
      <c r="P47" s="288">
        <f>SUM('3 pr-2'!AE47)</f>
        <v>42246</v>
      </c>
      <c r="Q47" s="347">
        <v>42246</v>
      </c>
      <c r="R47" s="264">
        <f t="shared" ref="R47:R49" si="5">SUM(P47-Q47)</f>
        <v>0</v>
      </c>
      <c r="S47" s="341">
        <f>SUM(P47-Q47)/30.1667</f>
        <v>0</v>
      </c>
    </row>
    <row r="48" spans="1:19" ht="49.5" thickBot="1" x14ac:dyDescent="0.3">
      <c r="A48" s="254" t="str">
        <f>CONCATENATE('3 pr-2'!A48)</f>
        <v>1.1.1.4.2</v>
      </c>
      <c r="B48" s="323" t="str">
        <f>CONCATENATE('ketv. 2lent'!B47)</f>
        <v>07.1.1-CPVA-R-903-11-0001</v>
      </c>
      <c r="C48" s="255" t="str">
        <f>CONCATENATE('3 pr-2'!D48)</f>
        <v>Amatų centro „Menų kalvė“ Druskininkuose įkūrimas</v>
      </c>
      <c r="D48" s="255" t="str">
        <f>CONCATENATE('3 pr-2'!E48)</f>
        <v xml:space="preserve">Druskininkų savivaldybės administracija  </v>
      </c>
      <c r="E48" s="255" t="str">
        <f>CONCATENATE('3 pr-2'!F48)</f>
        <v>Lietuvos Respublikos vidaus reikalų ministerija</v>
      </c>
      <c r="F48" s="255" t="str">
        <f>CONCATENATE('3 pr-2'!G48)</f>
        <v>Druskininkų miestas</v>
      </c>
      <c r="G48" s="255" t="str">
        <f>CONCATENATE('3 pr-2'!H48)</f>
        <v>07.1.1-CPVA-R-903</v>
      </c>
      <c r="H48" s="255" t="str">
        <f>CONCATENATE('3 pr-2'!I48)</f>
        <v>R</v>
      </c>
      <c r="I48" s="265" t="str">
        <f>CONCATENATE('3 pr-2'!J48)</f>
        <v>ITI</v>
      </c>
      <c r="J48" s="266">
        <f>SUM('3 pr-2'!L48)</f>
        <v>474784</v>
      </c>
      <c r="K48" s="267">
        <f>SUM('3 pr-2'!O48)</f>
        <v>166265</v>
      </c>
      <c r="L48" s="267">
        <f>SUM('3 pr-2'!R48)</f>
        <v>25015.06</v>
      </c>
      <c r="M48" s="267">
        <f>SUM('3 pr-2'!U48)</f>
        <v>0</v>
      </c>
      <c r="N48" s="267">
        <f>SUM('3 pr-2'!X48)</f>
        <v>0</v>
      </c>
      <c r="O48" s="268">
        <f>SUM('3 pr-2'!AA48)</f>
        <v>283503.94</v>
      </c>
      <c r="P48" s="288">
        <f>SUM('3 pr-2'!AE48)</f>
        <v>42419</v>
      </c>
      <c r="Q48" s="347">
        <v>42418</v>
      </c>
      <c r="R48" s="264">
        <f t="shared" si="5"/>
        <v>1</v>
      </c>
      <c r="S48" s="341">
        <f>SUM(P48-Q48)/30.1667</f>
        <v>3.3149134641840175E-2</v>
      </c>
    </row>
    <row r="49" spans="1:19" ht="49.5" thickBot="1" x14ac:dyDescent="0.3">
      <c r="A49" s="254" t="str">
        <f>CONCATENATE('3 pr-2'!A49)</f>
        <v>1.1.1.4.3</v>
      </c>
      <c r="B49" s="323" t="str">
        <f>CONCATENATE('ketv. 2lent'!B48)</f>
        <v>07.1.1-CPVA-R-903-11-0002</v>
      </c>
      <c r="C49" s="255" t="str">
        <f>CONCATENATE('3 pr-2'!D49)</f>
        <v>Lazdijų miesto kompleksinė infrastruktūros plėtra, III etapas</v>
      </c>
      <c r="D49" s="255" t="str">
        <f>CONCATENATE('3 pr-2'!E49)</f>
        <v>Lazdijų rajono savivaldybės administracija</v>
      </c>
      <c r="E49" s="255" t="str">
        <f>CONCATENATE('3 pr-2'!F49)</f>
        <v>Lietuvos Respublikos vidaus reikalų ministerija</v>
      </c>
      <c r="F49" s="255" t="str">
        <f>CONCATENATE('3 pr-2'!G49)</f>
        <v>Lazdijų miestas</v>
      </c>
      <c r="G49" s="255" t="str">
        <f>CONCATENATE('3 pr-2'!H49)</f>
        <v>07.1.1-CPVA-R-903</v>
      </c>
      <c r="H49" s="255" t="str">
        <f>CONCATENATE('3 pr-2'!I49)</f>
        <v>R</v>
      </c>
      <c r="I49" s="265" t="str">
        <f>CONCATENATE('3 pr-2'!J49)</f>
        <v>ITI</v>
      </c>
      <c r="J49" s="266">
        <f>SUM('3 pr-2'!L49)</f>
        <v>343506.99</v>
      </c>
      <c r="K49" s="267">
        <f>SUM('3 pr-2'!O49)</f>
        <v>25763.02</v>
      </c>
      <c r="L49" s="267">
        <f>SUM('3 pr-2'!R49)</f>
        <v>25763.02</v>
      </c>
      <c r="M49" s="267">
        <f>SUM('3 pr-2'!U49)</f>
        <v>0</v>
      </c>
      <c r="N49" s="267">
        <f>SUM('3 pr-2'!X49)</f>
        <v>0</v>
      </c>
      <c r="O49" s="268">
        <f>SUM('3 pr-2'!AA49)</f>
        <v>291980.95</v>
      </c>
      <c r="P49" s="288">
        <f>SUM('3 pr-2'!AE49)</f>
        <v>42419</v>
      </c>
      <c r="Q49" s="347">
        <v>42418</v>
      </c>
      <c r="R49" s="264">
        <f t="shared" si="5"/>
        <v>1</v>
      </c>
      <c r="S49" s="341">
        <f>SUM(P49-Q49)/30.1667</f>
        <v>3.3149134641840175E-2</v>
      </c>
    </row>
    <row r="50" spans="1:19" ht="36" customHeight="1" thickBot="1" x14ac:dyDescent="0.3">
      <c r="A50" s="488" t="str">
        <f>CONCATENATE('3 pr-2'!A50)</f>
        <v>1.1.1.5</v>
      </c>
      <c r="B50" s="790"/>
      <c r="C50" s="1656" t="str">
        <f>CONCATENATE('3 pr-2'!D50)</f>
        <v/>
      </c>
      <c r="D50" s="1802" t="str">
        <f>CONCATENATE('3 pr-2'!E50)</f>
        <v/>
      </c>
      <c r="E50" s="1802" t="str">
        <f>CONCATENATE('3 pr-2'!F50)</f>
        <v/>
      </c>
      <c r="F50" s="1802" t="str">
        <f>CONCATENATE('3 pr-2'!G50)</f>
        <v/>
      </c>
      <c r="G50" s="1802" t="str">
        <f>CONCATENATE('3 pr-2'!H50)</f>
        <v/>
      </c>
      <c r="H50" s="1802" t="str">
        <f>CONCATENATE('3 pr-2'!I50)</f>
        <v/>
      </c>
      <c r="I50" s="1802" t="str">
        <f>CONCATENATE('3 pr-2'!J50)</f>
        <v/>
      </c>
      <c r="J50" s="791">
        <f>SUM('3 pr-2'!L50)</f>
        <v>16427026.24</v>
      </c>
      <c r="K50" s="791">
        <f>SUM('3 pr-2'!O50)</f>
        <v>0</v>
      </c>
      <c r="L50" s="791">
        <f>SUM('3 pr-2'!R50)</f>
        <v>0</v>
      </c>
      <c r="M50" s="791">
        <f>SUM('3 pr-2'!U50)</f>
        <v>7616352.7299999995</v>
      </c>
      <c r="N50" s="791">
        <f>SUM('3 pr-2'!X50)</f>
        <v>0</v>
      </c>
      <c r="O50" s="792">
        <f>SUM('3 pr-2'!AA50)</f>
        <v>8810673.5099999998</v>
      </c>
      <c r="P50" s="793"/>
      <c r="Q50" s="794"/>
      <c r="R50" s="795"/>
      <c r="S50" s="795"/>
    </row>
    <row r="51" spans="1:19" ht="49.5" thickBot="1" x14ac:dyDescent="0.3">
      <c r="A51" s="254" t="str">
        <f>CONCATENATE('3 pr-2'!A51)</f>
        <v>1.1.1.5.1</v>
      </c>
      <c r="B51" s="323" t="str">
        <f>CONCATENATE('ketv. 2lent'!B50)</f>
        <v>05.3.2-APVA-R-014-11-0001</v>
      </c>
      <c r="C51" s="255" t="str">
        <f>CONCATENATE('3 pr-2'!D51)</f>
        <v>Geriamojo vandens tiekimo ir nuotekų tvarkymo sistemų renovavimas ir plėtra Varėnos rajone</v>
      </c>
      <c r="D51" s="255" t="str">
        <f>CONCATENATE('3 pr-2'!E51)</f>
        <v>UAB „Varėnos vandenys“</v>
      </c>
      <c r="E51" s="255" t="str">
        <f>CONCATENATE('3 pr-2'!F51)</f>
        <v>Lietuvos Respublikos aplinkos ministerija</v>
      </c>
      <c r="F51" s="255" t="str">
        <f>CONCATENATE('3 pr-2'!G51)</f>
        <v>Varėnos rajono savivaldybė</v>
      </c>
      <c r="G51" s="255" t="str">
        <f>CONCATENATE('3 pr-2'!H51)</f>
        <v>05.3.2-APVA-R-014</v>
      </c>
      <c r="H51" s="255" t="str">
        <f>CONCATENATE('3 pr-2'!I51)</f>
        <v>R</v>
      </c>
      <c r="I51" s="265" t="str">
        <f>CONCATENATE('3 pr-2'!J51)</f>
        <v>ITI</v>
      </c>
      <c r="J51" s="266">
        <f>SUM('3 pr-2'!L51)</f>
        <v>2477103.23</v>
      </c>
      <c r="K51" s="267">
        <f>SUM('3 pr-2'!O51)</f>
        <v>0</v>
      </c>
      <c r="L51" s="267">
        <f>SUM('3 pr-2'!R51)</f>
        <v>0</v>
      </c>
      <c r="M51" s="267">
        <f>SUM('3 pr-2'!U51)</f>
        <v>862874.97</v>
      </c>
      <c r="N51" s="267">
        <f>SUM('3 pr-2'!X51)</f>
        <v>0</v>
      </c>
      <c r="O51" s="268">
        <f>SUM('3 pr-2'!AA51)</f>
        <v>1614228.26</v>
      </c>
      <c r="P51" s="288">
        <f>SUM('3 pr-2'!AE51)</f>
        <v>42451</v>
      </c>
      <c r="Q51" s="347">
        <v>42451</v>
      </c>
      <c r="R51" s="264">
        <f t="shared" ref="R51:R55" si="6">SUM(P51-Q51)</f>
        <v>0</v>
      </c>
      <c r="S51" s="341">
        <f>(P51-Q51)/30.4166666666667</f>
        <v>0</v>
      </c>
    </row>
    <row r="52" spans="1:19" ht="49.5" thickBot="1" x14ac:dyDescent="0.3">
      <c r="A52" s="254" t="str">
        <f>CONCATENATE('3 pr-2'!A52)</f>
        <v>1.1.1.5.2.</v>
      </c>
      <c r="B52" s="323" t="str">
        <f>CONCATENATE('ketv. 2lent'!B51)</f>
        <v>05.3.2-APVA-R-014-11-0002</v>
      </c>
      <c r="C52" s="255" t="str">
        <f>CONCATENATE('3 pr-2'!D52)</f>
        <v>Geriamojo vandens ir nuotekų tvarkymo sistemų renovavimas Alytaus mieste</v>
      </c>
      <c r="D52" s="255" t="str">
        <f>CONCATENATE('3 pr-2'!E52)</f>
        <v>UAB “Dzūkijos vandenys“</v>
      </c>
      <c r="E52" s="255" t="str">
        <f>CONCATENATE('3 pr-2'!F52)</f>
        <v>Lietuvos Respublikos aplinkos ministerija</v>
      </c>
      <c r="F52" s="255" t="str">
        <f>CONCATENATE('3 pr-2'!G52)</f>
        <v>Alytaus miestas</v>
      </c>
      <c r="G52" s="255" t="str">
        <f>CONCATENATE('3 pr-2'!H52)</f>
        <v xml:space="preserve">05.3.2-APVA-R-014 </v>
      </c>
      <c r="H52" s="255" t="str">
        <f>CONCATENATE('3 pr-2'!I52)</f>
        <v>R</v>
      </c>
      <c r="I52" s="265" t="str">
        <f>CONCATENATE('3 pr-2'!J52)</f>
        <v>ITI</v>
      </c>
      <c r="J52" s="266">
        <f>SUM('3 pr-2'!L52)</f>
        <v>5993883</v>
      </c>
      <c r="K52" s="267">
        <f>SUM('3 pr-2'!O52)</f>
        <v>0</v>
      </c>
      <c r="L52" s="267">
        <f>SUM('3 pr-2'!R52)</f>
        <v>0</v>
      </c>
      <c r="M52" s="267">
        <f>SUM('3 pr-2'!U52)</f>
        <v>3347886.75</v>
      </c>
      <c r="N52" s="267">
        <f>SUM('3 pr-2'!X52)</f>
        <v>0</v>
      </c>
      <c r="O52" s="268">
        <f>SUM('3 pr-2'!AA52)</f>
        <v>2645996.25</v>
      </c>
      <c r="P52" s="288">
        <f>SUM('3 pr-2'!AE52)</f>
        <v>42451</v>
      </c>
      <c r="Q52" s="347">
        <v>42451</v>
      </c>
      <c r="R52" s="264">
        <f t="shared" si="6"/>
        <v>0</v>
      </c>
      <c r="S52" s="341">
        <f>(P52-Q52)/30.4166666666667</f>
        <v>0</v>
      </c>
    </row>
    <row r="53" spans="1:19" ht="49.5" thickBot="1" x14ac:dyDescent="0.3">
      <c r="A53" s="254" t="str">
        <f>CONCATENATE('3 pr-2'!A53)</f>
        <v>1.1.1.5.3</v>
      </c>
      <c r="B53" s="323" t="str">
        <f>CONCATENATE('ketv. 2lent'!B52)</f>
        <v>05.3.2-APVA-R-014-11-0004</v>
      </c>
      <c r="C53" s="255" t="str">
        <f>CONCATENATE('3 pr-2'!D53)</f>
        <v>Geriamojo vandens tiekimo ir nuotekų tvarkymo sistemų renovavimas ir plėtra Lazdijų rajono savivaldybėje</v>
      </c>
      <c r="D53" s="255" t="str">
        <f>CONCATENATE('3 pr-2'!E53)</f>
        <v>UAB „Lazdijų vanduo“</v>
      </c>
      <c r="E53" s="255" t="str">
        <f>CONCATENATE('3 pr-2'!F53)</f>
        <v>Lietuvos Respublikos aplinkos ministerija</v>
      </c>
      <c r="F53" s="255" t="str">
        <f>CONCATENATE('3 pr-2'!G53)</f>
        <v>Lazdijų rajono savivaldybė</v>
      </c>
      <c r="G53" s="255" t="str">
        <f>CONCATENATE('3 pr-2'!H53)</f>
        <v>05.3.2-APVA-R-014</v>
      </c>
      <c r="H53" s="255" t="str">
        <f>CONCATENATE('3 pr-2'!I53)</f>
        <v>R</v>
      </c>
      <c r="I53" s="265" t="str">
        <f>CONCATENATE('3 pr-2'!J53)</f>
        <v>-</v>
      </c>
      <c r="J53" s="266">
        <f>SUM('3 pr-2'!L53)</f>
        <v>1288228.01</v>
      </c>
      <c r="K53" s="267">
        <f>SUM('3 pr-2'!O53)</f>
        <v>0</v>
      </c>
      <c r="L53" s="267">
        <f>SUM('3 pr-2'!R53)</f>
        <v>0</v>
      </c>
      <c r="M53" s="267">
        <f>SUM('3 pr-2'!U53)</f>
        <v>498126.01</v>
      </c>
      <c r="N53" s="267">
        <f>SUM('3 pr-2'!X53)</f>
        <v>0</v>
      </c>
      <c r="O53" s="268">
        <f>SUM('3 pr-2'!AA53)</f>
        <v>790102</v>
      </c>
      <c r="P53" s="288">
        <f>SUM('3 pr-2'!AE53)</f>
        <v>42451</v>
      </c>
      <c r="Q53" s="347">
        <v>42451</v>
      </c>
      <c r="R53" s="264">
        <f t="shared" si="6"/>
        <v>0</v>
      </c>
      <c r="S53" s="341">
        <f>(P53-Q53)/30.4166666666667</f>
        <v>0</v>
      </c>
    </row>
    <row r="54" spans="1:19" ht="49.5" thickBot="1" x14ac:dyDescent="0.3">
      <c r="A54" s="254" t="str">
        <f>CONCATENATE('3 pr-2'!A54)</f>
        <v>1.1.1.5.4.</v>
      </c>
      <c r="B54" s="323" t="str">
        <f>CONCATENATE('ketv. 2lent'!B53)</f>
        <v>05.3.2-APVA-R-014-11-0003</v>
      </c>
      <c r="C54" s="255" t="str">
        <f>CONCATENATE('3 pr-2'!D54)</f>
        <v>Vandens tiekimo ir nuotekų šalinimo infrastruktūros renovavimas ir plėtra Druskininkų savivaldybėje</v>
      </c>
      <c r="D54" s="255" t="str">
        <f>CONCATENATE('3 pr-2'!E54)</f>
        <v>UAB "Druskininkų vandenys"</v>
      </c>
      <c r="E54" s="255" t="str">
        <f>CONCATENATE('3 pr-2'!F54)</f>
        <v>Lietuvos Respublikos aplinkos ministerija</v>
      </c>
      <c r="F54" s="255" t="str">
        <f>CONCATENATE('3 pr-2'!G54)</f>
        <v>Druskininkų miestas</v>
      </c>
      <c r="G54" s="255" t="str">
        <f>CONCATENATE('3 pr-2'!H54)</f>
        <v>05.3.2-APVA-R-014</v>
      </c>
      <c r="H54" s="255" t="str">
        <f>CONCATENATE('3 pr-2'!I54)</f>
        <v>R</v>
      </c>
      <c r="I54" s="265" t="str">
        <f>CONCATENATE('3 pr-2'!J54)</f>
        <v>-</v>
      </c>
      <c r="J54" s="266">
        <f>SUM('3 pr-2'!L54)</f>
        <v>5186812</v>
      </c>
      <c r="K54" s="267">
        <f>SUM('3 pr-2'!O54)</f>
        <v>0</v>
      </c>
      <c r="L54" s="267">
        <f>SUM('3 pr-2'!R54)</f>
        <v>0</v>
      </c>
      <c r="M54" s="267">
        <f>SUM('3 pr-2'!U54)</f>
        <v>2294209</v>
      </c>
      <c r="N54" s="267">
        <f>SUM('3 pr-2'!X54)</f>
        <v>0</v>
      </c>
      <c r="O54" s="268">
        <f>SUM('3 pr-2'!AA54)</f>
        <v>2892603</v>
      </c>
      <c r="P54" s="288">
        <f>SUM('3 pr-2'!AE54)</f>
        <v>42451</v>
      </c>
      <c r="Q54" s="347">
        <v>42451</v>
      </c>
      <c r="R54" s="264">
        <f t="shared" si="6"/>
        <v>0</v>
      </c>
      <c r="S54" s="341">
        <f>(P54-Q54)/30.4166666666667</f>
        <v>0</v>
      </c>
    </row>
    <row r="55" spans="1:19" ht="49.5" thickBot="1" x14ac:dyDescent="0.3">
      <c r="A55" s="254" t="str">
        <f>CONCATENATE('3 pr-2'!A55)</f>
        <v>1.1.1.5.5.</v>
      </c>
      <c r="B55" s="323" t="str">
        <f>CONCATENATE('ketv. 2lent'!B54)</f>
        <v>05.3.2-APVA-R-014-11-0005</v>
      </c>
      <c r="C55" s="255" t="str">
        <f>CONCATENATE('3 pr-2'!D55)</f>
        <v>Vandens tiekimo ir nuotekų tvarkymo infrastruktūros plėtra Alytaus rajone (Krokialaukyje)</v>
      </c>
      <c r="D55" s="255" t="str">
        <f>CONCATENATE('3 pr-2'!E55)</f>
        <v>SĮ „Simno komunalininkas“</v>
      </c>
      <c r="E55" s="255" t="str">
        <f>CONCATENATE('3 pr-2'!F55)</f>
        <v>Lietuvos Respublikos aplinkos ministerija</v>
      </c>
      <c r="F55" s="255" t="str">
        <f>CONCATENATE('3 pr-2'!G55)</f>
        <v>Alytaus  rajono savivaldybė</v>
      </c>
      <c r="G55" s="255" t="str">
        <f>CONCATENATE('3 pr-2'!H55)</f>
        <v>05.3.2-APVA-R-014</v>
      </c>
      <c r="H55" s="255" t="str">
        <f>CONCATENATE('3 pr-2'!I55)</f>
        <v>R</v>
      </c>
      <c r="I55" s="265" t="str">
        <f>CONCATENATE('3 pr-2'!J55)</f>
        <v>-</v>
      </c>
      <c r="J55" s="266">
        <f>SUM('3 pr-2'!L55)</f>
        <v>1481000</v>
      </c>
      <c r="K55" s="267">
        <f>SUM('3 pr-2'!O55)</f>
        <v>0</v>
      </c>
      <c r="L55" s="267">
        <f>SUM('3 pr-2'!R55)</f>
        <v>0</v>
      </c>
      <c r="M55" s="267">
        <f>SUM('3 pr-2'!U55)</f>
        <v>613256</v>
      </c>
      <c r="N55" s="267">
        <f>SUM('3 pr-2'!X55)</f>
        <v>0</v>
      </c>
      <c r="O55" s="268">
        <f>SUM('3 pr-2'!AA55)</f>
        <v>867744</v>
      </c>
      <c r="P55" s="288">
        <f>SUM('3 pr-2'!AE55)</f>
        <v>42451</v>
      </c>
      <c r="Q55" s="347">
        <v>42451</v>
      </c>
      <c r="R55" s="264">
        <f t="shared" si="6"/>
        <v>0</v>
      </c>
      <c r="S55" s="341">
        <f>(P55-Q55)/30.4166666666667</f>
        <v>0</v>
      </c>
    </row>
    <row r="56" spans="1:19" ht="33.75" customHeight="1" thickBot="1" x14ac:dyDescent="0.3">
      <c r="A56" s="488" t="str">
        <f>CONCATENATE('3 pr-2'!A56)</f>
        <v>1.1.1.6</v>
      </c>
      <c r="B56" s="790"/>
      <c r="C56" s="1656" t="str">
        <f>CONCATENATE('3 pr-2'!D56)</f>
        <v/>
      </c>
      <c r="D56" s="1802" t="str">
        <f>CONCATENATE('3 pr-2'!E56)</f>
        <v/>
      </c>
      <c r="E56" s="1802" t="str">
        <f>CONCATENATE('3 pr-2'!F56)</f>
        <v/>
      </c>
      <c r="F56" s="1802" t="str">
        <f>CONCATENATE('3 pr-2'!G56)</f>
        <v/>
      </c>
      <c r="G56" s="1802" t="str">
        <f>CONCATENATE('3 pr-2'!H56)</f>
        <v/>
      </c>
      <c r="H56" s="1802" t="str">
        <f>CONCATENATE('3 pr-2'!I56)</f>
        <v/>
      </c>
      <c r="I56" s="1802" t="str">
        <f>CONCATENATE('3 pr-2'!J56)</f>
        <v/>
      </c>
      <c r="J56" s="791">
        <f>SUM('3 pr-2'!L56)</f>
        <v>3999404.09</v>
      </c>
      <c r="K56" s="791">
        <f>SUM('3 pr-2'!O56)</f>
        <v>0</v>
      </c>
      <c r="L56" s="791">
        <f>SUM('3 pr-2'!R56)</f>
        <v>0</v>
      </c>
      <c r="M56" s="791">
        <f>SUM('3 pr-2'!U56)</f>
        <v>599910.61</v>
      </c>
      <c r="N56" s="791">
        <f>SUM('3 pr-2'!X56)</f>
        <v>0</v>
      </c>
      <c r="O56" s="792">
        <f>SUM('3 pr-2'!AA56)</f>
        <v>3399493.48</v>
      </c>
      <c r="P56" s="793"/>
      <c r="Q56" s="794"/>
      <c r="R56" s="795"/>
      <c r="S56" s="795"/>
    </row>
    <row r="57" spans="1:19" ht="49.5" thickBot="1" x14ac:dyDescent="0.3">
      <c r="A57" s="254" t="str">
        <f>CONCATENATE('3 pr-2'!A57)</f>
        <v>1.1.1.6.1</v>
      </c>
      <c r="B57" s="323" t="str">
        <f>CONCATENATE('ketv. 2lent'!B56)</f>
        <v>05.1.1-APVA-R-007-11-0001</v>
      </c>
      <c r="C57" s="255" t="str">
        <f>CONCATENATE('3 pr-2'!D57)</f>
        <v>Paviršinių nuotekų sistemų tvarkymas Alytaus mieste</v>
      </c>
      <c r="D57" s="255" t="str">
        <f>CONCATENATE('3 pr-2'!E57)</f>
        <v>UAB “Dzūkijos vandenys“</v>
      </c>
      <c r="E57" s="255" t="str">
        <f>CONCATENATE('3 pr-2'!F57)</f>
        <v>Lietuvos Respublikos aplinkos ministerija</v>
      </c>
      <c r="F57" s="255" t="str">
        <f>CONCATENATE('3 pr-2'!G57)</f>
        <v>Alytaus  miestas</v>
      </c>
      <c r="G57" s="255" t="str">
        <f>CONCATENATE('3 pr-2'!H57)</f>
        <v>05.1.1-APVA-R-007</v>
      </c>
      <c r="H57" s="255" t="str">
        <f>CONCATENATE('3 pr-2'!I57)</f>
        <v>R</v>
      </c>
      <c r="I57" s="265" t="str">
        <f>CONCATENATE('3 pr-2'!J57)</f>
        <v>-</v>
      </c>
      <c r="J57" s="266">
        <f>SUM('3 pr-2'!L57)</f>
        <v>3999404.09</v>
      </c>
      <c r="K57" s="267">
        <f>SUM('3 pr-2'!O57)</f>
        <v>0</v>
      </c>
      <c r="L57" s="267">
        <f>SUM('3 pr-2'!R57)</f>
        <v>0</v>
      </c>
      <c r="M57" s="267">
        <f>SUM('3 pr-2'!U57)</f>
        <v>599910.61</v>
      </c>
      <c r="N57" s="267">
        <f>SUM('3 pr-2'!X57)</f>
        <v>0</v>
      </c>
      <c r="O57" s="268">
        <f>SUM('3 pr-2'!AA57)</f>
        <v>3399493.48</v>
      </c>
      <c r="P57" s="895">
        <f>SUM('3 pr-2'!AE57)</f>
        <v>43130</v>
      </c>
      <c r="Q57" s="675"/>
      <c r="R57" s="264"/>
      <c r="S57" s="264"/>
    </row>
    <row r="58" spans="1:19" ht="35.25" customHeight="1" thickBot="1" x14ac:dyDescent="0.3">
      <c r="A58" s="488" t="str">
        <f>CONCATENATE('3 pr-2'!A58)</f>
        <v>1.1.1.7</v>
      </c>
      <c r="B58" s="790"/>
      <c r="C58" s="1656" t="str">
        <f>CONCATENATE('3 pr-2'!D58)</f>
        <v>Priemonė:
Savivaldybes jungiančių turizmo trasų ir turizmo maršrutų informacinės infrastruktūros plėtra</v>
      </c>
      <c r="D58" s="1802" t="str">
        <f>CONCATENATE('3 pr-2'!E58)</f>
        <v/>
      </c>
      <c r="E58" s="1802" t="str">
        <f>CONCATENATE('3 pr-2'!F58)</f>
        <v/>
      </c>
      <c r="F58" s="1802" t="str">
        <f>CONCATENATE('3 pr-2'!G58)</f>
        <v/>
      </c>
      <c r="G58" s="1802" t="str">
        <f>CONCATENATE('3 pr-2'!H58)</f>
        <v/>
      </c>
      <c r="H58" s="1802" t="str">
        <f>CONCATENATE('3 pr-2'!I58)</f>
        <v/>
      </c>
      <c r="I58" s="1802" t="str">
        <f>CONCATENATE('3 pr-2'!J58)</f>
        <v/>
      </c>
      <c r="J58" s="791">
        <f>SUM('3 pr-2'!L58)</f>
        <v>719317.64705882361</v>
      </c>
      <c r="K58" s="791">
        <f>SUM('3 pr-2'!O58)</f>
        <v>107897.64705882352</v>
      </c>
      <c r="L58" s="791">
        <f>SUM('3 pr-2'!R58)</f>
        <v>0</v>
      </c>
      <c r="M58" s="791">
        <f>SUM('3 pr-2'!U58)</f>
        <v>0</v>
      </c>
      <c r="N58" s="791">
        <f>SUM('3 pr-2'!X58)</f>
        <v>0</v>
      </c>
      <c r="O58" s="792">
        <f>SUM('3 pr-2'!AA58)</f>
        <v>611420</v>
      </c>
      <c r="P58" s="793"/>
      <c r="Q58" s="794"/>
      <c r="R58" s="795"/>
      <c r="S58" s="795"/>
    </row>
    <row r="59" spans="1:19" ht="37.5" thickBot="1" x14ac:dyDescent="0.3">
      <c r="A59" s="254" t="str">
        <f>CONCATENATE('3 pr-2'!A59)</f>
        <v>1.1.1.7.1</v>
      </c>
      <c r="B59" s="323" t="str">
        <f>CONCATENATE('ketv. 2lent'!B58)</f>
        <v>05.4.1-LVPA-R-821-11-0002</v>
      </c>
      <c r="C59" s="255" t="str">
        <f>CONCATENATE('3 pr-2'!D59)</f>
        <v>Alytaus regiono turizmo informacinės infrastruktūros plėtra</v>
      </c>
      <c r="D59" s="255" t="str">
        <f>CONCATENATE('3 pr-2'!E59)</f>
        <v>Alytaus miesto savivaldybės administracija</v>
      </c>
      <c r="E59" s="255" t="str">
        <f>CONCATENATE('3 pr-2'!F59)</f>
        <v>Lietuvos Respublikos ūkio ministerija</v>
      </c>
      <c r="F59" s="255" t="str">
        <f>CONCATENATE('3 pr-2'!G59)</f>
        <v>Alytaus regionas</v>
      </c>
      <c r="G59" s="255" t="str">
        <f>CONCATENATE('3 pr-2'!H59)</f>
        <v>05.4.1-LVPA-R-821</v>
      </c>
      <c r="H59" s="255" t="str">
        <f>CONCATENATE('3 pr-2'!I59)</f>
        <v>R</v>
      </c>
      <c r="I59" s="265" t="str">
        <f>CONCATENATE('3 pr-2'!J59)</f>
        <v>-</v>
      </c>
      <c r="J59" s="266">
        <f>SUM('3 pr-2'!L59)</f>
        <v>208223.52941176473</v>
      </c>
      <c r="K59" s="267">
        <f>SUM('3 pr-2'!O59)</f>
        <v>31233.529411764706</v>
      </c>
      <c r="L59" s="267">
        <f>SUM('3 pr-2'!R59)</f>
        <v>0</v>
      </c>
      <c r="M59" s="267">
        <f>SUM('3 pr-2'!U59)</f>
        <v>0</v>
      </c>
      <c r="N59" s="267">
        <f>SUM('3 pr-2'!X59)</f>
        <v>0</v>
      </c>
      <c r="O59" s="268">
        <f>SUM('3 pr-2'!AA59)</f>
        <v>176990</v>
      </c>
      <c r="P59" s="288">
        <f>SUM('3 pr-2'!AE59)</f>
        <v>42604</v>
      </c>
      <c r="Q59" s="346">
        <v>42604</v>
      </c>
      <c r="R59" s="264">
        <f t="shared" ref="R59:R60" si="7">SUM(P59-Q59)</f>
        <v>0</v>
      </c>
      <c r="S59" s="341">
        <f>(P59-Q59)/30.4166666666667</f>
        <v>0</v>
      </c>
    </row>
    <row r="60" spans="1:19" ht="49.5" thickBot="1" x14ac:dyDescent="0.3">
      <c r="A60" s="254" t="str">
        <f>CONCATENATE('3 pr-2'!A60)</f>
        <v>1.1.1.7.2</v>
      </c>
      <c r="B60" s="323" t="str">
        <f>CONCATENATE('ketv. 2lent'!B59)</f>
        <v>05.4.1-LVPA-R-821-11-0001</v>
      </c>
      <c r="C60" s="255" t="str">
        <f>CONCATENATE('3 pr-2'!D60)</f>
        <v>„Turizmo trasų ir maršrutų informacinės infrastruktūros plėtra  Lazdijų, Varėnos rajonų ir Druskininkų savivaldybėse“</v>
      </c>
      <c r="D60" s="255" t="str">
        <f>CONCATENATE('3 pr-2'!E60)</f>
        <v>Lazdijų rajono savivaldybės administracija</v>
      </c>
      <c r="E60" s="255" t="str">
        <f>CONCATENATE('3 pr-2'!F60)</f>
        <v>Lietuvos Respublikos ūkio ministerija</v>
      </c>
      <c r="F60" s="255" t="str">
        <f>CONCATENATE('3 pr-2'!G60)</f>
        <v xml:space="preserve">Lazdijų, Varėnos rajonų ir Druskininkų savivaldybės </v>
      </c>
      <c r="G60" s="255" t="str">
        <f>CONCATENATE('3 pr-2'!H60)</f>
        <v>05.4.1-LVPA-R-821</v>
      </c>
      <c r="H60" s="255" t="str">
        <f>CONCATENATE('3 pr-2'!I60)</f>
        <v>R</v>
      </c>
      <c r="I60" s="265" t="str">
        <f>CONCATENATE('3 pr-2'!J60)</f>
        <v>-</v>
      </c>
      <c r="J60" s="266">
        <f>SUM('3 pr-2'!L60)</f>
        <v>288105.8823529412</v>
      </c>
      <c r="K60" s="267">
        <f>SUM('3 pr-2'!O60)</f>
        <v>43215.882352941175</v>
      </c>
      <c r="L60" s="267">
        <f>SUM('3 pr-2'!R60)</f>
        <v>0</v>
      </c>
      <c r="M60" s="267">
        <f>SUM('3 pr-2'!U60)</f>
        <v>0</v>
      </c>
      <c r="N60" s="267">
        <f>SUM('3 pr-2'!X60)</f>
        <v>0</v>
      </c>
      <c r="O60" s="268">
        <f>SUM('3 pr-2'!AA60)</f>
        <v>244890</v>
      </c>
      <c r="P60" s="288">
        <f>SUM('3 pr-2'!AE60)</f>
        <v>42604</v>
      </c>
      <c r="Q60" s="346">
        <v>42604</v>
      </c>
      <c r="R60" s="264">
        <f t="shared" si="7"/>
        <v>0</v>
      </c>
      <c r="S60" s="264">
        <f t="shared" ref="S60" si="8">IF((MONTH(P60)-MONTH(Q60))=0,0,MONTH(P60)-MONTH(Q60))</f>
        <v>0</v>
      </c>
    </row>
    <row r="61" spans="1:19" ht="49.5" thickBot="1" x14ac:dyDescent="0.3">
      <c r="A61" s="254" t="str">
        <f>CONCATENATE('3 pr-2'!A61)</f>
        <v>1.1.1.7.3</v>
      </c>
      <c r="B61" s="323" t="str">
        <f>CONCATENATE('ketv. 2lent'!B60)</f>
        <v/>
      </c>
      <c r="C61" s="255" t="str">
        <f>CONCATENATE('3 pr-2'!D61)</f>
        <v>„Turizmo trasų ir maršrutų informacinės infrastruktūros plėtra  Lazdijų, Varėnos rajonų ir Druskininkų savivaldybėse II etapas“</v>
      </c>
      <c r="D61" s="255" t="str">
        <f>CONCATENATE('3 pr-2'!E61)</f>
        <v>Lazdijų rajono savivaldybės administracija</v>
      </c>
      <c r="E61" s="255" t="str">
        <f>CONCATENATE('3 pr-2'!F61)</f>
        <v>Lietuvos Respublikos ūkio ministerija</v>
      </c>
      <c r="F61" s="255" t="str">
        <f>CONCATENATE('3 pr-2'!G61)</f>
        <v xml:space="preserve">Lazdijų, Varėnos rajonų ir Druskininkų savivaldybės </v>
      </c>
      <c r="G61" s="255" t="str">
        <f>CONCATENATE('3 pr-2'!H61)</f>
        <v>05.4.1-LVPA-R-821</v>
      </c>
      <c r="H61" s="255" t="str">
        <f>CONCATENATE('3 pr-2'!I61)</f>
        <v>R</v>
      </c>
      <c r="I61" s="265" t="str">
        <f>CONCATENATE('3 pr-2'!J61)</f>
        <v>-</v>
      </c>
      <c r="J61" s="266">
        <f>SUM('3 pr-2'!L61)</f>
        <v>222988.23529411765</v>
      </c>
      <c r="K61" s="267">
        <f>SUM('3 pr-2'!O61)</f>
        <v>33448.23529411765</v>
      </c>
      <c r="L61" s="267">
        <f>SUM('3 pr-2'!R61)</f>
        <v>0</v>
      </c>
      <c r="M61" s="267">
        <f>SUM('3 pr-2'!U61)</f>
        <v>0</v>
      </c>
      <c r="N61" s="267">
        <f>SUM('3 pr-2'!X61)</f>
        <v>0</v>
      </c>
      <c r="O61" s="268">
        <f>SUM('3 pr-2'!AA61)</f>
        <v>189540</v>
      </c>
      <c r="P61" s="895">
        <f>SUM('3 pr-2'!AE61)</f>
        <v>43189</v>
      </c>
      <c r="Q61" s="291"/>
      <c r="R61" s="264">
        <f>IF(Q61&gt;0,P61-Q61,0)</f>
        <v>0</v>
      </c>
      <c r="S61" s="341">
        <f>IF(Q61&gt;0,(P61-Q61)/30.1667,0)</f>
        <v>0</v>
      </c>
    </row>
    <row r="62" spans="1:19" ht="29.25" customHeight="1" thickBot="1" x14ac:dyDescent="0.3">
      <c r="A62" s="488" t="str">
        <f>CONCATENATE('3 pr-2'!A62)</f>
        <v>1.1.1.8</v>
      </c>
      <c r="B62" s="790"/>
      <c r="C62" s="1656" t="str">
        <f>CONCATENATE('3 pr-2'!D62)</f>
        <v/>
      </c>
      <c r="D62" s="1802" t="str">
        <f>CONCATENATE('3 pr-2'!E62)</f>
        <v/>
      </c>
      <c r="E62" s="1802" t="str">
        <f>CONCATENATE('3 pr-2'!F62)</f>
        <v/>
      </c>
      <c r="F62" s="1802" t="str">
        <f>CONCATENATE('3 pr-2'!G62)</f>
        <v/>
      </c>
      <c r="G62" s="1802" t="str">
        <f>CONCATENATE('3 pr-2'!H62)</f>
        <v/>
      </c>
      <c r="H62" s="1802" t="str">
        <f>CONCATENATE('3 pr-2'!I62)</f>
        <v/>
      </c>
      <c r="I62" s="1802" t="str">
        <f>CONCATENATE('3 pr-2'!J62)</f>
        <v/>
      </c>
      <c r="J62" s="791">
        <f>SUM('3 pr-2'!L62)</f>
        <v>1972835.5100000002</v>
      </c>
      <c r="K62" s="791">
        <f>SUM('3 pr-2'!O62)</f>
        <v>422270.99</v>
      </c>
      <c r="L62" s="791">
        <f>SUM('3 pr-2'!R62)</f>
        <v>352400.82</v>
      </c>
      <c r="M62" s="791">
        <f>SUM('3 pr-2'!U62)</f>
        <v>0</v>
      </c>
      <c r="N62" s="791">
        <f>SUM('3 pr-2'!X62)</f>
        <v>0</v>
      </c>
      <c r="O62" s="792">
        <f>SUM('3 pr-2'!AA62)</f>
        <v>1198163.7</v>
      </c>
      <c r="P62" s="793"/>
      <c r="Q62" s="794"/>
      <c r="R62" s="795"/>
      <c r="S62" s="795"/>
    </row>
    <row r="63" spans="1:19" ht="49.5" thickBot="1" x14ac:dyDescent="0.3">
      <c r="A63" s="254" t="str">
        <f>CONCATENATE('3 pr-2'!A63)</f>
        <v>1.1.1.8.1</v>
      </c>
      <c r="B63" s="323" t="str">
        <f>CONCATENATE('ketv. 2lent'!B62)</f>
        <v>07.1.1-CPVA-R-305-11-0001</v>
      </c>
      <c r="C63" s="255" t="str">
        <f>CONCATENATE('3 pr-2'!D63)</f>
        <v>Kultūros įstaigų infrastruktūros modernizavimas Varėnos mieste</v>
      </c>
      <c r="D63" s="255" t="str">
        <f>CONCATENATE('3 pr-2'!E63)</f>
        <v>Varėnos rajono savivaldybės administracija</v>
      </c>
      <c r="E63" s="255" t="str">
        <f>CONCATENATE('3 pr-2'!F63)</f>
        <v>Lietuvos Respublikos kultūros ministerija</v>
      </c>
      <c r="F63" s="255" t="str">
        <f>CONCATENATE('3 pr-2'!G63)</f>
        <v>Varėnos miestas</v>
      </c>
      <c r="G63" s="255" t="str">
        <f>CONCATENATE('3 pr-2'!H63)</f>
        <v>07.1.1-CPVA-R-305</v>
      </c>
      <c r="H63" s="255" t="str">
        <f>CONCATENATE('3 pr-2'!I63)</f>
        <v>R</v>
      </c>
      <c r="I63" s="265" t="str">
        <f>CONCATENATE('3 pr-2'!J63)</f>
        <v>ITI</v>
      </c>
      <c r="J63" s="266">
        <f>SUM('3 pr-2'!L63)</f>
        <v>352401</v>
      </c>
      <c r="K63" s="267">
        <f>SUM('3 pr-2'!O63)</f>
        <v>52860.15</v>
      </c>
      <c r="L63" s="267">
        <f>SUM('3 pr-2'!R63)</f>
        <v>0</v>
      </c>
      <c r="M63" s="267">
        <f>SUM('3 pr-2'!U63)</f>
        <v>0</v>
      </c>
      <c r="N63" s="267">
        <f>SUM('3 pr-2'!X63)</f>
        <v>0</v>
      </c>
      <c r="O63" s="268">
        <f>SUM('3 pr-2'!AA63)</f>
        <v>299540.84999999998</v>
      </c>
      <c r="P63" s="288">
        <f>SUM('3 pr-2'!AE63)</f>
        <v>42614</v>
      </c>
      <c r="Q63" s="347">
        <v>42592</v>
      </c>
      <c r="R63" s="264">
        <f t="shared" ref="R63:R66" si="9">SUM(P63-Q63)</f>
        <v>22</v>
      </c>
      <c r="S63" s="341">
        <f>(P63-Q63)/30.4166666666667</f>
        <v>0.72328767123287596</v>
      </c>
    </row>
    <row r="64" spans="1:19" ht="49.5" thickBot="1" x14ac:dyDescent="0.3">
      <c r="A64" s="254" t="str">
        <f>CONCATENATE('3 pr-2'!A64)</f>
        <v>1.1.1.8.2</v>
      </c>
      <c r="B64" s="323" t="str">
        <f>CONCATENATE('ketv. 2lent'!B63)</f>
        <v>07.1.1-CPVA-R-305-11-0002</v>
      </c>
      <c r="C64" s="255" t="str">
        <f>CONCATENATE('3 pr-2'!D64)</f>
        <v>VšĮ Alytaus kultūros ir komunikacijos centro pastato Alytuje, Pramonės g. 1B, rekonstravimas</v>
      </c>
      <c r="D64" s="255" t="str">
        <f>CONCATENATE('3 pr-2'!E64)</f>
        <v>Alytaus miesto savivaldybės administracija</v>
      </c>
      <c r="E64" s="255" t="str">
        <f>CONCATENATE('3 pr-2'!F64)</f>
        <v>Lietuvos Respublikos kultūros ministerija</v>
      </c>
      <c r="F64" s="255" t="str">
        <f>CONCATENATE('3 pr-2'!G64)</f>
        <v>Alytaus miestas</v>
      </c>
      <c r="G64" s="255" t="str">
        <f>CONCATENATE('3 pr-2'!H64)</f>
        <v>07.1.1-CPVA-R-305</v>
      </c>
      <c r="H64" s="255" t="str">
        <f>CONCATENATE('3 pr-2'!I64)</f>
        <v>R</v>
      </c>
      <c r="I64" s="265" t="str">
        <f>CONCATENATE('3 pr-2'!J64)</f>
        <v>ITI</v>
      </c>
      <c r="J64" s="266">
        <f>SUM('3 pr-2'!L64)</f>
        <v>783264.16</v>
      </c>
      <c r="K64" s="267">
        <f>SUM('3 pr-2'!O64)</f>
        <v>131322.34</v>
      </c>
      <c r="L64" s="267">
        <f>SUM('3 pr-2'!R64)</f>
        <v>352400.82</v>
      </c>
      <c r="M64" s="267">
        <f>SUM('3 pr-2'!U64)</f>
        <v>0</v>
      </c>
      <c r="N64" s="267">
        <f>SUM('3 pr-2'!X64)</f>
        <v>0</v>
      </c>
      <c r="O64" s="268">
        <f>SUM('3 pr-2'!AA64)</f>
        <v>299541</v>
      </c>
      <c r="P64" s="288">
        <f>SUM('3 pr-2'!AE64)</f>
        <v>42614</v>
      </c>
      <c r="Q64" s="347">
        <v>42614</v>
      </c>
      <c r="R64" s="264">
        <f t="shared" si="9"/>
        <v>0</v>
      </c>
      <c r="S64" s="341">
        <f>(P64-Q64)/30.4166666666667</f>
        <v>0</v>
      </c>
    </row>
    <row r="65" spans="1:19" ht="49.5" thickBot="1" x14ac:dyDescent="0.3">
      <c r="A65" s="254" t="str">
        <f>CONCATENATE('3 pr-2'!A65)</f>
        <v>1.1.1.8.3</v>
      </c>
      <c r="B65" s="323" t="str">
        <f>CONCATENATE('ketv. 2lent'!B64)</f>
        <v>07.1.1-CPVA-R-305-11-0003</v>
      </c>
      <c r="C65" s="255" t="str">
        <f>CONCATENATE('3 pr-2'!D65)</f>
        <v>Druskininkų kultūros centro lauko scenos, Vilniaus al. 24, Druskininkai, modernizavimas ir pritaikymas kultūros  poreikiams</v>
      </c>
      <c r="D65" s="255" t="str">
        <f>CONCATENATE('3 pr-2'!E65)</f>
        <v xml:space="preserve">Druskininkų savivaldybės administracija  </v>
      </c>
      <c r="E65" s="255" t="str">
        <f>CONCATENATE('3 pr-2'!F65)</f>
        <v>Lietuvos Respublikos kultūros ministerija</v>
      </c>
      <c r="F65" s="255" t="str">
        <f>CONCATENATE('3 pr-2'!G65)</f>
        <v>Druskininkų  miestas</v>
      </c>
      <c r="G65" s="255" t="str">
        <f>CONCATENATE('3 pr-2'!H65)</f>
        <v>07.1.1-CPVA-R-305</v>
      </c>
      <c r="H65" s="255" t="str">
        <f>CONCATENATE('3 pr-2'!I65)</f>
        <v>R</v>
      </c>
      <c r="I65" s="265" t="str">
        <f>CONCATENATE('3 pr-2'!J65)</f>
        <v>ITI</v>
      </c>
      <c r="J65" s="266">
        <f>SUM('3 pr-2'!L65)</f>
        <v>352401</v>
      </c>
      <c r="K65" s="267">
        <f>SUM('3 pr-2'!O65)</f>
        <v>52860.15</v>
      </c>
      <c r="L65" s="267">
        <f>SUM('3 pr-2'!R65)</f>
        <v>0</v>
      </c>
      <c r="M65" s="267">
        <f>SUM('3 pr-2'!U65)</f>
        <v>0</v>
      </c>
      <c r="N65" s="267">
        <f>SUM('3 pr-2'!X65)</f>
        <v>0</v>
      </c>
      <c r="O65" s="268">
        <f>SUM('3 pr-2'!AA65)</f>
        <v>299540.84999999998</v>
      </c>
      <c r="P65" s="288">
        <f>SUM('3 pr-2'!AE65)</f>
        <v>42614</v>
      </c>
      <c r="Q65" s="347">
        <v>42614</v>
      </c>
      <c r="R65" s="264">
        <f t="shared" si="9"/>
        <v>0</v>
      </c>
      <c r="S65" s="341">
        <f>(P65-Q65)/30.4166666666667</f>
        <v>0</v>
      </c>
    </row>
    <row r="66" spans="1:19" ht="49.5" thickBot="1" x14ac:dyDescent="0.3">
      <c r="A66" s="254" t="str">
        <f>CONCATENATE('3 pr-2'!A66)</f>
        <v>1.1.1.8.4</v>
      </c>
      <c r="B66" s="323" t="str">
        <f>CONCATENATE('ketv. 2lent'!B65)</f>
        <v>07.1.1-CPVA-R-305-11-0004</v>
      </c>
      <c r="C66" s="255" t="str">
        <f>CONCATENATE('3 pr-2'!D66)</f>
        <v>Pastato rekonstrukcija ir pritaikymas kultūrinėms, muziejinėms ir edukacinėms reikmėms</v>
      </c>
      <c r="D66" s="255" t="str">
        <f>CONCATENATE('3 pr-2'!E66)</f>
        <v>Lazdijų rajono savivaldybės administracija</v>
      </c>
      <c r="E66" s="255" t="str">
        <f>CONCATENATE('3 pr-2'!F66)</f>
        <v>Lietuvos Respublikos kultūros ministerija</v>
      </c>
      <c r="F66" s="255" t="str">
        <f>CONCATENATE('3 pr-2'!G66)</f>
        <v>Lazdijų miestas</v>
      </c>
      <c r="G66" s="255" t="str">
        <f>CONCATENATE('3 pr-2'!H66)</f>
        <v>07.1.1-CPVA-R-305</v>
      </c>
      <c r="H66" s="255" t="str">
        <f>CONCATENATE('3 pr-2'!I66)</f>
        <v>R</v>
      </c>
      <c r="I66" s="265" t="str">
        <f>CONCATENATE('3 pr-2'!J66)</f>
        <v>ITI</v>
      </c>
      <c r="J66" s="266">
        <f>SUM('3 pr-2'!L66)</f>
        <v>484769.35</v>
      </c>
      <c r="K66" s="267">
        <f>SUM('3 pr-2'!O66)</f>
        <v>185228.35</v>
      </c>
      <c r="L66" s="267">
        <f>SUM('3 pr-2'!R66)</f>
        <v>0</v>
      </c>
      <c r="M66" s="267">
        <f>SUM('3 pr-2'!U66)</f>
        <v>0</v>
      </c>
      <c r="N66" s="267">
        <f>SUM('3 pr-2'!X66)</f>
        <v>0</v>
      </c>
      <c r="O66" s="268">
        <f>SUM('3 pr-2'!AA66)</f>
        <v>299541</v>
      </c>
      <c r="P66" s="288">
        <f>SUM('3 pr-2'!AE66)</f>
        <v>42614</v>
      </c>
      <c r="Q66" s="347">
        <v>42613</v>
      </c>
      <c r="R66" s="264">
        <f t="shared" si="9"/>
        <v>1</v>
      </c>
      <c r="S66" s="341">
        <f>(P66-Q66)/30.4166666666667</f>
        <v>3.2876712328767085E-2</v>
      </c>
    </row>
    <row r="67" spans="1:19" ht="34.5" customHeight="1" thickBot="1" x14ac:dyDescent="0.3">
      <c r="A67" s="488" t="str">
        <f>CONCATENATE('3 pr-2'!A67)</f>
        <v>1.1.1.9</v>
      </c>
      <c r="B67" s="790"/>
      <c r="C67" s="1656" t="str">
        <f>CONCATENATE('3 pr-2'!D67)</f>
        <v/>
      </c>
      <c r="D67" s="1802" t="str">
        <f>CONCATENATE('3 pr-2'!E67)</f>
        <v/>
      </c>
      <c r="E67" s="1802" t="str">
        <f>CONCATENATE('3 pr-2'!F67)</f>
        <v/>
      </c>
      <c r="F67" s="1802" t="str">
        <f>CONCATENATE('3 pr-2'!G67)</f>
        <v/>
      </c>
      <c r="G67" s="1802" t="str">
        <f>CONCATENATE('3 pr-2'!H67)</f>
        <v/>
      </c>
      <c r="H67" s="1802" t="str">
        <f>CONCATENATE('3 pr-2'!I67)</f>
        <v/>
      </c>
      <c r="I67" s="1802" t="str">
        <f>CONCATENATE('3 pr-2'!J67)</f>
        <v/>
      </c>
      <c r="J67" s="791">
        <f>SUM('3 pr-2'!L67)</f>
        <v>1212868</v>
      </c>
      <c r="K67" s="791">
        <f>SUM('3 pr-2'!O67)</f>
        <v>182588</v>
      </c>
      <c r="L67" s="791">
        <f>SUM('3 pr-2'!R67)</f>
        <v>0</v>
      </c>
      <c r="M67" s="791">
        <f>SUM('3 pr-2'!U67)</f>
        <v>0</v>
      </c>
      <c r="N67" s="791">
        <f>SUM('3 pr-2'!X67)</f>
        <v>0</v>
      </c>
      <c r="O67" s="792">
        <f>SUM('3 pr-2'!AA67)</f>
        <v>1030280</v>
      </c>
      <c r="P67" s="793"/>
      <c r="Q67" s="794"/>
      <c r="R67" s="795"/>
      <c r="S67" s="795"/>
    </row>
    <row r="68" spans="1:19" ht="49.5" thickBot="1" x14ac:dyDescent="0.3">
      <c r="A68" s="254" t="str">
        <f>CONCATENATE('3 pr-2'!A68)</f>
        <v>1.1.1.9.1</v>
      </c>
      <c r="B68" s="323" t="str">
        <f>CONCATENATE('ketv. 2lent'!B67)</f>
        <v/>
      </c>
      <c r="C68" s="255" t="str">
        <f>CONCATENATE('3 pr-2'!D68)</f>
        <v>Buvusios sinagogos pastato Kauno g. 9A Alytuje rekonstravimas ir aplinkinės teritorijos sutvarkymas</v>
      </c>
      <c r="D68" s="255" t="str">
        <f>CONCATENATE('3 pr-2'!E68)</f>
        <v>Alytaus miesto savivaldybės administracija</v>
      </c>
      <c r="E68" s="255" t="str">
        <f>CONCATENATE('3 pr-2'!F68)</f>
        <v>Lietuvos Respublikos kultūros ministerija</v>
      </c>
      <c r="F68" s="255" t="str">
        <f>CONCATENATE('3 pr-2'!G68)</f>
        <v>Alytaus  miestas</v>
      </c>
      <c r="G68" s="255" t="str">
        <f>CONCATENATE('3 pr-2'!H68)</f>
        <v>05.4.1-CPVA-R-302</v>
      </c>
      <c r="H68" s="255" t="str">
        <f>CONCATENATE('3 pr-2'!I68)</f>
        <v>R</v>
      </c>
      <c r="I68" s="265" t="str">
        <f>CONCATENATE('3 pr-2'!J68)</f>
        <v>ITI</v>
      </c>
      <c r="J68" s="266">
        <f>SUM('3 pr-2'!L68)</f>
        <v>242419</v>
      </c>
      <c r="K68" s="267">
        <f>SUM('3 pr-2'!O68)</f>
        <v>36363</v>
      </c>
      <c r="L68" s="267">
        <f>SUM('3 pr-2'!R68)</f>
        <v>0</v>
      </c>
      <c r="M68" s="267">
        <f>SUM('3 pr-2'!U68)</f>
        <v>0</v>
      </c>
      <c r="N68" s="267">
        <f>SUM('3 pr-2'!X68)</f>
        <v>0</v>
      </c>
      <c r="O68" s="268">
        <f>SUM('3 pr-2'!AA68)</f>
        <v>206056</v>
      </c>
      <c r="P68" s="288">
        <f>SUM('3 pr-2'!AE68)</f>
        <v>42667</v>
      </c>
      <c r="Q68" s="346">
        <v>42667</v>
      </c>
      <c r="R68" s="264">
        <f t="shared" ref="R68:R72" si="10">SUM(P68-Q68)</f>
        <v>0</v>
      </c>
      <c r="S68" s="341">
        <f>(P68-Q68)/30.4166666666667</f>
        <v>0</v>
      </c>
    </row>
    <row r="69" spans="1:19" ht="49.5" thickBot="1" x14ac:dyDescent="0.3">
      <c r="A69" s="254" t="str">
        <f>CONCATENATE('3 pr-2'!A69)</f>
        <v>1.1.1.9.2</v>
      </c>
      <c r="B69" s="323" t="str">
        <f>CONCATENATE('ketv. 2lent'!B68)</f>
        <v/>
      </c>
      <c r="C69" s="255" t="str">
        <f>CONCATENATE('3 pr-2'!D69)</f>
        <v>Mažosios dailės galerijos, M.K.Čiurlionio g. 37, Druskininkai, modernizavimas ir pritaikymas kultūros poreikiams</v>
      </c>
      <c r="D69" s="255" t="str">
        <f>CONCATENATE('3 pr-2'!E69)</f>
        <v xml:space="preserve">Druskininkų savivaldybės administracija  </v>
      </c>
      <c r="E69" s="255" t="str">
        <f>CONCATENATE('3 pr-2'!F69)</f>
        <v>Lietuvos Respublikos kultūros ministerija</v>
      </c>
      <c r="F69" s="255" t="str">
        <f>CONCATENATE('3 pr-2'!G69)</f>
        <v>Druskininkų  miestas</v>
      </c>
      <c r="G69" s="255" t="str">
        <f>CONCATENATE('3 pr-2'!H69)</f>
        <v>05.4.1-CPVA-R-302</v>
      </c>
      <c r="H69" s="255" t="str">
        <f>CONCATENATE('3 pr-2'!I69)</f>
        <v>R</v>
      </c>
      <c r="I69" s="265" t="str">
        <f>CONCATENATE('3 pr-2'!J69)</f>
        <v>ITI</v>
      </c>
      <c r="J69" s="266">
        <f>SUM('3 pr-2'!L69)</f>
        <v>242419</v>
      </c>
      <c r="K69" s="267">
        <f>SUM('3 pr-2'!O69)</f>
        <v>36363</v>
      </c>
      <c r="L69" s="267">
        <f>SUM('3 pr-2'!R69)</f>
        <v>0</v>
      </c>
      <c r="M69" s="267">
        <f>SUM('3 pr-2'!U69)</f>
        <v>0</v>
      </c>
      <c r="N69" s="267">
        <f>SUM('3 pr-2'!X69)</f>
        <v>0</v>
      </c>
      <c r="O69" s="268">
        <f>SUM('3 pr-2'!AA69)</f>
        <v>206056</v>
      </c>
      <c r="P69" s="288">
        <f>SUM('3 pr-2'!AE69)</f>
        <v>42667</v>
      </c>
      <c r="Q69" s="346">
        <v>42667</v>
      </c>
      <c r="R69" s="264">
        <f t="shared" si="10"/>
        <v>0</v>
      </c>
      <c r="S69" s="341">
        <f>(P69-Q69)/30.4166666666667</f>
        <v>0</v>
      </c>
    </row>
    <row r="70" spans="1:19" ht="49.5" thickBot="1" x14ac:dyDescent="0.3">
      <c r="A70" s="254" t="str">
        <f>CONCATENATE('3 pr-2'!A70)</f>
        <v>1.1.1.9.3</v>
      </c>
      <c r="B70" s="323" t="str">
        <f>CONCATENATE('ketv. 2lent'!B69)</f>
        <v/>
      </c>
      <c r="C70" s="255" t="str">
        <f>CONCATENATE('3 pr-2'!D70)</f>
        <v>Motiejaus  Gustaičio  memorialinio  namo  kompleksinis sutvarkymas</v>
      </c>
      <c r="D70" s="255" t="str">
        <f>CONCATENATE('3 pr-2'!E70)</f>
        <v>Lazdijų rajono savivaldybės administracija</v>
      </c>
      <c r="E70" s="255" t="str">
        <f>CONCATENATE('3 pr-2'!F70)</f>
        <v>Lietuvos Respublikos kultūros ministerija</v>
      </c>
      <c r="F70" s="255" t="str">
        <f>CONCATENATE('3 pr-2'!G70)</f>
        <v>Lazdijų miestas</v>
      </c>
      <c r="G70" s="255" t="str">
        <f>CONCATENATE('3 pr-2'!H70)</f>
        <v>05.4.1-CPVA-R-302</v>
      </c>
      <c r="H70" s="255" t="str">
        <f>CONCATENATE('3 pr-2'!I70)</f>
        <v>R</v>
      </c>
      <c r="I70" s="265" t="str">
        <f>CONCATENATE('3 pr-2'!J70)</f>
        <v>ITI</v>
      </c>
      <c r="J70" s="266">
        <f>SUM('3 pr-2'!L70)</f>
        <v>242419</v>
      </c>
      <c r="K70" s="267">
        <f>SUM('3 pr-2'!O70)</f>
        <v>36363</v>
      </c>
      <c r="L70" s="267">
        <f>SUM('3 pr-2'!R70)</f>
        <v>0</v>
      </c>
      <c r="M70" s="267">
        <f>SUM('3 pr-2'!U70)</f>
        <v>0</v>
      </c>
      <c r="N70" s="267">
        <f>SUM('3 pr-2'!X70)</f>
        <v>0</v>
      </c>
      <c r="O70" s="268">
        <f>SUM('3 pr-2'!AA70)</f>
        <v>206056</v>
      </c>
      <c r="P70" s="288">
        <f>SUM('3 pr-2'!AE70)</f>
        <v>42667</v>
      </c>
      <c r="Q70" s="346">
        <v>42664</v>
      </c>
      <c r="R70" s="264">
        <f t="shared" si="10"/>
        <v>3</v>
      </c>
      <c r="S70" s="341">
        <f>(P70-Q70)/30.4166666666667</f>
        <v>9.8630136986301256E-2</v>
      </c>
    </row>
    <row r="71" spans="1:19" ht="49.5" thickBot="1" x14ac:dyDescent="0.3">
      <c r="A71" s="254" t="str">
        <f>CONCATENATE('3 pr-2'!A71)</f>
        <v>1.1.1.9.4</v>
      </c>
      <c r="B71" s="323" t="str">
        <f>CONCATENATE('ketv. 2lent'!B70)</f>
        <v/>
      </c>
      <c r="C71" s="255" t="str">
        <f>CONCATENATE('3 pr-2'!D71)</f>
        <v>Kurnėnų Lauryno Radziukyno mokyklos pritaikymas kultūrinėms ir turistinėms reikmėms</v>
      </c>
      <c r="D71" s="255" t="str">
        <f>CONCATENATE('3 pr-2'!E71)</f>
        <v>Alytaus rajono savivaldybės administracija</v>
      </c>
      <c r="E71" s="255" t="str">
        <f>CONCATENATE('3 pr-2'!F71)</f>
        <v>Lietuvos Respublikos kultūros ministerija</v>
      </c>
      <c r="F71" s="255" t="str">
        <f>CONCATENATE('3 pr-2'!G71)</f>
        <v>Alytaus  rajono savivaldybė</v>
      </c>
      <c r="G71" s="255" t="str">
        <f>CONCATENATE('3 pr-2'!H71)</f>
        <v>05.4.1-CPVA-R-302</v>
      </c>
      <c r="H71" s="255" t="str">
        <f>CONCATENATE('3 pr-2'!I71)</f>
        <v>R</v>
      </c>
      <c r="I71" s="265" t="str">
        <f>CONCATENATE('3 pr-2'!J71)</f>
        <v>-</v>
      </c>
      <c r="J71" s="266">
        <f>SUM('3 pr-2'!L71)</f>
        <v>243192</v>
      </c>
      <c r="K71" s="267">
        <f>SUM('3 pr-2'!O71)</f>
        <v>37136</v>
      </c>
      <c r="L71" s="267">
        <f>SUM('3 pr-2'!R71)</f>
        <v>0</v>
      </c>
      <c r="M71" s="267">
        <f>SUM('3 pr-2'!U71)</f>
        <v>0</v>
      </c>
      <c r="N71" s="267">
        <f>SUM('3 pr-2'!X71)</f>
        <v>0</v>
      </c>
      <c r="O71" s="268">
        <f>SUM('3 pr-2'!AA71)</f>
        <v>206056</v>
      </c>
      <c r="P71" s="288">
        <f>SUM('3 pr-2'!AE71)</f>
        <v>42667</v>
      </c>
      <c r="Q71" s="346">
        <v>42667</v>
      </c>
      <c r="R71" s="264">
        <f t="shared" si="10"/>
        <v>0</v>
      </c>
      <c r="S71" s="341">
        <f>(P71-Q71)/30.4166666666667</f>
        <v>0</v>
      </c>
    </row>
    <row r="72" spans="1:19" ht="49.5" thickBot="1" x14ac:dyDescent="0.3">
      <c r="A72" s="254" t="str">
        <f>CONCATENATE('3 pr-2'!A72)</f>
        <v>1.1.1.9.5</v>
      </c>
      <c r="B72" s="323" t="str">
        <f>CONCATENATE('ketv. 2lent'!B71)</f>
        <v/>
      </c>
      <c r="C72" s="255" t="str">
        <f>CONCATENATE('3 pr-2'!D72)</f>
        <v>Vinco Krėvės-Mickevičiaus memorialinio muziejaus atnaujinimas</v>
      </c>
      <c r="D72" s="255" t="str">
        <f>CONCATENATE('3 pr-2'!E72)</f>
        <v>Varėnos rajono savivaldybės administracija</v>
      </c>
      <c r="E72" s="255" t="str">
        <f>CONCATENATE('3 pr-2'!F72)</f>
        <v>Lietuvos Respublikos kultūros ministerija</v>
      </c>
      <c r="F72" s="255" t="str">
        <f>CONCATENATE('3 pr-2'!G72)</f>
        <v>Varėnos rajono savivaldybė</v>
      </c>
      <c r="G72" s="255" t="str">
        <f>CONCATENATE('3 pr-2'!H72)</f>
        <v>05.4.1-CPVA-R-302</v>
      </c>
      <c r="H72" s="255" t="str">
        <f>CONCATENATE('3 pr-2'!I72)</f>
        <v>R</v>
      </c>
      <c r="I72" s="265" t="str">
        <f>CONCATENATE('3 pr-2'!J72)</f>
        <v>-</v>
      </c>
      <c r="J72" s="300">
        <f>SUM('3 pr-2'!L72)</f>
        <v>242419</v>
      </c>
      <c r="K72" s="301">
        <f>SUM('3 pr-2'!O72)</f>
        <v>36363</v>
      </c>
      <c r="L72" s="301">
        <f>SUM('3 pr-2'!R72)</f>
        <v>0</v>
      </c>
      <c r="M72" s="301">
        <f>SUM('3 pr-2'!U72)</f>
        <v>0</v>
      </c>
      <c r="N72" s="301">
        <f>SUM('3 pr-2'!X72)</f>
        <v>0</v>
      </c>
      <c r="O72" s="302">
        <f>SUM('3 pr-2'!AA72)</f>
        <v>206056</v>
      </c>
      <c r="P72" s="288">
        <f>SUM('3 pr-2'!AE72)</f>
        <v>42667</v>
      </c>
      <c r="Q72" s="346">
        <v>42663</v>
      </c>
      <c r="R72" s="264">
        <f t="shared" si="10"/>
        <v>4</v>
      </c>
      <c r="S72" s="341">
        <f>(P72-Q72)/30.4166666666667</f>
        <v>0.13150684931506834</v>
      </c>
    </row>
    <row r="73" spans="1:19" ht="39.75" customHeight="1" thickBot="1" x14ac:dyDescent="0.3">
      <c r="A73" s="220" t="str">
        <f>CONCATENATE('3 pr-2'!A73)</f>
        <v>1.1.2.</v>
      </c>
      <c r="B73" s="322"/>
      <c r="C73" s="1668" t="str">
        <f>CONCATENATE('3 pr-2'!D73)</f>
        <v/>
      </c>
      <c r="D73" s="1595" t="str">
        <f>CONCATENATE('3 pr-2'!E73)</f>
        <v/>
      </c>
      <c r="E73" s="1595" t="str">
        <f>CONCATENATE('3 pr-2'!F73)</f>
        <v/>
      </c>
      <c r="F73" s="1595" t="str">
        <f>CONCATENATE('3 pr-2'!G73)</f>
        <v/>
      </c>
      <c r="G73" s="1595" t="str">
        <f>CONCATENATE('3 pr-2'!H73)</f>
        <v/>
      </c>
      <c r="H73" s="1595" t="str">
        <f>CONCATENATE('3 pr-2'!I73)</f>
        <v/>
      </c>
      <c r="I73" s="1595" t="str">
        <f>CONCATENATE('3 pr-2'!J73)</f>
        <v/>
      </c>
      <c r="J73" s="303">
        <f>SUM('3 pr-2'!L73)</f>
        <v>8662341.4482352957</v>
      </c>
      <c r="K73" s="304">
        <f>SUM('3 pr-2'!O73)</f>
        <v>1834484.588235294</v>
      </c>
      <c r="L73" s="304">
        <f>SUM('3 pr-2'!R73)</f>
        <v>0</v>
      </c>
      <c r="M73" s="304">
        <f>SUM('3 pr-2'!U73)</f>
        <v>422692</v>
      </c>
      <c r="N73" s="304">
        <f>SUM('3 pr-2'!X73)</f>
        <v>62660</v>
      </c>
      <c r="O73" s="305">
        <f>SUM('3 pr-2'!AA73)</f>
        <v>6342504.8599999994</v>
      </c>
      <c r="P73" s="299"/>
      <c r="Q73" s="262"/>
      <c r="R73" s="263"/>
      <c r="S73" s="263"/>
    </row>
    <row r="74" spans="1:19" ht="37.5" customHeight="1" thickBot="1" x14ac:dyDescent="0.3">
      <c r="A74" s="488" t="str">
        <f>CONCATENATE('3 pr-2'!A74)</f>
        <v>1.1.2.1</v>
      </c>
      <c r="B74" s="790"/>
      <c r="C74" s="1656" t="str">
        <f>CONCATENATE('3 pr-2'!D74)</f>
        <v/>
      </c>
      <c r="D74" s="1802" t="str">
        <f>CONCATENATE('3 pr-2'!E74)</f>
        <v/>
      </c>
      <c r="E74" s="1802" t="str">
        <f>CONCATENATE('3 pr-2'!F74)</f>
        <v/>
      </c>
      <c r="F74" s="1802" t="str">
        <f>CONCATENATE('3 pr-2'!G74)</f>
        <v/>
      </c>
      <c r="G74" s="1802" t="str">
        <f>CONCATENATE('3 pr-2'!H74)</f>
        <v/>
      </c>
      <c r="H74" s="1802" t="str">
        <f>CONCATENATE('3 pr-2'!I74)</f>
        <v/>
      </c>
      <c r="I74" s="1802" t="str">
        <f>CONCATENATE('3 pr-2'!J74)</f>
        <v/>
      </c>
      <c r="J74" s="791">
        <f>SUM('3 pr-2'!L74)</f>
        <v>1835209.588235294</v>
      </c>
      <c r="K74" s="791">
        <f>SUM('3 pr-2'!O74)</f>
        <v>149245.58823529413</v>
      </c>
      <c r="L74" s="791">
        <f>SUM('3 pr-2'!R74)</f>
        <v>0</v>
      </c>
      <c r="M74" s="791">
        <f>SUM('3 pr-2'!U74)</f>
        <v>422692</v>
      </c>
      <c r="N74" s="791">
        <f>SUM('3 pr-2'!X74)</f>
        <v>0</v>
      </c>
      <c r="O74" s="792">
        <f>SUM('3 pr-2'!AA74)</f>
        <v>1263272</v>
      </c>
      <c r="P74" s="793"/>
      <c r="Q74" s="794"/>
      <c r="R74" s="795"/>
      <c r="S74" s="795"/>
    </row>
    <row r="75" spans="1:19" ht="15.75" hidden="1" thickBot="1" x14ac:dyDescent="0.3">
      <c r="A75" s="254" t="e">
        <f>CONCATENATE('3 pr-2'!#REF!)</f>
        <v>#REF!</v>
      </c>
      <c r="B75" s="323" t="e">
        <f>CONCATENATE('ketv. 2lent'!#REF!)</f>
        <v>#REF!</v>
      </c>
      <c r="C75" s="255" t="e">
        <f>CONCATENATE('3 pr-2'!#REF!)</f>
        <v>#REF!</v>
      </c>
      <c r="D75" s="255" t="e">
        <f>CONCATENATE('3 pr-2'!#REF!)</f>
        <v>#REF!</v>
      </c>
      <c r="E75" s="255" t="e">
        <f>CONCATENATE('3 pr-2'!#REF!)</f>
        <v>#REF!</v>
      </c>
      <c r="F75" s="255" t="e">
        <f>CONCATENATE('3 pr-2'!#REF!)</f>
        <v>#REF!</v>
      </c>
      <c r="G75" s="255" t="e">
        <f>CONCATENATE('3 pr-2'!#REF!)</f>
        <v>#REF!</v>
      </c>
      <c r="H75" s="255" t="e">
        <f>CONCATENATE('3 pr-2'!#REF!)</f>
        <v>#REF!</v>
      </c>
      <c r="I75" s="265" t="e">
        <f>CONCATENATE('3 pr-2'!#REF!)</f>
        <v>#REF!</v>
      </c>
      <c r="J75" s="266" t="e">
        <f>SUM('3 pr-2'!#REF!)</f>
        <v>#REF!</v>
      </c>
      <c r="K75" s="267" t="e">
        <f>SUM('3 pr-2'!#REF!)</f>
        <v>#REF!</v>
      </c>
      <c r="L75" s="267" t="e">
        <f>SUM('3 pr-2'!#REF!)</f>
        <v>#REF!</v>
      </c>
      <c r="M75" s="267" t="e">
        <f>SUM('3 pr-2'!#REF!)</f>
        <v>#REF!</v>
      </c>
      <c r="N75" s="267" t="e">
        <f>SUM('3 pr-2'!#REF!)</f>
        <v>#REF!</v>
      </c>
      <c r="O75" s="268" t="e">
        <f>SUM('3 pr-2'!#REF!)</f>
        <v>#REF!</v>
      </c>
      <c r="P75" s="288" t="e">
        <f>SUM('3 pr-2'!#REF!)</f>
        <v>#REF!</v>
      </c>
      <c r="Q75" s="255"/>
      <c r="R75" s="256"/>
      <c r="S75" s="256"/>
    </row>
    <row r="76" spans="1:19" ht="49.5" thickBot="1" x14ac:dyDescent="0.3">
      <c r="A76" s="254" t="str">
        <f>CONCATENATE('3 pr-2'!A75)</f>
        <v>1.1.2.1.1</v>
      </c>
      <c r="B76" s="323" t="str">
        <f>CONCATENATE('ketv. 2lent'!B74)</f>
        <v/>
      </c>
      <c r="C76" s="255" t="str">
        <f>CONCATENATE('3 pr-2'!D75)</f>
        <v xml:space="preserve">Nekenksmingų aplinkai viešojo transporto priemonių įsigijimas Alytaus mieste </v>
      </c>
      <c r="D76" s="255" t="str">
        <f>CONCATENATE('3 pr-2'!E75)</f>
        <v>Alytaus miesto savivaldybės administracija</v>
      </c>
      <c r="E76" s="255" t="str">
        <f>CONCATENATE('3 pr-2'!F75)</f>
        <v>Lietuvos Respublikos susisiekimo ministerija</v>
      </c>
      <c r="F76" s="255" t="str">
        <f>CONCATENATE('3 pr-2'!G75)</f>
        <v>Alytaus  miestas</v>
      </c>
      <c r="G76" s="255" t="str">
        <f>CONCATENATE('3 pr-2'!H75)</f>
        <v>04.5.1-TID-R-518</v>
      </c>
      <c r="H76" s="255" t="str">
        <f>CONCATENATE('3 pr-2'!I75)</f>
        <v>R</v>
      </c>
      <c r="I76" s="265" t="str">
        <f>CONCATENATE('3 pr-2'!J75)</f>
        <v>ITI</v>
      </c>
      <c r="J76" s="266">
        <f>SUM('3 pr-2'!L75)</f>
        <v>406090.5882352941</v>
      </c>
      <c r="K76" s="267">
        <f>SUM('3 pr-2'!O75)</f>
        <v>60913.588235294119</v>
      </c>
      <c r="L76" s="267">
        <f>SUM('3 pr-2'!R75)</f>
        <v>0</v>
      </c>
      <c r="M76" s="267">
        <f>SUM('3 pr-2'!U75)</f>
        <v>0</v>
      </c>
      <c r="N76" s="267">
        <f>SUM('3 pr-2'!X75)</f>
        <v>0</v>
      </c>
      <c r="O76" s="268">
        <f>SUM('3 pr-2'!AA75)</f>
        <v>345177</v>
      </c>
      <c r="P76" s="288">
        <f>SUM('3 pr-2'!AE75)</f>
        <v>42877</v>
      </c>
      <c r="Q76" s="346">
        <v>42877</v>
      </c>
      <c r="R76" s="264">
        <f t="shared" ref="R76:R79" si="11">SUM(P76-Q76)</f>
        <v>0</v>
      </c>
      <c r="S76" s="341">
        <f>(P76-Q76)/30.4166666666667</f>
        <v>0</v>
      </c>
    </row>
    <row r="77" spans="1:19" ht="49.5" thickBot="1" x14ac:dyDescent="0.3">
      <c r="A77" s="254" t="str">
        <f>CONCATENATE('3 pr-2'!A76)</f>
        <v>1.1.2.1.2</v>
      </c>
      <c r="B77" s="323" t="str">
        <f>CONCATENATE('ketv. 2lent'!B75)</f>
        <v/>
      </c>
      <c r="C77" s="255" t="str">
        <f>CONCATENATE('3 pr-2'!D76)</f>
        <v>Nekenksmingų aplinkai viešojo transporto priemonių įsigijimas Alytaus rajone</v>
      </c>
      <c r="D77" s="255" t="str">
        <f>CONCATENATE('3 pr-2'!E76)</f>
        <v>Alytaus rajono savivaldybės administracija</v>
      </c>
      <c r="E77" s="255" t="str">
        <f>CONCATENATE('3 pr-2'!F76)</f>
        <v>Lietuvos Respublikos susisiekimo ministerija</v>
      </c>
      <c r="F77" s="255" t="str">
        <f>CONCATENATE('3 pr-2'!G76)</f>
        <v>Alytaus  rajono savivaldybė</v>
      </c>
      <c r="G77" s="255" t="str">
        <f>CONCATENATE('3 pr-2'!H76)</f>
        <v>04.5.1-TID-R-518</v>
      </c>
      <c r="H77" s="255" t="str">
        <f>CONCATENATE('3 pr-2'!I76)</f>
        <v>R</v>
      </c>
      <c r="I77" s="265" t="str">
        <f>CONCATENATE('3 pr-2'!J76)</f>
        <v>-</v>
      </c>
      <c r="J77" s="266">
        <f>SUM('3 pr-2'!L76)</f>
        <v>326175</v>
      </c>
      <c r="K77" s="267">
        <f>SUM('3 pr-2'!O76)</f>
        <v>48926</v>
      </c>
      <c r="L77" s="267">
        <f>SUM('3 pr-2'!R76)</f>
        <v>0</v>
      </c>
      <c r="M77" s="267">
        <f>SUM('3 pr-2'!U76)</f>
        <v>0</v>
      </c>
      <c r="N77" s="267">
        <f>SUM('3 pr-2'!X76)</f>
        <v>0</v>
      </c>
      <c r="O77" s="268">
        <f>SUM('3 pr-2'!AA76)</f>
        <v>277249</v>
      </c>
      <c r="P77" s="288">
        <f>SUM('3 pr-2'!AE76)</f>
        <v>42877</v>
      </c>
      <c r="Q77" s="346">
        <v>42877</v>
      </c>
      <c r="R77" s="264">
        <f t="shared" si="11"/>
        <v>0</v>
      </c>
      <c r="S77" s="341">
        <f>(P77-Q77)/30.4166666666667</f>
        <v>0</v>
      </c>
    </row>
    <row r="78" spans="1:19" ht="49.5" thickBot="1" x14ac:dyDescent="0.3">
      <c r="A78" s="254" t="str">
        <f>CONCATENATE('3 pr-2'!A77)</f>
        <v>1.1.2.1.3</v>
      </c>
      <c r="B78" s="323" t="str">
        <f>CONCATENATE('ketv. 2lent'!B76)</f>
        <v/>
      </c>
      <c r="C78" s="255" t="str">
        <f>CONCATENATE('3 pr-2'!D77)</f>
        <v>Ekologiškų transporto priemonių įsigijimas Druskininkų savivaldybėje</v>
      </c>
      <c r="D78" s="255" t="str">
        <f>CONCATENATE('3 pr-2'!E77)</f>
        <v xml:space="preserve">Druskininkų savivaldybės administracija  </v>
      </c>
      <c r="E78" s="255" t="str">
        <f>CONCATENATE('3 pr-2'!F77)</f>
        <v>Lietuvos Respublikos susisiekimo ministerija</v>
      </c>
      <c r="F78" s="255" t="str">
        <f>CONCATENATE('3 pr-2'!G77)</f>
        <v>Druskininkų  miestas</v>
      </c>
      <c r="G78" s="255" t="str">
        <f>CONCATENATE('3 pr-2'!H77)</f>
        <v>04.5.1-TID-R-518</v>
      </c>
      <c r="H78" s="255" t="str">
        <f>CONCATENATE('3 pr-2'!I77)</f>
        <v>R</v>
      </c>
      <c r="I78" s="265" t="str">
        <f>CONCATENATE('3 pr-2'!J77)</f>
        <v>-</v>
      </c>
      <c r="J78" s="266">
        <f>SUM('3 pr-2'!L77)</f>
        <v>840240</v>
      </c>
      <c r="K78" s="267">
        <f>SUM('3 pr-2'!O77)</f>
        <v>0</v>
      </c>
      <c r="L78" s="267">
        <f>SUM('3 pr-2'!R77)</f>
        <v>0</v>
      </c>
      <c r="M78" s="267">
        <f>SUM('3 pr-2'!U77)</f>
        <v>422692</v>
      </c>
      <c r="N78" s="267">
        <f>SUM('3 pr-2'!X77)</f>
        <v>0</v>
      </c>
      <c r="O78" s="268">
        <f>SUM('3 pr-2'!AA77)</f>
        <v>417548</v>
      </c>
      <c r="P78" s="288">
        <f>SUM('3 pr-2'!AE77)</f>
        <v>42877</v>
      </c>
      <c r="Q78" s="346">
        <v>42877</v>
      </c>
      <c r="R78" s="264">
        <f t="shared" si="11"/>
        <v>0</v>
      </c>
      <c r="S78" s="341">
        <f>(P78-Q78)/30.4166666666667</f>
        <v>0</v>
      </c>
    </row>
    <row r="79" spans="1:19" ht="49.5" thickBot="1" x14ac:dyDescent="0.3">
      <c r="A79" s="254" t="str">
        <f>CONCATENATE('3 pr-2'!A78)</f>
        <v>1.1.2.1.4</v>
      </c>
      <c r="B79" s="323" t="str">
        <f>CONCATENATE('ketv. 2lent'!B77)</f>
        <v/>
      </c>
      <c r="C79" s="255" t="str">
        <f>CONCATENATE('3 pr-2'!D78)</f>
        <v>Ekologiškų transporto priemonių įsigijimas  Lazdijų rajono savivaldybėje</v>
      </c>
      <c r="D79" s="255" t="str">
        <f>CONCATENATE('3 pr-2'!E78)</f>
        <v>Lazdijų rajono savivaldybės administracija</v>
      </c>
      <c r="E79" s="255" t="str">
        <f>CONCATENATE('3 pr-2'!F78)</f>
        <v>Lietuvos Respublikos susisiekimo ministerija</v>
      </c>
      <c r="F79" s="255" t="str">
        <f>CONCATENATE('3 pr-2'!G78)</f>
        <v>Lazdijų rajono savivaldybė</v>
      </c>
      <c r="G79" s="255" t="str">
        <f>CONCATENATE('3 pr-2'!H78)</f>
        <v>04.5.1-TID-R-518</v>
      </c>
      <c r="H79" s="255" t="str">
        <f>CONCATENATE('3 pr-2'!I78)</f>
        <v>R</v>
      </c>
      <c r="I79" s="265" t="str">
        <f>CONCATENATE('3 pr-2'!J78)</f>
        <v>-</v>
      </c>
      <c r="J79" s="266">
        <f>SUM('3 pr-2'!L78)</f>
        <v>262704</v>
      </c>
      <c r="K79" s="267">
        <f>SUM('3 pr-2'!O78)</f>
        <v>39406</v>
      </c>
      <c r="L79" s="267">
        <f>SUM('3 pr-2'!R78)</f>
        <v>0</v>
      </c>
      <c r="M79" s="267">
        <f>SUM('3 pr-2'!U78)</f>
        <v>0</v>
      </c>
      <c r="N79" s="267">
        <f>SUM('3 pr-2'!X78)</f>
        <v>0</v>
      </c>
      <c r="O79" s="268">
        <f>SUM('3 pr-2'!AA78)</f>
        <v>223298</v>
      </c>
      <c r="P79" s="288">
        <f>SUM('3 pr-2'!AE78)</f>
        <v>42877</v>
      </c>
      <c r="Q79" s="346">
        <v>42877</v>
      </c>
      <c r="R79" s="264">
        <f t="shared" si="11"/>
        <v>0</v>
      </c>
      <c r="S79" s="341">
        <f>(P79-Q79)/30.4166666666667</f>
        <v>0</v>
      </c>
    </row>
    <row r="80" spans="1:19" ht="36" customHeight="1" thickBot="1" x14ac:dyDescent="0.3">
      <c r="A80" s="488" t="str">
        <f>CONCATENATE('3 pr-2'!A79)</f>
        <v>1.1.2.2</v>
      </c>
      <c r="B80" s="790"/>
      <c r="C80" s="1656" t="str">
        <f>CONCATENATE('3 pr-2'!D79)</f>
        <v/>
      </c>
      <c r="D80" s="1802" t="str">
        <f>CONCATENATE('3 pr-2'!E79)</f>
        <v/>
      </c>
      <c r="E80" s="1802" t="str">
        <f>CONCATENATE('3 pr-2'!F79)</f>
        <v/>
      </c>
      <c r="F80" s="1802" t="str">
        <f>CONCATENATE('3 pr-2'!G79)</f>
        <v/>
      </c>
      <c r="G80" s="1802" t="str">
        <f>CONCATENATE('3 pr-2'!H79)</f>
        <v/>
      </c>
      <c r="H80" s="1802" t="str">
        <f>CONCATENATE('3 pr-2'!I79)</f>
        <v/>
      </c>
      <c r="I80" s="1802" t="str">
        <f>CONCATENATE('3 pr-2'!J79)</f>
        <v/>
      </c>
      <c r="J80" s="791">
        <f>SUM('3 pr-2'!L79)</f>
        <v>1894943.89</v>
      </c>
      <c r="K80" s="791">
        <f>SUM('3 pr-2'!O79)</f>
        <v>284241.59000000003</v>
      </c>
      <c r="L80" s="791">
        <f>SUM('3 pr-2'!R79)</f>
        <v>0</v>
      </c>
      <c r="M80" s="791">
        <f>SUM('3 pr-2'!U79)</f>
        <v>0</v>
      </c>
      <c r="N80" s="791">
        <f>SUM('3 pr-2'!X79)</f>
        <v>0</v>
      </c>
      <c r="O80" s="792">
        <f>SUM('3 pr-2'!AA79)</f>
        <v>1610702.3</v>
      </c>
      <c r="P80" s="793"/>
      <c r="Q80" s="794"/>
      <c r="R80" s="795"/>
      <c r="S80" s="795"/>
    </row>
    <row r="81" spans="1:19" ht="49.5" thickBot="1" x14ac:dyDescent="0.3">
      <c r="A81" s="254" t="str">
        <f>CONCATENATE('3 pr-2'!A80)</f>
        <v>1.1.2.2.1</v>
      </c>
      <c r="B81" s="323" t="str">
        <f>CONCATENATE('ketv. 2lent'!B79)</f>
        <v/>
      </c>
      <c r="C81" s="255" t="str">
        <f>CONCATENATE('3 pr-2'!D80)</f>
        <v>Darnaus judumo priemonių diegimas Alytaus mieste</v>
      </c>
      <c r="D81" s="255" t="str">
        <f>CONCATENATE('3 pr-2'!E80)</f>
        <v>Alytaus miesto savivaldybės administracija</v>
      </c>
      <c r="E81" s="255" t="str">
        <f>CONCATENATE('3 pr-2'!F80)</f>
        <v>Lietuvos Respublikos susisiekimo ministerija</v>
      </c>
      <c r="F81" s="255" t="str">
        <f>CONCATENATE('3 pr-2'!G80)</f>
        <v>Alytaus  miestas</v>
      </c>
      <c r="G81" s="255" t="str">
        <f>CONCATENATE('3 pr-2'!H80)</f>
        <v>04.5.1.-TID-R-514</v>
      </c>
      <c r="H81" s="255" t="str">
        <f>CONCATENATE('3 pr-2'!I80)</f>
        <v>R</v>
      </c>
      <c r="I81" s="265" t="str">
        <f>CONCATENATE('3 pr-2'!J80)</f>
        <v>-</v>
      </c>
      <c r="J81" s="266">
        <f>SUM('3 pr-2'!L80)</f>
        <v>1143469.6499999999</v>
      </c>
      <c r="K81" s="267">
        <f>SUM('3 pr-2'!O80)</f>
        <v>171520.45</v>
      </c>
      <c r="L81" s="267">
        <f>SUM('3 pr-2'!R80)</f>
        <v>0</v>
      </c>
      <c r="M81" s="267">
        <f>SUM('3 pr-2'!U80)</f>
        <v>0</v>
      </c>
      <c r="N81" s="267">
        <f>SUM('3 pr-2'!X80)</f>
        <v>0</v>
      </c>
      <c r="O81" s="268">
        <f>SUM('3 pr-2'!AA80)</f>
        <v>971949.2</v>
      </c>
      <c r="P81" s="288">
        <f>SUM('3 pr-2'!AE80)</f>
        <v>43130</v>
      </c>
      <c r="Q81" s="307"/>
      <c r="R81" s="264">
        <f>IF(Q81&gt;0,P81-Q81,0)</f>
        <v>0</v>
      </c>
      <c r="S81" s="341">
        <f>IF(Q81&gt;0,(P81-Q81)/30.1667,0)</f>
        <v>0</v>
      </c>
    </row>
    <row r="82" spans="1:19" ht="49.5" thickBot="1" x14ac:dyDescent="0.3">
      <c r="A82" s="254" t="str">
        <f>CONCATENATE('3 pr-2'!A81)</f>
        <v>1.1.2.2.2</v>
      </c>
      <c r="B82" s="323" t="str">
        <f>CONCATENATE('ketv. 2lent'!B80)</f>
        <v>04.5.1-TID-V-513-01-0015</v>
      </c>
      <c r="C82" s="255" t="str">
        <f>CONCATENATE('3 pr-2'!D81)</f>
        <v>Alytaus miesto darnaus judumo plano parengimas</v>
      </c>
      <c r="D82" s="255" t="str">
        <f>CONCATENATE('3 pr-2'!E81)</f>
        <v>Alytaus miesto savivaldybės administracija</v>
      </c>
      <c r="E82" s="255" t="str">
        <f>CONCATENATE('3 pr-2'!F81)</f>
        <v>Lietuvos Respublikos susisiekimo ministerija</v>
      </c>
      <c r="F82" s="255" t="str">
        <f>CONCATENATE('3 pr-2'!G81)</f>
        <v>Alytaus  miestas</v>
      </c>
      <c r="G82" s="255" t="str">
        <f>CONCATENATE('3 pr-2'!H81)</f>
        <v>04.5.1-TID-V-513</v>
      </c>
      <c r="H82" s="255" t="str">
        <f>CONCATENATE('3 pr-2'!I81)</f>
        <v>V</v>
      </c>
      <c r="I82" s="265" t="str">
        <f>CONCATENATE('3 pr-2'!J81)</f>
        <v>ITI</v>
      </c>
      <c r="J82" s="266">
        <f>SUM('3 pr-2'!L81)</f>
        <v>33638</v>
      </c>
      <c r="K82" s="267">
        <f>SUM('3 pr-2'!O81)</f>
        <v>5045.7</v>
      </c>
      <c r="L82" s="267">
        <f>SUM('3 pr-2'!R81)</f>
        <v>0</v>
      </c>
      <c r="M82" s="267">
        <f>SUM('3 pr-2'!U81)</f>
        <v>0</v>
      </c>
      <c r="N82" s="267">
        <f>SUM('3 pr-2'!X81)</f>
        <v>0</v>
      </c>
      <c r="O82" s="268">
        <f>SUM('3 pr-2'!AA81)</f>
        <v>28592.3</v>
      </c>
      <c r="P82" s="288">
        <f>SUM('3 pr-2'!AE81)</f>
        <v>42643</v>
      </c>
      <c r="Q82" s="347">
        <v>42643</v>
      </c>
      <c r="R82" s="264">
        <f t="shared" ref="R82:R84" si="12">SUM(P82-Q82)</f>
        <v>0</v>
      </c>
      <c r="S82" s="341">
        <f>(P82-Q82)/30.4166666666667</f>
        <v>0</v>
      </c>
    </row>
    <row r="83" spans="1:19" ht="49.5" thickBot="1" x14ac:dyDescent="0.3">
      <c r="A83" s="254" t="str">
        <f>CONCATENATE('3 pr-2'!A82)</f>
        <v>1.1.2.2.3</v>
      </c>
      <c r="B83" s="323" t="str">
        <f>CONCATENATE('ketv. 2lent'!B81)</f>
        <v/>
      </c>
      <c r="C83" s="255" t="str">
        <f>CONCATENATE('3 pr-2'!D82)</f>
        <v>Intelektinių transporto sistemų diegimas Druskininkuose</v>
      </c>
      <c r="D83" s="255" t="str">
        <f>CONCATENATE('3 pr-2'!E82)</f>
        <v>Druskininkų savivaldybės administracija</v>
      </c>
      <c r="E83" s="255" t="str">
        <f>CONCATENATE('3 pr-2'!F82)</f>
        <v>Lietuvos Respublikos susisiekimo ministerija</v>
      </c>
      <c r="F83" s="255" t="str">
        <f>CONCATENATE('3 pr-2'!G82)</f>
        <v>Druskininkų  miestas</v>
      </c>
      <c r="G83" s="255" t="str">
        <f>CONCATENATE('3 pr-2'!H82)</f>
        <v>04.5.1.-TID-R-514</v>
      </c>
      <c r="H83" s="255" t="str">
        <f>CONCATENATE('3 pr-2'!I82)</f>
        <v>R</v>
      </c>
      <c r="I83" s="265" t="str">
        <f>CONCATENATE('3 pr-2'!J82)</f>
        <v>-</v>
      </c>
      <c r="J83" s="266">
        <f>SUM('3 pr-2'!L82)</f>
        <v>160836.24</v>
      </c>
      <c r="K83" s="267">
        <f>SUM('3 pr-2'!O82)</f>
        <v>24125.439999999999</v>
      </c>
      <c r="L83" s="267">
        <f>SUM('3 pr-2'!R82)</f>
        <v>0</v>
      </c>
      <c r="M83" s="267">
        <f>SUM('3 pr-2'!U82)</f>
        <v>0</v>
      </c>
      <c r="N83" s="267">
        <f>SUM('3 pr-2'!X82)</f>
        <v>0</v>
      </c>
      <c r="O83" s="268">
        <f>SUM('3 pr-2'!AA82)</f>
        <v>136710.79999999999</v>
      </c>
      <c r="P83" s="288">
        <f>SUM('3 pr-2'!AE82)</f>
        <v>43130</v>
      </c>
      <c r="Q83" s="348"/>
      <c r="R83" s="264">
        <f>IF(Q83&gt;0,P83-Q83,0)</f>
        <v>0</v>
      </c>
      <c r="S83" s="341">
        <f>IF(Q83&gt;0,(P83-Q83)/30.1667,0)</f>
        <v>0</v>
      </c>
    </row>
    <row r="84" spans="1:19" ht="49.5" thickBot="1" x14ac:dyDescent="0.3">
      <c r="A84" s="254" t="str">
        <f>CONCATENATE('3 pr-2'!A83)</f>
        <v>1.1.2.2.4</v>
      </c>
      <c r="B84" s="323" t="str">
        <f>CONCATENATE('ketv. 2lent'!B82)</f>
        <v>04.5.1-TID-V-513-01-0006</v>
      </c>
      <c r="C84" s="255" t="str">
        <f>CONCATENATE('3 pr-2'!D83)</f>
        <v>Darnaus judumo plano Druskininkuose parengimas</v>
      </c>
      <c r="D84" s="255" t="str">
        <f>CONCATENATE('3 pr-2'!E83)</f>
        <v>Druskininkų savivaldybės administracija</v>
      </c>
      <c r="E84" s="255" t="str">
        <f>CONCATENATE('3 pr-2'!F83)</f>
        <v>Lietuvos Respublikos susisiekimo ministerija</v>
      </c>
      <c r="F84" s="255" t="str">
        <f>CONCATENATE('3 pr-2'!G83)</f>
        <v>Druskininkų  miestas</v>
      </c>
      <c r="G84" s="255" t="str">
        <f>CONCATENATE('3 pr-2'!H83)</f>
        <v>04.5.1-TID-V-513</v>
      </c>
      <c r="H84" s="255" t="str">
        <f>CONCATENATE('3 pr-2'!I83)</f>
        <v>V</v>
      </c>
      <c r="I84" s="265" t="str">
        <f>CONCATENATE('3 pr-2'!J83)</f>
        <v>ITI</v>
      </c>
      <c r="J84" s="266">
        <f>SUM('3 pr-2'!L83)</f>
        <v>17000</v>
      </c>
      <c r="K84" s="267">
        <f>SUM('3 pr-2'!O83)</f>
        <v>2550</v>
      </c>
      <c r="L84" s="267">
        <f>SUM('3 pr-2'!R83)</f>
        <v>0</v>
      </c>
      <c r="M84" s="267">
        <f>SUM('3 pr-2'!U83)</f>
        <v>0</v>
      </c>
      <c r="N84" s="267">
        <f>SUM('3 pr-2'!X83)</f>
        <v>0</v>
      </c>
      <c r="O84" s="268">
        <f>SUM('3 pr-2'!AA83)</f>
        <v>14450</v>
      </c>
      <c r="P84" s="288">
        <f>SUM('3 pr-2'!AE83)</f>
        <v>42643</v>
      </c>
      <c r="Q84" s="347">
        <v>42643</v>
      </c>
      <c r="R84" s="264">
        <f t="shared" si="12"/>
        <v>0</v>
      </c>
      <c r="S84" s="341">
        <f>(P84-Q84)/30.4166666666667</f>
        <v>0</v>
      </c>
    </row>
    <row r="85" spans="1:19" ht="36.75" customHeight="1" thickBot="1" x14ac:dyDescent="0.3">
      <c r="A85" s="488" t="str">
        <f>CONCATENATE('3 pr-2'!A86)</f>
        <v>1.1.2.3</v>
      </c>
      <c r="B85" s="790"/>
      <c r="C85" s="1656" t="str">
        <f>CONCATENATE('3 pr-2'!D86)</f>
        <v/>
      </c>
      <c r="D85" s="1802" t="str">
        <f>CONCATENATE('3 pr-2'!E86)</f>
        <v/>
      </c>
      <c r="E85" s="1802" t="str">
        <f>CONCATENATE('3 pr-2'!F86)</f>
        <v/>
      </c>
      <c r="F85" s="1802" t="str">
        <f>CONCATENATE('3 pr-2'!G86)</f>
        <v/>
      </c>
      <c r="G85" s="1802" t="str">
        <f>CONCATENATE('3 pr-2'!H86)</f>
        <v/>
      </c>
      <c r="H85" s="1802" t="str">
        <f>CONCATENATE('3 pr-2'!I86)</f>
        <v/>
      </c>
      <c r="I85" s="1802" t="str">
        <f>CONCATENATE('3 pr-2'!J86)</f>
        <v/>
      </c>
      <c r="J85" s="791">
        <f>SUM('3 pr-2'!L86)</f>
        <v>510837.07</v>
      </c>
      <c r="K85" s="791">
        <f>SUM('3 pr-2'!O86)</f>
        <v>95113.51</v>
      </c>
      <c r="L85" s="791">
        <f>SUM('3 pr-2'!R86)</f>
        <v>0</v>
      </c>
      <c r="M85" s="791">
        <f>SUM('3 pr-2'!U86)</f>
        <v>0</v>
      </c>
      <c r="N85" s="791">
        <f>SUM('3 pr-2'!X86)</f>
        <v>0</v>
      </c>
      <c r="O85" s="792">
        <f>SUM('3 pr-2'!AA86)</f>
        <v>415723.56</v>
      </c>
      <c r="P85" s="793"/>
      <c r="Q85" s="794"/>
      <c r="R85" s="795">
        <f>SUM(P85-Q85)</f>
        <v>0</v>
      </c>
      <c r="S85" s="795"/>
    </row>
    <row r="86" spans="1:19" ht="49.5" thickBot="1" x14ac:dyDescent="0.3">
      <c r="A86" s="254" t="str">
        <f>CONCATENATE('3 pr-2'!A87)</f>
        <v>1.1.2.3.1</v>
      </c>
      <c r="B86" s="323" t="str">
        <f>CONCATENATE('ketv. 2lent'!B86)</f>
        <v>04.5.1-TID-R-516-11-0004</v>
      </c>
      <c r="C86" s="255" t="str">
        <f>CONCATENATE('3 pr-2'!D87)</f>
        <v>Dviračių ir pėsčiųjų takų įrengimas Varėnos miesto J. Basanavičiaus ir Žiedo gatvėse</v>
      </c>
      <c r="D86" s="255" t="str">
        <f>CONCATENATE('3 pr-2'!E87)</f>
        <v>Varėnos rajono savivaldybės administracija</v>
      </c>
      <c r="E86" s="255" t="str">
        <f>CONCATENATE('3 pr-2'!F87)</f>
        <v>Lietuvos Respublikos susisiekimo ministerija</v>
      </c>
      <c r="F86" s="255" t="str">
        <f>CONCATENATE('3 pr-2'!G87)</f>
        <v>Varėnos miestas</v>
      </c>
      <c r="G86" s="255" t="str">
        <f>CONCATENATE('3 pr-2'!H87)</f>
        <v>04.5.1-TID-R-516</v>
      </c>
      <c r="H86" s="255" t="str">
        <f>CONCATENATE('3 pr-2'!I87)</f>
        <v>R</v>
      </c>
      <c r="I86" s="265" t="str">
        <f>CONCATENATE('3 pr-2'!J87)</f>
        <v>ITI</v>
      </c>
      <c r="J86" s="266">
        <f>SUM('3 pr-2'!L87)</f>
        <v>95080</v>
      </c>
      <c r="K86" s="267">
        <f>SUM('3 pr-2'!O87)</f>
        <v>14270</v>
      </c>
      <c r="L86" s="267">
        <f>SUM('3 pr-2'!R87)</f>
        <v>0</v>
      </c>
      <c r="M86" s="267">
        <f>SUM('3 pr-2'!U87)</f>
        <v>0</v>
      </c>
      <c r="N86" s="267">
        <f>SUM('3 pr-2'!X87)</f>
        <v>0</v>
      </c>
      <c r="O86" s="268">
        <f>SUM('3 pr-2'!AA87)</f>
        <v>80810</v>
      </c>
      <c r="P86" s="288">
        <f>SUM('3 pr-2'!AE87)</f>
        <v>42660</v>
      </c>
      <c r="Q86" s="349">
        <v>42660</v>
      </c>
      <c r="R86" s="264">
        <f t="shared" ref="R86:R89" si="13">SUM(P86-Q86)</f>
        <v>0</v>
      </c>
      <c r="S86" s="341">
        <f>(P86-Q86)/30.4166666666667</f>
        <v>0</v>
      </c>
    </row>
    <row r="87" spans="1:19" ht="49.5" thickBot="1" x14ac:dyDescent="0.3">
      <c r="A87" s="254" t="str">
        <f>CONCATENATE('3 pr-2'!A88)</f>
        <v>1.1.2.3.2</v>
      </c>
      <c r="B87" s="323" t="str">
        <f>CONCATENATE('ketv. 2lent'!B87)</f>
        <v>04.5.1-TID-R-516-11-0001</v>
      </c>
      <c r="C87" s="255" t="str">
        <f>CONCATENATE('3 pr-2'!D88)</f>
        <v>Dviračių trasų infrastruktūros įrengimas nuo Putinų g. žiedo Pramonės gatvėje, Alytaus mieste</v>
      </c>
      <c r="D87" s="255" t="str">
        <f>CONCATENATE('3 pr-2'!E88)</f>
        <v>Alytaus miesto savivaldybės administracija</v>
      </c>
      <c r="E87" s="255" t="str">
        <f>CONCATENATE('3 pr-2'!F88)</f>
        <v>Lietuvos Respublikos susisiekimo ministerija</v>
      </c>
      <c r="F87" s="255" t="str">
        <f>CONCATENATE('3 pr-2'!G88)</f>
        <v>Alytaus  miestas</v>
      </c>
      <c r="G87" s="255" t="str">
        <f>CONCATENATE('3 pr-2'!H88)</f>
        <v>04.5.1-TID-R-516</v>
      </c>
      <c r="H87" s="255" t="str">
        <f>CONCATENATE('3 pr-2'!I88)</f>
        <v>R</v>
      </c>
      <c r="I87" s="265" t="str">
        <f>CONCATENATE('3 pr-2'!J88)</f>
        <v>ITI</v>
      </c>
      <c r="J87" s="266">
        <f>SUM('3 pr-2'!L88)</f>
        <v>133670.07</v>
      </c>
      <c r="K87" s="267">
        <f>SUM('3 pr-2'!O88)</f>
        <v>20050.509999999998</v>
      </c>
      <c r="L87" s="267">
        <f>SUM('3 pr-2'!R88)</f>
        <v>0</v>
      </c>
      <c r="M87" s="267">
        <f>SUM('3 pr-2'!U88)</f>
        <v>0</v>
      </c>
      <c r="N87" s="267">
        <f>SUM('3 pr-2'!X88)</f>
        <v>0</v>
      </c>
      <c r="O87" s="268">
        <f>SUM('3 pr-2'!AA88)</f>
        <v>113619.56</v>
      </c>
      <c r="P87" s="288">
        <f>SUM('3 pr-2'!AE88)</f>
        <v>42660</v>
      </c>
      <c r="Q87" s="349">
        <v>42660</v>
      </c>
      <c r="R87" s="264">
        <f t="shared" si="13"/>
        <v>0</v>
      </c>
      <c r="S87" s="341">
        <f>(P87-Q87)/30.4166666666667</f>
        <v>0</v>
      </c>
    </row>
    <row r="88" spans="1:19" ht="49.5" thickBot="1" x14ac:dyDescent="0.3">
      <c r="A88" s="254" t="str">
        <f>CONCATENATE('3 pr-2'!A89)</f>
        <v>1.1.2.3.3</v>
      </c>
      <c r="B88" s="323" t="str">
        <f>CONCATENATE('ketv. 2lent'!B88)</f>
        <v>04.5.1-TID-R-516-11-0002</v>
      </c>
      <c r="C88" s="255" t="str">
        <f>CONCATENATE('3 pr-2'!D89)</f>
        <v>Dviračių ir pėsčiųjų takų plėtra Lazdijų miesto Turistų gatvėje iki sodų bendrijos „Baltasis“ Lazdijų seniūnijoje</v>
      </c>
      <c r="D88" s="255" t="str">
        <f>CONCATENATE('3 pr-2'!E89)</f>
        <v>Lazdijų rajono savivaldybės administracija</v>
      </c>
      <c r="E88" s="255" t="str">
        <f>CONCATENATE('3 pr-2'!F89)</f>
        <v>Lietuvos Respublikos susisiekimo ministerija</v>
      </c>
      <c r="F88" s="255" t="str">
        <f>CONCATENATE('3 pr-2'!G89)</f>
        <v>Lazdijų miestas</v>
      </c>
      <c r="G88" s="255" t="str">
        <f>CONCATENATE('3 pr-2'!H89)</f>
        <v>04.5.1-TID-R-516</v>
      </c>
      <c r="H88" s="255" t="str">
        <f>CONCATENATE('3 pr-2'!I89)</f>
        <v>R</v>
      </c>
      <c r="I88" s="265" t="str">
        <f>CONCATENATE('3 pr-2'!J89)</f>
        <v>ITI</v>
      </c>
      <c r="J88" s="266">
        <f>SUM('3 pr-2'!L89)</f>
        <v>100658</v>
      </c>
      <c r="K88" s="267">
        <f>SUM('3 pr-2'!O89)</f>
        <v>27157</v>
      </c>
      <c r="L88" s="267">
        <f>SUM('3 pr-2'!R89)</f>
        <v>0</v>
      </c>
      <c r="M88" s="267">
        <f>SUM('3 pr-2'!U89)</f>
        <v>0</v>
      </c>
      <c r="N88" s="267">
        <f>SUM('3 pr-2'!X89)</f>
        <v>0</v>
      </c>
      <c r="O88" s="268">
        <f>SUM('3 pr-2'!AA89)</f>
        <v>73501</v>
      </c>
      <c r="P88" s="288">
        <f>SUM('3 pr-2'!AE89)</f>
        <v>42660</v>
      </c>
      <c r="Q88" s="349">
        <v>42660</v>
      </c>
      <c r="R88" s="264">
        <f t="shared" si="13"/>
        <v>0</v>
      </c>
      <c r="S88" s="341">
        <f>(P88-Q88)/30.4166666666667</f>
        <v>0</v>
      </c>
    </row>
    <row r="89" spans="1:19" ht="49.5" thickBot="1" x14ac:dyDescent="0.3">
      <c r="A89" s="254" t="str">
        <f>CONCATENATE('3 pr-2'!A90)</f>
        <v>1.1.2.3.4</v>
      </c>
      <c r="B89" s="323" t="str">
        <f>CONCATENATE('ketv. 2lent'!B89)</f>
        <v/>
      </c>
      <c r="C89" s="255" t="str">
        <f>CONCATENATE('3 pr-2'!D90)</f>
        <v>Pėsčiųjų ir dviračių takų plėtra Simno seniūnijoje</v>
      </c>
      <c r="D89" s="255" t="str">
        <f>CONCATENATE('3 pr-2'!E90)</f>
        <v>Alytaus rajono savivaldybės administracija</v>
      </c>
      <c r="E89" s="255" t="str">
        <f>CONCATENATE('3 pr-2'!F90)</f>
        <v>Lietuvos Respublikos susisiekimo ministerija</v>
      </c>
      <c r="F89" s="255" t="str">
        <f>CONCATENATE('3 pr-2'!G90)</f>
        <v>Alytaus rajonas</v>
      </c>
      <c r="G89" s="255" t="str">
        <f>CONCATENATE('3 pr-2'!H90)</f>
        <v>04.5.1-TID-R-516</v>
      </c>
      <c r="H89" s="255" t="str">
        <f>CONCATENATE('3 pr-2'!I90)</f>
        <v>R</v>
      </c>
      <c r="I89" s="265" t="str">
        <f>CONCATENATE('3 pr-2'!J90)</f>
        <v>-</v>
      </c>
      <c r="J89" s="266">
        <f>SUM('3 pr-2'!L90)</f>
        <v>110340</v>
      </c>
      <c r="K89" s="267">
        <f>SUM('3 pr-2'!O90)</f>
        <v>19170</v>
      </c>
      <c r="L89" s="267">
        <f>SUM('3 pr-2'!R90)</f>
        <v>0</v>
      </c>
      <c r="M89" s="267">
        <f>SUM('3 pr-2'!U90)</f>
        <v>0</v>
      </c>
      <c r="N89" s="267">
        <f>SUM('3 pr-2'!X90)</f>
        <v>0</v>
      </c>
      <c r="O89" s="268">
        <f>SUM('3 pr-2'!AA90)</f>
        <v>91170</v>
      </c>
      <c r="P89" s="288">
        <f>SUM('3 pr-2'!AE90)</f>
        <v>42660</v>
      </c>
      <c r="Q89" s="349">
        <v>42660</v>
      </c>
      <c r="R89" s="264">
        <f t="shared" si="13"/>
        <v>0</v>
      </c>
      <c r="S89" s="341">
        <f>(P89-Q89)/30.4166666666667</f>
        <v>0</v>
      </c>
    </row>
    <row r="90" spans="1:19" ht="49.5" thickBot="1" x14ac:dyDescent="0.3">
      <c r="A90" s="254" t="str">
        <f>CONCATENATE('3 pr-2'!A91)</f>
        <v>1.1.2.3.5</v>
      </c>
      <c r="B90" s="323" t="str">
        <f>CONCATENATE('ketv. 2lent'!B90)</f>
        <v/>
      </c>
      <c r="C90" s="255" t="str">
        <f>CONCATENATE('3 pr-2'!D91)</f>
        <v>Dviračių ir pėsčiųjų tako, esančio šalia Ratnyčios upelio, Druskininkų mieste, rekonstrukcija</v>
      </c>
      <c r="D90" s="255" t="str">
        <f>CONCATENATE('3 pr-2'!E91)</f>
        <v xml:space="preserve">Druskininkų savivaldybės administracija  </v>
      </c>
      <c r="E90" s="255" t="str">
        <f>CONCATENATE('3 pr-2'!F91)</f>
        <v>Lietuvos Respublikos susisiekimo ministerija</v>
      </c>
      <c r="F90" s="255" t="str">
        <f>CONCATENATE('3 pr-2'!G91)</f>
        <v>Druskininkų miestas</v>
      </c>
      <c r="G90" s="255" t="str">
        <f>CONCATENATE('3 pr-2'!H91)</f>
        <v>04.5.1-TID-R-516</v>
      </c>
      <c r="H90" s="255" t="str">
        <f>CONCATENATE('3 pr-2'!I91)</f>
        <v>R</v>
      </c>
      <c r="I90" s="265" t="str">
        <f>CONCATENATE('3 pr-2'!J91)</f>
        <v>-</v>
      </c>
      <c r="J90" s="266">
        <f>SUM('3 pr-2'!L91)</f>
        <v>71089</v>
      </c>
      <c r="K90" s="267">
        <f>SUM('3 pr-2'!O91)</f>
        <v>14466</v>
      </c>
      <c r="L90" s="267">
        <f>SUM('3 pr-2'!R91)</f>
        <v>0</v>
      </c>
      <c r="M90" s="267">
        <f>SUM('3 pr-2'!U91)</f>
        <v>0</v>
      </c>
      <c r="N90" s="267">
        <f>SUM('3 pr-2'!X91)</f>
        <v>0</v>
      </c>
      <c r="O90" s="268">
        <f>SUM('3 pr-2'!AA91)</f>
        <v>56623</v>
      </c>
      <c r="P90" s="288">
        <f>SUM('3 pr-2'!AE91)</f>
        <v>42660</v>
      </c>
      <c r="Q90" s="349">
        <v>42660</v>
      </c>
      <c r="R90" s="264">
        <f>SUM(P90-Q90)</f>
        <v>0</v>
      </c>
      <c r="S90" s="341">
        <f>(P90-Q90)/30.4166666666667</f>
        <v>0</v>
      </c>
    </row>
    <row r="91" spans="1:19" ht="42.75" customHeight="1" thickBot="1" x14ac:dyDescent="0.3">
      <c r="A91" s="488" t="str">
        <f>CONCATENATE('3 pr-2'!A92)</f>
        <v>1.1.2.4</v>
      </c>
      <c r="B91" s="790" t="str">
        <f>CONCATENATE('ketv. 2lent'!B91)</f>
        <v/>
      </c>
      <c r="C91" s="1656" t="str">
        <f>CONCATENATE('3 pr-2'!D92)</f>
        <v/>
      </c>
      <c r="D91" s="1802" t="str">
        <f>CONCATENATE('3 pr-2'!E92)</f>
        <v/>
      </c>
      <c r="E91" s="1802" t="str">
        <f>CONCATENATE('3 pr-2'!F92)</f>
        <v/>
      </c>
      <c r="F91" s="1802" t="str">
        <f>CONCATENATE('3 pr-2'!G92)</f>
        <v/>
      </c>
      <c r="G91" s="1802" t="str">
        <f>CONCATENATE('3 pr-2'!H92)</f>
        <v/>
      </c>
      <c r="H91" s="1802" t="str">
        <f>CONCATENATE('3 pr-2'!I92)</f>
        <v/>
      </c>
      <c r="I91" s="1802" t="str">
        <f>CONCATENATE('3 pr-2'!J92)</f>
        <v/>
      </c>
      <c r="J91" s="791">
        <f>SUM('3 pr-2'!L92)</f>
        <v>4421350.9000000004</v>
      </c>
      <c r="K91" s="791">
        <f>SUM('3 pr-2'!O92)</f>
        <v>1305883.8999999999</v>
      </c>
      <c r="L91" s="791">
        <f>SUM('3 pr-2'!R92)</f>
        <v>0</v>
      </c>
      <c r="M91" s="791">
        <f>SUM('3 pr-2'!U92)</f>
        <v>0</v>
      </c>
      <c r="N91" s="791">
        <f>SUM('3 pr-2'!X92)</f>
        <v>62660</v>
      </c>
      <c r="O91" s="792">
        <f>SUM('3 pr-2'!AA92)</f>
        <v>3052807</v>
      </c>
      <c r="P91" s="793"/>
      <c r="Q91" s="794"/>
      <c r="R91" s="795"/>
      <c r="S91" s="795"/>
    </row>
    <row r="92" spans="1:19" ht="49.5" thickBot="1" x14ac:dyDescent="0.3">
      <c r="A92" s="254" t="str">
        <f>CONCATENATE('3 pr-2'!A93)</f>
        <v>1.1.2.4.1</v>
      </c>
      <c r="B92" s="323" t="str">
        <f>CONCATENATE('ketv. 2lent'!B92)</f>
        <v>06.2.1-TID-R-511-11-0002</v>
      </c>
      <c r="C92" s="255" t="str">
        <f>CONCATENATE('3 pr-2'!D93)</f>
        <v>Varėnos miesto J. Basanavičiaus, Savanorių ir M. K. Čiurlionio gatvių rekonstrukcija</v>
      </c>
      <c r="D92" s="255" t="str">
        <f>CONCATENATE('3 pr-2'!E93)</f>
        <v>Varėnos rajono savivaldybės administracija</v>
      </c>
      <c r="E92" s="255" t="str">
        <f>CONCATENATE('3 pr-2'!F93)</f>
        <v>Lietuvos Respublikos susisiekimo ministerija</v>
      </c>
      <c r="F92" s="255" t="str">
        <f>CONCATENATE('3 pr-2'!G93)</f>
        <v>Varėnos miestas</v>
      </c>
      <c r="G92" s="255" t="str">
        <f>CONCATENATE('3 pr-2'!H93)</f>
        <v>06.2.1-TID-R-511</v>
      </c>
      <c r="H92" s="255" t="str">
        <f>CONCATENATE('3 pr-2'!I93)</f>
        <v>R</v>
      </c>
      <c r="I92" s="265" t="str">
        <f>CONCATENATE('3 pr-2'!J93)</f>
        <v>ITI</v>
      </c>
      <c r="J92" s="266">
        <f>SUM('3 pr-2'!L93)</f>
        <v>835464</v>
      </c>
      <c r="K92" s="267">
        <f>SUM('3 pr-2'!O93)</f>
        <v>62660</v>
      </c>
      <c r="L92" s="267">
        <f>SUM('3 pr-2'!R93)</f>
        <v>0</v>
      </c>
      <c r="M92" s="267">
        <f>SUM('3 pr-2'!U93)</f>
        <v>0</v>
      </c>
      <c r="N92" s="267">
        <f>SUM('3 pr-2'!X93)</f>
        <v>62660</v>
      </c>
      <c r="O92" s="268">
        <f>SUM('3 pr-2'!AA93)</f>
        <v>710144</v>
      </c>
      <c r="P92" s="288">
        <f>SUM('3 pr-2'!AE93)</f>
        <v>42639</v>
      </c>
      <c r="Q92" s="346">
        <v>42636</v>
      </c>
      <c r="R92" s="264">
        <f t="shared" ref="R92:R95" si="14">SUM(P92-Q92)</f>
        <v>3</v>
      </c>
      <c r="S92" s="341">
        <f t="shared" ref="S92:S97" si="15">(P92-Q92)/30.4166666666667</f>
        <v>9.8630136986301256E-2</v>
      </c>
    </row>
    <row r="93" spans="1:19" ht="49.5" thickBot="1" x14ac:dyDescent="0.3">
      <c r="A93" s="254" t="str">
        <f>CONCATENATE('3 pr-2'!A94)</f>
        <v>1.1.2.4.2</v>
      </c>
      <c r="B93" s="323" t="str">
        <f>CONCATENATE('ketv. 2lent'!B93)</f>
        <v>06.2.1-TID-R-511-11-0001</v>
      </c>
      <c r="C93" s="255" t="str">
        <f>CONCATENATE('3 pr-2'!D94)</f>
        <v>Perspektyvinės gatvės nuo Pramonės  g. iki Naujosios g. Alytuje įrengimas</v>
      </c>
      <c r="D93" s="255" t="str">
        <f>CONCATENATE('3 pr-2'!E94)</f>
        <v>Alytaus miesto savivaldybės administracija</v>
      </c>
      <c r="E93" s="255" t="str">
        <f>CONCATENATE('3 pr-2'!F94)</f>
        <v>Lietuvos Respublikos susisiekimo ministerija</v>
      </c>
      <c r="F93" s="255" t="str">
        <f>CONCATENATE('3 pr-2'!G94)</f>
        <v>Alytaus  miestas</v>
      </c>
      <c r="G93" s="255" t="str">
        <f>CONCATENATE('3 pr-2'!H94)</f>
        <v>06.2.1-TID-R-511</v>
      </c>
      <c r="H93" s="255" t="str">
        <f>CONCATENATE('3 pr-2'!I94)</f>
        <v>R</v>
      </c>
      <c r="I93" s="265" t="str">
        <f>CONCATENATE('3 pr-2'!J94)</f>
        <v>ITI</v>
      </c>
      <c r="J93" s="266">
        <f>SUM('3 pr-2'!L94)</f>
        <v>879927.06</v>
      </c>
      <c r="K93" s="267">
        <f>SUM('3 pr-2'!O94)</f>
        <v>131989.06</v>
      </c>
      <c r="L93" s="267">
        <f>SUM('3 pr-2'!R94)</f>
        <v>0</v>
      </c>
      <c r="M93" s="267">
        <f>SUM('3 pr-2'!U94)</f>
        <v>0</v>
      </c>
      <c r="N93" s="267">
        <f>SUM('3 pr-2'!X94)</f>
        <v>0</v>
      </c>
      <c r="O93" s="268">
        <f>SUM('3 pr-2'!AA94)</f>
        <v>747938</v>
      </c>
      <c r="P93" s="288">
        <f>SUM('3 pr-2'!AE94)</f>
        <v>42639</v>
      </c>
      <c r="Q93" s="346">
        <v>42639</v>
      </c>
      <c r="R93" s="264">
        <f t="shared" si="14"/>
        <v>0</v>
      </c>
      <c r="S93" s="341">
        <f t="shared" si="15"/>
        <v>0</v>
      </c>
    </row>
    <row r="94" spans="1:19" ht="49.5" thickBot="1" x14ac:dyDescent="0.3">
      <c r="A94" s="254" t="str">
        <f>CONCATENATE('3 pr-2'!A95)</f>
        <v>1.1.2.4.3.</v>
      </c>
      <c r="B94" s="323" t="str">
        <f>CONCATENATE('ketv. 2lent'!B94)</f>
        <v/>
      </c>
      <c r="C94" s="255" t="str">
        <f>CONCATENATE('3 pr-2'!D95)</f>
        <v>Saugaus eismo priemonių diegimas, Alytuje</v>
      </c>
      <c r="D94" s="255" t="str">
        <f>CONCATENATE('3 pr-2'!E95)</f>
        <v>Alytaus miesto savivaldybės administracija</v>
      </c>
      <c r="E94" s="255" t="str">
        <f>CONCATENATE('3 pr-2'!F95)</f>
        <v>Lietuvos Respublikos susisiekimo ministerija</v>
      </c>
      <c r="F94" s="255" t="str">
        <f>CONCATENATE('3 pr-2'!G95)</f>
        <v>Alytaus  miestas</v>
      </c>
      <c r="G94" s="255" t="str">
        <f>CONCATENATE('3 pr-2'!H95)</f>
        <v>06.2.1-TID-R-511</v>
      </c>
      <c r="H94" s="255" t="str">
        <f>CONCATENATE('3 pr-2'!I95)</f>
        <v>R</v>
      </c>
      <c r="I94" s="265" t="str">
        <f>CONCATENATE('3 pr-2'!J95)</f>
        <v>-</v>
      </c>
      <c r="J94" s="266">
        <f>SUM('3 pr-2'!L95)</f>
        <v>315614.59999999998</v>
      </c>
      <c r="K94" s="267">
        <f>SUM('3 pr-2'!O95)</f>
        <v>65315.6</v>
      </c>
      <c r="L94" s="267">
        <f>SUM('3 pr-2'!R95)</f>
        <v>0</v>
      </c>
      <c r="M94" s="267">
        <f>SUM('3 pr-2'!U95)</f>
        <v>0</v>
      </c>
      <c r="N94" s="267">
        <f>SUM('3 pr-2'!X95)</f>
        <v>0</v>
      </c>
      <c r="O94" s="268">
        <f>SUM('3 pr-2'!AA95)</f>
        <v>250299</v>
      </c>
      <c r="P94" s="288">
        <f>SUM('3 pr-2'!AE95)</f>
        <v>42639</v>
      </c>
      <c r="Q94" s="349">
        <v>42639</v>
      </c>
      <c r="R94" s="264">
        <f t="shared" si="14"/>
        <v>0</v>
      </c>
      <c r="S94" s="341">
        <f t="shared" si="15"/>
        <v>0</v>
      </c>
    </row>
    <row r="95" spans="1:19" ht="49.5" thickBot="1" x14ac:dyDescent="0.3">
      <c r="A95" s="254" t="str">
        <f>CONCATENATE('3 pr-2'!A96)</f>
        <v>1.1.2.4.4</v>
      </c>
      <c r="B95" s="323" t="str">
        <f>CONCATENATE('ketv. 2lent'!B95)</f>
        <v/>
      </c>
      <c r="C95" s="255" t="str">
        <f>CONCATENATE('3 pr-2'!D96)</f>
        <v>Eismo saugos priemonių diegimas Alytaus rajone</v>
      </c>
      <c r="D95" s="255" t="str">
        <f>CONCATENATE('3 pr-2'!E96)</f>
        <v>Alytaus rajono savivaldybės administracija</v>
      </c>
      <c r="E95" s="255" t="str">
        <f>CONCATENATE('3 pr-2'!F96)</f>
        <v>Lietuvos Respublikos susisiekimo ministerija</v>
      </c>
      <c r="F95" s="255" t="str">
        <f>CONCATENATE('3 pr-2'!G96)</f>
        <v>Alytaus  rajono savivaldybė</v>
      </c>
      <c r="G95" s="255" t="str">
        <f>CONCATENATE('3 pr-2'!H96)</f>
        <v>06.2.1-TID-R-511</v>
      </c>
      <c r="H95" s="255" t="str">
        <f>CONCATENATE('3 pr-2'!I96)</f>
        <v>R</v>
      </c>
      <c r="I95" s="265" t="str">
        <f>CONCATENATE('3 pr-2'!J96)</f>
        <v>-</v>
      </c>
      <c r="J95" s="266">
        <f>SUM('3 pr-2'!L96)</f>
        <v>236915</v>
      </c>
      <c r="K95" s="267">
        <f>SUM('3 pr-2'!O96)</f>
        <v>36071</v>
      </c>
      <c r="L95" s="267">
        <f>SUM('3 pr-2'!R96)</f>
        <v>0</v>
      </c>
      <c r="M95" s="267">
        <f>SUM('3 pr-2'!U96)</f>
        <v>0</v>
      </c>
      <c r="N95" s="267">
        <f>SUM('3 pr-2'!X96)</f>
        <v>0</v>
      </c>
      <c r="O95" s="268">
        <f>SUM('3 pr-2'!AA96)</f>
        <v>200844</v>
      </c>
      <c r="P95" s="288">
        <f>SUM('3 pr-2'!AE96)</f>
        <v>42639</v>
      </c>
      <c r="Q95" s="349">
        <v>42639</v>
      </c>
      <c r="R95" s="264">
        <f t="shared" si="14"/>
        <v>0</v>
      </c>
      <c r="S95" s="341">
        <f t="shared" si="15"/>
        <v>0</v>
      </c>
    </row>
    <row r="96" spans="1:19" ht="49.5" thickBot="1" x14ac:dyDescent="0.3">
      <c r="A96" s="254" t="str">
        <f>CONCATENATE('3 pr-2'!A97)</f>
        <v>1.1.2.4.5</v>
      </c>
      <c r="B96" s="323" t="str">
        <f>CONCATENATE('ketv. 2lent'!B96)</f>
        <v/>
      </c>
      <c r="C96" s="255" t="str">
        <f>CONCATENATE('3 pr-2'!D97)</f>
        <v>M. K. Čiurlionio gatvės atkarpos Druskininkų m. rekonstrukcija</v>
      </c>
      <c r="D96" s="255" t="str">
        <f>CONCATENATE('3 pr-2'!E97)</f>
        <v xml:space="preserve">Druskininkų savivaldybės administracija  </v>
      </c>
      <c r="E96" s="255" t="str">
        <f>CONCATENATE('3 pr-2'!F97)</f>
        <v>Lietuvos Respublikos susisiekimo ministerija</v>
      </c>
      <c r="F96" s="255" t="str">
        <f>CONCATENATE('3 pr-2'!G97)</f>
        <v>Druskininkų miestas</v>
      </c>
      <c r="G96" s="255" t="str">
        <f>CONCATENATE('3 pr-2'!H97)</f>
        <v>06.2.1-TID-R-511</v>
      </c>
      <c r="H96" s="255" t="str">
        <f>CONCATENATE('3 pr-2'!I97)</f>
        <v>R</v>
      </c>
      <c r="I96" s="265" t="str">
        <f>CONCATENATE('3 pr-2'!J97)</f>
        <v>-</v>
      </c>
      <c r="J96" s="266">
        <f>SUM('3 pr-2'!L97)</f>
        <v>1258144.24</v>
      </c>
      <c r="K96" s="267">
        <f>SUM('3 pr-2'!O97)</f>
        <v>873495.24</v>
      </c>
      <c r="L96" s="267">
        <f>SUM('3 pr-2'!R97)</f>
        <v>0</v>
      </c>
      <c r="M96" s="267">
        <f>SUM('3 pr-2'!U97)</f>
        <v>0</v>
      </c>
      <c r="N96" s="267">
        <f>SUM('3 pr-2'!X97)</f>
        <v>0</v>
      </c>
      <c r="O96" s="268">
        <f>SUM('3 pr-2'!AA97)</f>
        <v>384649</v>
      </c>
      <c r="P96" s="288">
        <f>SUM('3 pr-2'!AE97)</f>
        <v>42639</v>
      </c>
      <c r="Q96" s="346">
        <v>42640</v>
      </c>
      <c r="R96" s="264">
        <f>SUM(P96-Q96)</f>
        <v>-1</v>
      </c>
      <c r="S96" s="341">
        <f t="shared" si="15"/>
        <v>-3.2876712328767085E-2</v>
      </c>
    </row>
    <row r="97" spans="1:19" ht="45.75" customHeight="1" thickBot="1" x14ac:dyDescent="0.3">
      <c r="A97" s="254" t="str">
        <f>CONCATENATE('3 pr-2'!A98)</f>
        <v>1.1.2.4.6</v>
      </c>
      <c r="B97" s="323" t="str">
        <f>CONCATENATE('ketv. 2lent'!B97)</f>
        <v/>
      </c>
      <c r="C97" s="255" t="str">
        <f>CONCATENATE('3 pr-2'!D98)</f>
        <v>Lazdijų miesto Seinų ir Lazdijos gatvių bei vietinės reikšmės kelio nuo Janonio gatvės iki Lazdijų hipodromo rekonstravimas</v>
      </c>
      <c r="D97" s="255" t="str">
        <f>CONCATENATE('3 pr-2'!E98)</f>
        <v>Lazdijų rajono savivaldybės administracija</v>
      </c>
      <c r="E97" s="255" t="str">
        <f>CONCATENATE('3 pr-2'!F98)</f>
        <v>Lietuvos Respublikos susisiekimo ministerija</v>
      </c>
      <c r="F97" s="255" t="str">
        <f>CONCATENATE('3 pr-2'!G98)</f>
        <v>Lazdijų miestas</v>
      </c>
      <c r="G97" s="255" t="str">
        <f>CONCATENATE('3 pr-2'!H98)</f>
        <v>06.2.1-TID-R-511</v>
      </c>
      <c r="H97" s="255" t="str">
        <f>CONCATENATE('3 pr-2'!I98)</f>
        <v>R</v>
      </c>
      <c r="I97" s="265" t="str">
        <f>CONCATENATE('3 pr-2'!J98)</f>
        <v>ITI</v>
      </c>
      <c r="J97" s="266">
        <f>SUM('3 pr-2'!L98)</f>
        <v>759934</v>
      </c>
      <c r="K97" s="267">
        <f>SUM('3 pr-2'!O98)</f>
        <v>113990</v>
      </c>
      <c r="L97" s="267">
        <f>SUM('3 pr-2'!R98)</f>
        <v>0</v>
      </c>
      <c r="M97" s="267">
        <f>SUM('3 pr-2'!U98)</f>
        <v>0</v>
      </c>
      <c r="N97" s="267">
        <f>SUM('3 pr-2'!X98)</f>
        <v>0</v>
      </c>
      <c r="O97" s="268">
        <f>SUM('3 pr-2'!AA98)</f>
        <v>645944</v>
      </c>
      <c r="P97" s="288">
        <f>SUM('3 pr-2'!AE98)</f>
        <v>42639</v>
      </c>
      <c r="Q97" s="349">
        <v>42639</v>
      </c>
      <c r="R97" s="264">
        <f t="shared" ref="R97" si="16">IF((YEAR(P97)-YEAR(Q97))=0,0,YEAR(P97)-YEAR(Q97))</f>
        <v>0</v>
      </c>
      <c r="S97" s="341">
        <f t="shared" si="15"/>
        <v>0</v>
      </c>
    </row>
    <row r="98" spans="1:19" ht="48" customHeight="1" thickBot="1" x14ac:dyDescent="0.3">
      <c r="A98" s="221" t="str">
        <f>CONCATENATE('3 pr-2'!A100)</f>
        <v>2.1.</v>
      </c>
      <c r="B98" s="323" t="str">
        <f>CONCATENATE('ketv. 2lent'!B99)</f>
        <v/>
      </c>
      <c r="C98" s="1671" t="str">
        <f>CONCATENATE('3 pr-2'!D100)</f>
        <v/>
      </c>
      <c r="D98" s="1803" t="str">
        <f>CONCATENATE('3 pr-2'!E100)</f>
        <v/>
      </c>
      <c r="E98" s="1803" t="str">
        <f>CONCATENATE('3 pr-2'!F100)</f>
        <v/>
      </c>
      <c r="F98" s="1803" t="str">
        <f>CONCATENATE('3 pr-2'!G100)</f>
        <v/>
      </c>
      <c r="G98" s="1803" t="str">
        <f>CONCATENATE('3 pr-2'!H100)</f>
        <v/>
      </c>
      <c r="H98" s="1803" t="str">
        <f>CONCATENATE('3 pr-2'!I100)</f>
        <v/>
      </c>
      <c r="I98" s="1803" t="str">
        <f>CONCATENATE('3 pr-2'!J100)</f>
        <v/>
      </c>
      <c r="J98" s="296">
        <f>SUM('3 pr-2'!L100)</f>
        <v>12596754.809999999</v>
      </c>
      <c r="K98" s="297">
        <f>SUM('3 pr-2'!O100)</f>
        <v>1867021.34</v>
      </c>
      <c r="L98" s="297">
        <f>SUM('3 pr-2'!R100)</f>
        <v>411330.16378378379</v>
      </c>
      <c r="M98" s="297">
        <f>SUM('3 pr-2'!U100)</f>
        <v>40158</v>
      </c>
      <c r="N98" s="297">
        <f>SUM('3 pr-2'!X100)</f>
        <v>0</v>
      </c>
      <c r="O98" s="298">
        <f>SUM('3 pr-2'!AA100)</f>
        <v>10278245.306216216</v>
      </c>
      <c r="P98" s="279" t="s">
        <v>725</v>
      </c>
      <c r="Q98" s="260" t="s">
        <v>725</v>
      </c>
      <c r="R98" s="261" t="s">
        <v>725</v>
      </c>
      <c r="S98" s="261"/>
    </row>
    <row r="99" spans="1:19" ht="59.25" customHeight="1" thickBot="1" x14ac:dyDescent="0.3">
      <c r="A99" s="220" t="str">
        <f>CONCATENATE('3 pr-2'!A101)</f>
        <v>2.1.1.</v>
      </c>
      <c r="B99" s="323" t="str">
        <f>CONCATENATE('ketv. 2lent'!B100)</f>
        <v/>
      </c>
      <c r="C99" s="1668" t="str">
        <f>CONCATENATE('3 pr-2'!D101)</f>
        <v/>
      </c>
      <c r="D99" s="1595" t="str">
        <f>CONCATENATE('3 pr-2'!E101)</f>
        <v/>
      </c>
      <c r="E99" s="1595" t="str">
        <f>CONCATENATE('3 pr-2'!F101)</f>
        <v/>
      </c>
      <c r="F99" s="1595" t="str">
        <f>CONCATENATE('3 pr-2'!G101)</f>
        <v/>
      </c>
      <c r="G99" s="1595" t="str">
        <f>CONCATENATE('3 pr-2'!H101)</f>
        <v/>
      </c>
      <c r="H99" s="1595" t="str">
        <f>CONCATENATE('3 pr-2'!I101)</f>
        <v/>
      </c>
      <c r="I99" s="1595" t="str">
        <f>CONCATENATE('3 pr-2'!J101)</f>
        <v/>
      </c>
      <c r="J99" s="295">
        <f>SUM('3 pr-2'!L101)</f>
        <v>4705665.1899999995</v>
      </c>
      <c r="K99" s="295">
        <f>SUM('3 pr-2'!O101)</f>
        <v>737430.77999999991</v>
      </c>
      <c r="L99" s="295">
        <f>SUM('3 pr-2'!R101)</f>
        <v>201261.19378378382</v>
      </c>
      <c r="M99" s="295">
        <f>SUM('3 pr-2'!U101)</f>
        <v>0</v>
      </c>
      <c r="N99" s="295">
        <f>SUM('3 pr-2'!X101)</f>
        <v>0</v>
      </c>
      <c r="O99" s="295">
        <f>SUM('3 pr-2'!AA101)</f>
        <v>3766973.2162162159</v>
      </c>
      <c r="P99" s="280" t="s">
        <v>725</v>
      </c>
      <c r="Q99" s="262" t="s">
        <v>725</v>
      </c>
      <c r="R99" s="263" t="s">
        <v>725</v>
      </c>
      <c r="S99" s="263"/>
    </row>
    <row r="100" spans="1:19" ht="37.5" customHeight="1" thickBot="1" x14ac:dyDescent="0.3">
      <c r="A100" s="488" t="str">
        <f>CONCATENATE('3 pr-2'!A102)</f>
        <v>2.1.1.1</v>
      </c>
      <c r="B100" s="790" t="str">
        <f>CONCATENATE('ketv. 2lent'!B101)</f>
        <v/>
      </c>
      <c r="C100" s="1656" t="str">
        <f>CONCATENATE('3 pr-2'!D102)</f>
        <v/>
      </c>
      <c r="D100" s="1802" t="str">
        <f>CONCATENATE('3 pr-2'!E102)</f>
        <v/>
      </c>
      <c r="E100" s="1802" t="str">
        <f>CONCATENATE('3 pr-2'!F102)</f>
        <v/>
      </c>
      <c r="F100" s="1802" t="str">
        <f>CONCATENATE('3 pr-2'!G102)</f>
        <v/>
      </c>
      <c r="G100" s="1802" t="str">
        <f>CONCATENATE('3 pr-2'!H102)</f>
        <v/>
      </c>
      <c r="H100" s="1802" t="str">
        <f>CONCATENATE('3 pr-2'!I102)</f>
        <v/>
      </c>
      <c r="I100" s="1802" t="str">
        <f>CONCATENATE('3 pr-2'!J102)</f>
        <v/>
      </c>
      <c r="J100" s="791">
        <f>SUM('3 pr-2'!L102)</f>
        <v>1343974.82</v>
      </c>
      <c r="K100" s="791">
        <f>SUM('3 pr-2'!O102)</f>
        <v>100799.41</v>
      </c>
      <c r="L100" s="791">
        <f>SUM('3 pr-2'!R102)</f>
        <v>100798.41</v>
      </c>
      <c r="M100" s="791">
        <f>SUM('3 pr-2'!U102)</f>
        <v>0</v>
      </c>
      <c r="N100" s="791">
        <f>SUM('3 pr-2'!X102)</f>
        <v>0</v>
      </c>
      <c r="O100" s="792">
        <f>SUM('3 pr-2'!AA102)</f>
        <v>1142377</v>
      </c>
      <c r="P100" s="793"/>
      <c r="Q100" s="794"/>
      <c r="R100" s="795"/>
      <c r="S100" s="795"/>
    </row>
    <row r="101" spans="1:19" ht="61.5" thickBot="1" x14ac:dyDescent="0.3">
      <c r="A101" s="254" t="str">
        <f>CONCATENATE('3 pr-2'!A103)</f>
        <v>2.1.1.1.1</v>
      </c>
      <c r="B101" s="323" t="str">
        <f>CONCATENATE('ketv. 2lent'!B102)</f>
        <v xml:space="preserve">09.1.3-CPVA-R-724-11-0003 </v>
      </c>
      <c r="C101" s="255" t="str">
        <f>CONCATENATE('3 pr-2'!D103)</f>
        <v>Varėnos r. Merkinės Vinco Krėvės gimnazijos laisvų patalpų pritaikymas ikimokyklinio ir priešmokyklinio ugdymo grupėms įrengti</v>
      </c>
      <c r="D101" s="255" t="str">
        <f>CONCATENATE('3 pr-2'!E103)</f>
        <v>Varėnos rajono savivaldybės administracija</v>
      </c>
      <c r="E101" s="255" t="str">
        <f>CONCATENATE('3 pr-2'!F103)</f>
        <v>Lietuvos Respublikos švietimo ir mokslo ministerija</v>
      </c>
      <c r="F101" s="255" t="str">
        <f>CONCATENATE('3 pr-2'!G103)</f>
        <v>Varėnos miestas</v>
      </c>
      <c r="G101" s="255" t="str">
        <f>CONCATENATE('3 pr-2'!H103)</f>
        <v>09.1.3-CPVA-R-724</v>
      </c>
      <c r="H101" s="255" t="str">
        <f>CONCATENATE('3 pr-2'!I103)</f>
        <v>R</v>
      </c>
      <c r="I101" s="265" t="str">
        <f>CONCATENATE('3 pr-2'!J103)</f>
        <v>-</v>
      </c>
      <c r="J101" s="266">
        <f>SUM('3 pr-2'!L103)</f>
        <v>220453</v>
      </c>
      <c r="K101" s="267">
        <f>SUM('3 pr-2'!O103)</f>
        <v>16534</v>
      </c>
      <c r="L101" s="267">
        <f>SUM('3 pr-2'!R103)</f>
        <v>16534</v>
      </c>
      <c r="M101" s="267">
        <f>SUM('3 pr-2'!U103)</f>
        <v>0</v>
      </c>
      <c r="N101" s="267">
        <f>SUM('3 pr-2'!X103)</f>
        <v>0</v>
      </c>
      <c r="O101" s="268">
        <f>SUM('3 pr-2'!AA103)</f>
        <v>187385</v>
      </c>
      <c r="P101" s="288">
        <f>SUM('3 pr-2'!AE103)</f>
        <v>42863</v>
      </c>
      <c r="Q101" s="347">
        <v>42863</v>
      </c>
      <c r="R101" s="264">
        <f t="shared" ref="R101:R104" si="17">SUM(P101-Q101)</f>
        <v>0</v>
      </c>
      <c r="S101" s="341">
        <f t="shared" ref="S101:S105" si="18">(P101-Q101)/30.4166666666667</f>
        <v>0</v>
      </c>
    </row>
    <row r="102" spans="1:19" ht="61.5" thickBot="1" x14ac:dyDescent="0.3">
      <c r="A102" s="254" t="str">
        <f>CONCATENATE('3 pr-2'!A104)</f>
        <v>2.1.1.1.2</v>
      </c>
      <c r="B102" s="323" t="str">
        <f>CONCATENATE('ketv. 2lent'!B103)</f>
        <v>09.1.3-CPVA-R-724-11-0005</v>
      </c>
      <c r="C102" s="255" t="str">
        <f>CONCATENATE('3 pr-2'!D104)</f>
        <v>Alytaus rajono bendrojo ugdymo įstaigų aprūpinimas gamtos, technologijų, menų ir kitų mokslų laboratorijų įranga</v>
      </c>
      <c r="D102" s="255" t="str">
        <f>CONCATENATE('3 pr-2'!E104)</f>
        <v>Alytaus rajono savivaldybės administracija</v>
      </c>
      <c r="E102" s="255" t="str">
        <f>CONCATENATE('3 pr-2'!F104)</f>
        <v>Lietuvos Respublikos švietimo ir mokslo ministerija</v>
      </c>
      <c r="F102" s="255" t="str">
        <f>CONCATENATE('3 pr-2'!G104)</f>
        <v>Alytaus  rajono savivaldybė</v>
      </c>
      <c r="G102" s="255" t="str">
        <f>CONCATENATE('3 pr-2'!H104)</f>
        <v>09.1.3-CPVA-R-724</v>
      </c>
      <c r="H102" s="255" t="str">
        <f>CONCATENATE('3 pr-2'!I104)</f>
        <v>R</v>
      </c>
      <c r="I102" s="265" t="str">
        <f>CONCATENATE('3 pr-2'!J104)</f>
        <v>-</v>
      </c>
      <c r="J102" s="266">
        <f>SUM('3 pr-2'!L104)</f>
        <v>106844.82</v>
      </c>
      <c r="K102" s="267">
        <f>SUM('3 pr-2'!O104)</f>
        <v>8013.41</v>
      </c>
      <c r="L102" s="267">
        <f>SUM('3 pr-2'!R104)</f>
        <v>8013.41</v>
      </c>
      <c r="M102" s="267">
        <f>SUM('3 pr-2'!U104)</f>
        <v>0</v>
      </c>
      <c r="N102" s="267">
        <f>SUM('3 pr-2'!X104)</f>
        <v>0</v>
      </c>
      <c r="O102" s="268">
        <f>SUM('3 pr-2'!AA104)</f>
        <v>90818</v>
      </c>
      <c r="P102" s="288">
        <f>SUM('3 pr-2'!AE104)</f>
        <v>42863</v>
      </c>
      <c r="Q102" s="347">
        <v>42863</v>
      </c>
      <c r="R102" s="264">
        <f t="shared" si="17"/>
        <v>0</v>
      </c>
      <c r="S102" s="341">
        <f t="shared" si="18"/>
        <v>0</v>
      </c>
    </row>
    <row r="103" spans="1:19" ht="61.5" thickBot="1" x14ac:dyDescent="0.3">
      <c r="A103" s="254" t="str">
        <f>CONCATENATE('3 pr-2'!A105)</f>
        <v>2.1.1.1.3</v>
      </c>
      <c r="B103" s="323" t="str">
        <f>CONCATENATE('ketv. 2lent'!B104)</f>
        <v xml:space="preserve">09.1.3-CPVA-R-724-11-0002 </v>
      </c>
      <c r="C103" s="255" t="str">
        <f>CONCATENATE('3 pr-2'!D105)</f>
        <v>Modernių ir saugių erdvių kūrimas Dzūkijos pagrindinėje mokykloje, Alytuje</v>
      </c>
      <c r="D103" s="255" t="str">
        <f>CONCATENATE('3 pr-2'!E105)</f>
        <v>Alytaus miesto savivaldybės administracija</v>
      </c>
      <c r="E103" s="255" t="str">
        <f>CONCATENATE('3 pr-2'!F105)</f>
        <v>Lietuvos Respublikos švietimo ir mokslo ministerija</v>
      </c>
      <c r="F103" s="255" t="str">
        <f>CONCATENATE('3 pr-2'!G105)</f>
        <v>Alytaus  miestas</v>
      </c>
      <c r="G103" s="255" t="str">
        <f>CONCATENATE('3 pr-2'!H105)</f>
        <v>09.1.3-CPVA-R-724</v>
      </c>
      <c r="H103" s="255" t="str">
        <f>CONCATENATE('3 pr-2'!I105)</f>
        <v>R</v>
      </c>
      <c r="I103" s="265" t="str">
        <f>CONCATENATE('3 pr-2'!J105)</f>
        <v>-</v>
      </c>
      <c r="J103" s="266">
        <f>SUM('3 pr-2'!L105)</f>
        <v>657021</v>
      </c>
      <c r="K103" s="267">
        <f>SUM('3 pr-2'!O105)</f>
        <v>49277</v>
      </c>
      <c r="L103" s="267">
        <f>SUM('3 pr-2'!R105)</f>
        <v>49277</v>
      </c>
      <c r="M103" s="267">
        <f>SUM('3 pr-2'!U105)</f>
        <v>0</v>
      </c>
      <c r="N103" s="267">
        <f>SUM('3 pr-2'!X105)</f>
        <v>0</v>
      </c>
      <c r="O103" s="268">
        <f>SUM('3 pr-2'!AA105)</f>
        <v>558467</v>
      </c>
      <c r="P103" s="288">
        <f>SUM('3 pr-2'!AE105)</f>
        <v>42877</v>
      </c>
      <c r="Q103" s="347">
        <v>42877</v>
      </c>
      <c r="R103" s="264">
        <f t="shared" si="17"/>
        <v>0</v>
      </c>
      <c r="S103" s="341">
        <f t="shared" si="18"/>
        <v>0</v>
      </c>
    </row>
    <row r="104" spans="1:19" ht="61.5" thickBot="1" x14ac:dyDescent="0.3">
      <c r="A104" s="254" t="str">
        <f>CONCATENATE('3 pr-2'!A106)</f>
        <v>2.1.1.1.4</v>
      </c>
      <c r="B104" s="323" t="str">
        <f>CONCATENATE('ketv. 2lent'!B105)</f>
        <v>09.1.3-CPVA-R-724-11-0004</v>
      </c>
      <c r="C104" s="255" t="str">
        <f>CONCATENATE('3 pr-2'!D106)</f>
        <v>Modernių ir saugių erdvių sukūrimas bendrojo ugdymo mokyklose Druskininkų sav.</v>
      </c>
      <c r="D104" s="255" t="str">
        <f>CONCATENATE('3 pr-2'!E106)</f>
        <v>Druskininkų savivaldybės administracija</v>
      </c>
      <c r="E104" s="255" t="str">
        <f>CONCATENATE('3 pr-2'!F106)</f>
        <v>Lietuvos Respublikos švietimo ir mokslo ministerija</v>
      </c>
      <c r="F104" s="255" t="str">
        <f>CONCATENATE('3 pr-2'!G106)</f>
        <v>Druskininkų savivaldybė</v>
      </c>
      <c r="G104" s="255" t="str">
        <f>CONCATENATE('3 pr-2'!H106)</f>
        <v>09.1.3-CPVA-R-724</v>
      </c>
      <c r="H104" s="255" t="str">
        <f>CONCATENATE('3 pr-2'!I106)</f>
        <v>R</v>
      </c>
      <c r="I104" s="265" t="str">
        <f>CONCATENATE('3 pr-2'!J106)</f>
        <v>-</v>
      </c>
      <c r="J104" s="266">
        <f>SUM('3 pr-2'!L106)</f>
        <v>163877</v>
      </c>
      <c r="K104" s="267">
        <f>SUM('3 pr-2'!O106)</f>
        <v>12291</v>
      </c>
      <c r="L104" s="267">
        <f>SUM('3 pr-2'!R106)</f>
        <v>12291</v>
      </c>
      <c r="M104" s="267">
        <f>SUM('3 pr-2'!U106)</f>
        <v>0</v>
      </c>
      <c r="N104" s="267">
        <f>SUM('3 pr-2'!X106)</f>
        <v>0</v>
      </c>
      <c r="O104" s="268">
        <f>SUM('3 pr-2'!AA106)</f>
        <v>139295</v>
      </c>
      <c r="P104" s="288">
        <f>SUM('3 pr-2'!AE106)</f>
        <v>42863</v>
      </c>
      <c r="Q104" s="347">
        <v>42863</v>
      </c>
      <c r="R104" s="264">
        <f t="shared" si="17"/>
        <v>0</v>
      </c>
      <c r="S104" s="341">
        <f t="shared" si="18"/>
        <v>0</v>
      </c>
    </row>
    <row r="105" spans="1:19" ht="61.5" thickBot="1" x14ac:dyDescent="0.3">
      <c r="A105" s="254" t="str">
        <f>CONCATENATE('3 pr-2'!A107)</f>
        <v>2.1.1.1.5</v>
      </c>
      <c r="B105" s="323" t="str">
        <f>CONCATENATE('ketv. 2lent'!B106)</f>
        <v xml:space="preserve">09.1.3-CPVA-R-724-11-0001 </v>
      </c>
      <c r="C105" s="255" t="str">
        <f>CONCATENATE('3 pr-2'!D107)</f>
        <v>Modernių ir saugių erdvių sukūrimas bendrojo ugdymo įstaigose Lazdijų rajono savivaldybėje</v>
      </c>
      <c r="D105" s="255" t="str">
        <f>CONCATENATE('3 pr-2'!E107)</f>
        <v>Lazdijų rajono savivaldybės administracija</v>
      </c>
      <c r="E105" s="255" t="str">
        <f>CONCATENATE('3 pr-2'!F107)</f>
        <v>Lietuvos Respublikos švietimo ir mokslo ministerija</v>
      </c>
      <c r="F105" s="255" t="str">
        <f>CONCATENATE('3 pr-2'!G107)</f>
        <v>Lazdijų rajono savivaldybė</v>
      </c>
      <c r="G105" s="255" t="str">
        <f>CONCATENATE('3 pr-2'!H107)</f>
        <v>09.1.3-CPVA-R-724</v>
      </c>
      <c r="H105" s="255" t="str">
        <f>CONCATENATE('3 pr-2'!I107)</f>
        <v>R</v>
      </c>
      <c r="I105" s="265" t="str">
        <f>CONCATENATE('3 pr-2'!J107)</f>
        <v>-</v>
      </c>
      <c r="J105" s="266">
        <f>SUM('3 pr-2'!L107)</f>
        <v>195779</v>
      </c>
      <c r="K105" s="267">
        <f>SUM('3 pr-2'!O107)</f>
        <v>14684</v>
      </c>
      <c r="L105" s="267">
        <f>SUM('3 pr-2'!R107)</f>
        <v>14683</v>
      </c>
      <c r="M105" s="267">
        <f>SUM('3 pr-2'!U107)</f>
        <v>0</v>
      </c>
      <c r="N105" s="267">
        <f>SUM('3 pr-2'!X107)</f>
        <v>0</v>
      </c>
      <c r="O105" s="268">
        <f>SUM('3 pr-2'!AA107)</f>
        <v>166412</v>
      </c>
      <c r="P105" s="288">
        <f>SUM('3 pr-2'!AE107)</f>
        <v>42863</v>
      </c>
      <c r="Q105" s="347">
        <v>42860</v>
      </c>
      <c r="R105" s="264">
        <f>SUM(P105-Q105)</f>
        <v>3</v>
      </c>
      <c r="S105" s="341">
        <f t="shared" si="18"/>
        <v>9.8630136986301256E-2</v>
      </c>
    </row>
    <row r="106" spans="1:19" ht="39.75" customHeight="1" thickBot="1" x14ac:dyDescent="0.3">
      <c r="A106" s="488" t="str">
        <f>CONCATENATE('3 pr-2'!A108)</f>
        <v>2.1.1.2</v>
      </c>
      <c r="B106" s="790" t="str">
        <f>CONCATENATE('ketv. 2lent'!B107)</f>
        <v/>
      </c>
      <c r="C106" s="1656" t="str">
        <f>CONCATENATE('3 pr-2'!D108)</f>
        <v/>
      </c>
      <c r="D106" s="1802" t="str">
        <f>CONCATENATE('3 pr-2'!E108)</f>
        <v/>
      </c>
      <c r="E106" s="1802" t="str">
        <f>CONCATENATE('3 pr-2'!F108)</f>
        <v/>
      </c>
      <c r="F106" s="1802" t="str">
        <f>CONCATENATE('3 pr-2'!G108)</f>
        <v/>
      </c>
      <c r="G106" s="1802" t="str">
        <f>CONCATENATE('3 pr-2'!H108)</f>
        <v/>
      </c>
      <c r="H106" s="1802" t="str">
        <f>CONCATENATE('3 pr-2'!I108)</f>
        <v/>
      </c>
      <c r="I106" s="1802" t="str">
        <f>CONCATENATE('3 pr-2'!J108)</f>
        <v/>
      </c>
      <c r="J106" s="791">
        <f>SUM('3 pr-2'!L108)</f>
        <v>1973901.3</v>
      </c>
      <c r="K106" s="791">
        <f>SUM('3 pr-2'!O108)</f>
        <v>487893.3</v>
      </c>
      <c r="L106" s="791">
        <f>SUM('3 pr-2'!R108)</f>
        <v>0</v>
      </c>
      <c r="M106" s="791">
        <f>SUM('3 pr-2'!U108)</f>
        <v>0</v>
      </c>
      <c r="N106" s="791">
        <f>SUM('3 pr-2'!X108)</f>
        <v>0</v>
      </c>
      <c r="O106" s="792">
        <f>SUM('3 pr-2'!AA108)</f>
        <v>1486008</v>
      </c>
      <c r="P106" s="793"/>
      <c r="Q106" s="794"/>
      <c r="R106" s="795"/>
      <c r="S106" s="795"/>
    </row>
    <row r="107" spans="1:19" ht="37.5" customHeight="1" thickBot="1" x14ac:dyDescent="0.3">
      <c r="A107" s="254" t="str">
        <f>CONCATENATE('3 pr-2'!A109)</f>
        <v>2.1.1.2.1</v>
      </c>
      <c r="B107" s="323" t="str">
        <f>CONCATENATE('ketv. 2lent'!B108)</f>
        <v>09.1.3-CPVA-R-725-11-0003</v>
      </c>
      <c r="C107" s="255" t="str">
        <f>CONCATENATE('3 pr-2'!D109)</f>
        <v>Varėnos moksleivių kūrybos centro pastato J. Basanavičiaus g. 38, Varėnoje, modernizavimas</v>
      </c>
      <c r="D107" s="255" t="str">
        <f>CONCATENATE('3 pr-2'!E109)</f>
        <v>Varėnos rajono savivaldybės administracija</v>
      </c>
      <c r="E107" s="255" t="str">
        <f>CONCATENATE('3 pr-2'!F109)</f>
        <v>Lietuvos Respublikos švietimo ir mokslo ministerija</v>
      </c>
      <c r="F107" s="255" t="str">
        <f>CONCATENATE('3 pr-2'!G109)</f>
        <v>Varėnos miestas</v>
      </c>
      <c r="G107" s="255" t="str">
        <f>CONCATENATE('3 pr-2'!H109)</f>
        <v>09.13.CPVA-R-725</v>
      </c>
      <c r="H107" s="255" t="str">
        <f>CONCATENATE('3 pr-2'!I109)</f>
        <v>R</v>
      </c>
      <c r="I107" s="265" t="str">
        <f>CONCATENATE('3 pr-2'!J109)</f>
        <v>-</v>
      </c>
      <c r="J107" s="266">
        <f>SUM('3 pr-2'!L109)</f>
        <v>437551</v>
      </c>
      <c r="K107" s="267">
        <f>SUM('3 pr-2'!O109)</f>
        <v>65633</v>
      </c>
      <c r="L107" s="267">
        <f>SUM('3 pr-2'!R109)</f>
        <v>0</v>
      </c>
      <c r="M107" s="267">
        <f>SUM('3 pr-2'!U109)</f>
        <v>0</v>
      </c>
      <c r="N107" s="267">
        <f>SUM('3 pr-2'!X109)</f>
        <v>0</v>
      </c>
      <c r="O107" s="268">
        <f>SUM('3 pr-2'!AA109)</f>
        <v>371918</v>
      </c>
      <c r="P107" s="288">
        <f>SUM('3 pr-2'!AE109)</f>
        <v>42870</v>
      </c>
      <c r="Q107" s="347">
        <v>42843</v>
      </c>
      <c r="R107" s="264">
        <f t="shared" ref="R107:R110" si="19">SUM(P107-Q107)</f>
        <v>27</v>
      </c>
      <c r="S107" s="341">
        <f t="shared" ref="S107:S111" si="20">(P107-Q107)/30.4166666666667</f>
        <v>0.88767123287671135</v>
      </c>
    </row>
    <row r="108" spans="1:19" ht="61.5" thickBot="1" x14ac:dyDescent="0.3">
      <c r="A108" s="254" t="str">
        <f>CONCATENATE('3 pr-2'!A110)</f>
        <v>2.1.1.2.2</v>
      </c>
      <c r="B108" s="323" t="str">
        <f>CONCATENATE('ketv. 2lent'!B109)</f>
        <v>09.1.3-CPVA-R-725-11-0005</v>
      </c>
      <c r="C108" s="255" t="str">
        <f>CONCATENATE('3 pr-2'!D110)</f>
        <v>Alytaus r. meno ir sporto mokyklos edukacinių erdvių įkūrimas ir atnaujinimas</v>
      </c>
      <c r="D108" s="255" t="str">
        <f>CONCATENATE('3 pr-2'!E110)</f>
        <v>Alytaus rajono savivaldybės administracija</v>
      </c>
      <c r="E108" s="255" t="str">
        <f>CONCATENATE('3 pr-2'!F110)</f>
        <v>Lietuvos Respublikos švietimo ir mokslo ministerija</v>
      </c>
      <c r="F108" s="255" t="str">
        <f>CONCATENATE('3 pr-2'!G110)</f>
        <v>Alytaus  rajono savivaldybė</v>
      </c>
      <c r="G108" s="255" t="str">
        <f>CONCATENATE('3 pr-2'!H110)</f>
        <v>09.13.CPVA-R-725</v>
      </c>
      <c r="H108" s="255" t="str">
        <f>CONCATENATE('3 pr-2'!I110)</f>
        <v>R</v>
      </c>
      <c r="I108" s="265" t="str">
        <f>CONCATENATE('3 pr-2'!J110)</f>
        <v>-</v>
      </c>
      <c r="J108" s="266">
        <f>SUM('3 pr-2'!L110)</f>
        <v>856456</v>
      </c>
      <c r="K108" s="267">
        <f>SUM('3 pr-2'!O110)</f>
        <v>319845</v>
      </c>
      <c r="L108" s="267">
        <f>SUM('3 pr-2'!R110)</f>
        <v>0</v>
      </c>
      <c r="M108" s="267">
        <f>SUM('3 pr-2'!U110)</f>
        <v>0</v>
      </c>
      <c r="N108" s="267">
        <f>SUM('3 pr-2'!X110)</f>
        <v>0</v>
      </c>
      <c r="O108" s="268">
        <f>SUM('3 pr-2'!AA110)</f>
        <v>536611</v>
      </c>
      <c r="P108" s="288">
        <f>SUM('3 pr-2'!AE110)</f>
        <v>42870</v>
      </c>
      <c r="Q108" s="347">
        <v>42870</v>
      </c>
      <c r="R108" s="264">
        <f t="shared" si="19"/>
        <v>0</v>
      </c>
      <c r="S108" s="341">
        <f t="shared" si="20"/>
        <v>0</v>
      </c>
    </row>
    <row r="109" spans="1:19" ht="61.5" thickBot="1" x14ac:dyDescent="0.3">
      <c r="A109" s="254" t="str">
        <f>CONCATENATE('3 pr-2'!A111)</f>
        <v>2.1.1.2.3</v>
      </c>
      <c r="B109" s="323" t="str">
        <f>CONCATENATE('ketv. 2lent'!B110)</f>
        <v>09.1.3-CPVA-R-725-11-0004</v>
      </c>
      <c r="C109" s="255" t="str">
        <f>CONCATENATE('3 pr-2'!D111)</f>
        <v>Alytaus muzikos mokyklos pastato modernizavimas ir ugdymo aplinkos gerinimas</v>
      </c>
      <c r="D109" s="255" t="str">
        <f>CONCATENATE('3 pr-2'!E111)</f>
        <v>Alytaus miesto savivaldybės administracija</v>
      </c>
      <c r="E109" s="255" t="str">
        <f>CONCATENATE('3 pr-2'!F111)</f>
        <v>Lietuvos Respublikos švietimo ir mokslo ministerija</v>
      </c>
      <c r="F109" s="255" t="str">
        <f>CONCATENATE('3 pr-2'!G111)</f>
        <v>Alytaus  miestas</v>
      </c>
      <c r="G109" s="255" t="str">
        <f>CONCATENATE('3 pr-2'!H111)</f>
        <v>09.13.CPVA-R-725</v>
      </c>
      <c r="H109" s="255" t="str">
        <f>CONCATENATE('3 pr-2'!I111)</f>
        <v>R</v>
      </c>
      <c r="I109" s="265" t="str">
        <f>CONCATENATE('3 pr-2'!J111)</f>
        <v>-</v>
      </c>
      <c r="J109" s="266">
        <f>SUM('3 pr-2'!L111)</f>
        <v>397378</v>
      </c>
      <c r="K109" s="267">
        <f>SUM('3 pr-2'!O111)</f>
        <v>59607</v>
      </c>
      <c r="L109" s="267">
        <f>SUM('3 pr-2'!R111)</f>
        <v>0</v>
      </c>
      <c r="M109" s="267">
        <f>SUM('3 pr-2'!U111)</f>
        <v>0</v>
      </c>
      <c r="N109" s="267">
        <f>SUM('3 pr-2'!X111)</f>
        <v>0</v>
      </c>
      <c r="O109" s="268">
        <f>SUM('3 pr-2'!AA111)</f>
        <v>337771</v>
      </c>
      <c r="P109" s="288">
        <f>SUM('3 pr-2'!AE111)</f>
        <v>42870</v>
      </c>
      <c r="Q109" s="347">
        <v>42870</v>
      </c>
      <c r="R109" s="264">
        <f t="shared" si="19"/>
        <v>0</v>
      </c>
      <c r="S109" s="341">
        <f t="shared" si="20"/>
        <v>0</v>
      </c>
    </row>
    <row r="110" spans="1:19" ht="61.5" thickBot="1" x14ac:dyDescent="0.3">
      <c r="A110" s="254" t="str">
        <f>CONCATENATE('3 pr-2'!A112)</f>
        <v>2.1.1.2.4</v>
      </c>
      <c r="B110" s="323" t="str">
        <f>CONCATENATE('ketv. 2lent'!B111)</f>
        <v>09.1.3-CPVA-R-725-11-0002</v>
      </c>
      <c r="C110" s="255" t="str">
        <f>CONCATENATE('3 pr-2'!D112)</f>
        <v>Druskininkų M. K. Čiurlionio meno mokyklos infrastruktūros tobulinimas</v>
      </c>
      <c r="D110" s="255" t="str">
        <f>CONCATENATE('3 pr-2'!E112)</f>
        <v xml:space="preserve">Druskininkų savivaldybės administracija  </v>
      </c>
      <c r="E110" s="255" t="str">
        <f>CONCATENATE('3 pr-2'!F112)</f>
        <v>Lietuvos Respublikos švietimo ir mokslo ministerija</v>
      </c>
      <c r="F110" s="255" t="str">
        <f>CONCATENATE('3 pr-2'!G112)</f>
        <v>Druskininkų miestas</v>
      </c>
      <c r="G110" s="255" t="str">
        <f>CONCATENATE('3 pr-2'!H112)</f>
        <v>09.13.CPVA-R-725</v>
      </c>
      <c r="H110" s="255" t="str">
        <f>CONCATENATE('3 pr-2'!I112)</f>
        <v>R</v>
      </c>
      <c r="I110" s="265" t="str">
        <f>CONCATENATE('3 pr-2'!J112)</f>
        <v>-</v>
      </c>
      <c r="J110" s="266">
        <f>SUM('3 pr-2'!L112)</f>
        <v>146702.29999999999</v>
      </c>
      <c r="K110" s="267">
        <f>SUM('3 pr-2'!O112)</f>
        <v>22436.3</v>
      </c>
      <c r="L110" s="267">
        <f>SUM('3 pr-2'!R112)</f>
        <v>0</v>
      </c>
      <c r="M110" s="267">
        <f>SUM('3 pr-2'!U112)</f>
        <v>0</v>
      </c>
      <c r="N110" s="267">
        <f>SUM('3 pr-2'!X112)</f>
        <v>0</v>
      </c>
      <c r="O110" s="268">
        <f>SUM('3 pr-2'!AA112)</f>
        <v>124266</v>
      </c>
      <c r="P110" s="288">
        <f>SUM('3 pr-2'!AE112)</f>
        <v>42828</v>
      </c>
      <c r="Q110" s="347">
        <v>42828</v>
      </c>
      <c r="R110" s="264">
        <f t="shared" si="19"/>
        <v>0</v>
      </c>
      <c r="S110" s="341">
        <f t="shared" si="20"/>
        <v>0</v>
      </c>
    </row>
    <row r="111" spans="1:19" ht="61.5" thickBot="1" x14ac:dyDescent="0.3">
      <c r="A111" s="254" t="str">
        <f>CONCATENATE('3 pr-2'!A113)</f>
        <v>2.1.1.2.5</v>
      </c>
      <c r="B111" s="323" t="str">
        <f>CONCATENATE('ketv. 2lent'!B112)</f>
        <v>09.1.3-CPVA-R-725-11-0001</v>
      </c>
      <c r="C111" s="255" t="str">
        <f>CONCATENATE('3 pr-2'!D113)</f>
        <v>Neformaliojo švietimo įstaigų Lazdijų rajono savivaldybėje infrastruktūros tobulinimas</v>
      </c>
      <c r="D111" s="255" t="str">
        <f>CONCATENATE('3 pr-2'!E113)</f>
        <v>VšĮ „Lazdijų sporto centras“</v>
      </c>
      <c r="E111" s="255" t="str">
        <f>CONCATENATE('3 pr-2'!F113)</f>
        <v>Lietuvos Respublikos švietimo ir mokslo ministerija</v>
      </c>
      <c r="F111" s="255" t="str">
        <f>CONCATENATE('3 pr-2'!G113)</f>
        <v>Lazdijų rajono savivaldybė</v>
      </c>
      <c r="G111" s="255" t="str">
        <f>CONCATENATE('3 pr-2'!H113)</f>
        <v>09.13.CPVA-R-725</v>
      </c>
      <c r="H111" s="255" t="str">
        <f>CONCATENATE('3 pr-2'!I113)</f>
        <v>R</v>
      </c>
      <c r="I111" s="265" t="str">
        <f>CONCATENATE('3 pr-2'!J113)</f>
        <v>-</v>
      </c>
      <c r="J111" s="266">
        <f>SUM('3 pr-2'!L113)</f>
        <v>135814</v>
      </c>
      <c r="K111" s="267">
        <f>SUM('3 pr-2'!O113)</f>
        <v>20372</v>
      </c>
      <c r="L111" s="267">
        <f>SUM('3 pr-2'!R113)</f>
        <v>0</v>
      </c>
      <c r="M111" s="267">
        <f>SUM('3 pr-2'!U113)</f>
        <v>0</v>
      </c>
      <c r="N111" s="267">
        <f>SUM('3 pr-2'!X113)</f>
        <v>0</v>
      </c>
      <c r="O111" s="268">
        <f>SUM('3 pr-2'!AA113)</f>
        <v>115442</v>
      </c>
      <c r="P111" s="288">
        <f>SUM('3 pr-2'!AE113)</f>
        <v>42828</v>
      </c>
      <c r="Q111" s="347">
        <v>42828</v>
      </c>
      <c r="R111" s="264">
        <f>SUM(P111-Q111)</f>
        <v>0</v>
      </c>
      <c r="S111" s="341">
        <f t="shared" si="20"/>
        <v>0</v>
      </c>
    </row>
    <row r="112" spans="1:19" ht="37.5" customHeight="1" thickBot="1" x14ac:dyDescent="0.3">
      <c r="A112" s="488" t="str">
        <f>CONCATENATE('3 pr-2'!A114)</f>
        <v>2.1.1.3</v>
      </c>
      <c r="B112" s="790" t="str">
        <f>CONCATENATE('ketv. 2lent'!B113)</f>
        <v/>
      </c>
      <c r="C112" s="1656" t="str">
        <f>CONCATENATE('3 pr-2'!D114)</f>
        <v/>
      </c>
      <c r="D112" s="1802" t="str">
        <f>CONCATENATE('3 pr-2'!E114)</f>
        <v/>
      </c>
      <c r="E112" s="1802" t="str">
        <f>CONCATENATE('3 pr-2'!F114)</f>
        <v/>
      </c>
      <c r="F112" s="1802" t="str">
        <f>CONCATENATE('3 pr-2'!G114)</f>
        <v/>
      </c>
      <c r="G112" s="1802" t="str">
        <f>CONCATENATE('3 pr-2'!H114)</f>
        <v/>
      </c>
      <c r="H112" s="1802" t="str">
        <f>CONCATENATE('3 pr-2'!I114)</f>
        <v/>
      </c>
      <c r="I112" s="1802" t="str">
        <f>CONCATENATE('3 pr-2'!J114)</f>
        <v/>
      </c>
      <c r="J112" s="791">
        <f>SUM('3 pr-2'!L114)</f>
        <v>1387789.0699999996</v>
      </c>
      <c r="K112" s="791">
        <f>SUM('3 pr-2'!O114)</f>
        <v>148738.06999999998</v>
      </c>
      <c r="L112" s="791">
        <f>SUM('3 pr-2'!R114)</f>
        <v>100462.7837837838</v>
      </c>
      <c r="M112" s="791">
        <f>SUM('3 pr-2'!U114)</f>
        <v>0</v>
      </c>
      <c r="N112" s="791">
        <f>SUM('3 pr-2'!X114)</f>
        <v>0</v>
      </c>
      <c r="O112" s="792">
        <f>SUM('3 pr-2'!AA114)</f>
        <v>1138588.2162162161</v>
      </c>
      <c r="P112" s="793"/>
      <c r="Q112" s="794"/>
      <c r="R112" s="795"/>
      <c r="S112" s="795"/>
    </row>
    <row r="113" spans="1:19" ht="61.5" thickBot="1" x14ac:dyDescent="0.3">
      <c r="A113" s="254" t="str">
        <f>CONCATENATE('3 pr-2'!A115)</f>
        <v>2.1.1.3.1</v>
      </c>
      <c r="B113" s="323" t="str">
        <f>CONCATENATE('ketv. 2lent'!B114)</f>
        <v>09.1.3-CPVA-R-705-11-0003</v>
      </c>
      <c r="C113" s="255" t="str">
        <f>CONCATENATE('3 pr-2'!D115)</f>
        <v>Varėnos "Pasakos" vaikų lopšelio-darželio pastato modernizavimas</v>
      </c>
      <c r="D113" s="255" t="str">
        <f>CONCATENATE('3 pr-2'!E115)</f>
        <v>Varėnos rajono savivaldybės administracija</v>
      </c>
      <c r="E113" s="255" t="str">
        <f>CONCATENATE('3 pr-2'!F115)</f>
        <v>Lietuvos Respublikos švietimo ir mokslo ministerija</v>
      </c>
      <c r="F113" s="255" t="str">
        <f>CONCATENATE('3 pr-2'!G115)</f>
        <v>Varėnos miestas</v>
      </c>
      <c r="G113" s="255" t="str">
        <f>CONCATENATE('3 pr-2'!H115)</f>
        <v>09.1.3-CPVA-R-705</v>
      </c>
      <c r="H113" s="255" t="str">
        <f>CONCATENATE('3 pr-2'!I115)</f>
        <v>R</v>
      </c>
      <c r="I113" s="265" t="str">
        <f>CONCATENATE('3 pr-2'!J115)</f>
        <v>-</v>
      </c>
      <c r="J113" s="266">
        <f>SUM('3 pr-2'!L115)</f>
        <v>370000</v>
      </c>
      <c r="K113" s="267">
        <f>SUM('3 pr-2'!O115)</f>
        <v>57342</v>
      </c>
      <c r="L113" s="267">
        <f>SUM('3 pr-2'!R115)</f>
        <v>25351</v>
      </c>
      <c r="M113" s="267">
        <f>SUM('3 pr-2'!U115)</f>
        <v>0</v>
      </c>
      <c r="N113" s="267">
        <f>SUM('3 pr-2'!X115)</f>
        <v>0</v>
      </c>
      <c r="O113" s="268">
        <f>SUM('3 pr-2'!AA115)</f>
        <v>287307</v>
      </c>
      <c r="P113" s="288">
        <f>SUM('3 pr-2'!AE115)</f>
        <v>42968</v>
      </c>
      <c r="Q113" s="346">
        <v>42965</v>
      </c>
      <c r="R113" s="264">
        <f t="shared" ref="R113:R116" si="21">SUM(P113-Q113)</f>
        <v>3</v>
      </c>
      <c r="S113" s="341">
        <f t="shared" ref="S113:S117" si="22">(P113-Q113)/30.4166666666667</f>
        <v>9.8630136986301256E-2</v>
      </c>
    </row>
    <row r="114" spans="1:19" ht="61.5" thickBot="1" x14ac:dyDescent="0.3">
      <c r="A114" s="254" t="str">
        <f>CONCATENATE('3 pr-2'!A116)</f>
        <v>2.1.1.3.2</v>
      </c>
      <c r="B114" s="323" t="str">
        <f>CONCATENATE('ketv. 2lent'!B115)</f>
        <v>09.1.3-CPVA-R-705-11-0004</v>
      </c>
      <c r="C114" s="255" t="str">
        <f>CONCATENATE('3 pr-2'!D116)</f>
        <v>Alytaus r. ikimokyklinio ir priešmokyklinio ugdymo prieinamumo didinimas įkuriant ir atnaujinant edukacines erdves</v>
      </c>
      <c r="D114" s="255" t="str">
        <f>CONCATENATE('3 pr-2'!E116)</f>
        <v>Alytaus rajono savivaldybės administracija</v>
      </c>
      <c r="E114" s="255" t="str">
        <f>CONCATENATE('3 pr-2'!F116)</f>
        <v>Lietuvos Respublikos švietimo ir mokslo ministerija</v>
      </c>
      <c r="F114" s="255" t="str">
        <f>CONCATENATE('3 pr-2'!G116)</f>
        <v>Alytaus  rajono savivaldybė</v>
      </c>
      <c r="G114" s="255" t="str">
        <f>CONCATENATE('3 pr-2'!H116)</f>
        <v>09.1.3-CPVA-R-705</v>
      </c>
      <c r="H114" s="255" t="str">
        <f>CONCATENATE('3 pr-2'!I116)</f>
        <v>R</v>
      </c>
      <c r="I114" s="265" t="str">
        <f>CONCATENATE('3 pr-2'!J116)</f>
        <v/>
      </c>
      <c r="J114" s="266">
        <f>SUM('3 pr-2'!L116)</f>
        <v>597456.86</v>
      </c>
      <c r="K114" s="267">
        <f>SUM('3 pr-2'!O116)</f>
        <v>59861.86</v>
      </c>
      <c r="L114" s="267">
        <f>SUM('3 pr-2'!R116)</f>
        <v>43588</v>
      </c>
      <c r="M114" s="267">
        <f>SUM('3 pr-2'!U116)</f>
        <v>0</v>
      </c>
      <c r="N114" s="267">
        <f>SUM('3 pr-2'!X116)</f>
        <v>0</v>
      </c>
      <c r="O114" s="268">
        <f>SUM('3 pr-2'!AA116)</f>
        <v>494007</v>
      </c>
      <c r="P114" s="288">
        <f>SUM('3 pr-2'!AE116)</f>
        <v>42968</v>
      </c>
      <c r="Q114" s="346">
        <v>42968</v>
      </c>
      <c r="R114" s="264">
        <f t="shared" si="21"/>
        <v>0</v>
      </c>
      <c r="S114" s="341">
        <f t="shared" si="22"/>
        <v>0</v>
      </c>
    </row>
    <row r="115" spans="1:19" ht="61.5" thickBot="1" x14ac:dyDescent="0.3">
      <c r="A115" s="254" t="str">
        <f>CONCATENATE('3 pr-2'!A117)</f>
        <v>2.1.1.3.3</v>
      </c>
      <c r="B115" s="323" t="str">
        <f>CONCATENATE('ketv. 2lent'!B116)</f>
        <v>09.1.3-CPVA-R-705-11-0001</v>
      </c>
      <c r="C115" s="255" t="str">
        <f>CONCATENATE('3 pr-2'!D117)</f>
        <v>Alytaus lopšelio-darželio " Girinukas" ugdymo aplinkos modernizavimas</v>
      </c>
      <c r="D115" s="255" t="str">
        <f>CONCATENATE('3 pr-2'!E117)</f>
        <v>Alytaus miesto savivaldybės administracija</v>
      </c>
      <c r="E115" s="255" t="str">
        <f>CONCATENATE('3 pr-2'!F117)</f>
        <v>Lietuvos Respublikos švietimo ir mokslo ministerija</v>
      </c>
      <c r="F115" s="255" t="str">
        <f>CONCATENATE('3 pr-2'!G117)</f>
        <v>Alytaus  miestas</v>
      </c>
      <c r="G115" s="255" t="str">
        <f>CONCATENATE('3 pr-2'!H117)</f>
        <v>09.1.3-CPVA-R-705</v>
      </c>
      <c r="H115" s="255" t="str">
        <f>CONCATENATE('3 pr-2'!I117)</f>
        <v>R</v>
      </c>
      <c r="I115" s="265" t="str">
        <f>CONCATENATE('3 pr-2'!J117)</f>
        <v>-</v>
      </c>
      <c r="J115" s="266">
        <f>SUM('3 pr-2'!L117)</f>
        <v>181986</v>
      </c>
      <c r="K115" s="267">
        <f>SUM('3 pr-2'!O117)</f>
        <v>13649</v>
      </c>
      <c r="L115" s="267">
        <f>SUM('3 pr-2'!R117)</f>
        <v>13649</v>
      </c>
      <c r="M115" s="267">
        <f>SUM('3 pr-2'!U117)</f>
        <v>0</v>
      </c>
      <c r="N115" s="267">
        <f>SUM('3 pr-2'!X117)</f>
        <v>0</v>
      </c>
      <c r="O115" s="268">
        <f>SUM('3 pr-2'!AA117)</f>
        <v>154688</v>
      </c>
      <c r="P115" s="288">
        <f>SUM('3 pr-2'!AE117)</f>
        <v>42966</v>
      </c>
      <c r="Q115" s="346">
        <v>42964</v>
      </c>
      <c r="R115" s="264">
        <f t="shared" si="21"/>
        <v>2</v>
      </c>
      <c r="S115" s="341">
        <f t="shared" si="22"/>
        <v>6.5753424657534171E-2</v>
      </c>
    </row>
    <row r="116" spans="1:19" ht="61.5" thickBot="1" x14ac:dyDescent="0.3">
      <c r="A116" s="254" t="str">
        <f>CONCATENATE('3 pr-2'!A118)</f>
        <v>2.1.1.3.4</v>
      </c>
      <c r="B116" s="323" t="str">
        <f>CONCATENATE('ketv. 2lent'!B117)</f>
        <v>09.1.3-CPVA-R-705-11-0005</v>
      </c>
      <c r="C116" s="255" t="str">
        <f>CONCATENATE('3 pr-2'!D118)</f>
        <v>Druskininkų sav. Viečiūnų progimnazijos ikimokyklinio ugdymo skyriaus „Linelis“ ugdymo prieinamumo didinimas</v>
      </c>
      <c r="D116" s="255" t="str">
        <f>CONCATENATE('3 pr-2'!E118)</f>
        <v xml:space="preserve">Druskininkų savivaldybės administracija  </v>
      </c>
      <c r="E116" s="255" t="str">
        <f>CONCATENATE('3 pr-2'!F118)</f>
        <v>Lietuvos Respublikos švietimo ir mokslo ministerija</v>
      </c>
      <c r="F116" s="255" t="str">
        <f>CONCATENATE('3 pr-2'!G118)</f>
        <v>Druskininkų savivaldybė</v>
      </c>
      <c r="G116" s="255" t="str">
        <f>CONCATENATE('3 pr-2'!H118)</f>
        <v>09.1.3-CPVA-R-705</v>
      </c>
      <c r="H116" s="255" t="str">
        <f>CONCATENATE('3 pr-2'!I118)</f>
        <v>R</v>
      </c>
      <c r="I116" s="265" t="str">
        <f>CONCATENATE('3 pr-2'!J118)</f>
        <v>-</v>
      </c>
      <c r="J116" s="266">
        <f>SUM('3 pr-2'!L118)</f>
        <v>104792</v>
      </c>
      <c r="K116" s="267">
        <f>SUM('3 pr-2'!O118)</f>
        <v>7859</v>
      </c>
      <c r="L116" s="267">
        <f>SUM('3 pr-2'!R118)</f>
        <v>7859</v>
      </c>
      <c r="M116" s="267">
        <f>SUM('3 pr-2'!U118)</f>
        <v>0</v>
      </c>
      <c r="N116" s="267">
        <f>SUM('3 pr-2'!X118)</f>
        <v>0</v>
      </c>
      <c r="O116" s="268">
        <f>SUM('3 pr-2'!AA118)</f>
        <v>89074</v>
      </c>
      <c r="P116" s="288">
        <f>SUM('3 pr-2'!AE118)</f>
        <v>42966</v>
      </c>
      <c r="Q116" s="346">
        <v>42965</v>
      </c>
      <c r="R116" s="264">
        <f t="shared" si="21"/>
        <v>1</v>
      </c>
      <c r="S116" s="341">
        <f t="shared" si="22"/>
        <v>3.2876712328767085E-2</v>
      </c>
    </row>
    <row r="117" spans="1:19" ht="61.5" thickBot="1" x14ac:dyDescent="0.3">
      <c r="A117" s="254" t="str">
        <f>CONCATENATE('3 pr-2'!A119)</f>
        <v>2.1.1.3.5</v>
      </c>
      <c r="B117" s="323" t="str">
        <f>CONCATENATE('ketv. 2lent'!B118)</f>
        <v>09.1.3-CPVA-R-705-11-0002</v>
      </c>
      <c r="C117" s="255" t="str">
        <f>CONCATENATE('3 pr-2'!D119)</f>
        <v>Ikimokyklinio ir priešmokyklinio ugdymo įstaigų Lazdijų rajono savivaldybėje modernizavimas</v>
      </c>
      <c r="D117" s="255" t="str">
        <f>CONCATENATE('3 pr-2'!E119)</f>
        <v>Lazdijų rajono savivaldybės administracija</v>
      </c>
      <c r="E117" s="255" t="str">
        <f>CONCATENATE('3 pr-2'!F119)</f>
        <v>Lietuvos Respublikos švietimo ir mokslo ministerija</v>
      </c>
      <c r="F117" s="255" t="str">
        <f>CONCATENATE('3 pr-2'!G119)</f>
        <v>Lazdijų rajono savivaldybė</v>
      </c>
      <c r="G117" s="255" t="str">
        <f>CONCATENATE('3 pr-2'!H119)</f>
        <v>09.1.3-CPVA-R-705</v>
      </c>
      <c r="H117" s="255" t="str">
        <f>CONCATENATE('3 pr-2'!I119)</f>
        <v>R</v>
      </c>
      <c r="I117" s="265" t="str">
        <f>CONCATENATE('3 pr-2'!J119)</f>
        <v>-</v>
      </c>
      <c r="J117" s="266">
        <f>SUM('3 pr-2'!L119)</f>
        <v>133554.20999999979</v>
      </c>
      <c r="K117" s="267">
        <f>SUM('3 pr-2'!O119)</f>
        <v>10026.209999999999</v>
      </c>
      <c r="L117" s="267">
        <f>SUM('3 pr-2'!R119)</f>
        <v>10015.7837837838</v>
      </c>
      <c r="M117" s="267">
        <f>SUM('3 pr-2'!U119)</f>
        <v>0</v>
      </c>
      <c r="N117" s="267">
        <f>SUM('3 pr-2'!X119)</f>
        <v>0</v>
      </c>
      <c r="O117" s="268">
        <f>SUM('3 pr-2'!AA119)</f>
        <v>113512.21621621599</v>
      </c>
      <c r="P117" s="288">
        <f>SUM('3 pr-2'!AE119)</f>
        <v>42966</v>
      </c>
      <c r="Q117" s="346">
        <v>42965</v>
      </c>
      <c r="R117" s="264">
        <f>SUM(P117-Q117)</f>
        <v>1</v>
      </c>
      <c r="S117" s="341">
        <f t="shared" si="22"/>
        <v>3.2876712328767085E-2</v>
      </c>
    </row>
    <row r="118" spans="1:19" ht="50.25" customHeight="1" thickBot="1" x14ac:dyDescent="0.3">
      <c r="A118" s="220" t="str">
        <f>CONCATENATE('3 pr-2'!A120)</f>
        <v>2.1.2.</v>
      </c>
      <c r="B118" s="323" t="str">
        <f>CONCATENATE('ketv. 2lent'!B119)</f>
        <v/>
      </c>
      <c r="C118" s="1668" t="str">
        <f>CONCATENATE('3 pr-2'!D120)</f>
        <v/>
      </c>
      <c r="D118" s="1595" t="str">
        <f>CONCATENATE('3 pr-2'!E120)</f>
        <v/>
      </c>
      <c r="E118" s="1595" t="str">
        <f>CONCATENATE('3 pr-2'!F120)</f>
        <v/>
      </c>
      <c r="F118" s="1595" t="str">
        <f>CONCATENATE('3 pr-2'!G120)</f>
        <v/>
      </c>
      <c r="G118" s="1595" t="str">
        <f>CONCATENATE('3 pr-2'!H120)</f>
        <v/>
      </c>
      <c r="H118" s="1595" t="str">
        <f>CONCATENATE('3 pr-2'!I120)</f>
        <v/>
      </c>
      <c r="I118" s="1595" t="str">
        <f>CONCATENATE('3 pr-2'!J120)</f>
        <v/>
      </c>
      <c r="J118" s="295">
        <f>SUM('3 pr-2'!L120)</f>
        <v>2508264.5499999998</v>
      </c>
      <c r="K118" s="295">
        <f>SUM('3 pr-2'!O120)</f>
        <v>147962.98000000001</v>
      </c>
      <c r="L118" s="295">
        <f>SUM('3 pr-2'!R120)</f>
        <v>188120.97</v>
      </c>
      <c r="M118" s="295">
        <f>SUM('3 pr-2'!U120)</f>
        <v>40158</v>
      </c>
      <c r="N118" s="295">
        <f>SUM('3 pr-2'!X120)</f>
        <v>0</v>
      </c>
      <c r="O118" s="295">
        <f>SUM('3 pr-2'!AA120)</f>
        <v>2132022.6</v>
      </c>
      <c r="P118" s="280"/>
      <c r="Q118" s="262"/>
      <c r="R118" s="263"/>
      <c r="S118" s="263"/>
    </row>
    <row r="119" spans="1:19" ht="38.25" customHeight="1" thickBot="1" x14ac:dyDescent="0.3">
      <c r="A119" s="488" t="str">
        <f>CONCATENATE('3 pr-2'!A121)</f>
        <v>2.1.2.1</v>
      </c>
      <c r="B119" s="790" t="str">
        <f>CONCATENATE('ketv. 2lent'!B120)</f>
        <v/>
      </c>
      <c r="C119" s="1656" t="str">
        <f>CONCATENATE('3 pr-2'!D121)</f>
        <v/>
      </c>
      <c r="D119" s="1802" t="str">
        <f>CONCATENATE('3 pr-2'!E121)</f>
        <v/>
      </c>
      <c r="E119" s="1802" t="str">
        <f>CONCATENATE('3 pr-2'!F121)</f>
        <v/>
      </c>
      <c r="F119" s="1802" t="str">
        <f>CONCATENATE('3 pr-2'!G121)</f>
        <v/>
      </c>
      <c r="G119" s="1802" t="str">
        <f>CONCATENATE('3 pr-2'!H121)</f>
        <v/>
      </c>
      <c r="H119" s="1802" t="str">
        <f>CONCATENATE('3 pr-2'!I121)</f>
        <v/>
      </c>
      <c r="I119" s="1802" t="str">
        <f>CONCATENATE('3 pr-2'!J121)</f>
        <v/>
      </c>
      <c r="J119" s="791">
        <f>SUM('3 pr-2'!L121)</f>
        <v>1448066</v>
      </c>
      <c r="K119" s="791">
        <f>SUM('3 pr-2'!O121)</f>
        <v>68448</v>
      </c>
      <c r="L119" s="791">
        <f>SUM('3 pr-2'!R121)</f>
        <v>108606</v>
      </c>
      <c r="M119" s="791">
        <f>SUM('3 pr-2'!U121)</f>
        <v>40158</v>
      </c>
      <c r="N119" s="791">
        <f>SUM('3 pr-2'!X121)</f>
        <v>0</v>
      </c>
      <c r="O119" s="792">
        <f>SUM('3 pr-2'!AA121)</f>
        <v>1230854</v>
      </c>
      <c r="P119" s="793"/>
      <c r="Q119" s="794"/>
      <c r="R119" s="795">
        <f t="shared" ref="R119" si="23">IF((YEAR(P119)-YEAR(Q119))=0,0,YEAR(P119)-YEAR(Q119))</f>
        <v>0</v>
      </c>
      <c r="S119" s="795">
        <f t="shared" ref="S119" si="24">IF((MONTH(P119)-MONTH(Q119))=0,0,MONTH(P119)-MONTH(Q119))</f>
        <v>0</v>
      </c>
    </row>
    <row r="120" spans="1:19" ht="61.5" thickBot="1" x14ac:dyDescent="0.3">
      <c r="A120" s="254" t="str">
        <f>CONCATENATE('3 pr-2'!A122)</f>
        <v>2.1.2.1.1</v>
      </c>
      <c r="B120" s="323" t="str">
        <f>CONCATENATE('ketv. 2lent'!B121)</f>
        <v/>
      </c>
      <c r="C120" s="255" t="str">
        <f>CONCATENATE('3 pr-2'!D122)</f>
        <v xml:space="preserve">Alytaus poliklinikos teikiamų pirminės sveikatos priežiūros paslaugų prieinamumo didinimas ir kokybės gerinimas </v>
      </c>
      <c r="D120" s="255" t="str">
        <f>CONCATENATE('3 pr-2'!E122)</f>
        <v>VšĮ Alytaus poliklinika</v>
      </c>
      <c r="E120" s="255" t="str">
        <f>CONCATENATE('3 pr-2'!F122)</f>
        <v>Lietuvos Respublikos Sveikatos apsaugos ministerija</v>
      </c>
      <c r="F120" s="255" t="str">
        <f>CONCATENATE('3 pr-2'!G122)</f>
        <v>Alytaus  miestas</v>
      </c>
      <c r="G120" s="255" t="str">
        <f>CONCATENATE('3 pr-2'!H122)</f>
        <v>08.1.3-CPVA-R-609</v>
      </c>
      <c r="H120" s="255" t="str">
        <f>CONCATENATE('3 pr-2'!I122)</f>
        <v>R</v>
      </c>
      <c r="I120" s="265" t="str">
        <f>CONCATENATE('3 pr-2'!J122)</f>
        <v>-</v>
      </c>
      <c r="J120" s="266">
        <f>SUM('3 pr-2'!L122)</f>
        <v>458183</v>
      </c>
      <c r="K120" s="267">
        <f>SUM('3 pr-2'!O122)</f>
        <v>34364</v>
      </c>
      <c r="L120" s="267">
        <f>SUM('3 pr-2'!R122)</f>
        <v>34363</v>
      </c>
      <c r="M120" s="267">
        <f>SUM('3 pr-2'!U122)</f>
        <v>0</v>
      </c>
      <c r="N120" s="267">
        <f>SUM('3 pr-2'!X122)</f>
        <v>0</v>
      </c>
      <c r="O120" s="268">
        <f>SUM('3 pr-2'!AA122)</f>
        <v>389456</v>
      </c>
      <c r="P120" s="288">
        <f>SUM('3 pr-2'!AE122)</f>
        <v>43261</v>
      </c>
      <c r="Q120" s="289"/>
      <c r="R120" s="264">
        <f t="shared" ref="R120:R127" si="25">IF(Q120&gt;0,P120-Q120,0)</f>
        <v>0</v>
      </c>
      <c r="S120" s="341">
        <f t="shared" ref="S120:S127" si="26">IF(Q120&gt;0,(P120-Q120)/30.1667,0)</f>
        <v>0</v>
      </c>
    </row>
    <row r="121" spans="1:19" ht="85.5" thickBot="1" x14ac:dyDescent="0.3">
      <c r="A121" s="254" t="str">
        <f>CONCATENATE('3 pr-2'!A123)</f>
        <v>2.1.2.1.2</v>
      </c>
      <c r="B121" s="323" t="str">
        <f>CONCATENATE('ketv. 2lent'!B122)</f>
        <v/>
      </c>
      <c r="C121" s="255" t="str">
        <f>CONCATENATE('3 pr-2'!D123)</f>
        <v>Sveikatos priežiūros paslaugų modernizavimas bei optimizavimas pirminės sveikatos priežiūros centre</v>
      </c>
      <c r="D121" s="255" t="str">
        <f>CONCATENATE('3 pr-2'!E123)</f>
        <v xml:space="preserve">VšĮ Alytaus miesto savivaldybės pirminės sveikatos priežiūros centras </v>
      </c>
      <c r="E121" s="255" t="str">
        <f>CONCATENATE('3 pr-2'!F123)</f>
        <v>Lietuvos Respublikos Sveikatos apsaugos ministerija</v>
      </c>
      <c r="F121" s="255" t="str">
        <f>CONCATENATE('3 pr-2'!G123)</f>
        <v>Alytaus  miestas</v>
      </c>
      <c r="G121" s="255" t="str">
        <f>CONCATENATE('3 pr-2'!H123)</f>
        <v>08.1.3-CPVA-R-609</v>
      </c>
      <c r="H121" s="255" t="str">
        <f>CONCATENATE('3 pr-2'!I123)</f>
        <v>R</v>
      </c>
      <c r="I121" s="265" t="str">
        <f>CONCATENATE('3 pr-2'!J123)</f>
        <v>-</v>
      </c>
      <c r="J121" s="266">
        <f>SUM('3 pr-2'!L123)</f>
        <v>50356</v>
      </c>
      <c r="K121" s="267">
        <f>SUM('3 pr-2'!O123)</f>
        <v>3777</v>
      </c>
      <c r="L121" s="267">
        <f>SUM('3 pr-2'!R123)</f>
        <v>3777</v>
      </c>
      <c r="M121" s="267">
        <f>SUM('3 pr-2'!U123)</f>
        <v>0</v>
      </c>
      <c r="N121" s="267">
        <f>SUM('3 pr-2'!X123)</f>
        <v>0</v>
      </c>
      <c r="O121" s="268">
        <f>SUM('3 pr-2'!AA123)</f>
        <v>42802</v>
      </c>
      <c r="P121" s="288">
        <f>SUM('3 pr-2'!AE123)</f>
        <v>43227</v>
      </c>
      <c r="Q121" s="289"/>
      <c r="R121" s="264">
        <f t="shared" si="25"/>
        <v>0</v>
      </c>
      <c r="S121" s="341">
        <f t="shared" si="26"/>
        <v>0</v>
      </c>
    </row>
    <row r="122" spans="1:19" ht="61.5" thickBot="1" x14ac:dyDescent="0.3">
      <c r="A122" s="254" t="str">
        <f>CONCATENATE('3 pr-2'!A124)</f>
        <v>2.1.2.1.3</v>
      </c>
      <c r="B122" s="323" t="str">
        <f>CONCATENATE('ketv. 2lent'!B123)</f>
        <v/>
      </c>
      <c r="C122" s="255" t="str">
        <f>CONCATENATE('3 pr-2'!D124)</f>
        <v>UAB „MediCA klinika“ teikiamų pirminės asmens sveikatos priežiūros paslaugų efektyvumo didinimas Alytaus miesto savivaldybėje</v>
      </c>
      <c r="D122" s="255" t="str">
        <f>CONCATENATE('3 pr-2'!E124)</f>
        <v>UAB „MediCA klinika“</v>
      </c>
      <c r="E122" s="255" t="str">
        <f>CONCATENATE('3 pr-2'!F124)</f>
        <v>Lietuvos Respublikos Sveikatos apsaugos ministerija</v>
      </c>
      <c r="F122" s="255" t="str">
        <f>CONCATENATE('3 pr-2'!G124)</f>
        <v>Alytaus  miestas</v>
      </c>
      <c r="G122" s="255" t="str">
        <f>CONCATENATE('3 pr-2'!H124)</f>
        <v>08.1.3-CPVA-R-609</v>
      </c>
      <c r="H122" s="255" t="str">
        <f>CONCATENATE('3 pr-2'!I124)</f>
        <v>R</v>
      </c>
      <c r="I122" s="265" t="str">
        <f>CONCATENATE('3 pr-2'!J124)</f>
        <v>-</v>
      </c>
      <c r="J122" s="266">
        <f>SUM('3 pr-2'!L124)</f>
        <v>83468</v>
      </c>
      <c r="K122" s="267">
        <f>SUM('3 pr-2'!O124)</f>
        <v>0</v>
      </c>
      <c r="L122" s="267">
        <f>SUM('3 pr-2'!R124)</f>
        <v>6260</v>
      </c>
      <c r="M122" s="267">
        <f>SUM('3 pr-2'!U124)</f>
        <v>6260</v>
      </c>
      <c r="N122" s="267">
        <f>SUM('3 pr-2'!X124)</f>
        <v>0</v>
      </c>
      <c r="O122" s="268">
        <f>SUM('3 pr-2'!AA124)</f>
        <v>70948</v>
      </c>
      <c r="P122" s="288">
        <f>SUM('3 pr-2'!AE124)</f>
        <v>43227</v>
      </c>
      <c r="Q122" s="289"/>
      <c r="R122" s="264">
        <f t="shared" si="25"/>
        <v>0</v>
      </c>
      <c r="S122" s="341">
        <f t="shared" si="26"/>
        <v>0</v>
      </c>
    </row>
    <row r="123" spans="1:19" ht="61.5" thickBot="1" x14ac:dyDescent="0.3">
      <c r="A123" s="254" t="str">
        <f>CONCATENATE('3 pr-2'!A125)</f>
        <v>2.1.2.1.4</v>
      </c>
      <c r="B123" s="323" t="str">
        <f>CONCATENATE('ketv. 2lent'!B124)</f>
        <v/>
      </c>
      <c r="C123" s="255" t="str">
        <f>CONCATENATE('3 pr-2'!D125)</f>
        <v>UAB "Pagalba ligoniui" teikiamų paslaugų efektyvumo didinimas</v>
      </c>
      <c r="D123" s="255" t="str">
        <f>CONCATENATE('3 pr-2'!E125)</f>
        <v>UAB „Pagalba ligoniui“, Alytaus filialas</v>
      </c>
      <c r="E123" s="255" t="str">
        <f>CONCATENATE('3 pr-2'!F125)</f>
        <v>Lietuvos Respublikos Sveikatos apsaugos ministerija</v>
      </c>
      <c r="F123" s="255" t="str">
        <f>CONCATENATE('3 pr-2'!G125)</f>
        <v>Alytaus  miestas</v>
      </c>
      <c r="G123" s="255" t="str">
        <f>CONCATENATE('3 pr-2'!H125)</f>
        <v>08.1.3-CPVA-R-609</v>
      </c>
      <c r="H123" s="255" t="str">
        <f>CONCATENATE('3 pr-2'!I125)</f>
        <v>R</v>
      </c>
      <c r="I123" s="265" t="str">
        <f>CONCATENATE('3 pr-2'!J125)</f>
        <v>-</v>
      </c>
      <c r="J123" s="266">
        <f>SUM('3 pr-2'!L125)</f>
        <v>44091</v>
      </c>
      <c r="K123" s="267">
        <f>SUM('3 pr-2'!O125)</f>
        <v>0</v>
      </c>
      <c r="L123" s="267">
        <f>SUM('3 pr-2'!R125)</f>
        <v>3307</v>
      </c>
      <c r="M123" s="267">
        <f>SUM('3 pr-2'!U125)</f>
        <v>3306</v>
      </c>
      <c r="N123" s="267">
        <f>SUM('3 pr-2'!X125)</f>
        <v>0</v>
      </c>
      <c r="O123" s="268">
        <f>SUM('3 pr-2'!AA125)</f>
        <v>37478</v>
      </c>
      <c r="P123" s="288">
        <f>SUM('3 pr-2'!AE125)</f>
        <v>43227</v>
      </c>
      <c r="Q123" s="289"/>
      <c r="R123" s="264">
        <f t="shared" si="25"/>
        <v>0</v>
      </c>
      <c r="S123" s="341">
        <f t="shared" si="26"/>
        <v>0</v>
      </c>
    </row>
    <row r="124" spans="1:19" ht="85.5" thickBot="1" x14ac:dyDescent="0.3">
      <c r="A124" s="254" t="str">
        <f>CONCATENATE('3 pr-2'!A126)</f>
        <v>2.1.2.1.5</v>
      </c>
      <c r="B124" s="323" t="str">
        <f>CONCATENATE('ketv. 2lent'!B125)</f>
        <v/>
      </c>
      <c r="C124" s="255" t="str">
        <f>CONCATENATE('3 pr-2'!D126)</f>
        <v>Pirminės asmens sveikatos priežiūros veiklos efektyvumo didinimas Alytaus rajono savivaldybėje</v>
      </c>
      <c r="D124" s="255" t="str">
        <f>CONCATENATE('3 pr-2'!E126)</f>
        <v>VšĮ Alytaus rajono savivaldybės pirminės sveikatos priežiūros centras</v>
      </c>
      <c r="E124" s="255" t="str">
        <f>CONCATENATE('3 pr-2'!F126)</f>
        <v>Lietuvos Respublikos Sveikatos apsaugos ministerija</v>
      </c>
      <c r="F124" s="255" t="str">
        <f>CONCATENATE('3 pr-2'!G126)</f>
        <v>Alytaus rajonas</v>
      </c>
      <c r="G124" s="255" t="str">
        <f>CONCATENATE('3 pr-2'!H126)</f>
        <v>08.1.3-CPVA-R-609</v>
      </c>
      <c r="H124" s="255" t="str">
        <f>CONCATENATE('3 pr-2'!I126)</f>
        <v>R</v>
      </c>
      <c r="I124" s="265" t="str">
        <f>CONCATENATE('3 pr-2'!J126)</f>
        <v>-</v>
      </c>
      <c r="J124" s="266">
        <f>SUM('3 pr-2'!L126)</f>
        <v>171636</v>
      </c>
      <c r="K124" s="267">
        <f>SUM('3 pr-2'!O126)</f>
        <v>12873</v>
      </c>
      <c r="L124" s="267">
        <f>SUM('3 pr-2'!R126)</f>
        <v>12873</v>
      </c>
      <c r="M124" s="267">
        <f>SUM('3 pr-2'!U126)</f>
        <v>0</v>
      </c>
      <c r="N124" s="267">
        <f>SUM('3 pr-2'!X126)</f>
        <v>0</v>
      </c>
      <c r="O124" s="268">
        <f>SUM('3 pr-2'!AA126)</f>
        <v>145890</v>
      </c>
      <c r="P124" s="288">
        <f>SUM('3 pr-2'!AE126)</f>
        <v>43227</v>
      </c>
      <c r="Q124" s="289"/>
      <c r="R124" s="264">
        <f t="shared" si="25"/>
        <v>0</v>
      </c>
      <c r="S124" s="341">
        <f t="shared" si="26"/>
        <v>0</v>
      </c>
    </row>
    <row r="125" spans="1:19" ht="61.5" thickBot="1" x14ac:dyDescent="0.3">
      <c r="A125" s="254" t="str">
        <f>CONCATENATE('3 pr-2'!A127)</f>
        <v>2.1.2.1.6</v>
      </c>
      <c r="B125" s="323" t="str">
        <f>CONCATENATE('ketv. 2lent'!B126)</f>
        <v/>
      </c>
      <c r="C125" s="255" t="str">
        <f>CONCATENATE('3 pr-2'!D127)</f>
        <v>Sveikatos priežiūros paslaugų gerinimas "UAB "Disolis"</v>
      </c>
      <c r="D125" s="255" t="str">
        <f>CONCATENATE('3 pr-2'!E127)</f>
        <v>UAB „Disolis“</v>
      </c>
      <c r="E125" s="255" t="str">
        <f>CONCATENATE('3 pr-2'!F127)</f>
        <v>Lietuvos Respublikos Sveikatos apsaugos ministerija</v>
      </c>
      <c r="F125" s="255" t="str">
        <f>CONCATENATE('3 pr-2'!G127)</f>
        <v>Alytaus rajonas</v>
      </c>
      <c r="G125" s="255" t="str">
        <f>CONCATENATE('3 pr-2'!H127)</f>
        <v>08.1.3-CPVA-R-609</v>
      </c>
      <c r="H125" s="255" t="str">
        <f>CONCATENATE('3 pr-2'!I127)</f>
        <v>R</v>
      </c>
      <c r="I125" s="265" t="str">
        <f>CONCATENATE('3 pr-2'!J127)</f>
        <v>-</v>
      </c>
      <c r="J125" s="266">
        <f>SUM('3 pr-2'!L127)</f>
        <v>17386</v>
      </c>
      <c r="K125" s="267">
        <f>SUM('3 pr-2'!O127)</f>
        <v>0</v>
      </c>
      <c r="L125" s="267">
        <f>SUM('3 pr-2'!R127)</f>
        <v>1304</v>
      </c>
      <c r="M125" s="267">
        <f>SUM('3 pr-2'!U127)</f>
        <v>1304</v>
      </c>
      <c r="N125" s="267">
        <f>SUM('3 pr-2'!X127)</f>
        <v>0</v>
      </c>
      <c r="O125" s="268">
        <f>SUM('3 pr-2'!AA127)</f>
        <v>14778</v>
      </c>
      <c r="P125" s="288">
        <f>SUM('3 pr-2'!AE127)</f>
        <v>43227</v>
      </c>
      <c r="Q125" s="289"/>
      <c r="R125" s="264">
        <f t="shared" si="25"/>
        <v>0</v>
      </c>
      <c r="S125" s="341">
        <f t="shared" si="26"/>
        <v>0</v>
      </c>
    </row>
    <row r="126" spans="1:19" ht="61.5" thickBot="1" x14ac:dyDescent="0.3">
      <c r="A126" s="254" t="str">
        <f>CONCATENATE('3 pr-2'!A128)</f>
        <v>2.1.2.1.7</v>
      </c>
      <c r="B126" s="323" t="str">
        <f>CONCATENATE('ketv. 2lent'!B127)</f>
        <v/>
      </c>
      <c r="C126" s="255" t="str">
        <f>CONCATENATE('3 pr-2'!D128)</f>
        <v>Pirminės asmens sveikatos priežiūros kokybės ir prieinamumo gerinimas Druskininkų savivaldybėje</v>
      </c>
      <c r="D126" s="255" t="str">
        <f>CONCATENATE('3 pr-2'!E128)</f>
        <v>VšĮ Druskininkų pirminės sveikatos priežiūros centras</v>
      </c>
      <c r="E126" s="255" t="str">
        <f>CONCATENATE('3 pr-2'!F128)</f>
        <v>Lietuvos Respublikos Sveikatos apsaugos ministerija</v>
      </c>
      <c r="F126" s="255" t="str">
        <f>CONCATENATE('3 pr-2'!G128)</f>
        <v>Druskininkų sav.</v>
      </c>
      <c r="G126" s="255" t="str">
        <f>CONCATENATE('3 pr-2'!H128)</f>
        <v>08.1.3-CPVA-R-609</v>
      </c>
      <c r="H126" s="255" t="str">
        <f>CONCATENATE('3 pr-2'!I128)</f>
        <v>R</v>
      </c>
      <c r="I126" s="265" t="str">
        <f>CONCATENATE('3 pr-2'!J128)</f>
        <v>-</v>
      </c>
      <c r="J126" s="266">
        <f>SUM('3 pr-2'!L128)</f>
        <v>163532</v>
      </c>
      <c r="K126" s="267">
        <f>SUM('3 pr-2'!O128)</f>
        <v>0</v>
      </c>
      <c r="L126" s="267">
        <f>SUM('3 pr-2'!R128)</f>
        <v>12265</v>
      </c>
      <c r="M126" s="267">
        <f>SUM('3 pr-2'!U128)</f>
        <v>12265</v>
      </c>
      <c r="N126" s="267">
        <f>SUM('3 pr-2'!X128)</f>
        <v>0</v>
      </c>
      <c r="O126" s="268">
        <f>SUM('3 pr-2'!AA128)</f>
        <v>139002</v>
      </c>
      <c r="P126" s="288">
        <f>SUM('3 pr-2'!AE128)</f>
        <v>43227</v>
      </c>
      <c r="Q126" s="289"/>
      <c r="R126" s="264">
        <f t="shared" si="25"/>
        <v>0</v>
      </c>
      <c r="S126" s="341">
        <f t="shared" si="26"/>
        <v>0</v>
      </c>
    </row>
    <row r="127" spans="1:19" ht="61.5" thickBot="1" x14ac:dyDescent="0.3">
      <c r="A127" s="254" t="str">
        <f>CONCATENATE('3 pr-2'!A129)</f>
        <v>2.1.2.1.8</v>
      </c>
      <c r="B127" s="323" t="str">
        <f>CONCATENATE('ketv. 2lent'!B128)</f>
        <v/>
      </c>
      <c r="C127" s="255" t="str">
        <f>CONCATENATE('3 pr-2'!D129)</f>
        <v>UAB "Druskininkų šeimos klinika" asmens sveikatos priežiūros paslaugų prieinamumo ir efektyvumo didinimas</v>
      </c>
      <c r="D127" s="255" t="str">
        <f>CONCATENATE('3 pr-2'!E129)</f>
        <v>UAB „Druskininkų šeimos klinika“</v>
      </c>
      <c r="E127" s="255" t="str">
        <f>CONCATENATE('3 pr-2'!F129)</f>
        <v>Lietuvos Respublikos Sveikatos apsaugos ministerija</v>
      </c>
      <c r="F127" s="255" t="str">
        <f>CONCATENATE('3 pr-2'!G129)</f>
        <v>Druskininkų sav.</v>
      </c>
      <c r="G127" s="255" t="str">
        <f>CONCATENATE('3 pr-2'!H129)</f>
        <v>08.1.3-CPVA-R-609</v>
      </c>
      <c r="H127" s="255" t="str">
        <f>CONCATENATE('3 pr-2'!I129)</f>
        <v>R</v>
      </c>
      <c r="I127" s="265" t="str">
        <f>CONCATENATE('3 pr-2'!J129)</f>
        <v>-</v>
      </c>
      <c r="J127" s="266">
        <f>SUM('3 pr-2'!L129)</f>
        <v>12289</v>
      </c>
      <c r="K127" s="267">
        <f>SUM('3 pr-2'!O129)</f>
        <v>0</v>
      </c>
      <c r="L127" s="267">
        <f>SUM('3 pr-2'!R129)</f>
        <v>922</v>
      </c>
      <c r="M127" s="267">
        <f>SUM('3 pr-2'!U129)</f>
        <v>922</v>
      </c>
      <c r="N127" s="267">
        <f>SUM('3 pr-2'!X129)</f>
        <v>0</v>
      </c>
      <c r="O127" s="268">
        <f>SUM('3 pr-2'!AA129)</f>
        <v>10445</v>
      </c>
      <c r="P127" s="288">
        <f>SUM('3 pr-2'!AE129)</f>
        <v>43227</v>
      </c>
      <c r="Q127" s="289"/>
      <c r="R127" s="264">
        <f t="shared" si="25"/>
        <v>0</v>
      </c>
      <c r="S127" s="341">
        <f t="shared" si="26"/>
        <v>0</v>
      </c>
    </row>
    <row r="128" spans="1:19" ht="41.25" customHeight="1" thickBot="1" x14ac:dyDescent="0.3">
      <c r="A128" s="852" t="str">
        <f>CONCATENATE('3 pr-2'!A135)</f>
        <v>2.1.2.2</v>
      </c>
      <c r="B128" s="863" t="str">
        <f>CONCATENATE('ketv. 2lent'!B133)</f>
        <v/>
      </c>
      <c r="C128" s="1804" t="str">
        <f>CONCATENATE('3 pr-2'!D135)</f>
        <v/>
      </c>
      <c r="D128" s="1805" t="str">
        <f>CONCATENATE('3 pr-2'!E135)</f>
        <v/>
      </c>
      <c r="E128" s="1805" t="str">
        <f>CONCATENATE('3 pr-2'!F135)</f>
        <v/>
      </c>
      <c r="F128" s="1805" t="str">
        <f>CONCATENATE('3 pr-2'!G135)</f>
        <v/>
      </c>
      <c r="G128" s="1805" t="str">
        <f>CONCATENATE('3 pr-2'!H135)</f>
        <v/>
      </c>
      <c r="H128" s="1805" t="str">
        <f>CONCATENATE('3 pr-2'!I135)</f>
        <v/>
      </c>
      <c r="I128" s="1805" t="str">
        <f>CONCATENATE('3 pr-2'!J135)</f>
        <v/>
      </c>
      <c r="J128" s="864">
        <f>SUM('3 pr-2'!L135)</f>
        <v>994985.89999999991</v>
      </c>
      <c r="K128" s="864">
        <f>SUM('3 pr-2'!O135)</f>
        <v>74623.950000000012</v>
      </c>
      <c r="L128" s="864">
        <f>SUM('3 pr-2'!R135)</f>
        <v>74623.950000000012</v>
      </c>
      <c r="M128" s="864">
        <f>SUM('3 pr-2'!U135)</f>
        <v>0</v>
      </c>
      <c r="N128" s="864">
        <f>SUM('3 pr-2'!X135)</f>
        <v>0</v>
      </c>
      <c r="O128" s="865">
        <f>SUM('3 pr-2'!AA135)</f>
        <v>845738</v>
      </c>
      <c r="P128" s="866"/>
      <c r="Q128" s="867"/>
      <c r="R128" s="868"/>
      <c r="S128" s="868"/>
    </row>
    <row r="129" spans="1:19" ht="61.5" thickBot="1" x14ac:dyDescent="0.3">
      <c r="A129" s="854" t="str">
        <f>CONCATENATE('3 pr-2'!A136)</f>
        <v>2.1.2.2.1</v>
      </c>
      <c r="B129" s="855" t="str">
        <f>CONCATENATE('ketv. 2lent'!B134)</f>
        <v/>
      </c>
      <c r="C129" s="853" t="str">
        <f>CONCATENATE('3 pr-2'!D136)</f>
        <v>Sveikos gyvensenos skatinimas Alytaus rajone</v>
      </c>
      <c r="D129" s="853" t="str">
        <f>CONCATENATE('3 pr-2'!E136)</f>
        <v>Alytaus rajono savivaldybės visuomenės sveikatos biuras</v>
      </c>
      <c r="E129" s="853" t="str">
        <f>CONCATENATE('3 pr-2'!F136)</f>
        <v>Lietuvos Respublikos Sveikatos apsaugos ministerija</v>
      </c>
      <c r="F129" s="853" t="str">
        <f>CONCATENATE('3 pr-2'!G136)</f>
        <v>Alytaus rajono savivaldybė</v>
      </c>
      <c r="G129" s="853" t="str">
        <f>CONCATENATE('3 pr-2'!H136)</f>
        <v>08.4.2-ESFA-R-630</v>
      </c>
      <c r="H129" s="853" t="str">
        <f>CONCATENATE('3 pr-2'!I136)</f>
        <v>R</v>
      </c>
      <c r="I129" s="856" t="str">
        <f>CONCATENATE('3 pr-2'!J136)</f>
        <v>-</v>
      </c>
      <c r="J129" s="857">
        <f>SUM('3 pr-2'!L136)</f>
        <v>198997.18</v>
      </c>
      <c r="K129" s="858">
        <f>SUM('3 pr-2'!O136)</f>
        <v>14924.79</v>
      </c>
      <c r="L129" s="858">
        <f>SUM('3 pr-2'!R136)</f>
        <v>14924.79</v>
      </c>
      <c r="M129" s="858">
        <f>SUM('3 pr-2'!U136)</f>
        <v>0</v>
      </c>
      <c r="N129" s="858">
        <f>SUM('3 pr-2'!X136)</f>
        <v>0</v>
      </c>
      <c r="O129" s="859">
        <f>SUM('3 pr-2'!AA136)</f>
        <v>169147.6</v>
      </c>
      <c r="P129" s="860">
        <f>SUM('3 pr-2'!AE136)</f>
        <v>43108</v>
      </c>
      <c r="Q129" s="853"/>
      <c r="R129" s="861">
        <f t="shared" ref="R129:R139" si="27">IF(Q129&gt;0,P129-Q129,0)</f>
        <v>0</v>
      </c>
      <c r="S129" s="862">
        <f t="shared" ref="S129:S139" si="28">IF(Q129&gt;0,(P129-Q129)/30.1667,0)</f>
        <v>0</v>
      </c>
    </row>
    <row r="130" spans="1:19" ht="61.5" thickBot="1" x14ac:dyDescent="0.3">
      <c r="A130" s="854" t="str">
        <f>CONCATENATE('3 pr-2'!A137)</f>
        <v>2.1.2.2.2</v>
      </c>
      <c r="B130" s="855" t="str">
        <f>CONCATENATE('ketv. 2lent'!B135)</f>
        <v/>
      </c>
      <c r="C130" s="853" t="str">
        <f>CONCATENATE('3 pr-2'!D137)</f>
        <v>Mažais žingsneliais – sveikos gyvensenos link</v>
      </c>
      <c r="D130" s="853" t="str">
        <f>CONCATENATE('3 pr-2'!E137)</f>
        <v>Alytaus miesto savivaldybės administracija</v>
      </c>
      <c r="E130" s="853" t="str">
        <f>CONCATENATE('3 pr-2'!F137)</f>
        <v>Lietuvos Respublikos Sveikatos apsaugos ministerija</v>
      </c>
      <c r="F130" s="853" t="str">
        <f>CONCATENATE('3 pr-2'!G137)</f>
        <v>Alytaus  miestas</v>
      </c>
      <c r="G130" s="853" t="str">
        <f>CONCATENATE('3 pr-2'!H137)</f>
        <v>08.4.2-ESFA-R-630</v>
      </c>
      <c r="H130" s="853" t="str">
        <f>CONCATENATE('3 pr-2'!I137)</f>
        <v>R</v>
      </c>
      <c r="I130" s="856" t="str">
        <f>CONCATENATE('3 pr-2'!J137)</f>
        <v>-</v>
      </c>
      <c r="J130" s="857">
        <f>SUM('3 pr-2'!L137)</f>
        <v>198997.18</v>
      </c>
      <c r="K130" s="858">
        <f>SUM('3 pr-2'!O137)</f>
        <v>14924.79</v>
      </c>
      <c r="L130" s="858">
        <f>SUM('3 pr-2'!R137)</f>
        <v>14924.79</v>
      </c>
      <c r="M130" s="858">
        <f>SUM('3 pr-2'!U137)</f>
        <v>0</v>
      </c>
      <c r="N130" s="858">
        <f>SUM('3 pr-2'!X137)</f>
        <v>0</v>
      </c>
      <c r="O130" s="859">
        <f>SUM('3 pr-2'!AA137)</f>
        <v>169147.6</v>
      </c>
      <c r="P130" s="860">
        <f>SUM('3 pr-2'!AE137)</f>
        <v>43108</v>
      </c>
      <c r="Q130" s="853"/>
      <c r="R130" s="861">
        <f t="shared" si="27"/>
        <v>0</v>
      </c>
      <c r="S130" s="862">
        <f t="shared" si="28"/>
        <v>0</v>
      </c>
    </row>
    <row r="131" spans="1:19" ht="61.5" thickBot="1" x14ac:dyDescent="0.3">
      <c r="A131" s="854" t="str">
        <f>CONCATENATE('3 pr-2'!A138)</f>
        <v>2.1.2.2.3</v>
      </c>
      <c r="B131" s="855" t="str">
        <f>CONCATENATE('ketv. 2lent'!B136)</f>
        <v/>
      </c>
      <c r="C131" s="853" t="str">
        <f>CONCATENATE('3 pr-2'!D138)</f>
        <v>Sveikos gyvensenos skatinimas Varėnos rajono savivaldybėje</v>
      </c>
      <c r="D131" s="853" t="str">
        <f>CONCATENATE('3 pr-2'!E138)</f>
        <v>Varėnos rajono savivaldybės visuomenės sveikatos biuras</v>
      </c>
      <c r="E131" s="853" t="str">
        <f>CONCATENATE('3 pr-2'!F138)</f>
        <v>Lietuvos Respublikos Sveikatos apsaugos ministerija</v>
      </c>
      <c r="F131" s="853" t="str">
        <f>CONCATENATE('3 pr-2'!G138)</f>
        <v>Varėnos rajono savivaldybė</v>
      </c>
      <c r="G131" s="853" t="str">
        <f>CONCATENATE('3 pr-2'!H138)</f>
        <v>08.4.2-ESFA-R-630</v>
      </c>
      <c r="H131" s="853" t="str">
        <f>CONCATENATE('3 pr-2'!I138)</f>
        <v>R</v>
      </c>
      <c r="I131" s="856" t="str">
        <f>CONCATENATE('3 pr-2'!J138)</f>
        <v>-</v>
      </c>
      <c r="J131" s="857">
        <f>SUM('3 pr-2'!L138)</f>
        <v>198997.18</v>
      </c>
      <c r="K131" s="858">
        <f>SUM('3 pr-2'!O138)</f>
        <v>14924.79</v>
      </c>
      <c r="L131" s="858">
        <f>SUM('3 pr-2'!R138)</f>
        <v>14924.79</v>
      </c>
      <c r="M131" s="858">
        <f>SUM('3 pr-2'!U138)</f>
        <v>0</v>
      </c>
      <c r="N131" s="858">
        <f>SUM('3 pr-2'!X138)</f>
        <v>0</v>
      </c>
      <c r="O131" s="859">
        <f>SUM('3 pr-2'!AA138)</f>
        <v>169147.6</v>
      </c>
      <c r="P131" s="860">
        <f>SUM('3 pr-2'!AE138)</f>
        <v>43108</v>
      </c>
      <c r="Q131" s="853"/>
      <c r="R131" s="861">
        <f t="shared" si="27"/>
        <v>0</v>
      </c>
      <c r="S131" s="862">
        <f t="shared" si="28"/>
        <v>0</v>
      </c>
    </row>
    <row r="132" spans="1:19" ht="61.5" thickBot="1" x14ac:dyDescent="0.3">
      <c r="A132" s="854" t="str">
        <f>CONCATENATE('3 pr-2'!A139)</f>
        <v>2.1.2.2.4.</v>
      </c>
      <c r="B132" s="855" t="str">
        <f>CONCATENATE('ketv. 2lent'!B137)</f>
        <v/>
      </c>
      <c r="C132" s="853" t="str">
        <f>CONCATENATE('3 pr-2'!D139)</f>
        <v>Sveika bendruomenė – stipri visuomenė</v>
      </c>
      <c r="D132" s="853" t="str">
        <f>CONCATENATE('3 pr-2'!E139)</f>
        <v>Druskininkų savivaldybės visuomenės sveikatos biuras</v>
      </c>
      <c r="E132" s="853" t="str">
        <f>CONCATENATE('3 pr-2'!F139)</f>
        <v>Lietuvos Respublikos Sveikatos apsaugos ministerija</v>
      </c>
      <c r="F132" s="853" t="str">
        <f>CONCATENATE('3 pr-2'!G139)</f>
        <v>Druskininkų savivaldybė</v>
      </c>
      <c r="G132" s="853" t="str">
        <f>CONCATENATE('3 pr-2'!H139)</f>
        <v>08.4.2-ESFA-R-630</v>
      </c>
      <c r="H132" s="853" t="str">
        <f>CONCATENATE('3 pr-2'!I139)</f>
        <v>R</v>
      </c>
      <c r="I132" s="856" t="str">
        <f>CONCATENATE('3 pr-2'!J139)</f>
        <v>-</v>
      </c>
      <c r="J132" s="857">
        <f>SUM('3 pr-2'!L139)</f>
        <v>198997.18</v>
      </c>
      <c r="K132" s="858">
        <f>SUM('3 pr-2'!O139)</f>
        <v>14924.79</v>
      </c>
      <c r="L132" s="858">
        <f>SUM('3 pr-2'!R139)</f>
        <v>14924.79</v>
      </c>
      <c r="M132" s="858">
        <f>SUM('3 pr-2'!U139)</f>
        <v>0</v>
      </c>
      <c r="N132" s="858">
        <f>SUM('3 pr-2'!X139)</f>
        <v>0</v>
      </c>
      <c r="O132" s="859">
        <f>SUM('3 pr-2'!AA139)</f>
        <v>169147.6</v>
      </c>
      <c r="P132" s="860">
        <f>SUM('3 pr-2'!AE139)</f>
        <v>43108</v>
      </c>
      <c r="Q132" s="853"/>
      <c r="R132" s="861">
        <f t="shared" si="27"/>
        <v>0</v>
      </c>
      <c r="S132" s="862">
        <f t="shared" si="28"/>
        <v>0</v>
      </c>
    </row>
    <row r="133" spans="1:19" ht="61.5" thickBot="1" x14ac:dyDescent="0.3">
      <c r="A133" s="854" t="str">
        <f>CONCATENATE('3 pr-2'!A140)</f>
        <v>2.1.2.2.5</v>
      </c>
      <c r="B133" s="855" t="str">
        <f>CONCATENATE('ketv. 2lent'!B138)</f>
        <v/>
      </c>
      <c r="C133" s="853" t="str">
        <f>CONCATENATE('3 pr-2'!D140)</f>
        <v>Sveikos gyvensenos skatinimas Lazdijų rajono savivaldybėje</v>
      </c>
      <c r="D133" s="853" t="str">
        <f>CONCATENATE('3 pr-2'!E140)</f>
        <v>Lazdijų rajono savivaldybės visuomenės sveikatos biuras</v>
      </c>
      <c r="E133" s="853" t="str">
        <f>CONCATENATE('3 pr-2'!F140)</f>
        <v>Lietuvos Respublikos Sveikatos apsaugos ministerija</v>
      </c>
      <c r="F133" s="853" t="str">
        <f>CONCATENATE('3 pr-2'!G140)</f>
        <v>Lazdijų rajono savivaldybė</v>
      </c>
      <c r="G133" s="853" t="str">
        <f>CONCATENATE('3 pr-2'!H140)</f>
        <v>08.4.2-ESFA-R-630</v>
      </c>
      <c r="H133" s="853" t="str">
        <f>CONCATENATE('3 pr-2'!I140)</f>
        <v>R</v>
      </c>
      <c r="I133" s="856" t="str">
        <f>CONCATENATE('3 pr-2'!J140)</f>
        <v>-</v>
      </c>
      <c r="J133" s="857">
        <f>SUM('3 pr-2'!L140)</f>
        <v>198997.18</v>
      </c>
      <c r="K133" s="858">
        <f>SUM('3 pr-2'!O140)</f>
        <v>14924.79</v>
      </c>
      <c r="L133" s="858">
        <f>SUM('3 pr-2'!R140)</f>
        <v>14924.79</v>
      </c>
      <c r="M133" s="858">
        <f>SUM('3 pr-2'!U140)</f>
        <v>0</v>
      </c>
      <c r="N133" s="858">
        <f>SUM('3 pr-2'!X140)</f>
        <v>0</v>
      </c>
      <c r="O133" s="859">
        <f>SUM('3 pr-2'!AA140)</f>
        <v>169147.6</v>
      </c>
      <c r="P133" s="860">
        <f>SUM('3 pr-2'!AE140)</f>
        <v>43108</v>
      </c>
      <c r="Q133" s="853"/>
      <c r="R133" s="861">
        <f t="shared" si="27"/>
        <v>0</v>
      </c>
      <c r="S133" s="862">
        <f t="shared" si="28"/>
        <v>0</v>
      </c>
    </row>
    <row r="134" spans="1:19" ht="15.75" hidden="1" thickBot="1" x14ac:dyDescent="0.3">
      <c r="A134" s="854" t="e">
        <f>CONCATENATE('3 pr-2'!#REF!)</f>
        <v>#REF!</v>
      </c>
      <c r="B134" s="855" t="e">
        <f>CONCATENATE('ketv. 2lent'!#REF!)</f>
        <v>#REF!</v>
      </c>
      <c r="C134" s="853" t="e">
        <f>CONCATENATE('3 pr-2'!#REF!)</f>
        <v>#REF!</v>
      </c>
      <c r="D134" s="853" t="e">
        <f>CONCATENATE('3 pr-2'!#REF!)</f>
        <v>#REF!</v>
      </c>
      <c r="E134" s="853" t="e">
        <f>CONCATENATE('3 pr-2'!#REF!)</f>
        <v>#REF!</v>
      </c>
      <c r="F134" s="853" t="e">
        <f>CONCATENATE('3 pr-2'!#REF!)</f>
        <v>#REF!</v>
      </c>
      <c r="G134" s="853" t="e">
        <f>CONCATENATE('3 pr-2'!#REF!)</f>
        <v>#REF!</v>
      </c>
      <c r="H134" s="853" t="e">
        <f>CONCATENATE('3 pr-2'!#REF!)</f>
        <v>#REF!</v>
      </c>
      <c r="I134" s="856" t="e">
        <f>CONCATENATE('3 pr-2'!#REF!)</f>
        <v>#REF!</v>
      </c>
      <c r="J134" s="857" t="e">
        <f>SUM('3 pr-2'!#REF!)</f>
        <v>#REF!</v>
      </c>
      <c r="K134" s="858" t="e">
        <f>SUM('3 pr-2'!#REF!)</f>
        <v>#REF!</v>
      </c>
      <c r="L134" s="858" t="e">
        <f>SUM('3 pr-2'!#REF!)</f>
        <v>#REF!</v>
      </c>
      <c r="M134" s="858" t="e">
        <f>SUM('3 pr-2'!#REF!)</f>
        <v>#REF!</v>
      </c>
      <c r="N134" s="858" t="e">
        <f>SUM('3 pr-2'!#REF!)</f>
        <v>#REF!</v>
      </c>
      <c r="O134" s="859" t="e">
        <f>SUM('3 pr-2'!#REF!)</f>
        <v>#REF!</v>
      </c>
      <c r="P134" s="860" t="e">
        <f>SUM('3 pr-2'!#REF!)</f>
        <v>#REF!</v>
      </c>
      <c r="Q134" s="853"/>
      <c r="R134" s="861">
        <f t="shared" si="27"/>
        <v>0</v>
      </c>
      <c r="S134" s="862">
        <f t="shared" si="28"/>
        <v>0</v>
      </c>
    </row>
    <row r="135" spans="1:19" ht="15.75" hidden="1" thickBot="1" x14ac:dyDescent="0.3">
      <c r="A135" s="854" t="e">
        <f>CONCATENATE('3 pr-2'!#REF!)</f>
        <v>#REF!</v>
      </c>
      <c r="B135" s="855" t="e">
        <f>CONCATENATE('ketv. 2lent'!#REF!)</f>
        <v>#REF!</v>
      </c>
      <c r="C135" s="853" t="e">
        <f>CONCATENATE('3 pr-2'!#REF!)</f>
        <v>#REF!</v>
      </c>
      <c r="D135" s="853" t="e">
        <f>CONCATENATE('3 pr-2'!#REF!)</f>
        <v>#REF!</v>
      </c>
      <c r="E135" s="853" t="e">
        <f>CONCATENATE('3 pr-2'!#REF!)</f>
        <v>#REF!</v>
      </c>
      <c r="F135" s="853" t="e">
        <f>CONCATENATE('3 pr-2'!#REF!)</f>
        <v>#REF!</v>
      </c>
      <c r="G135" s="853" t="e">
        <f>CONCATENATE('3 pr-2'!#REF!)</f>
        <v>#REF!</v>
      </c>
      <c r="H135" s="853" t="e">
        <f>CONCATENATE('3 pr-2'!#REF!)</f>
        <v>#REF!</v>
      </c>
      <c r="I135" s="856" t="e">
        <f>CONCATENATE('3 pr-2'!#REF!)</f>
        <v>#REF!</v>
      </c>
      <c r="J135" s="857" t="e">
        <f>SUM('3 pr-2'!#REF!)</f>
        <v>#REF!</v>
      </c>
      <c r="K135" s="858" t="e">
        <f>SUM('3 pr-2'!#REF!)</f>
        <v>#REF!</v>
      </c>
      <c r="L135" s="858" t="e">
        <f>SUM('3 pr-2'!#REF!)</f>
        <v>#REF!</v>
      </c>
      <c r="M135" s="858" t="e">
        <f>SUM('3 pr-2'!#REF!)</f>
        <v>#REF!</v>
      </c>
      <c r="N135" s="858" t="e">
        <f>SUM('3 pr-2'!#REF!)</f>
        <v>#REF!</v>
      </c>
      <c r="O135" s="859" t="e">
        <f>SUM('3 pr-2'!#REF!)</f>
        <v>#REF!</v>
      </c>
      <c r="P135" s="860" t="e">
        <f>SUM('3 pr-2'!#REF!)</f>
        <v>#REF!</v>
      </c>
      <c r="Q135" s="853"/>
      <c r="R135" s="861">
        <f t="shared" si="27"/>
        <v>0</v>
      </c>
      <c r="S135" s="862">
        <f t="shared" si="28"/>
        <v>0</v>
      </c>
    </row>
    <row r="136" spans="1:19" ht="15.75" hidden="1" thickBot="1" x14ac:dyDescent="0.3">
      <c r="A136" s="854" t="e">
        <f>CONCATENATE('3 pr-2'!#REF!)</f>
        <v>#REF!</v>
      </c>
      <c r="B136" s="855" t="e">
        <f>CONCATENATE('ketv. 2lent'!#REF!)</f>
        <v>#REF!</v>
      </c>
      <c r="C136" s="853" t="e">
        <f>CONCATENATE('3 pr-2'!#REF!)</f>
        <v>#REF!</v>
      </c>
      <c r="D136" s="853" t="e">
        <f>CONCATENATE('3 pr-2'!#REF!)</f>
        <v>#REF!</v>
      </c>
      <c r="E136" s="853" t="e">
        <f>CONCATENATE('3 pr-2'!#REF!)</f>
        <v>#REF!</v>
      </c>
      <c r="F136" s="853" t="e">
        <f>CONCATENATE('3 pr-2'!#REF!)</f>
        <v>#REF!</v>
      </c>
      <c r="G136" s="853" t="e">
        <f>CONCATENATE('3 pr-2'!#REF!)</f>
        <v>#REF!</v>
      </c>
      <c r="H136" s="853" t="e">
        <f>CONCATENATE('3 pr-2'!#REF!)</f>
        <v>#REF!</v>
      </c>
      <c r="I136" s="856" t="e">
        <f>CONCATENATE('3 pr-2'!#REF!)</f>
        <v>#REF!</v>
      </c>
      <c r="J136" s="857" t="e">
        <f>SUM('3 pr-2'!#REF!)</f>
        <v>#REF!</v>
      </c>
      <c r="K136" s="858" t="e">
        <f>SUM('3 pr-2'!#REF!)</f>
        <v>#REF!</v>
      </c>
      <c r="L136" s="858" t="e">
        <f>SUM('3 pr-2'!#REF!)</f>
        <v>#REF!</v>
      </c>
      <c r="M136" s="858" t="e">
        <f>SUM('3 pr-2'!#REF!)</f>
        <v>#REF!</v>
      </c>
      <c r="N136" s="858" t="e">
        <f>SUM('3 pr-2'!#REF!)</f>
        <v>#REF!</v>
      </c>
      <c r="O136" s="859" t="e">
        <f>SUM('3 pr-2'!#REF!)</f>
        <v>#REF!</v>
      </c>
      <c r="P136" s="860" t="e">
        <f>SUM('3 pr-2'!#REF!)</f>
        <v>#REF!</v>
      </c>
      <c r="Q136" s="853"/>
      <c r="R136" s="861">
        <f t="shared" si="27"/>
        <v>0</v>
      </c>
      <c r="S136" s="862">
        <f t="shared" si="28"/>
        <v>0</v>
      </c>
    </row>
    <row r="137" spans="1:19" ht="15.75" hidden="1" thickBot="1" x14ac:dyDescent="0.3">
      <c r="A137" s="854" t="e">
        <f>CONCATENATE('3 pr-2'!#REF!)</f>
        <v>#REF!</v>
      </c>
      <c r="B137" s="855" t="e">
        <f>CONCATENATE('ketv. 2lent'!#REF!)</f>
        <v>#REF!</v>
      </c>
      <c r="C137" s="853" t="e">
        <f>CONCATENATE('3 pr-2'!#REF!)</f>
        <v>#REF!</v>
      </c>
      <c r="D137" s="853" t="e">
        <f>CONCATENATE('3 pr-2'!#REF!)</f>
        <v>#REF!</v>
      </c>
      <c r="E137" s="853" t="e">
        <f>CONCATENATE('3 pr-2'!#REF!)</f>
        <v>#REF!</v>
      </c>
      <c r="F137" s="853" t="e">
        <f>CONCATENATE('3 pr-2'!#REF!)</f>
        <v>#REF!</v>
      </c>
      <c r="G137" s="853" t="e">
        <f>CONCATENATE('3 pr-2'!#REF!)</f>
        <v>#REF!</v>
      </c>
      <c r="H137" s="853" t="e">
        <f>CONCATENATE('3 pr-2'!#REF!)</f>
        <v>#REF!</v>
      </c>
      <c r="I137" s="856" t="e">
        <f>CONCATENATE('3 pr-2'!#REF!)</f>
        <v>#REF!</v>
      </c>
      <c r="J137" s="857" t="e">
        <f>SUM('3 pr-2'!#REF!)</f>
        <v>#REF!</v>
      </c>
      <c r="K137" s="858" t="e">
        <f>SUM('3 pr-2'!#REF!)</f>
        <v>#REF!</v>
      </c>
      <c r="L137" s="858" t="e">
        <f>SUM('3 pr-2'!#REF!)</f>
        <v>#REF!</v>
      </c>
      <c r="M137" s="858" t="e">
        <f>SUM('3 pr-2'!#REF!)</f>
        <v>#REF!</v>
      </c>
      <c r="N137" s="858" t="e">
        <f>SUM('3 pr-2'!#REF!)</f>
        <v>#REF!</v>
      </c>
      <c r="O137" s="859" t="e">
        <f>SUM('3 pr-2'!#REF!)</f>
        <v>#REF!</v>
      </c>
      <c r="P137" s="860" t="e">
        <f>SUM('3 pr-2'!#REF!)</f>
        <v>#REF!</v>
      </c>
      <c r="Q137" s="853"/>
      <c r="R137" s="861">
        <f t="shared" si="27"/>
        <v>0</v>
      </c>
      <c r="S137" s="862">
        <f t="shared" si="28"/>
        <v>0</v>
      </c>
    </row>
    <row r="138" spans="1:19" ht="15.75" hidden="1" thickBot="1" x14ac:dyDescent="0.3">
      <c r="A138" s="854" t="e">
        <f>CONCATENATE('3 pr-2'!#REF!)</f>
        <v>#REF!</v>
      </c>
      <c r="B138" s="855" t="e">
        <f>CONCATENATE('ketv. 2lent'!#REF!)</f>
        <v>#REF!</v>
      </c>
      <c r="C138" s="853" t="e">
        <f>CONCATENATE('3 pr-2'!#REF!)</f>
        <v>#REF!</v>
      </c>
      <c r="D138" s="853" t="e">
        <f>CONCATENATE('3 pr-2'!#REF!)</f>
        <v>#REF!</v>
      </c>
      <c r="E138" s="853" t="e">
        <f>CONCATENATE('3 pr-2'!#REF!)</f>
        <v>#REF!</v>
      </c>
      <c r="F138" s="853" t="e">
        <f>CONCATENATE('3 pr-2'!#REF!)</f>
        <v>#REF!</v>
      </c>
      <c r="G138" s="853" t="e">
        <f>CONCATENATE('3 pr-2'!#REF!)</f>
        <v>#REF!</v>
      </c>
      <c r="H138" s="853" t="e">
        <f>CONCATENATE('3 pr-2'!#REF!)</f>
        <v>#REF!</v>
      </c>
      <c r="I138" s="856" t="e">
        <f>CONCATENATE('3 pr-2'!#REF!)</f>
        <v>#REF!</v>
      </c>
      <c r="J138" s="857" t="e">
        <f>SUM('3 pr-2'!#REF!)</f>
        <v>#REF!</v>
      </c>
      <c r="K138" s="858" t="e">
        <f>SUM('3 pr-2'!#REF!)</f>
        <v>#REF!</v>
      </c>
      <c r="L138" s="858" t="e">
        <f>SUM('3 pr-2'!#REF!)</f>
        <v>#REF!</v>
      </c>
      <c r="M138" s="858" t="e">
        <f>SUM('3 pr-2'!#REF!)</f>
        <v>#REF!</v>
      </c>
      <c r="N138" s="858" t="e">
        <f>SUM('3 pr-2'!#REF!)</f>
        <v>#REF!</v>
      </c>
      <c r="O138" s="859" t="e">
        <f>SUM('3 pr-2'!#REF!)</f>
        <v>#REF!</v>
      </c>
      <c r="P138" s="860" t="e">
        <f>SUM('3 pr-2'!#REF!)</f>
        <v>#REF!</v>
      </c>
      <c r="Q138" s="853"/>
      <c r="R138" s="861">
        <f t="shared" si="27"/>
        <v>0</v>
      </c>
      <c r="S138" s="862">
        <f t="shared" si="28"/>
        <v>0</v>
      </c>
    </row>
    <row r="139" spans="1:19" ht="15.75" hidden="1" thickBot="1" x14ac:dyDescent="0.3">
      <c r="A139" s="254" t="e">
        <f>CONCATENATE('3 pr-2'!#REF!)</f>
        <v>#REF!</v>
      </c>
      <c r="B139" s="323" t="e">
        <f>CONCATENATE('ketv. 2lent'!#REF!)</f>
        <v>#REF!</v>
      </c>
      <c r="C139" s="255" t="e">
        <f>CONCATENATE('3 pr-2'!#REF!)</f>
        <v>#REF!</v>
      </c>
      <c r="D139" s="255" t="e">
        <f>CONCATENATE('3 pr-2'!#REF!)</f>
        <v>#REF!</v>
      </c>
      <c r="E139" s="255" t="e">
        <f>CONCATENATE('3 pr-2'!#REF!)</f>
        <v>#REF!</v>
      </c>
      <c r="F139" s="255" t="e">
        <f>CONCATENATE('3 pr-2'!#REF!)</f>
        <v>#REF!</v>
      </c>
      <c r="G139" s="255" t="e">
        <f>CONCATENATE('3 pr-2'!#REF!)</f>
        <v>#REF!</v>
      </c>
      <c r="H139" s="255" t="e">
        <f>CONCATENATE('3 pr-2'!#REF!)</f>
        <v>#REF!</v>
      </c>
      <c r="I139" s="265" t="e">
        <f>CONCATENATE('3 pr-2'!#REF!)</f>
        <v>#REF!</v>
      </c>
      <c r="J139" s="266" t="e">
        <f>SUM('3 pr-2'!#REF!)</f>
        <v>#REF!</v>
      </c>
      <c r="K139" s="267" t="e">
        <f>SUM('3 pr-2'!#REF!)</f>
        <v>#REF!</v>
      </c>
      <c r="L139" s="267" t="e">
        <f>SUM('3 pr-2'!#REF!)</f>
        <v>#REF!</v>
      </c>
      <c r="M139" s="267" t="e">
        <f>SUM('3 pr-2'!#REF!)</f>
        <v>#REF!</v>
      </c>
      <c r="N139" s="267" t="e">
        <f>SUM('3 pr-2'!#REF!)</f>
        <v>#REF!</v>
      </c>
      <c r="O139" s="268" t="e">
        <f>SUM('3 pr-2'!#REF!)</f>
        <v>#REF!</v>
      </c>
      <c r="P139" s="309" t="e">
        <f>SUM('3 pr-2'!#REF!)</f>
        <v>#REF!</v>
      </c>
      <c r="Q139" s="343"/>
      <c r="R139" s="310">
        <f t="shared" si="27"/>
        <v>0</v>
      </c>
      <c r="S139" s="869">
        <f t="shared" si="28"/>
        <v>0</v>
      </c>
    </row>
    <row r="140" spans="1:19" ht="41.25" customHeight="1" thickBot="1" x14ac:dyDescent="0.3">
      <c r="A140" s="852" t="str">
        <f>CONCATENATE('3 pr-2'!A141)</f>
        <v>2.1.2.3</v>
      </c>
      <c r="B140" s="863" t="str">
        <f>CONCATENATE('ketv. 2lent'!B139)</f>
        <v/>
      </c>
      <c r="C140" s="1804" t="str">
        <f>CONCATENATE('3 pr-2'!D141)</f>
        <v/>
      </c>
      <c r="D140" s="1805" t="str">
        <f>CONCATENATE('3 pr-2'!E141)</f>
        <v/>
      </c>
      <c r="E140" s="1805" t="str">
        <f>CONCATENATE('3 pr-2'!F141)</f>
        <v/>
      </c>
      <c r="F140" s="1805" t="str">
        <f>CONCATENATE('3 pr-2'!G141)</f>
        <v/>
      </c>
      <c r="G140" s="1805" t="str">
        <f>CONCATENATE('3 pr-2'!H141)</f>
        <v/>
      </c>
      <c r="H140" s="1805" t="str">
        <f>CONCATENATE('3 pr-2'!I141)</f>
        <v/>
      </c>
      <c r="I140" s="1805" t="str">
        <f>CONCATENATE('3 pr-2'!J141)</f>
        <v/>
      </c>
      <c r="J140" s="864">
        <f>SUM('3 pr-2'!L141)</f>
        <v>65212.65</v>
      </c>
      <c r="K140" s="864">
        <f>SUM('3 pr-2'!O141)</f>
        <v>4891.03</v>
      </c>
      <c r="L140" s="864">
        <f>SUM('3 pr-2'!R141)</f>
        <v>4891.0199999999995</v>
      </c>
      <c r="M140" s="864">
        <f>SUM('3 pr-2'!U141)</f>
        <v>0</v>
      </c>
      <c r="N140" s="864">
        <f>SUM('3 pr-2'!X141)</f>
        <v>0</v>
      </c>
      <c r="O140" s="865">
        <f>SUM('3 pr-2'!AA141)</f>
        <v>55430.6</v>
      </c>
      <c r="P140" s="874"/>
      <c r="Q140" s="875"/>
      <c r="R140" s="876"/>
      <c r="S140" s="877"/>
    </row>
    <row r="141" spans="1:19" ht="85.5" thickBot="1" x14ac:dyDescent="0.3">
      <c r="A141" s="854" t="str">
        <f>CONCATENATE('3 pr-2'!A142)</f>
        <v>2.1.2.3.1</v>
      </c>
      <c r="B141" s="855" t="str">
        <f>CONCATENATE('ketv. 2lent'!B140)</f>
        <v/>
      </c>
      <c r="C141" s="853" t="str">
        <f>CONCATENATE('3 pr-2'!D142)</f>
        <v>Priemonių gerinančių ambulatorinių sveikatos priežiūros paslaugų prieinamumą tuberkulioze sergantiems asmenims, Alytaus rajone įgyvendinimas</v>
      </c>
      <c r="D141" s="853" t="str">
        <f>CONCATENATE('3 pr-2'!E142)</f>
        <v>VšĮ Alytaus rajono savivaldybės pirminės sveikatos priežiūros centras</v>
      </c>
      <c r="E141" s="853" t="str">
        <f>CONCATENATE('3 pr-2'!F142)</f>
        <v>Lietuvos Respublikos Sveikatos apsaugos ministerija</v>
      </c>
      <c r="F141" s="853" t="str">
        <f>CONCATENATE('3 pr-2'!G142)</f>
        <v>Alytaus rajono savivaldybė</v>
      </c>
      <c r="G141" s="853" t="str">
        <f>CONCATENATE('3 pr-2'!H142)</f>
        <v>08.4.2-ESFA-R-615</v>
      </c>
      <c r="H141" s="853" t="str">
        <f>CONCATENATE('3 pr-2'!I142)</f>
        <v>R</v>
      </c>
      <c r="I141" s="856" t="str">
        <f>CONCATENATE('3 pr-2'!J142)</f>
        <v>-</v>
      </c>
      <c r="J141" s="857">
        <f>SUM('3 pr-2'!L142)</f>
        <v>10452.94</v>
      </c>
      <c r="K141" s="858">
        <f>SUM('3 pr-2'!O142)</f>
        <v>783.97</v>
      </c>
      <c r="L141" s="858">
        <f>SUM('3 pr-2'!R142)</f>
        <v>783.97</v>
      </c>
      <c r="M141" s="858">
        <f>SUM('3 pr-2'!U142)</f>
        <v>0</v>
      </c>
      <c r="N141" s="858">
        <f>SUM('3 pr-2'!X142)</f>
        <v>0</v>
      </c>
      <c r="O141" s="859">
        <f>SUM('3 pr-2'!AA142)</f>
        <v>8885</v>
      </c>
      <c r="P141" s="870">
        <f>SUM('3 pr-2'!AE142)</f>
        <v>43136</v>
      </c>
      <c r="Q141" s="871"/>
      <c r="R141" s="872">
        <f t="shared" ref="R141:R145" si="29">IF(Q141&gt;0,P141-Q141,0)</f>
        <v>0</v>
      </c>
      <c r="S141" s="873">
        <f t="shared" ref="S141:S145" si="30">IF(Q141&gt;0,(P141-Q141)/30.1667,0)</f>
        <v>0</v>
      </c>
    </row>
    <row r="142" spans="1:19" ht="61.5" thickBot="1" x14ac:dyDescent="0.3">
      <c r="A142" s="854" t="str">
        <f>CONCATENATE('3 pr-2'!A143)</f>
        <v>2.1.2.3.2</v>
      </c>
      <c r="B142" s="855" t="str">
        <f>CONCATENATE('ketv. 2lent'!B141)</f>
        <v/>
      </c>
      <c r="C142" s="853" t="str">
        <f>CONCATENATE('3 pr-2'!D143)</f>
        <v>Ambulatorinių sveikatos priežiūros paslaugų gerinimas tuberkulioze sergantiems asmenims</v>
      </c>
      <c r="D142" s="853" t="str">
        <f>CONCATENATE('3 pr-2'!E143)</f>
        <v>Alytaus miesto savivaldybės administracija</v>
      </c>
      <c r="E142" s="853" t="str">
        <f>CONCATENATE('3 pr-2'!F143)</f>
        <v>Lietuvos Respublikos Sveikatos apsaugos ministerija</v>
      </c>
      <c r="F142" s="853" t="str">
        <f>CONCATENATE('3 pr-2'!G143)</f>
        <v>Alytaus  miestas</v>
      </c>
      <c r="G142" s="853" t="str">
        <f>CONCATENATE('3 pr-2'!H143)</f>
        <v>08.4.2-ESFA-R-615</v>
      </c>
      <c r="H142" s="853" t="str">
        <f>CONCATENATE('3 pr-2'!I143)</f>
        <v>R</v>
      </c>
      <c r="I142" s="856" t="str">
        <f>CONCATENATE('3 pr-2'!J143)</f>
        <v>-</v>
      </c>
      <c r="J142" s="857">
        <f>SUM('3 pr-2'!L143)</f>
        <v>17041.18</v>
      </c>
      <c r="K142" s="858">
        <f>SUM('3 pr-2'!O143)</f>
        <v>1278.0899999999999</v>
      </c>
      <c r="L142" s="858">
        <f>SUM('3 pr-2'!R143)</f>
        <v>1278.0899999999999</v>
      </c>
      <c r="M142" s="858">
        <f>SUM('3 pr-2'!U143)</f>
        <v>0</v>
      </c>
      <c r="N142" s="858">
        <f>SUM('3 pr-2'!X143)</f>
        <v>0</v>
      </c>
      <c r="O142" s="859">
        <f>SUM('3 pr-2'!AA143)</f>
        <v>14485</v>
      </c>
      <c r="P142" s="860">
        <f>SUM('3 pr-2'!AE143)</f>
        <v>43136</v>
      </c>
      <c r="Q142" s="853"/>
      <c r="R142" s="861">
        <f t="shared" si="29"/>
        <v>0</v>
      </c>
      <c r="S142" s="862">
        <f t="shared" si="30"/>
        <v>0</v>
      </c>
    </row>
    <row r="143" spans="1:19" ht="61.5" thickBot="1" x14ac:dyDescent="0.3">
      <c r="A143" s="854" t="str">
        <f>CONCATENATE('3 pr-2'!A144)</f>
        <v>2.1.2.3.3</v>
      </c>
      <c r="B143" s="855" t="str">
        <f>CONCATENATE('ketv. 2lent'!B142)</f>
        <v/>
      </c>
      <c r="C143" s="853" t="str">
        <f>CONCATENATE('3 pr-2'!D144)</f>
        <v xml:space="preserve">Paslaugų tuberkulioze sergantiems asmenims gerinimas Lazdijų rajono savivaldybėje </v>
      </c>
      <c r="D143" s="853" t="str">
        <f>CONCATENATE('3 pr-2'!E144)</f>
        <v>Lazdijų rajono savivaldybės administracija</v>
      </c>
      <c r="E143" s="853" t="str">
        <f>CONCATENATE('3 pr-2'!F144)</f>
        <v>Lietuvos Respublikos Sveikatos apsaugos ministerija</v>
      </c>
      <c r="F143" s="853" t="str">
        <f>CONCATENATE('3 pr-2'!G144)</f>
        <v>Lazdijų rajono savivaldybė</v>
      </c>
      <c r="G143" s="853" t="str">
        <f>CONCATENATE('3 pr-2'!H144)</f>
        <v>08.4.2-ESFA-R-615</v>
      </c>
      <c r="H143" s="853" t="str">
        <f>CONCATENATE('3 pr-2'!I144)</f>
        <v>R</v>
      </c>
      <c r="I143" s="856" t="str">
        <f>CONCATENATE('3 pr-2'!J144)</f>
        <v>-</v>
      </c>
      <c r="J143" s="857">
        <f>SUM('3 pr-2'!L144)</f>
        <v>15223.53</v>
      </c>
      <c r="K143" s="858">
        <f>SUM('3 pr-2'!O144)</f>
        <v>1141.77</v>
      </c>
      <c r="L143" s="858">
        <f>SUM('3 pr-2'!R144)</f>
        <v>1141.76</v>
      </c>
      <c r="M143" s="858">
        <f>SUM('3 pr-2'!U144)</f>
        <v>0</v>
      </c>
      <c r="N143" s="858">
        <f>SUM('3 pr-2'!X144)</f>
        <v>0</v>
      </c>
      <c r="O143" s="859">
        <f>SUM('3 pr-2'!AA144)</f>
        <v>12940</v>
      </c>
      <c r="P143" s="860">
        <f>SUM('3 pr-2'!AE144)</f>
        <v>43136</v>
      </c>
      <c r="Q143" s="853"/>
      <c r="R143" s="861">
        <f t="shared" si="29"/>
        <v>0</v>
      </c>
      <c r="S143" s="862">
        <f t="shared" si="30"/>
        <v>0</v>
      </c>
    </row>
    <row r="144" spans="1:19" ht="61.5" thickBot="1" x14ac:dyDescent="0.3">
      <c r="A144" s="854" t="str">
        <f>CONCATENATE('3 pr-2'!A145)</f>
        <v>2.1.2.3.4</v>
      </c>
      <c r="B144" s="855" t="str">
        <f>CONCATENATE('ketv. 2lent'!B143)</f>
        <v/>
      </c>
      <c r="C144" s="853" t="str">
        <f>CONCATENATE('3 pr-2'!D145)</f>
        <v>Ambulatorinių sveikatos priežiūros paslaugų tuberkulioze sergantiems asmenims prieinamumo gerinimas Druskininkų savivaldybėje</v>
      </c>
      <c r="D144" s="853" t="str">
        <f>CONCATENATE('3 pr-2'!E145)</f>
        <v>Druskininkų pirminės sveikatos priežiūros centras</v>
      </c>
      <c r="E144" s="853" t="str">
        <f>CONCATENATE('3 pr-2'!F145)</f>
        <v>Lietuvos Respublikos Sveikatos apsaugos ministerija</v>
      </c>
      <c r="F144" s="853" t="str">
        <f>CONCATENATE('3 pr-2'!G145)</f>
        <v>Druskininkų savivaldybė</v>
      </c>
      <c r="G144" s="853" t="str">
        <f>CONCATENATE('3 pr-2'!H145)</f>
        <v>08.4.2-ESFA-R-615</v>
      </c>
      <c r="H144" s="853" t="str">
        <f>CONCATENATE('3 pr-2'!I145)</f>
        <v>R</v>
      </c>
      <c r="I144" s="856" t="str">
        <f>CONCATENATE('3 pr-2'!J145)</f>
        <v>-</v>
      </c>
      <c r="J144" s="857">
        <f>SUM('3 pr-2'!L145)</f>
        <v>6816</v>
      </c>
      <c r="K144" s="858">
        <f>SUM('3 pr-2'!O145)</f>
        <v>511.2</v>
      </c>
      <c r="L144" s="858">
        <f>SUM('3 pr-2'!R145)</f>
        <v>511.2</v>
      </c>
      <c r="M144" s="858">
        <f>SUM('3 pr-2'!U145)</f>
        <v>0</v>
      </c>
      <c r="N144" s="858">
        <f>SUM('3 pr-2'!X145)</f>
        <v>0</v>
      </c>
      <c r="O144" s="859">
        <f>SUM('3 pr-2'!AA145)</f>
        <v>5793.6</v>
      </c>
      <c r="P144" s="860">
        <f>SUM('3 pr-2'!AE145)</f>
        <v>43136</v>
      </c>
      <c r="Q144" s="853"/>
      <c r="R144" s="861">
        <f t="shared" si="29"/>
        <v>0</v>
      </c>
      <c r="S144" s="862">
        <f t="shared" si="30"/>
        <v>0</v>
      </c>
    </row>
    <row r="145" spans="1:19" ht="61.5" thickBot="1" x14ac:dyDescent="0.3">
      <c r="A145" s="854" t="str">
        <f>CONCATENATE('3 pr-2'!A146)</f>
        <v>2.1.2.3.5</v>
      </c>
      <c r="B145" s="855" t="str">
        <f>CONCATENATE('ketv. 2lent'!B144)</f>
        <v/>
      </c>
      <c r="C145" s="853" t="str">
        <f>CONCATENATE('3 pr-2'!D146)</f>
        <v>Ambulatorinių sveikatos priežiūros paslaugų prieinamumo gerinimas tuberkulioze sergantiems asmenims Varėnos rajono savivaldybėje</v>
      </c>
      <c r="D145" s="853" t="str">
        <f>CONCATENATE('3 pr-2'!E146)</f>
        <v>Varėnos rajono savivaldybės administracija</v>
      </c>
      <c r="E145" s="853" t="str">
        <f>CONCATENATE('3 pr-2'!F146)</f>
        <v>Lietuvos Respublikos Sveikatos apsaugos ministerija</v>
      </c>
      <c r="F145" s="853" t="str">
        <f>CONCATENATE('3 pr-2'!G146)</f>
        <v>Varėnos rajono savivaldybė</v>
      </c>
      <c r="G145" s="853" t="str">
        <f>CONCATENATE('3 pr-2'!H146)</f>
        <v>08.4.2-ESFA-R-615</v>
      </c>
      <c r="H145" s="853" t="str">
        <f>CONCATENATE('3 pr-2'!I146)</f>
        <v>R</v>
      </c>
      <c r="I145" s="856" t="str">
        <f>CONCATENATE('3 pr-2'!J146)</f>
        <v>-</v>
      </c>
      <c r="J145" s="857">
        <f>SUM('3 pr-2'!L146)</f>
        <v>15679</v>
      </c>
      <c r="K145" s="858">
        <f>SUM('3 pr-2'!O146)</f>
        <v>1176</v>
      </c>
      <c r="L145" s="858">
        <f>SUM('3 pr-2'!R146)</f>
        <v>1176</v>
      </c>
      <c r="M145" s="858">
        <f>SUM('3 pr-2'!U146)</f>
        <v>0</v>
      </c>
      <c r="N145" s="858">
        <f>SUM('3 pr-2'!X146)</f>
        <v>0</v>
      </c>
      <c r="O145" s="859">
        <f>SUM('3 pr-2'!AA146)</f>
        <v>13327</v>
      </c>
      <c r="P145" s="860">
        <f>SUM('3 pr-2'!AE146)</f>
        <v>43136</v>
      </c>
      <c r="Q145" s="853"/>
      <c r="R145" s="861">
        <f t="shared" si="29"/>
        <v>0</v>
      </c>
      <c r="S145" s="862">
        <f t="shared" si="30"/>
        <v>0</v>
      </c>
    </row>
    <row r="146" spans="1:19" ht="44.25" customHeight="1" thickBot="1" x14ac:dyDescent="0.3">
      <c r="A146" s="220" t="str">
        <f>CONCATENATE('3 pr-2'!A147)</f>
        <v>2.1.3.</v>
      </c>
      <c r="B146" s="323" t="str">
        <f>CONCATENATE('ketv. 2lent'!B145)</f>
        <v/>
      </c>
      <c r="C146" s="1668" t="str">
        <f>CONCATENATE('3 pr-2'!D147)</f>
        <v/>
      </c>
      <c r="D146" s="1595" t="str">
        <f>CONCATENATE('3 pr-2'!E147)</f>
        <v/>
      </c>
      <c r="E146" s="1595" t="str">
        <f>CONCATENATE('3 pr-2'!F147)</f>
        <v/>
      </c>
      <c r="F146" s="1595" t="str">
        <f>CONCATENATE('3 pr-2'!G147)</f>
        <v/>
      </c>
      <c r="G146" s="1595" t="str">
        <f>CONCATENATE('3 pr-2'!H147)</f>
        <v/>
      </c>
      <c r="H146" s="1595" t="str">
        <f>CONCATENATE('3 pr-2'!I147)</f>
        <v/>
      </c>
      <c r="I146" s="1595" t="str">
        <f>CONCATENATE('3 pr-2'!J147)</f>
        <v/>
      </c>
      <c r="J146" s="295">
        <f>SUM('3 pr-2'!L147)</f>
        <v>4238690.55</v>
      </c>
      <c r="K146" s="295">
        <f>SUM('3 pr-2'!O147)</f>
        <v>810007.55</v>
      </c>
      <c r="L146" s="295">
        <f>SUM('3 pr-2'!R147)</f>
        <v>21948</v>
      </c>
      <c r="M146" s="295">
        <f>SUM('3 pr-2'!U147)</f>
        <v>0</v>
      </c>
      <c r="N146" s="295">
        <f>SUM('3 pr-2'!X147)</f>
        <v>0</v>
      </c>
      <c r="O146" s="295">
        <f>SUM('3 pr-2'!AA147)</f>
        <v>3406735</v>
      </c>
      <c r="P146" s="280" t="s">
        <v>725</v>
      </c>
      <c r="Q146" s="262" t="s">
        <v>725</v>
      </c>
      <c r="R146" s="263" t="s">
        <v>725</v>
      </c>
      <c r="S146" s="263"/>
    </row>
    <row r="147" spans="1:19" ht="42.75" customHeight="1" thickBot="1" x14ac:dyDescent="0.3">
      <c r="A147" s="488" t="str">
        <f>CONCATENATE('3 pr-2'!A148)</f>
        <v>2.1.3.1</v>
      </c>
      <c r="B147" s="790" t="str">
        <f>CONCATENATE('ketv. 2lent'!B146)</f>
        <v/>
      </c>
      <c r="C147" s="1656" t="str">
        <f>CONCATENATE('3 pr-2'!D148)</f>
        <v/>
      </c>
      <c r="D147" s="1802" t="str">
        <f>CONCATENATE('3 pr-2'!E148)</f>
        <v/>
      </c>
      <c r="E147" s="1802" t="str">
        <f>CONCATENATE('3 pr-2'!F148)</f>
        <v/>
      </c>
      <c r="F147" s="1802" t="str">
        <f>CONCATENATE('3 pr-2'!G148)</f>
        <v/>
      </c>
      <c r="G147" s="1802" t="str">
        <f>CONCATENATE('3 pr-2'!H148)</f>
        <v/>
      </c>
      <c r="H147" s="1802" t="str">
        <f>CONCATENATE('3 pr-2'!I148)</f>
        <v/>
      </c>
      <c r="I147" s="1802" t="str">
        <f>CONCATENATE('3 pr-2'!J148)</f>
        <v/>
      </c>
      <c r="J147" s="791">
        <f>SUM('3 pr-2'!L148)</f>
        <v>1272489.55</v>
      </c>
      <c r="K147" s="791">
        <f>SUM('3 pr-2'!O148)</f>
        <v>364780.55000000005</v>
      </c>
      <c r="L147" s="791">
        <f>SUM('3 pr-2'!R148)</f>
        <v>21948</v>
      </c>
      <c r="M147" s="791">
        <f>SUM('3 pr-2'!U148)</f>
        <v>0</v>
      </c>
      <c r="N147" s="791">
        <f>SUM('3 pr-2'!X148)</f>
        <v>0</v>
      </c>
      <c r="O147" s="792">
        <f>SUM('3 pr-2'!AA148)</f>
        <v>885761</v>
      </c>
      <c r="P147" s="793"/>
      <c r="Q147" s="794"/>
      <c r="R147" s="795"/>
      <c r="S147" s="795"/>
    </row>
    <row r="148" spans="1:19" ht="61.5" thickBot="1" x14ac:dyDescent="0.3">
      <c r="A148" s="254" t="str">
        <f>CONCATENATE('3 pr-2'!A149)</f>
        <v>2.1.3.1.1</v>
      </c>
      <c r="B148" s="323" t="str">
        <f>CONCATENATE('ketv. 2lent'!B147)</f>
        <v>08.1.1-CPVA-R-407-11-0002</v>
      </c>
      <c r="C148" s="255" t="str">
        <f>CONCATENATE('3 pr-2'!D149)</f>
        <v>Socialinių paslaugų infrastruktūros plėtra Varėnos rajono savivaldybėje</v>
      </c>
      <c r="D148" s="255" t="str">
        <f>CONCATENATE('3 pr-2'!E149)</f>
        <v>Varėnos rajono savivaldybės administracija</v>
      </c>
      <c r="E148" s="255" t="str">
        <f>CONCATENATE('3 pr-2'!F149)</f>
        <v>Lietuvos Respublikos socialinės apsaugos ir darbo ministerija</v>
      </c>
      <c r="F148" s="255" t="str">
        <f>CONCATENATE('3 pr-2'!G149)</f>
        <v>Varėnos rajono savivaldybė</v>
      </c>
      <c r="G148" s="255" t="str">
        <f>CONCATENATE('3 pr-2'!H149)</f>
        <v>08.1.2-CPVA-R-407</v>
      </c>
      <c r="H148" s="255" t="str">
        <f>CONCATENATE('3 pr-2'!I149)</f>
        <v>R</v>
      </c>
      <c r="I148" s="265" t="str">
        <f>CONCATENATE('3 pr-2'!J149)</f>
        <v>-</v>
      </c>
      <c r="J148" s="266">
        <f>SUM('3 pr-2'!L149)</f>
        <v>148480</v>
      </c>
      <c r="K148" s="267">
        <f>SUM('3 pr-2'!O149)</f>
        <v>22272</v>
      </c>
      <c r="L148" s="267">
        <f>SUM('3 pr-2'!R149)</f>
        <v>0</v>
      </c>
      <c r="M148" s="267">
        <f>SUM('3 pr-2'!U149)</f>
        <v>0</v>
      </c>
      <c r="N148" s="267">
        <f>SUM('3 pr-2'!X149)</f>
        <v>0</v>
      </c>
      <c r="O148" s="268">
        <f>SUM('3 pr-2'!AA149)</f>
        <v>126208</v>
      </c>
      <c r="P148" s="288">
        <f>SUM('3 pr-2'!AE149)</f>
        <v>42618</v>
      </c>
      <c r="Q148" s="346">
        <v>42618</v>
      </c>
      <c r="R148" s="264">
        <f t="shared" ref="R148:R152" si="31">IF(Q148&gt;0,P148-Q148,0)</f>
        <v>0</v>
      </c>
      <c r="S148" s="341">
        <f t="shared" ref="S148:S152" si="32">IF(Q148&gt;0,(P148-Q148)/30.1667,0)</f>
        <v>0</v>
      </c>
    </row>
    <row r="149" spans="1:19" ht="61.5" thickBot="1" x14ac:dyDescent="0.3">
      <c r="A149" s="254" t="str">
        <f>CONCATENATE('3 pr-2'!A150)</f>
        <v>2.1.3.1.2</v>
      </c>
      <c r="B149" s="323" t="str">
        <f>CONCATENATE('ketv. 2lent'!B148)</f>
        <v>08.1.1-CPVA-R-407-11-0004</v>
      </c>
      <c r="C149" s="255" t="str">
        <f>CONCATENATE('3 pr-2'!D150)</f>
        <v>Psichosocialinės pagalbos centro įkūrimas</v>
      </c>
      <c r="D149" s="255" t="str">
        <f>CONCATENATE('3 pr-2'!E150)</f>
        <v>Alytaus rajono savivaldybės administracija</v>
      </c>
      <c r="E149" s="255" t="str">
        <f>CONCATENATE('3 pr-2'!F150)</f>
        <v>Lietuvos Respublikos socialinės apsaugos ir darbo ministerija</v>
      </c>
      <c r="F149" s="255" t="str">
        <f>CONCATENATE('3 pr-2'!G150)</f>
        <v>Alytaus  miestas</v>
      </c>
      <c r="G149" s="255" t="str">
        <f>CONCATENATE('3 pr-2'!H150)</f>
        <v>08.1.2-CPVA-R-407</v>
      </c>
      <c r="H149" s="255" t="str">
        <f>CONCATENATE('3 pr-2'!I150)</f>
        <v>R</v>
      </c>
      <c r="I149" s="265" t="str">
        <f>CONCATENATE('3 pr-2'!J150)</f>
        <v/>
      </c>
      <c r="J149" s="266">
        <f>SUM('3 pr-2'!L150)</f>
        <v>188353</v>
      </c>
      <c r="K149" s="267">
        <f>SUM('3 pr-2'!O150)</f>
        <v>28253</v>
      </c>
      <c r="L149" s="267">
        <f>SUM('3 pr-2'!R150)</f>
        <v>0</v>
      </c>
      <c r="M149" s="267">
        <f>SUM('3 pr-2'!U150)</f>
        <v>0</v>
      </c>
      <c r="N149" s="267">
        <f>SUM('3 pr-2'!X150)</f>
        <v>0</v>
      </c>
      <c r="O149" s="268">
        <f>SUM('3 pr-2'!AA150)</f>
        <v>160100</v>
      </c>
      <c r="P149" s="288">
        <f>SUM('3 pr-2'!AE150)</f>
        <v>42618</v>
      </c>
      <c r="Q149" s="346">
        <v>42618</v>
      </c>
      <c r="R149" s="264">
        <f t="shared" si="31"/>
        <v>0</v>
      </c>
      <c r="S149" s="341">
        <f t="shared" si="32"/>
        <v>0</v>
      </c>
    </row>
    <row r="150" spans="1:19" ht="61.5" thickBot="1" x14ac:dyDescent="0.3">
      <c r="A150" s="254" t="str">
        <f>CONCATENATE('3 pr-2'!A151)</f>
        <v>2.1.3.1.3</v>
      </c>
      <c r="B150" s="323" t="str">
        <f>CONCATENATE('ketv. 2lent'!B149)</f>
        <v>08.1.1-CPVA-R-407-11-0005</v>
      </c>
      <c r="C150" s="255" t="str">
        <f>CONCATENATE('3 pr-2'!D151)</f>
        <v>Socialinių paslaugų plėtra Alytaus mieste</v>
      </c>
      <c r="D150" s="255" t="str">
        <f>CONCATENATE('3 pr-2'!E151)</f>
        <v>Alytaus miesto savivaldybės administracija</v>
      </c>
      <c r="E150" s="255" t="str">
        <f>CONCATENATE('3 pr-2'!F151)</f>
        <v>Lietuvos Respublikos socialinės apsaugos ir darbo ministerija</v>
      </c>
      <c r="F150" s="255" t="str">
        <f>CONCATENATE('3 pr-2'!G151)</f>
        <v>Alytaus  miestas</v>
      </c>
      <c r="G150" s="255" t="str">
        <f>CONCATENATE('3 pr-2'!H151)</f>
        <v>08.1.2-CPVA-R-407</v>
      </c>
      <c r="H150" s="255" t="str">
        <f>CONCATENATE('3 pr-2'!I151)</f>
        <v>R</v>
      </c>
      <c r="I150" s="265" t="str">
        <f>CONCATENATE('3 pr-2'!J151)</f>
        <v>-</v>
      </c>
      <c r="J150" s="266">
        <f>SUM('3 pr-2'!L151)</f>
        <v>637900.55000000005</v>
      </c>
      <c r="K150" s="267">
        <f>SUM('3 pr-2'!O151)</f>
        <v>291539.55000000005</v>
      </c>
      <c r="L150" s="267">
        <f>SUM('3 pr-2'!R151)</f>
        <v>0</v>
      </c>
      <c r="M150" s="267">
        <f>SUM('3 pr-2'!U151)</f>
        <v>0</v>
      </c>
      <c r="N150" s="267">
        <f>SUM('3 pr-2'!X151)</f>
        <v>0</v>
      </c>
      <c r="O150" s="268">
        <f>SUM('3 pr-2'!AA151)</f>
        <v>346361</v>
      </c>
      <c r="P150" s="288">
        <f>SUM('3 pr-2'!AE151)</f>
        <v>42653</v>
      </c>
      <c r="Q150" s="346">
        <v>42653</v>
      </c>
      <c r="R150" s="264">
        <f t="shared" si="31"/>
        <v>0</v>
      </c>
      <c r="S150" s="341">
        <f t="shared" si="32"/>
        <v>0</v>
      </c>
    </row>
    <row r="151" spans="1:19" ht="61.5" thickBot="1" x14ac:dyDescent="0.3">
      <c r="A151" s="254" t="str">
        <f>CONCATENATE('3 pr-2'!A152)</f>
        <v>2.1.3.1.4</v>
      </c>
      <c r="B151" s="323" t="str">
        <f>CONCATENATE('ketv. 2lent'!B150)</f>
        <v>08.1.1-CPVA-R-407-11-0001</v>
      </c>
      <c r="C151" s="255" t="str">
        <f>CONCATENATE('3 pr-2'!D152)</f>
        <v>Socialinių paslaugų infrastruktūros plėtra Druskininkų savivaldybėje</v>
      </c>
      <c r="D151" s="255" t="str">
        <f>CONCATENATE('3 pr-2'!E152)</f>
        <v>Druskininkų savivaldybės administracija</v>
      </c>
      <c r="E151" s="255" t="str">
        <f>CONCATENATE('3 pr-2'!F152)</f>
        <v>Lietuvos Respublikos socialinės apsaugos ir darbo ministerija</v>
      </c>
      <c r="F151" s="255" t="str">
        <f>CONCATENATE('3 pr-2'!G152)</f>
        <v>Druskininkų savivaldybė</v>
      </c>
      <c r="G151" s="255" t="str">
        <f>CONCATENATE('3 pr-2'!H152)</f>
        <v>08.1.2-CPVA-R-407</v>
      </c>
      <c r="H151" s="255" t="str">
        <f>CONCATENATE('3 pr-2'!I152)</f>
        <v>R</v>
      </c>
      <c r="I151" s="265" t="str">
        <f>CONCATENATE('3 pr-2'!J152)</f>
        <v>-</v>
      </c>
      <c r="J151" s="266">
        <f>SUM('3 pr-2'!L152)</f>
        <v>151437</v>
      </c>
      <c r="K151" s="267">
        <f>SUM('3 pr-2'!O152)</f>
        <v>22716</v>
      </c>
      <c r="L151" s="267">
        <f>SUM('3 pr-2'!R152)</f>
        <v>0</v>
      </c>
      <c r="M151" s="267">
        <f>SUM('3 pr-2'!U152)</f>
        <v>0</v>
      </c>
      <c r="N151" s="267">
        <f>SUM('3 pr-2'!X152)</f>
        <v>0</v>
      </c>
      <c r="O151" s="268">
        <f>SUM('3 pr-2'!AA152)</f>
        <v>128721</v>
      </c>
      <c r="P151" s="288">
        <f>SUM('3 pr-2'!AE152)</f>
        <v>42618</v>
      </c>
      <c r="Q151" s="346">
        <v>42618</v>
      </c>
      <c r="R151" s="264">
        <f t="shared" si="31"/>
        <v>0</v>
      </c>
      <c r="S151" s="341">
        <f t="shared" si="32"/>
        <v>0</v>
      </c>
    </row>
    <row r="152" spans="1:19" ht="61.5" thickBot="1" x14ac:dyDescent="0.3">
      <c r="A152" s="254" t="str">
        <f>CONCATENATE('3 pr-2'!A153)</f>
        <v>2.1.3.1.5</v>
      </c>
      <c r="B152" s="323" t="str">
        <f>CONCATENATE('ketv. 2lent'!B151)</f>
        <v>08.1.1-CPVA-R-407-11-0003</v>
      </c>
      <c r="C152" s="255" t="str">
        <f>CONCATENATE('3 pr-2'!D153)</f>
        <v>Socialinių paslaugų infrastruktūros modernizavimas ir plėtra VšĮ Kapčiamiesčio globos namuose</v>
      </c>
      <c r="D152" s="255" t="str">
        <f>CONCATENATE('3 pr-2'!E153)</f>
        <v>VšĮ Kapčiamiesčio globos namai</v>
      </c>
      <c r="E152" s="255" t="str">
        <f>CONCATENATE('3 pr-2'!F153)</f>
        <v>Lietuvos Respublikos socialinės apsaugos ir darbo ministerija</v>
      </c>
      <c r="F152" s="255" t="str">
        <f>CONCATENATE('3 pr-2'!G153)</f>
        <v>Lazdijų rajono savivaldybė</v>
      </c>
      <c r="G152" s="255" t="str">
        <f>CONCATENATE('3 pr-2'!H153)</f>
        <v>08.1.2-CPVA-R-407</v>
      </c>
      <c r="H152" s="255" t="str">
        <f>CONCATENATE('3 pr-2'!I153)</f>
        <v>R</v>
      </c>
      <c r="I152" s="265" t="str">
        <f>CONCATENATE('3 pr-2'!J153)</f>
        <v>-</v>
      </c>
      <c r="J152" s="266">
        <f>SUM('3 pr-2'!L153)</f>
        <v>146319</v>
      </c>
      <c r="K152" s="267">
        <f>SUM('3 pr-2'!O153)</f>
        <v>0</v>
      </c>
      <c r="L152" s="267">
        <f>SUM('3 pr-2'!R153)</f>
        <v>21948</v>
      </c>
      <c r="M152" s="267">
        <f>SUM('3 pr-2'!U153)</f>
        <v>0</v>
      </c>
      <c r="N152" s="267">
        <f>SUM('3 pr-2'!X153)</f>
        <v>0</v>
      </c>
      <c r="O152" s="268">
        <f>SUM('3 pr-2'!AA153)</f>
        <v>124371</v>
      </c>
      <c r="P152" s="288">
        <f>SUM('3 pr-2'!AE153)</f>
        <v>42618</v>
      </c>
      <c r="Q152" s="346">
        <v>42618</v>
      </c>
      <c r="R152" s="264">
        <f t="shared" si="31"/>
        <v>0</v>
      </c>
      <c r="S152" s="341">
        <f t="shared" si="32"/>
        <v>0</v>
      </c>
    </row>
    <row r="153" spans="1:19" ht="25.5" customHeight="1" thickBot="1" x14ac:dyDescent="0.3">
      <c r="A153" s="488" t="str">
        <f>CONCATENATE('3 pr-2'!A154)</f>
        <v>2.1.3.2</v>
      </c>
      <c r="B153" s="790" t="str">
        <f>CONCATENATE('ketv. 2lent'!B152)</f>
        <v/>
      </c>
      <c r="C153" s="1656" t="str">
        <f>CONCATENATE('3 pr-2'!D154)</f>
        <v/>
      </c>
      <c r="D153" s="1802" t="str">
        <f>CONCATENATE('3 pr-2'!E154)</f>
        <v/>
      </c>
      <c r="E153" s="1802" t="str">
        <f>CONCATENATE('3 pr-2'!F154)</f>
        <v/>
      </c>
      <c r="F153" s="1802" t="str">
        <f>CONCATENATE('3 pr-2'!G154)</f>
        <v/>
      </c>
      <c r="G153" s="1802" t="str">
        <f>CONCATENATE('3 pr-2'!H154)</f>
        <v/>
      </c>
      <c r="H153" s="1802" t="str">
        <f>CONCATENATE('3 pr-2'!I154)</f>
        <v/>
      </c>
      <c r="I153" s="1802" t="str">
        <f>CONCATENATE('3 pr-2'!J154)</f>
        <v/>
      </c>
      <c r="J153" s="791">
        <f>SUM('3 pr-2'!L154)</f>
        <v>2966201</v>
      </c>
      <c r="K153" s="791">
        <f>SUM('3 pr-2'!O154)</f>
        <v>445227</v>
      </c>
      <c r="L153" s="791">
        <f>SUM('3 pr-2'!R154)</f>
        <v>0</v>
      </c>
      <c r="M153" s="791">
        <f>SUM('3 pr-2'!U154)</f>
        <v>0</v>
      </c>
      <c r="N153" s="791">
        <f>SUM('3 pr-2'!X154)</f>
        <v>0</v>
      </c>
      <c r="O153" s="792">
        <f>SUM('3 pr-2'!AA154)</f>
        <v>2520974</v>
      </c>
      <c r="P153" s="793"/>
      <c r="Q153" s="794"/>
      <c r="R153" s="795"/>
      <c r="S153" s="795"/>
    </row>
    <row r="154" spans="1:19" ht="61.5" thickBot="1" x14ac:dyDescent="0.3">
      <c r="A154" s="254" t="str">
        <f>CONCATENATE('3 pr-2'!A155)</f>
        <v>2.1.3.2.1</v>
      </c>
      <c r="B154" s="323" t="str">
        <f>CONCATENATE('ketv. 2lent'!B153)</f>
        <v>08.1.2-CPVA-R-408-11-0001</v>
      </c>
      <c r="C154" s="255" t="str">
        <f>CONCATENATE('3 pr-2'!D155)</f>
        <v>Socialinio būsto plėtra Varėnos rajone</v>
      </c>
      <c r="D154" s="255" t="str">
        <f>CONCATENATE('3 pr-2'!E155)</f>
        <v>Varėnos rajono savivaldybės administracija</v>
      </c>
      <c r="E154" s="255" t="str">
        <f>CONCATENATE('3 pr-2'!F155)</f>
        <v>Lietuvos Respublikos socialinės apsaugos ir darbo ministerija</v>
      </c>
      <c r="F154" s="255" t="str">
        <f>CONCATENATE('3 pr-2'!G155)</f>
        <v>Varėnos rajono savivaldybė</v>
      </c>
      <c r="G154" s="255" t="str">
        <f>CONCATENATE('3 pr-2'!H155)</f>
        <v>08.1.1-CPVA·R-408</v>
      </c>
      <c r="H154" s="255" t="str">
        <f>CONCATENATE('3 pr-2'!I155)</f>
        <v>R</v>
      </c>
      <c r="I154" s="265" t="str">
        <f>CONCATENATE('3 pr-2'!J155)</f>
        <v>-</v>
      </c>
      <c r="J154" s="266">
        <f>SUM('3 pr-2'!L155)</f>
        <v>736499</v>
      </c>
      <c r="K154" s="267">
        <f>SUM('3 pr-2'!O155)</f>
        <v>110475</v>
      </c>
      <c r="L154" s="267">
        <f>SUM('3 pr-2'!R155)</f>
        <v>0</v>
      </c>
      <c r="M154" s="267">
        <f>SUM('3 pr-2'!U155)</f>
        <v>0</v>
      </c>
      <c r="N154" s="267">
        <f>SUM('3 pr-2'!X155)</f>
        <v>0</v>
      </c>
      <c r="O154" s="268">
        <f>SUM('3 pr-2'!AA155)</f>
        <v>626024</v>
      </c>
      <c r="P154" s="288">
        <f>SUM('3 pr-2'!AE155)</f>
        <v>42401</v>
      </c>
      <c r="Q154" s="347">
        <v>42401</v>
      </c>
      <c r="R154" s="264">
        <f t="shared" ref="R154:R158" si="33">IF(Q154&gt;0,P154-Q154,0)</f>
        <v>0</v>
      </c>
      <c r="S154" s="341">
        <f t="shared" ref="S154:S158" si="34">IF(Q154&gt;0,(P154-Q154)/30.1667,0)</f>
        <v>0</v>
      </c>
    </row>
    <row r="155" spans="1:19" ht="61.5" thickBot="1" x14ac:dyDescent="0.3">
      <c r="A155" s="254" t="str">
        <f>CONCATENATE('3 pr-2'!A156)</f>
        <v>2.1.3.2.2</v>
      </c>
      <c r="B155" s="323" t="str">
        <f>CONCATENATE('ketv. 2lent'!B154)</f>
        <v>08.1.2-CPVA-R-408-11-0005</v>
      </c>
      <c r="C155" s="255" t="str">
        <f>CONCATENATE('3 pr-2'!D156)</f>
        <v>Būsto prieinamumo pažeidžiamoms gyventojų grupėms didinimas Alytaus rajone</v>
      </c>
      <c r="D155" s="255" t="str">
        <f>CONCATENATE('3 pr-2'!E156)</f>
        <v>Alytaus rajono savivaldybės administracija</v>
      </c>
      <c r="E155" s="255" t="str">
        <f>CONCATENATE('3 pr-2'!F156)</f>
        <v>Lietuvos Respublikos socialinės apsaugos ir darbo ministerija</v>
      </c>
      <c r="F155" s="255" t="str">
        <f>CONCATENATE('3 pr-2'!G156)</f>
        <v>Alytaus  rajono savivaldybė</v>
      </c>
      <c r="G155" s="255" t="str">
        <f>CONCATENATE('3 pr-2'!H156)</f>
        <v>08.1.1-CPVA·R-408</v>
      </c>
      <c r="H155" s="255" t="str">
        <f>CONCATENATE('3 pr-2'!I156)</f>
        <v>R</v>
      </c>
      <c r="I155" s="265" t="str">
        <f>CONCATENATE('3 pr-2'!J156)</f>
        <v>-</v>
      </c>
      <c r="J155" s="266">
        <f>SUM('3 pr-2'!L156)</f>
        <v>241889</v>
      </c>
      <c r="K155" s="267">
        <f>SUM('3 pr-2'!O156)</f>
        <v>36283</v>
      </c>
      <c r="L155" s="267">
        <f>SUM('3 pr-2'!R156)</f>
        <v>0</v>
      </c>
      <c r="M155" s="267">
        <f>SUM('3 pr-2'!U156)</f>
        <v>0</v>
      </c>
      <c r="N155" s="267">
        <f>SUM('3 pr-2'!X156)</f>
        <v>0</v>
      </c>
      <c r="O155" s="268">
        <f>SUM('3 pr-2'!AA156)</f>
        <v>205606</v>
      </c>
      <c r="P155" s="288">
        <f>SUM('3 pr-2'!AE156)</f>
        <v>42401</v>
      </c>
      <c r="Q155" s="347">
        <v>42401</v>
      </c>
      <c r="R155" s="264">
        <f t="shared" si="33"/>
        <v>0</v>
      </c>
      <c r="S155" s="341">
        <f t="shared" si="34"/>
        <v>0</v>
      </c>
    </row>
    <row r="156" spans="1:19" ht="61.5" thickBot="1" x14ac:dyDescent="0.3">
      <c r="A156" s="254" t="str">
        <f>CONCATENATE('3 pr-2'!A157)</f>
        <v>2.1.3.1.3</v>
      </c>
      <c r="B156" s="323" t="str">
        <f>CONCATENATE('ketv. 2lent'!B155)</f>
        <v>08.1.2-CPVA-R-408-11-0002</v>
      </c>
      <c r="C156" s="255" t="str">
        <f>CONCATENATE('3 pr-2'!D157)</f>
        <v>Socialinio būsto plėtra Alytaus mieste</v>
      </c>
      <c r="D156" s="255" t="str">
        <f>CONCATENATE('3 pr-2'!E157)</f>
        <v>Alytaus miesto savivaldybės administracija</v>
      </c>
      <c r="E156" s="255" t="str">
        <f>CONCATENATE('3 pr-2'!F157)</f>
        <v>Lietuvos Respublikos socialinės apsaugos ir darbo ministerija</v>
      </c>
      <c r="F156" s="255" t="str">
        <f>CONCATENATE('3 pr-2'!G157)</f>
        <v>Alytaus miestas</v>
      </c>
      <c r="G156" s="255" t="str">
        <f>CONCATENATE('3 pr-2'!H157)</f>
        <v>08.1.1-CPVA·R-408</v>
      </c>
      <c r="H156" s="255" t="str">
        <f>CONCATENATE('3 pr-2'!I157)</f>
        <v>R</v>
      </c>
      <c r="I156" s="265" t="str">
        <f>CONCATENATE('3 pr-2'!J157)</f>
        <v>-</v>
      </c>
      <c r="J156" s="266">
        <f>SUM('3 pr-2'!L157)</f>
        <v>891741</v>
      </c>
      <c r="K156" s="267">
        <f>SUM('3 pr-2'!O157)</f>
        <v>133761</v>
      </c>
      <c r="L156" s="267">
        <f>SUM('3 pr-2'!R157)</f>
        <v>0</v>
      </c>
      <c r="M156" s="267">
        <f>SUM('3 pr-2'!U157)</f>
        <v>0</v>
      </c>
      <c r="N156" s="267">
        <f>SUM('3 pr-2'!X157)</f>
        <v>0</v>
      </c>
      <c r="O156" s="268">
        <f>SUM('3 pr-2'!AA157)</f>
        <v>757980</v>
      </c>
      <c r="P156" s="288">
        <f>SUM('3 pr-2'!AE157)</f>
        <v>42401</v>
      </c>
      <c r="Q156" s="347">
        <v>42401</v>
      </c>
      <c r="R156" s="264">
        <f t="shared" si="33"/>
        <v>0</v>
      </c>
      <c r="S156" s="341">
        <f t="shared" si="34"/>
        <v>0</v>
      </c>
    </row>
    <row r="157" spans="1:19" ht="61.5" thickBot="1" x14ac:dyDescent="0.3">
      <c r="A157" s="254" t="str">
        <f>CONCATENATE('3 pr-2'!A158)</f>
        <v>2.1.3.2.4</v>
      </c>
      <c r="B157" s="323" t="str">
        <f>CONCATENATE('ketv. 2lent'!B156)</f>
        <v>08.1.2-CPVA-R-408-11-0003</v>
      </c>
      <c r="C157" s="255" t="str">
        <f>CONCATENATE('3 pr-2'!D158)</f>
        <v>Socialinio būsto fondo plėtra Druskininkų savivaldybėje</v>
      </c>
      <c r="D157" s="255" t="str">
        <f>CONCATENATE('3 pr-2'!E158)</f>
        <v>Druskininkų savivaldybės administracija</v>
      </c>
      <c r="E157" s="255" t="str">
        <f>CONCATENATE('3 pr-2'!F158)</f>
        <v>Lietuvos Respublikos socialinės apsaugos ir darbo ministerija</v>
      </c>
      <c r="F157" s="255" t="str">
        <f>CONCATENATE('3 pr-2'!G158)</f>
        <v>Druskininkų savivaldybė</v>
      </c>
      <c r="G157" s="255" t="str">
        <f>CONCATENATE('3 pr-2'!H158)</f>
        <v>08.1.1-CPVA·R-408</v>
      </c>
      <c r="H157" s="255" t="str">
        <f>CONCATENATE('3 pr-2'!I158)</f>
        <v>R</v>
      </c>
      <c r="I157" s="265" t="str">
        <f>CONCATENATE('3 pr-2'!J158)</f>
        <v>-</v>
      </c>
      <c r="J157" s="266">
        <f>SUM('3 pr-2'!L158)</f>
        <v>727473</v>
      </c>
      <c r="K157" s="267">
        <f>SUM('3 pr-2'!O158)</f>
        <v>109121</v>
      </c>
      <c r="L157" s="267">
        <f>SUM('3 pr-2'!R158)</f>
        <v>0</v>
      </c>
      <c r="M157" s="267">
        <f>SUM('3 pr-2'!U158)</f>
        <v>0</v>
      </c>
      <c r="N157" s="267">
        <f>SUM('3 pr-2'!X158)</f>
        <v>0</v>
      </c>
      <c r="O157" s="268">
        <f>SUM('3 pr-2'!AA158)</f>
        <v>618352</v>
      </c>
      <c r="P157" s="288">
        <f>SUM('3 pr-2'!AE158)</f>
        <v>42401</v>
      </c>
      <c r="Q157" s="347">
        <v>42401</v>
      </c>
      <c r="R157" s="264">
        <f t="shared" si="33"/>
        <v>0</v>
      </c>
      <c r="S157" s="341">
        <f t="shared" si="34"/>
        <v>0</v>
      </c>
    </row>
    <row r="158" spans="1:19" ht="61.5" thickBot="1" x14ac:dyDescent="0.3">
      <c r="A158" s="254" t="str">
        <f>CONCATENATE('3 pr-2'!A159)</f>
        <v>2.1.3.2.5</v>
      </c>
      <c r="B158" s="323" t="str">
        <f>CONCATENATE('ketv. 2lent'!B157)</f>
        <v>08.1.2-CPVA-R-408-11-0004</v>
      </c>
      <c r="C158" s="255" t="str">
        <f>CONCATENATE('3 pr-2'!D159)</f>
        <v>Socialinio būsto fondo plėtra Lazdijų rajono savivaldybėje</v>
      </c>
      <c r="D158" s="255" t="str">
        <f>CONCATENATE('3 pr-2'!E159)</f>
        <v>Lazdijų rajono savivaldybės administracija</v>
      </c>
      <c r="E158" s="255" t="str">
        <f>CONCATENATE('3 pr-2'!F159)</f>
        <v>Lietuvos Respublikos socialinės apsaugos ir darbo ministerija</v>
      </c>
      <c r="F158" s="255" t="str">
        <f>CONCATENATE('3 pr-2'!G159)</f>
        <v>Lazdijų rajono savivaldybė</v>
      </c>
      <c r="G158" s="255" t="str">
        <f>CONCATENATE('3 pr-2'!H159)</f>
        <v>08.1.1-CPVA·R-408</v>
      </c>
      <c r="H158" s="255" t="str">
        <f>CONCATENATE('3 pr-2'!I159)</f>
        <v>R</v>
      </c>
      <c r="I158" s="265" t="str">
        <f>CONCATENATE('3 pr-2'!J159)</f>
        <v>-</v>
      </c>
      <c r="J158" s="300">
        <f>SUM('3 pr-2'!L159)</f>
        <v>368599</v>
      </c>
      <c r="K158" s="301">
        <f>SUM('3 pr-2'!O159)</f>
        <v>55587</v>
      </c>
      <c r="L158" s="301">
        <f>SUM('3 pr-2'!R159)</f>
        <v>0</v>
      </c>
      <c r="M158" s="301">
        <f>SUM('3 pr-2'!U159)</f>
        <v>0</v>
      </c>
      <c r="N158" s="301">
        <f>SUM('3 pr-2'!X159)</f>
        <v>0</v>
      </c>
      <c r="O158" s="302">
        <f>SUM('3 pr-2'!AA159)</f>
        <v>313012</v>
      </c>
      <c r="P158" s="288">
        <f>SUM('3 pr-2'!AE159)</f>
        <v>42401</v>
      </c>
      <c r="Q158" s="350">
        <v>42401</v>
      </c>
      <c r="R158" s="264">
        <f t="shared" si="33"/>
        <v>0</v>
      </c>
      <c r="S158" s="341">
        <f t="shared" si="34"/>
        <v>0</v>
      </c>
    </row>
    <row r="159" spans="1:19" ht="40.5" customHeight="1" thickBot="1" x14ac:dyDescent="0.3">
      <c r="A159" s="220" t="str">
        <f>CONCATENATE('3 pr-2'!A160)</f>
        <v>2.1.4.</v>
      </c>
      <c r="B159" s="323" t="str">
        <f>CONCATENATE('ketv. 2lent'!B158)</f>
        <v/>
      </c>
      <c r="C159" s="1668" t="str">
        <f>CONCATENATE('3 pr-2'!D160)</f>
        <v/>
      </c>
      <c r="D159" s="1595" t="str">
        <f>CONCATENATE('3 pr-2'!E160)</f>
        <v/>
      </c>
      <c r="E159" s="1595" t="str">
        <f>CONCATENATE('3 pr-2'!F160)</f>
        <v/>
      </c>
      <c r="F159" s="1595" t="str">
        <f>CONCATENATE('3 pr-2'!G160)</f>
        <v/>
      </c>
      <c r="G159" s="1595" t="str">
        <f>CONCATENATE('3 pr-2'!H160)</f>
        <v/>
      </c>
      <c r="H159" s="1595" t="str">
        <f>CONCATENATE('3 pr-2'!I160)</f>
        <v/>
      </c>
      <c r="I159" s="1595" t="str">
        <f>CONCATENATE('3 pr-2'!J160)</f>
        <v/>
      </c>
      <c r="J159" s="303">
        <f>SUM('3 pr-2'!L160)</f>
        <v>1144134.52</v>
      </c>
      <c r="K159" s="303">
        <f>SUM('3 pr-2'!O160)</f>
        <v>171620.03</v>
      </c>
      <c r="L159" s="303">
        <f>SUM('3 pr-2'!R160)</f>
        <v>0</v>
      </c>
      <c r="M159" s="303">
        <f>SUM('3 pr-2'!U160)</f>
        <v>0</v>
      </c>
      <c r="N159" s="303">
        <f>SUM('3 pr-2'!X160)</f>
        <v>0</v>
      </c>
      <c r="O159" s="303">
        <f>SUM('3 pr-2'!AA160)</f>
        <v>972514.49</v>
      </c>
      <c r="P159" s="311" t="s">
        <v>725</v>
      </c>
      <c r="Q159" s="312" t="s">
        <v>725</v>
      </c>
      <c r="R159" s="313" t="s">
        <v>725</v>
      </c>
      <c r="S159" s="314"/>
    </row>
    <row r="160" spans="1:19" ht="38.25" customHeight="1" thickBot="1" x14ac:dyDescent="0.3">
      <c r="A160" s="488" t="str">
        <f>CONCATENATE('3 pr-2'!A161)</f>
        <v>2.1.4.1</v>
      </c>
      <c r="B160" s="790" t="str">
        <f>CONCATENATE('ketv. 2lent'!B159)</f>
        <v/>
      </c>
      <c r="C160" s="1656" t="str">
        <f>CONCATENATE('3 pr-2'!D161)</f>
        <v/>
      </c>
      <c r="D160" s="1802" t="str">
        <f>CONCATENATE('3 pr-2'!E161)</f>
        <v/>
      </c>
      <c r="E160" s="1802" t="str">
        <f>CONCATENATE('3 pr-2'!F161)</f>
        <v/>
      </c>
      <c r="F160" s="1802" t="str">
        <f>CONCATENATE('3 pr-2'!G161)</f>
        <v/>
      </c>
      <c r="G160" s="1802" t="str">
        <f>CONCATENATE('3 pr-2'!H161)</f>
        <v/>
      </c>
      <c r="H160" s="1802" t="str">
        <f>CONCATENATE('3 pr-2'!I161)</f>
        <v/>
      </c>
      <c r="I160" s="1802" t="str">
        <f>CONCATENATE('3 pr-2'!J161)</f>
        <v/>
      </c>
      <c r="J160" s="791">
        <f>SUM('3 pr-2'!L161)</f>
        <v>1144134.52</v>
      </c>
      <c r="K160" s="791">
        <f>SUM('3 pr-2'!O161)</f>
        <v>171620.03</v>
      </c>
      <c r="L160" s="791">
        <f>SUM('3 pr-2'!R161)</f>
        <v>0</v>
      </c>
      <c r="M160" s="791">
        <f>SUM('3 pr-2'!U161)</f>
        <v>0</v>
      </c>
      <c r="N160" s="791">
        <f>SUM('3 pr-2'!X161)</f>
        <v>0</v>
      </c>
      <c r="O160" s="792">
        <f>SUM('3 pr-2'!AA161)</f>
        <v>972514.49</v>
      </c>
      <c r="P160" s="793"/>
      <c r="Q160" s="794"/>
      <c r="R160" s="795"/>
      <c r="S160" s="795"/>
    </row>
    <row r="161" spans="1:19" ht="49.5" thickBot="1" x14ac:dyDescent="0.3">
      <c r="A161" s="254" t="str">
        <f>CONCATENATE('3 pr-2'!A162)</f>
        <v>2.1.4.1.1</v>
      </c>
      <c r="B161" s="323" t="str">
        <f>CONCATENATE('ketv. 2lent'!B160)</f>
        <v>10.1.3-ESFA-R-920-11-0001</v>
      </c>
      <c r="C161" s="255" t="str">
        <f>CONCATENATE('3 pr-2'!D162)</f>
        <v>Paslaugų teikimo ir asmenų aptarnavimo kokybės gerinimas Varėnos rajono savivaldybėje</v>
      </c>
      <c r="D161" s="255" t="str">
        <f>CONCATENATE('3 pr-2'!E162)</f>
        <v>Varėnos rajono savivaldybės administracija</v>
      </c>
      <c r="E161" s="255" t="str">
        <f>CONCATENATE('3 pr-2'!F162)</f>
        <v>Lietuvos Respublikos vidaus reikalų ministerija</v>
      </c>
      <c r="F161" s="255" t="str">
        <f>CONCATENATE('3 pr-2'!G162)</f>
        <v>Varėnos miestas</v>
      </c>
      <c r="G161" s="255" t="str">
        <f>CONCATENATE('3 pr-2'!H162)</f>
        <v>10.1.3-ESFA-R-920</v>
      </c>
      <c r="H161" s="255" t="str">
        <f>CONCATENATE('3 pr-2'!I162)</f>
        <v>R</v>
      </c>
      <c r="I161" s="265" t="str">
        <f>CONCATENATE('3 pr-2'!J162)</f>
        <v>-</v>
      </c>
      <c r="J161" s="292">
        <f>SUM('3 pr-2'!L162)</f>
        <v>172733.52</v>
      </c>
      <c r="K161" s="293">
        <f>SUM('3 pr-2'!O162)</f>
        <v>25910.03</v>
      </c>
      <c r="L161" s="293">
        <f>SUM('3 pr-2'!R162)</f>
        <v>0</v>
      </c>
      <c r="M161" s="293">
        <f>SUM('3 pr-2'!U162)</f>
        <v>0</v>
      </c>
      <c r="N161" s="293">
        <f>SUM('3 pr-2'!X162)</f>
        <v>0</v>
      </c>
      <c r="O161" s="294">
        <f>SUM('3 pr-2'!AA162)</f>
        <v>146823.49</v>
      </c>
      <c r="P161" s="985">
        <f>SUM('3 pr-2'!AE162)</f>
        <v>43017</v>
      </c>
      <c r="Q161" s="373">
        <v>42951</v>
      </c>
      <c r="R161" s="264">
        <f t="shared" ref="R161:R166" si="35">IF(Q161&gt;0,P161-Q161,0)</f>
        <v>66</v>
      </c>
      <c r="S161" s="341">
        <f t="shared" ref="S161:S166" si="36">IF(Q161&gt;0,(P161-Q161)/30.1667,0)</f>
        <v>2.1878428863614516</v>
      </c>
    </row>
    <row r="162" spans="1:19" ht="49.5" thickBot="1" x14ac:dyDescent="0.3">
      <c r="A162" s="254" t="str">
        <f>CONCATENATE('3 pr-2'!A163)</f>
        <v>2.1.4.1.2</v>
      </c>
      <c r="B162" s="323" t="str">
        <f>CONCATENATE('ketv. 2lent'!B161)</f>
        <v/>
      </c>
      <c r="C162" s="255" t="str">
        <f>CONCATENATE('3 pr-2'!D163)</f>
        <v>Paslaugų ir asmenų aptarnavimo kokybės gerinimas Alytaus rajono savivaldybėje</v>
      </c>
      <c r="D162" s="255" t="str">
        <f>CONCATENATE('3 pr-2'!E163)</f>
        <v>Alytaus rajono savivaldybės administracija</v>
      </c>
      <c r="E162" s="255" t="str">
        <f>CONCATENATE('3 pr-2'!F163)</f>
        <v>Lietuvos Respublikos vidaus reikalų ministerija</v>
      </c>
      <c r="F162" s="255" t="str">
        <f>CONCATENATE('3 pr-2'!G163)</f>
        <v>Alytaus  rajono savivaldybė</v>
      </c>
      <c r="G162" s="255" t="str">
        <f>CONCATENATE('3 pr-2'!H163)</f>
        <v>10.1.3-ESFA-R-920</v>
      </c>
      <c r="H162" s="255" t="str">
        <f>CONCATENATE('3 pr-2'!I163)</f>
        <v>R</v>
      </c>
      <c r="I162" s="265" t="str">
        <f>CONCATENATE('3 pr-2'!J163)</f>
        <v>-</v>
      </c>
      <c r="J162" s="266">
        <f>SUM('3 pr-2'!L163)</f>
        <v>210999</v>
      </c>
      <c r="K162" s="267">
        <f>SUM('3 pr-2'!O163)</f>
        <v>31650</v>
      </c>
      <c r="L162" s="267">
        <f>SUM('3 pr-2'!R163)</f>
        <v>0</v>
      </c>
      <c r="M162" s="267">
        <f>SUM('3 pr-2'!U163)</f>
        <v>0</v>
      </c>
      <c r="N162" s="267">
        <f>SUM('3 pr-2'!X163)</f>
        <v>0</v>
      </c>
      <c r="O162" s="268">
        <f>SUM('3 pr-2'!AA163)</f>
        <v>179349</v>
      </c>
      <c r="P162" s="985">
        <f>SUM('3 pr-2'!AE163)</f>
        <v>43017</v>
      </c>
      <c r="Q162" s="373">
        <v>43017</v>
      </c>
      <c r="R162" s="264">
        <f t="shared" si="35"/>
        <v>0</v>
      </c>
      <c r="S162" s="341">
        <f t="shared" si="36"/>
        <v>0</v>
      </c>
    </row>
    <row r="163" spans="1:19" ht="49.5" thickBot="1" x14ac:dyDescent="0.3">
      <c r="A163" s="254" t="str">
        <f>CONCATENATE('3 pr-2'!A164)</f>
        <v>2.1.4.1.3</v>
      </c>
      <c r="B163" s="323" t="str">
        <f>CONCATENATE('ketv. 2lent'!B162)</f>
        <v>10.1.3-ESFA-R-920-11-0003</v>
      </c>
      <c r="C163" s="255" t="str">
        <f>CONCATENATE('3 pr-2'!D164)</f>
        <v>Lazdijų rajono savivaldybės administracijos ir jos viešojo valdymo institucijų teikiamų paslaugų procesų tobulinimas</v>
      </c>
      <c r="D163" s="255" t="str">
        <f>CONCATENATE('3 pr-2'!E164)</f>
        <v>Lazdijų rajono savivaldybės administracija</v>
      </c>
      <c r="E163" s="255" t="str">
        <f>CONCATENATE('3 pr-2'!F164)</f>
        <v>Lietuvos Respublikos vidaus reikalų ministerija</v>
      </c>
      <c r="F163" s="255" t="str">
        <f>CONCATENATE('3 pr-2'!G164)</f>
        <v>Lazdijų rajono savivaldybė</v>
      </c>
      <c r="G163" s="255" t="str">
        <f>CONCATENATE('3 pr-2'!H164)</f>
        <v>10.1.3-ESFA-R-920</v>
      </c>
      <c r="H163" s="255" t="str">
        <f>CONCATENATE('3 pr-2'!I164)</f>
        <v>R</v>
      </c>
      <c r="I163" s="265" t="str">
        <f>CONCATENATE('3 pr-2'!J164)</f>
        <v>-</v>
      </c>
      <c r="J163" s="266">
        <f>SUM('3 pr-2'!L164)</f>
        <v>163987</v>
      </c>
      <c r="K163" s="267">
        <f>SUM('3 pr-2'!O164)</f>
        <v>24598</v>
      </c>
      <c r="L163" s="267">
        <f>SUM('3 pr-2'!R164)</f>
        <v>0</v>
      </c>
      <c r="M163" s="267">
        <f>SUM('3 pr-2'!U164)</f>
        <v>0</v>
      </c>
      <c r="N163" s="267">
        <f>SUM('3 pr-2'!X164)</f>
        <v>0</v>
      </c>
      <c r="O163" s="268">
        <f>SUM('3 pr-2'!AA164)</f>
        <v>139389</v>
      </c>
      <c r="P163" s="985">
        <f>SUM('3 pr-2'!AE164)</f>
        <v>43017</v>
      </c>
      <c r="Q163" s="346">
        <v>42989</v>
      </c>
      <c r="R163" s="264">
        <f t="shared" si="35"/>
        <v>28</v>
      </c>
      <c r="S163" s="341">
        <f t="shared" si="36"/>
        <v>0.92817576997152496</v>
      </c>
    </row>
    <row r="164" spans="1:19" ht="49.5" thickBot="1" x14ac:dyDescent="0.3">
      <c r="A164" s="254" t="str">
        <f>CONCATENATE('3 pr-2'!A165)</f>
        <v>2.1.4.1.4</v>
      </c>
      <c r="B164" s="323" t="str">
        <f>CONCATENATE('ketv. 2lent'!B163)</f>
        <v/>
      </c>
      <c r="C164" s="255" t="str">
        <f>CONCATENATE('3 pr-2'!D165)</f>
        <v>Teikiamų paslaugų procesų tobulinimas ir asmenų aptarnavimo kokybės gerinimas Alytaus miesto savivaldybės administracijoje ir jai pavaldžiose įstaigose. I etapas</v>
      </c>
      <c r="D164" s="255" t="str">
        <f>CONCATENATE('3 pr-2'!E165)</f>
        <v>Alytaus miesto savivaldybės administracija</v>
      </c>
      <c r="E164" s="255" t="str">
        <f>CONCATENATE('3 pr-2'!F165)</f>
        <v>Lietuvos Respublikos vidaus reikalų ministerija</v>
      </c>
      <c r="F164" s="255" t="str">
        <f>CONCATENATE('3 pr-2'!G165)</f>
        <v>Alytaus miestas</v>
      </c>
      <c r="G164" s="255" t="str">
        <f>CONCATENATE('3 pr-2'!H165)</f>
        <v>10.1.3-ESFA-R-920</v>
      </c>
      <c r="H164" s="255" t="str">
        <f>CONCATENATE('3 pr-2'!I165)</f>
        <v>R</v>
      </c>
      <c r="I164" s="265" t="str">
        <f>CONCATENATE('3 pr-2'!J165)</f>
        <v>-</v>
      </c>
      <c r="J164" s="266">
        <f>SUM('3 pr-2'!L165)</f>
        <v>234827</v>
      </c>
      <c r="K164" s="267">
        <f>SUM('3 pr-2'!O165)</f>
        <v>35224</v>
      </c>
      <c r="L164" s="267">
        <f>SUM('3 pr-2'!R165)</f>
        <v>0</v>
      </c>
      <c r="M164" s="267">
        <f>SUM('3 pr-2'!U165)</f>
        <v>0</v>
      </c>
      <c r="N164" s="267">
        <f>SUM('3 pr-2'!X165)</f>
        <v>0</v>
      </c>
      <c r="O164" s="268">
        <f>SUM('3 pr-2'!AA165)</f>
        <v>199603</v>
      </c>
      <c r="P164" s="985">
        <f>SUM('3 pr-2'!AE165)</f>
        <v>43017</v>
      </c>
      <c r="Q164" s="346">
        <v>43017</v>
      </c>
      <c r="R164" s="264">
        <f t="shared" si="35"/>
        <v>0</v>
      </c>
      <c r="S164" s="341">
        <f t="shared" si="36"/>
        <v>0</v>
      </c>
    </row>
    <row r="165" spans="1:19" ht="49.5" thickBot="1" x14ac:dyDescent="0.3">
      <c r="A165" s="254" t="str">
        <f>CONCATENATE('3 pr-2'!A166)</f>
        <v>2.1.4.1.5</v>
      </c>
      <c r="B165" s="323" t="str">
        <f>CONCATENATE('ketv. 2lent'!B164)</f>
        <v/>
      </c>
      <c r="C165" s="255" t="str">
        <f>CONCATENATE('3 pr-2'!D166)</f>
        <v>Paslaugų teikimo ir asmenų aptarnavimo kokybės gerinimas Druskininkų savivaldybėje</v>
      </c>
      <c r="D165" s="255" t="str">
        <f>CONCATENATE('3 pr-2'!E166)</f>
        <v>Druskininkų savivaldybės administracija</v>
      </c>
      <c r="E165" s="255" t="str">
        <f>CONCATENATE('3 pr-2'!F166)</f>
        <v>Lietuvos Respublikos vidaus reikalų ministerija</v>
      </c>
      <c r="F165" s="255" t="str">
        <f>CONCATENATE('3 pr-2'!G166)</f>
        <v>Druskininkų savivaldybė</v>
      </c>
      <c r="G165" s="255" t="str">
        <f>CONCATENATE('3 pr-2'!H166)</f>
        <v>10.1.3-ESFA-R-920</v>
      </c>
      <c r="H165" s="255" t="str">
        <f>CONCATENATE('3 pr-2'!I166)</f>
        <v>R</v>
      </c>
      <c r="I165" s="265" t="str">
        <f>CONCATENATE('3 pr-2'!J166)</f>
        <v>-</v>
      </c>
      <c r="J165" s="266">
        <f>SUM('3 pr-2'!L166)</f>
        <v>161588</v>
      </c>
      <c r="K165" s="267">
        <f>SUM('3 pr-2'!O166)</f>
        <v>24238</v>
      </c>
      <c r="L165" s="267">
        <f>SUM('3 pr-2'!R166)</f>
        <v>0</v>
      </c>
      <c r="M165" s="267">
        <f>SUM('3 pr-2'!U166)</f>
        <v>0</v>
      </c>
      <c r="N165" s="267">
        <f>SUM('3 pr-2'!X166)</f>
        <v>0</v>
      </c>
      <c r="O165" s="268">
        <f>SUM('3 pr-2'!AA166)</f>
        <v>137350</v>
      </c>
      <c r="P165" s="985">
        <f>SUM('3 pr-2'!AE166)</f>
        <v>43017</v>
      </c>
      <c r="Q165" s="346">
        <v>42963</v>
      </c>
      <c r="R165" s="264">
        <f t="shared" si="35"/>
        <v>54</v>
      </c>
      <c r="S165" s="341">
        <f t="shared" si="36"/>
        <v>1.7900532706593695</v>
      </c>
    </row>
    <row r="166" spans="1:19" ht="49.5" thickBot="1" x14ac:dyDescent="0.3">
      <c r="A166" s="254" t="str">
        <f>CONCATENATE('3 pr-2'!A167)</f>
        <v>2.1.4.1.6</v>
      </c>
      <c r="B166" s="323" t="str">
        <f>CONCATENATE('ketv. 2lent'!B165)</f>
        <v/>
      </c>
      <c r="C166" s="255" t="str">
        <f>CONCATENATE('3 pr-2'!D167)</f>
        <v>Teikiamų paslaugų procesų tobulinimas ir asmenų aptarnavimo kokybės gerinimas Alytaus miesto savivaldybės administracijoje ir jai pavaldžiose įstaigose. II etapas</v>
      </c>
      <c r="D166" s="255" t="str">
        <f>CONCATENATE('3 pr-2'!E167)</f>
        <v>Alytaus miesto savivaldybės administracija</v>
      </c>
      <c r="E166" s="255" t="str">
        <f>CONCATENATE('3 pr-2'!F167)</f>
        <v>Lietuvos Respublikos vidaus reikalų ministerija</v>
      </c>
      <c r="F166" s="255" t="str">
        <f>CONCATENATE('3 pr-2'!G167)</f>
        <v>Alytaus miestas</v>
      </c>
      <c r="G166" s="255" t="str">
        <f>CONCATENATE('3 pr-2'!H167)</f>
        <v>10.1.3-ESFA-R-920</v>
      </c>
      <c r="H166" s="255" t="str">
        <f>CONCATENATE('3 pr-2'!I167)</f>
        <v>R</v>
      </c>
      <c r="I166" s="265" t="str">
        <f>CONCATENATE('3 pr-2'!J167)</f>
        <v>-</v>
      </c>
      <c r="J166" s="266">
        <f>SUM('3 pr-2'!L167)</f>
        <v>200000</v>
      </c>
      <c r="K166" s="267">
        <f>SUM('3 pr-2'!O167)</f>
        <v>30000</v>
      </c>
      <c r="L166" s="267">
        <f>SUM('3 pr-2'!R167)</f>
        <v>0</v>
      </c>
      <c r="M166" s="267">
        <f>SUM('3 pr-2'!U167)</f>
        <v>0</v>
      </c>
      <c r="N166" s="267">
        <f>SUM('3 pr-2'!X167)</f>
        <v>0</v>
      </c>
      <c r="O166" s="268">
        <f>SUM('3 pr-2'!AA167)</f>
        <v>170000</v>
      </c>
      <c r="P166" s="288">
        <f>SUM('3 pr-2'!AE167)</f>
        <v>43434</v>
      </c>
      <c r="Q166" s="580"/>
      <c r="R166" s="264">
        <f t="shared" si="35"/>
        <v>0</v>
      </c>
      <c r="S166" s="341">
        <f t="shared" si="36"/>
        <v>0</v>
      </c>
    </row>
    <row r="167" spans="1:19" ht="42" customHeight="1" thickBot="1" x14ac:dyDescent="0.3">
      <c r="A167" s="221" t="str">
        <f>CONCATENATE('3 pr-2'!A168)</f>
        <v>3.1.</v>
      </c>
      <c r="B167" s="323" t="str">
        <f>CONCATENATE('ketv. 2lent'!B166)</f>
        <v/>
      </c>
      <c r="C167" s="1671" t="str">
        <f>CONCATENATE('3 pr-2'!D168)</f>
        <v/>
      </c>
      <c r="D167" s="1803" t="str">
        <f>CONCATENATE('3 pr-2'!E168)</f>
        <v/>
      </c>
      <c r="E167" s="1803" t="str">
        <f>CONCATENATE('3 pr-2'!F168)</f>
        <v/>
      </c>
      <c r="F167" s="1803" t="str">
        <f>CONCATENATE('3 pr-2'!G168)</f>
        <v/>
      </c>
      <c r="G167" s="1803" t="str">
        <f>CONCATENATE('3 pr-2'!H168)</f>
        <v/>
      </c>
      <c r="H167" s="1803" t="str">
        <f>CONCATENATE('3 pr-2'!I168)</f>
        <v/>
      </c>
      <c r="I167" s="1803" t="str">
        <f>CONCATENATE('3 pr-2'!J168)</f>
        <v/>
      </c>
      <c r="J167" s="296">
        <f>SUM('3 pr-2'!L168)</f>
        <v>6638485.1511764703</v>
      </c>
      <c r="K167" s="297">
        <f>SUM('3 pr-2'!O168)</f>
        <v>1154049.0311764702</v>
      </c>
      <c r="L167" s="297">
        <f>SUM('3 pr-2'!R168)</f>
        <v>0</v>
      </c>
      <c r="M167" s="297">
        <f>SUM('3 pr-2'!U168)</f>
        <v>0</v>
      </c>
      <c r="N167" s="297">
        <f>SUM('3 pr-2'!X168)</f>
        <v>0</v>
      </c>
      <c r="O167" s="298">
        <f>SUM('3 pr-2'!AA168)</f>
        <v>5484435.8200000003</v>
      </c>
      <c r="P167" s="279" t="s">
        <v>725</v>
      </c>
      <c r="Q167" s="260" t="s">
        <v>725</v>
      </c>
      <c r="R167" s="261" t="s">
        <v>725</v>
      </c>
      <c r="S167" s="261"/>
    </row>
    <row r="168" spans="1:19" ht="32.25" customHeight="1" thickBot="1" x14ac:dyDescent="0.3">
      <c r="A168" s="220" t="str">
        <f>CONCATENATE('3 pr-2'!A169)</f>
        <v>3.1.1.</v>
      </c>
      <c r="B168" s="323" t="str">
        <f>CONCATENATE('ketv. 2lent'!B167)</f>
        <v/>
      </c>
      <c r="C168" s="1668" t="str">
        <f>CONCATENATE('3 pr-2'!D169)</f>
        <v/>
      </c>
      <c r="D168" s="1595" t="str">
        <f>CONCATENATE('3 pr-2'!E169)</f>
        <v/>
      </c>
      <c r="E168" s="1595" t="str">
        <f>CONCATENATE('3 pr-2'!F169)</f>
        <v/>
      </c>
      <c r="F168" s="1595" t="str">
        <f>CONCATENATE('3 pr-2'!G169)</f>
        <v/>
      </c>
      <c r="G168" s="1595" t="str">
        <f>CONCATENATE('3 pr-2'!H169)</f>
        <v/>
      </c>
      <c r="H168" s="1595" t="str">
        <f>CONCATENATE('3 pr-2'!I169)</f>
        <v/>
      </c>
      <c r="I168" s="1595" t="str">
        <f>CONCATENATE('3 pr-2'!J169)</f>
        <v/>
      </c>
      <c r="J168" s="295">
        <f>SUM('3 pr-2'!L169)</f>
        <v>4130687.05</v>
      </c>
      <c r="K168" s="295">
        <f>SUM('3 pr-2'!O169)</f>
        <v>777879.2799999998</v>
      </c>
      <c r="L168" s="295">
        <f>SUM('3 pr-2'!R169)</f>
        <v>0</v>
      </c>
      <c r="M168" s="295">
        <f>SUM('3 pr-2'!U169)</f>
        <v>0</v>
      </c>
      <c r="N168" s="295">
        <f>SUM('3 pr-2'!X169)</f>
        <v>0</v>
      </c>
      <c r="O168" s="295">
        <f>SUM('3 pr-2'!AA169)</f>
        <v>3352807.77</v>
      </c>
      <c r="P168" s="280" t="s">
        <v>725</v>
      </c>
      <c r="Q168" s="262" t="s">
        <v>725</v>
      </c>
      <c r="R168" s="263" t="s">
        <v>725</v>
      </c>
      <c r="S168" s="263"/>
    </row>
    <row r="169" spans="1:19" ht="33.75" customHeight="1" thickBot="1" x14ac:dyDescent="0.3">
      <c r="A169" s="488" t="str">
        <f>CONCATENATE('3 pr-2'!A170)</f>
        <v>3.1.1.1</v>
      </c>
      <c r="B169" s="790" t="str">
        <f>CONCATENATE('ketv. 2lent'!B168)</f>
        <v/>
      </c>
      <c r="C169" s="1656" t="str">
        <f>CONCATENATE('3 pr-2'!D170)</f>
        <v/>
      </c>
      <c r="D169" s="1802" t="str">
        <f>CONCATENATE('3 pr-2'!E170)</f>
        <v/>
      </c>
      <c r="E169" s="1802" t="str">
        <f>CONCATENATE('3 pr-2'!F170)</f>
        <v/>
      </c>
      <c r="F169" s="1802" t="str">
        <f>CONCATENATE('3 pr-2'!G170)</f>
        <v/>
      </c>
      <c r="G169" s="1802" t="str">
        <f>CONCATENATE('3 pr-2'!H170)</f>
        <v/>
      </c>
      <c r="H169" s="1802" t="str">
        <f>CONCATENATE('3 pr-2'!I170)</f>
        <v/>
      </c>
      <c r="I169" s="1802" t="str">
        <f>CONCATENATE('3 pr-2'!J170)</f>
        <v/>
      </c>
      <c r="J169" s="791">
        <f>SUM('3 pr-2'!L170)</f>
        <v>4130687.05</v>
      </c>
      <c r="K169" s="791">
        <f>SUM('3 pr-2'!O170)</f>
        <v>777879.2799999998</v>
      </c>
      <c r="L169" s="791">
        <f>SUM('3 pr-2'!R170)</f>
        <v>0</v>
      </c>
      <c r="M169" s="791">
        <f>SUM('3 pr-2'!U170)</f>
        <v>0</v>
      </c>
      <c r="N169" s="791">
        <f>SUM('3 pr-2'!X170)</f>
        <v>0</v>
      </c>
      <c r="O169" s="792">
        <f>SUM('3 pr-2'!AA170)</f>
        <v>3352807.77</v>
      </c>
      <c r="P169" s="793"/>
      <c r="Q169" s="794"/>
      <c r="R169" s="795"/>
      <c r="S169" s="795"/>
    </row>
    <row r="170" spans="1:19" ht="49.5" thickBot="1" x14ac:dyDescent="0.3">
      <c r="A170" s="254" t="str">
        <f>CONCATENATE('3 pr-2'!A171)</f>
        <v>3.1.1.1.1</v>
      </c>
      <c r="B170" s="323" t="str">
        <f>CONCATENATE('ketv. 2lent'!B169)</f>
        <v>05.2.1-APVA-R-008-11-0001</v>
      </c>
      <c r="C170" s="255" t="str">
        <f>CONCATENATE('3 pr-2'!D171)</f>
        <v>Komunalinių atliekų tvarkymo sistemos plėtra Alytaus regione</v>
      </c>
      <c r="D170" s="255" t="str">
        <f>CONCATENATE('3 pr-2'!E171)</f>
        <v>Alytaus regiono atliekų tvarkymo centras</v>
      </c>
      <c r="E170" s="255" t="str">
        <f>CONCATENATE('3 pr-2'!F171)</f>
        <v>Lietuvos Respublikos aplinkos ministerija</v>
      </c>
      <c r="F170" s="255" t="str">
        <f>CONCATENATE('3 pr-2'!G171)</f>
        <v>Alytaus atliekų tvarkymo regionas</v>
      </c>
      <c r="G170" s="255" t="str">
        <f>CONCATENATE('3 pr-2'!H171)</f>
        <v>05.2.1-APVA-R-008</v>
      </c>
      <c r="H170" s="255" t="str">
        <f>CONCATENATE('3 pr-2'!I171)</f>
        <v>R</v>
      </c>
      <c r="I170" s="265" t="str">
        <f>CONCATENATE('3 pr-2'!J171)</f>
        <v>-</v>
      </c>
      <c r="J170" s="266">
        <f>SUM('3 pr-2'!L171)</f>
        <v>4130687.05</v>
      </c>
      <c r="K170" s="267">
        <f>SUM('3 pr-2'!O171)</f>
        <v>777879.2799999998</v>
      </c>
      <c r="L170" s="267">
        <f>SUM('3 pr-2'!R171)</f>
        <v>0</v>
      </c>
      <c r="M170" s="267">
        <f>SUM('3 pr-2'!U171)</f>
        <v>0</v>
      </c>
      <c r="N170" s="267">
        <f>SUM('3 pr-2'!X171)</f>
        <v>0</v>
      </c>
      <c r="O170" s="268">
        <f>SUM('3 pr-2'!AA171)</f>
        <v>3352807.77</v>
      </c>
      <c r="P170" s="288">
        <f>SUM('3 pr-2'!AE171)</f>
        <v>42590</v>
      </c>
      <c r="Q170" s="346">
        <v>42620</v>
      </c>
      <c r="R170" s="264">
        <f>IF(Q170&gt;0,P170-Q170,0)</f>
        <v>-30</v>
      </c>
      <c r="S170" s="341">
        <f>IF(Q170&gt;0,(P170-Q170)/30.1667,0)</f>
        <v>-0.99447403925520528</v>
      </c>
    </row>
    <row r="171" spans="1:19" ht="39.75" customHeight="1" thickBot="1" x14ac:dyDescent="0.3">
      <c r="A171" s="220" t="str">
        <f>CONCATENATE('3 pr-2'!A172)</f>
        <v>3.1.2.</v>
      </c>
      <c r="B171" s="323" t="str">
        <f>CONCATENATE('ketv. 2lent'!B170)</f>
        <v/>
      </c>
      <c r="C171" s="1668" t="str">
        <f>CONCATENATE('3 pr-2'!D172)</f>
        <v/>
      </c>
      <c r="D171" s="1595" t="str">
        <f>CONCATENATE('3 pr-2'!E172)</f>
        <v/>
      </c>
      <c r="E171" s="1595" t="str">
        <f>CONCATENATE('3 pr-2'!F172)</f>
        <v/>
      </c>
      <c r="F171" s="1595" t="str">
        <f>CONCATENATE('3 pr-2'!G172)</f>
        <v/>
      </c>
      <c r="G171" s="1595" t="str">
        <f>CONCATENATE('3 pr-2'!H172)</f>
        <v/>
      </c>
      <c r="H171" s="1595" t="str">
        <f>CONCATENATE('3 pr-2'!I172)</f>
        <v/>
      </c>
      <c r="I171" s="1595" t="str">
        <f>CONCATENATE('3 pr-2'!J172)</f>
        <v/>
      </c>
      <c r="J171" s="295">
        <f>SUM('3 pr-2'!L172)</f>
        <v>2507798.1011764705</v>
      </c>
      <c r="K171" s="295">
        <f>SUM('3 pr-2'!O172)</f>
        <v>376169.75117647054</v>
      </c>
      <c r="L171" s="295">
        <f>SUM('3 pr-2'!R172)</f>
        <v>0</v>
      </c>
      <c r="M171" s="295">
        <f>SUM('3 pr-2'!U172)</f>
        <v>0</v>
      </c>
      <c r="N171" s="295">
        <f>SUM('3 pr-2'!X172)</f>
        <v>0</v>
      </c>
      <c r="O171" s="295">
        <f>SUM('3 pr-2'!AA172)</f>
        <v>2131628.0500000003</v>
      </c>
      <c r="P171" s="280" t="s">
        <v>725</v>
      </c>
      <c r="Q171" s="262" t="s">
        <v>725</v>
      </c>
      <c r="R171" s="263" t="s">
        <v>725</v>
      </c>
      <c r="S171" s="263"/>
    </row>
    <row r="172" spans="1:19" ht="33.75" customHeight="1" thickBot="1" x14ac:dyDescent="0.3">
      <c r="A172" s="488" t="str">
        <f>CONCATENATE('3 pr-2'!A173)</f>
        <v>3.1.2.1</v>
      </c>
      <c r="B172" s="790" t="str">
        <f>CONCATENATE('ketv. 2lent'!B171)</f>
        <v/>
      </c>
      <c r="C172" s="1656" t="str">
        <f>CONCATENATE('3 pr-2'!D173)</f>
        <v/>
      </c>
      <c r="D172" s="1802" t="str">
        <f>CONCATENATE('3 pr-2'!E173)</f>
        <v/>
      </c>
      <c r="E172" s="1802" t="str">
        <f>CONCATENATE('3 pr-2'!F173)</f>
        <v/>
      </c>
      <c r="F172" s="1802" t="str">
        <f>CONCATENATE('3 pr-2'!G173)</f>
        <v/>
      </c>
      <c r="G172" s="1802" t="str">
        <f>CONCATENATE('3 pr-2'!H173)</f>
        <v/>
      </c>
      <c r="H172" s="1802" t="str">
        <f>CONCATENATE('3 pr-2'!I173)</f>
        <v/>
      </c>
      <c r="I172" s="1802" t="str">
        <f>CONCATENATE('3 pr-2'!J173)</f>
        <v/>
      </c>
      <c r="J172" s="791">
        <f>SUM('3 pr-2'!L173)</f>
        <v>2507798.1011764705</v>
      </c>
      <c r="K172" s="791">
        <f>SUM('3 pr-2'!O173)</f>
        <v>376169.75117647054</v>
      </c>
      <c r="L172" s="791">
        <f>SUM('3 pr-2'!R173)</f>
        <v>0</v>
      </c>
      <c r="M172" s="791">
        <f>SUM('3 pr-2'!U173)</f>
        <v>0</v>
      </c>
      <c r="N172" s="791">
        <f>SUM('3 pr-2'!X173)</f>
        <v>0</v>
      </c>
      <c r="O172" s="792">
        <f>SUM('3 pr-2'!AA173)</f>
        <v>2131628.0500000003</v>
      </c>
      <c r="P172" s="793"/>
      <c r="Q172" s="794"/>
      <c r="R172" s="795"/>
      <c r="S172" s="795"/>
    </row>
    <row r="173" spans="1:19" ht="49.5" thickBot="1" x14ac:dyDescent="0.3">
      <c r="A173" s="254" t="str">
        <f>CONCATENATE('3 pr-2'!A174)</f>
        <v>3.1.2.1.1</v>
      </c>
      <c r="B173" s="323" t="str">
        <f>CONCATENATE('ketv. 2lent'!B172)</f>
        <v>05.5.1-APVA-R-019-11-0002</v>
      </c>
      <c r="C173" s="255" t="str">
        <f>CONCATENATE('3 pr-2'!D174)</f>
        <v>Kraštovaizdžio formavimas ir tvarkymas Varėnos r. savivaldybėje (I etapas)</v>
      </c>
      <c r="D173" s="255" t="str">
        <f>CONCATENATE('3 pr-2'!E174)</f>
        <v>Varėnos rajono savivaldybės administracija</v>
      </c>
      <c r="E173" s="255" t="str">
        <f>CONCATENATE('3 pr-2'!F174)</f>
        <v>Lietuvos Respublikos aplinkos ministerija</v>
      </c>
      <c r="F173" s="255" t="str">
        <f>CONCATENATE('3 pr-2'!G174)</f>
        <v>Varėnos  rajono savivaldybė</v>
      </c>
      <c r="G173" s="255" t="str">
        <f>CONCATENATE('3 pr-2'!H174)</f>
        <v>05.5.1-APVA-R-019</v>
      </c>
      <c r="H173" s="255" t="str">
        <f>CONCATENATE('3 pr-2'!I174)</f>
        <v>R</v>
      </c>
      <c r="I173" s="265" t="str">
        <f>CONCATENATE('3 pr-2'!J174)</f>
        <v>-</v>
      </c>
      <c r="J173" s="266">
        <f>SUM('3 pr-2'!L174)</f>
        <v>566501</v>
      </c>
      <c r="K173" s="267">
        <f>SUM('3 pr-2'!O174)</f>
        <v>84975</v>
      </c>
      <c r="L173" s="267">
        <f>SUM('3 pr-2'!R174)</f>
        <v>0</v>
      </c>
      <c r="M173" s="267">
        <f>SUM('3 pr-2'!U174)</f>
        <v>0</v>
      </c>
      <c r="N173" s="267">
        <f>SUM('3 pr-2'!X174)</f>
        <v>0</v>
      </c>
      <c r="O173" s="268">
        <f>SUM('3 pr-2'!AA174)</f>
        <v>481526</v>
      </c>
      <c r="P173" s="288">
        <f>SUM('3 pr-2'!AE174)</f>
        <v>42598</v>
      </c>
      <c r="Q173" s="346">
        <v>42598</v>
      </c>
      <c r="R173" s="264">
        <f t="shared" ref="R173:R180" si="37">IF(Q173&gt;0,P173-Q173,0)</f>
        <v>0</v>
      </c>
      <c r="S173" s="341">
        <f t="shared" ref="S173:S180" si="38">IF(Q173&gt;0,(P173-Q173)/30.1667,0)</f>
        <v>0</v>
      </c>
    </row>
    <row r="174" spans="1:19" ht="49.5" thickBot="1" x14ac:dyDescent="0.3">
      <c r="A174" s="254" t="str">
        <f>CONCATENATE('3 pr-2'!A175)</f>
        <v>3.1.2.1.2</v>
      </c>
      <c r="B174" s="323" t="str">
        <f>CONCATENATE('ketv. 2lent'!B173)</f>
        <v/>
      </c>
      <c r="C174" s="255" t="str">
        <f>CONCATENATE('3 pr-2'!D175)</f>
        <v>Kraštovaizdžio formavimas ir tvarkymas Varėnos r. savivaldybėje (II etapas)</v>
      </c>
      <c r="D174" s="255" t="str">
        <f>CONCATENATE('3 pr-2'!E175)</f>
        <v>Varėnos rajono savivaldybės administracija</v>
      </c>
      <c r="E174" s="255" t="str">
        <f>CONCATENATE('3 pr-2'!F175)</f>
        <v>Lietuvos Respublikos aplinkos ministerija</v>
      </c>
      <c r="F174" s="255" t="str">
        <f>CONCATENATE('3 pr-2'!G175)</f>
        <v>Varėnos  rajono savivaldybė</v>
      </c>
      <c r="G174" s="255" t="str">
        <f>CONCATENATE('3 pr-2'!H175)</f>
        <v>05.5.1-APVA-R-019</v>
      </c>
      <c r="H174" s="255" t="str">
        <f>CONCATENATE('3 pr-2'!I175)</f>
        <v>R</v>
      </c>
      <c r="I174" s="265" t="str">
        <f>CONCATENATE('3 pr-2'!J175)</f>
        <v>-</v>
      </c>
      <c r="J174" s="266">
        <f>SUM('3 pr-2'!L175)</f>
        <v>297232</v>
      </c>
      <c r="K174" s="267">
        <f>SUM('3 pr-2'!O175)</f>
        <v>44585</v>
      </c>
      <c r="L174" s="267">
        <f>SUM('3 pr-2'!R175)</f>
        <v>0</v>
      </c>
      <c r="M174" s="267">
        <f>SUM('3 pr-2'!U175)</f>
        <v>0</v>
      </c>
      <c r="N174" s="267">
        <f>SUM('3 pr-2'!X175)</f>
        <v>0</v>
      </c>
      <c r="O174" s="268">
        <f>SUM('3 pr-2'!AA175)</f>
        <v>252647</v>
      </c>
      <c r="P174" s="288">
        <f>SUM('3 pr-2'!AE175)</f>
        <v>43277</v>
      </c>
      <c r="Q174" s="290"/>
      <c r="R174" s="264">
        <f t="shared" si="37"/>
        <v>0</v>
      </c>
      <c r="S174" s="341">
        <f t="shared" si="38"/>
        <v>0</v>
      </c>
    </row>
    <row r="175" spans="1:19" ht="49.5" thickBot="1" x14ac:dyDescent="0.3">
      <c r="A175" s="254" t="str">
        <f>CONCATENATE('3 pr-2'!A176)</f>
        <v>3.1.2.1.3</v>
      </c>
      <c r="B175" s="323" t="str">
        <f>CONCATENATE('ketv. 2lent'!B174)</f>
        <v>05.5.1-APVA-R-019-11-0001</v>
      </c>
      <c r="C175" s="255" t="str">
        <f>CONCATENATE('3 pr-2'!D176)</f>
        <v>Bešeimininkių apleistų pastatų ir įrenginių tvarkymas Alytaus rajono savivaldybėje</v>
      </c>
      <c r="D175" s="255" t="str">
        <f>CONCATENATE('3 pr-2'!E176)</f>
        <v>Alytaus rajono savivaldybės administracija</v>
      </c>
      <c r="E175" s="255" t="str">
        <f>CONCATENATE('3 pr-2'!F176)</f>
        <v>Lietuvos Respublikos aplinkos ministerija</v>
      </c>
      <c r="F175" s="255" t="str">
        <f>CONCATENATE('3 pr-2'!G176)</f>
        <v>Alytaus rajonas</v>
      </c>
      <c r="G175" s="255" t="str">
        <f>CONCATENATE('3 pr-2'!H176)</f>
        <v>05.5.1-APVA-R-019</v>
      </c>
      <c r="H175" s="255" t="str">
        <f>CONCATENATE('3 pr-2'!I176)</f>
        <v>R</v>
      </c>
      <c r="I175" s="265" t="str">
        <f>CONCATENATE('3 pr-2'!J176)</f>
        <v/>
      </c>
      <c r="J175" s="266">
        <f>SUM('3 pr-2'!L176)</f>
        <v>101766</v>
      </c>
      <c r="K175" s="267">
        <f>SUM('3 pr-2'!O176)</f>
        <v>15264.9</v>
      </c>
      <c r="L175" s="267">
        <f>SUM('3 pr-2'!R176)</f>
        <v>0</v>
      </c>
      <c r="M175" s="267">
        <f>SUM('3 pr-2'!U176)</f>
        <v>0</v>
      </c>
      <c r="N175" s="267">
        <f>SUM('3 pr-2'!X176)</f>
        <v>0</v>
      </c>
      <c r="O175" s="268">
        <f>SUM('3 pr-2'!AA176)</f>
        <v>86500.800000000003</v>
      </c>
      <c r="P175" s="288">
        <f>SUM('3 pr-2'!AE176)</f>
        <v>42598</v>
      </c>
      <c r="Q175" s="346">
        <v>42598</v>
      </c>
      <c r="R175" s="264">
        <f t="shared" si="37"/>
        <v>0</v>
      </c>
      <c r="S175" s="341">
        <f t="shared" si="38"/>
        <v>0</v>
      </c>
    </row>
    <row r="176" spans="1:19" ht="49.5" thickBot="1" x14ac:dyDescent="0.3">
      <c r="A176" s="254" t="str">
        <f>CONCATENATE('3 pr-2'!A177)</f>
        <v>3.1.2.1.4</v>
      </c>
      <c r="B176" s="323" t="str">
        <f>CONCATENATE('ketv. 2lent'!B175)</f>
        <v>05.5.1-APVA-R-019-11-0004</v>
      </c>
      <c r="C176" s="255" t="str">
        <f>CONCATENATE('3 pr-2'!D177)</f>
        <v>Alytaus miesto bendrojo plano korektūra zonuojant kraštovaizdžio struktūrą, nustatant reglamentus ir principus</v>
      </c>
      <c r="D176" s="255" t="str">
        <f>CONCATENATE('3 pr-2'!E177)</f>
        <v>Alytaus miesto savivaldybės administracija</v>
      </c>
      <c r="E176" s="255" t="str">
        <f>CONCATENATE('3 pr-2'!F177)</f>
        <v>Lietuvos Respublikos aplinkos ministerija</v>
      </c>
      <c r="F176" s="255" t="str">
        <f>CONCATENATE('3 pr-2'!G177)</f>
        <v>Alytaus miestas</v>
      </c>
      <c r="G176" s="255" t="str">
        <f>CONCATENATE('3 pr-2'!H177)</f>
        <v>05.5.1-APVA-R-019</v>
      </c>
      <c r="H176" s="255" t="str">
        <f>CONCATENATE('3 pr-2'!I177)</f>
        <v>R</v>
      </c>
      <c r="I176" s="265" t="str">
        <f>CONCATENATE('3 pr-2'!J177)</f>
        <v/>
      </c>
      <c r="J176" s="266">
        <f>SUM('3 pr-2'!L177)</f>
        <v>3993</v>
      </c>
      <c r="K176" s="267">
        <f>SUM('3 pr-2'!O177)</f>
        <v>598.95000000000005</v>
      </c>
      <c r="L176" s="267">
        <f>SUM('3 pr-2'!R177)</f>
        <v>0</v>
      </c>
      <c r="M176" s="267">
        <f>SUM('3 pr-2'!U177)</f>
        <v>0</v>
      </c>
      <c r="N176" s="267">
        <f>SUM('3 pr-2'!X177)</f>
        <v>0</v>
      </c>
      <c r="O176" s="268">
        <f>SUM('3 pr-2'!AA177)</f>
        <v>3394.05</v>
      </c>
      <c r="P176" s="288">
        <f>SUM('3 pr-2'!AE177)</f>
        <v>42598</v>
      </c>
      <c r="Q176" s="346">
        <v>42598</v>
      </c>
      <c r="R176" s="264">
        <f t="shared" si="37"/>
        <v>0</v>
      </c>
      <c r="S176" s="341">
        <f t="shared" si="38"/>
        <v>0</v>
      </c>
    </row>
    <row r="177" spans="1:19" ht="49.5" thickBot="1" x14ac:dyDescent="0.3">
      <c r="A177" s="254" t="str">
        <f>CONCATENATE('3 pr-2'!A178)</f>
        <v>3.1.2.1.5</v>
      </c>
      <c r="B177" s="323" t="str">
        <f>CONCATENATE('ketv. 2lent'!B176)</f>
        <v>05.5.1-APVA-R-019-11-0005</v>
      </c>
      <c r="C177" s="255" t="str">
        <f>CONCATENATE('3 pr-2'!D178)</f>
        <v>Bešeimininkių apleistų pastatų Druskininkų savivaldybės teritorijoje likvidavimas</v>
      </c>
      <c r="D177" s="255" t="str">
        <f>CONCATENATE('3 pr-2'!E178)</f>
        <v>Druskininkų savivaldybės administracija</v>
      </c>
      <c r="E177" s="255" t="str">
        <f>CONCATENATE('3 pr-2'!F178)</f>
        <v>Lietuvos Respublikos aplinkos ministerija</v>
      </c>
      <c r="F177" s="255" t="str">
        <f>CONCATENATE('3 pr-2'!G178)</f>
        <v>Druskininkų savivaldybė</v>
      </c>
      <c r="G177" s="255" t="str">
        <f>CONCATENATE('3 pr-2'!H178)</f>
        <v>05.5.1-APVA-R-019</v>
      </c>
      <c r="H177" s="255" t="str">
        <f>CONCATENATE('3 pr-2'!I178)</f>
        <v>R</v>
      </c>
      <c r="I177" s="265" t="str">
        <f>CONCATENATE('3 pr-2'!J178)</f>
        <v>-</v>
      </c>
      <c r="J177" s="266">
        <f>SUM('3 pr-2'!L178)</f>
        <v>121153.55</v>
      </c>
      <c r="K177" s="267">
        <f>SUM('3 pr-2'!O178)</f>
        <v>18173.03</v>
      </c>
      <c r="L177" s="267">
        <f>SUM('3 pr-2'!R178)</f>
        <v>0</v>
      </c>
      <c r="M177" s="267">
        <f>SUM('3 pr-2'!U178)</f>
        <v>0</v>
      </c>
      <c r="N177" s="267">
        <f>SUM('3 pr-2'!X178)</f>
        <v>0</v>
      </c>
      <c r="O177" s="268">
        <f>SUM('3 pr-2'!AA178)</f>
        <v>102980.52</v>
      </c>
      <c r="P177" s="288">
        <f>SUM('3 pr-2'!AE178)</f>
        <v>42598</v>
      </c>
      <c r="Q177" s="346">
        <v>42598</v>
      </c>
      <c r="R177" s="264">
        <f t="shared" si="37"/>
        <v>0</v>
      </c>
      <c r="S177" s="341">
        <f t="shared" si="38"/>
        <v>0</v>
      </c>
    </row>
    <row r="178" spans="1:19" ht="49.5" thickBot="1" x14ac:dyDescent="0.3">
      <c r="A178" s="254" t="str">
        <f>CONCATENATE('3 pr-2'!A179)</f>
        <v>3.1.2.1.6</v>
      </c>
      <c r="B178" s="323" t="str">
        <f>CONCATENATE('ketv. 2lent'!B177)</f>
        <v>05.5.1-APVA-R-019-11-0003</v>
      </c>
      <c r="C178" s="255" t="str">
        <f>CONCATENATE('3 pr-2'!D179)</f>
        <v>Kraštovaizdžio formavimas Lazdijų rajono savivaldybėje</v>
      </c>
      <c r="D178" s="255" t="str">
        <f>CONCATENATE('3 pr-2'!E179)</f>
        <v>Lazdijų rajono savivaldybės administracija</v>
      </c>
      <c r="E178" s="255" t="str">
        <f>CONCATENATE('3 pr-2'!F179)</f>
        <v>Lietuvos Respublikos aplinkos ministerija</v>
      </c>
      <c r="F178" s="255" t="str">
        <f>CONCATENATE('3 pr-2'!G179)</f>
        <v>Lazdijų rajono savivaldybė</v>
      </c>
      <c r="G178" s="255" t="str">
        <f>CONCATENATE('3 pr-2'!H179)</f>
        <v>05.5.1-APVA-R-019</v>
      </c>
      <c r="H178" s="255" t="str">
        <f>CONCATENATE('3 pr-2'!I179)</f>
        <v>R</v>
      </c>
      <c r="I178" s="265" t="str">
        <f>CONCATENATE('3 pr-2'!J179)</f>
        <v>-</v>
      </c>
      <c r="J178" s="266">
        <f>SUM('3 pr-2'!L179)</f>
        <v>442298.58999999997</v>
      </c>
      <c r="K178" s="267">
        <f>SUM('3 pr-2'!O179)</f>
        <v>66344.78</v>
      </c>
      <c r="L178" s="267">
        <f>SUM('3 pr-2'!R179)</f>
        <v>0</v>
      </c>
      <c r="M178" s="267">
        <f>SUM('3 pr-2'!U179)</f>
        <v>0</v>
      </c>
      <c r="N178" s="267">
        <f>SUM('3 pr-2'!X179)</f>
        <v>0</v>
      </c>
      <c r="O178" s="268">
        <f>SUM('3 pr-2'!AA179)</f>
        <v>375953.81</v>
      </c>
      <c r="P178" s="288">
        <f>SUM('3 pr-2'!AE179)</f>
        <v>42598</v>
      </c>
      <c r="Q178" s="346">
        <v>42598</v>
      </c>
      <c r="R178" s="264">
        <f t="shared" si="37"/>
        <v>0</v>
      </c>
      <c r="S178" s="341">
        <f t="shared" si="38"/>
        <v>0</v>
      </c>
    </row>
    <row r="179" spans="1:19" ht="49.5" thickBot="1" x14ac:dyDescent="0.3">
      <c r="A179" s="254" t="str">
        <f>CONCATENATE('3 pr-2'!A180)</f>
        <v>3.1.2.1.7</v>
      </c>
      <c r="B179" s="323" t="str">
        <f>CONCATENATE('ketv. 2lent'!B178)</f>
        <v/>
      </c>
      <c r="C179" s="255" t="str">
        <f>CONCATENATE('3 pr-2'!D180)</f>
        <v>Kraštovaizdžio formavimas Lazdijų rajono savivaldybėje (II etapas)</v>
      </c>
      <c r="D179" s="255" t="str">
        <f>CONCATENATE('3 pr-2'!E180)</f>
        <v>Lazdijų rajono savivaldybės administracija</v>
      </c>
      <c r="E179" s="255" t="str">
        <f>CONCATENATE('3 pr-2'!F180)</f>
        <v>Lietuvos Respublikos aplinkos ministerija</v>
      </c>
      <c r="F179" s="255" t="str">
        <f>CONCATENATE('3 pr-2'!G180)</f>
        <v>Lazdijų rajono savivaldybė</v>
      </c>
      <c r="G179" s="255" t="str">
        <f>CONCATENATE('3 pr-2'!H180)</f>
        <v>05.5.1-APVA-R-019</v>
      </c>
      <c r="H179" s="255" t="str">
        <f>CONCATENATE('3 pr-2'!I180)</f>
        <v>R</v>
      </c>
      <c r="I179" s="265" t="str">
        <f>CONCATENATE('3 pr-2'!J180)</f>
        <v>-</v>
      </c>
      <c r="J179" s="266">
        <f>SUM('3 pr-2'!L180)</f>
        <v>149792.22</v>
      </c>
      <c r="K179" s="267">
        <f>SUM('3 pr-2'!O180)</f>
        <v>22468.83</v>
      </c>
      <c r="L179" s="267">
        <f>SUM('3 pr-2'!R180)</f>
        <v>0</v>
      </c>
      <c r="M179" s="267">
        <f>SUM('3 pr-2'!U180)</f>
        <v>0</v>
      </c>
      <c r="N179" s="267">
        <f>SUM('3 pr-2'!X180)</f>
        <v>0</v>
      </c>
      <c r="O179" s="268">
        <f>SUM('3 pr-2'!AA180)</f>
        <v>127323.39</v>
      </c>
      <c r="P179" s="895">
        <f>SUM('3 pr-2'!AE180)</f>
        <v>43277</v>
      </c>
      <c r="Q179" s="290"/>
      <c r="R179" s="264">
        <f t="shared" si="37"/>
        <v>0</v>
      </c>
      <c r="S179" s="341">
        <f t="shared" si="38"/>
        <v>0</v>
      </c>
    </row>
    <row r="180" spans="1:19" ht="49.5" thickBot="1" x14ac:dyDescent="0.3">
      <c r="A180" s="254" t="str">
        <f>CONCATENATE('3 pr-2'!A181)</f>
        <v>3.1.2.1.8</v>
      </c>
      <c r="B180" s="323" t="str">
        <f>CONCATENATE('ketv. 2lent'!B179)</f>
        <v/>
      </c>
      <c r="C180" s="255" t="str">
        <f>CONCATENATE('3 pr-2'!D181)</f>
        <v>Bešeimininkių apleistų pastatų ir įrenginių tvarkymas Alytaus rajono savivaldybėje (II etapas)</v>
      </c>
      <c r="D180" s="255" t="str">
        <f>CONCATENATE('3 pr-2'!E181)</f>
        <v>Alytaus rajono savivaldybės administracija</v>
      </c>
      <c r="E180" s="255" t="str">
        <f>CONCATENATE('3 pr-2'!F181)</f>
        <v>Lietuvos Respublikos aplinkos ministerija</v>
      </c>
      <c r="F180" s="255" t="str">
        <f>CONCATENATE('3 pr-2'!G181)</f>
        <v>Alytaus rajono savivaldybė</v>
      </c>
      <c r="G180" s="255" t="str">
        <f>CONCATENATE('3 pr-2'!H181)</f>
        <v>05.5.1-APVA-R-019</v>
      </c>
      <c r="H180" s="255" t="str">
        <f>CONCATENATE('3 pr-2'!I181)</f>
        <v>R</v>
      </c>
      <c r="I180" s="265" t="str">
        <f>CONCATENATE('3 pr-2'!J181)</f>
        <v>-</v>
      </c>
      <c r="J180" s="266">
        <f>SUM('3 pr-2'!L181)</f>
        <v>736537.6470588235</v>
      </c>
      <c r="K180" s="267">
        <f>SUM('3 pr-2'!O181)</f>
        <v>110480.64705882352</v>
      </c>
      <c r="L180" s="267">
        <f>SUM('3 pr-2'!R181)</f>
        <v>0</v>
      </c>
      <c r="M180" s="267">
        <f>SUM('3 pr-2'!U181)</f>
        <v>0</v>
      </c>
      <c r="N180" s="267">
        <f>SUM('3 pr-2'!X181)</f>
        <v>0</v>
      </c>
      <c r="O180" s="268">
        <f>SUM('3 pr-2'!AA181)</f>
        <v>626057</v>
      </c>
      <c r="P180" s="895">
        <f>SUM('3 pr-2'!AE181)</f>
        <v>43128</v>
      </c>
      <c r="Q180" s="306">
        <v>0</v>
      </c>
      <c r="R180" s="264">
        <f t="shared" si="37"/>
        <v>0</v>
      </c>
      <c r="S180" s="341">
        <f t="shared" si="38"/>
        <v>0</v>
      </c>
    </row>
    <row r="181" spans="1:19" ht="15.75" thickTop="1" x14ac:dyDescent="0.25"/>
  </sheetData>
  <mergeCells count="39">
    <mergeCell ref="C8:I8"/>
    <mergeCell ref="A1:K1"/>
    <mergeCell ref="A3:I3"/>
    <mergeCell ref="J3:O3"/>
    <mergeCell ref="P3:S3"/>
    <mergeCell ref="C7:I7"/>
    <mergeCell ref="C80:I80"/>
    <mergeCell ref="C9:I9"/>
    <mergeCell ref="C33:I33"/>
    <mergeCell ref="C39:I39"/>
    <mergeCell ref="C46:I46"/>
    <mergeCell ref="C50:I50"/>
    <mergeCell ref="C56:I56"/>
    <mergeCell ref="C58:I58"/>
    <mergeCell ref="C62:I62"/>
    <mergeCell ref="C67:I67"/>
    <mergeCell ref="C73:I73"/>
    <mergeCell ref="C74:I74"/>
    <mergeCell ref="C147:I147"/>
    <mergeCell ref="C85:I85"/>
    <mergeCell ref="C91:I91"/>
    <mergeCell ref="C98:I98"/>
    <mergeCell ref="C99:I99"/>
    <mergeCell ref="C100:I100"/>
    <mergeCell ref="C106:I106"/>
    <mergeCell ref="C112:I112"/>
    <mergeCell ref="C118:I118"/>
    <mergeCell ref="C119:I119"/>
    <mergeCell ref="C128:I128"/>
    <mergeCell ref="C146:I146"/>
    <mergeCell ref="C140:I140"/>
    <mergeCell ref="C171:I171"/>
    <mergeCell ref="C172:I172"/>
    <mergeCell ref="C153:I153"/>
    <mergeCell ref="C159:I159"/>
    <mergeCell ref="C160:I160"/>
    <mergeCell ref="C167:I167"/>
    <mergeCell ref="C168:I168"/>
    <mergeCell ref="C169:I169"/>
  </mergeCell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180"/>
  <sheetViews>
    <sheetView workbookViewId="0">
      <pane ySplit="3270" topLeftCell="A130" activePane="bottomLeft"/>
      <selection activeCell="U5" sqref="U5"/>
      <selection pane="bottomLeft" activeCell="J131" sqref="J131"/>
    </sheetView>
  </sheetViews>
  <sheetFormatPr defaultRowHeight="15" x14ac:dyDescent="0.25"/>
  <cols>
    <col min="1" max="1" width="8" customWidth="1"/>
    <col min="2" max="2" width="13" hidden="1" customWidth="1"/>
    <col min="3" max="3" width="37.28515625" customWidth="1"/>
    <col min="4" max="4" width="13.140625" customWidth="1"/>
    <col min="5" max="5" width="13" customWidth="1"/>
    <col min="6" max="6" width="11.28515625" customWidth="1"/>
    <col min="7" max="7" width="27.140625" customWidth="1"/>
    <col min="8" max="8" width="5.42578125" customWidth="1"/>
    <col min="9" max="9" width="5.5703125" customWidth="1"/>
    <col min="10" max="10" width="14.28515625" customWidth="1"/>
    <col min="11" max="11" width="12.85546875" customWidth="1"/>
    <col min="12" max="13" width="12.7109375" customWidth="1"/>
    <col min="15" max="15" width="14.28515625" customWidth="1"/>
    <col min="16" max="16" width="9" customWidth="1"/>
    <col min="17" max="17" width="9.5703125" customWidth="1"/>
    <col min="18" max="18" width="9.7109375" hidden="1" customWidth="1"/>
    <col min="19" max="19" width="9.7109375" customWidth="1"/>
  </cols>
  <sheetData>
    <row r="1" spans="1:19" ht="16.5" thickBot="1" x14ac:dyDescent="0.3">
      <c r="A1" s="1793" t="s">
        <v>741</v>
      </c>
      <c r="B1" s="1793"/>
      <c r="C1" s="1794"/>
      <c r="D1" s="1794"/>
      <c r="E1" s="1794"/>
      <c r="F1" s="1794"/>
      <c r="G1" s="1794"/>
      <c r="H1" s="1794"/>
      <c r="I1" s="1794"/>
      <c r="J1" s="1794"/>
      <c r="K1" s="1794"/>
    </row>
    <row r="2" spans="1:19" ht="47.25" customHeight="1" thickBot="1" x14ac:dyDescent="0.3">
      <c r="A2" s="1791" t="s">
        <v>46</v>
      </c>
      <c r="B2" s="1792"/>
      <c r="C2" s="1792"/>
      <c r="D2" s="1792"/>
      <c r="E2" s="1792"/>
      <c r="F2" s="1792"/>
      <c r="G2" s="1792"/>
      <c r="H2" s="1792"/>
      <c r="I2" s="1795"/>
      <c r="J2" s="1791" t="s">
        <v>47</v>
      </c>
      <c r="K2" s="1792"/>
      <c r="L2" s="1792"/>
      <c r="M2" s="1792"/>
      <c r="N2" s="1792"/>
      <c r="O2" s="1795"/>
      <c r="P2" s="1791" t="s">
        <v>740</v>
      </c>
      <c r="Q2" s="1792"/>
      <c r="R2" s="1792"/>
      <c r="S2" s="1795"/>
    </row>
    <row r="3" spans="1:19" ht="51.75" thickBot="1" x14ac:dyDescent="0.3">
      <c r="A3" s="325" t="s">
        <v>7</v>
      </c>
      <c r="B3" s="600" t="s">
        <v>739</v>
      </c>
      <c r="C3" s="325" t="s">
        <v>49</v>
      </c>
      <c r="D3" s="325" t="s">
        <v>50</v>
      </c>
      <c r="E3" s="325" t="s">
        <v>51</v>
      </c>
      <c r="F3" s="325" t="s">
        <v>52</v>
      </c>
      <c r="G3" s="325" t="s">
        <v>722</v>
      </c>
      <c r="H3" s="601" t="s">
        <v>723</v>
      </c>
      <c r="I3" s="599" t="s">
        <v>724</v>
      </c>
      <c r="J3" s="275" t="s">
        <v>57</v>
      </c>
      <c r="K3" s="276" t="s">
        <v>58</v>
      </c>
      <c r="L3" s="276" t="s">
        <v>59</v>
      </c>
      <c r="M3" s="276" t="s">
        <v>60</v>
      </c>
      <c r="N3" s="276" t="s">
        <v>61</v>
      </c>
      <c r="O3" s="277" t="s">
        <v>10</v>
      </c>
      <c r="P3" s="287" t="s">
        <v>736</v>
      </c>
      <c r="Q3" s="287" t="s">
        <v>737</v>
      </c>
      <c r="R3" s="286" t="s">
        <v>732</v>
      </c>
      <c r="S3" s="285" t="s">
        <v>1537</v>
      </c>
    </row>
    <row r="4" spans="1:19" ht="16.5" thickBot="1" x14ac:dyDescent="0.3">
      <c r="A4" s="597"/>
      <c r="B4" s="598"/>
      <c r="C4" s="259"/>
      <c r="D4" s="259"/>
      <c r="E4" s="259"/>
      <c r="F4" s="259"/>
      <c r="G4" s="259"/>
      <c r="H4" s="259"/>
      <c r="I4" s="269"/>
      <c r="J4" s="258"/>
      <c r="K4" s="259"/>
      <c r="L4" s="259"/>
      <c r="M4" s="259"/>
      <c r="N4" s="259"/>
      <c r="O4" s="269"/>
      <c r="P4" s="270" t="s">
        <v>725</v>
      </c>
      <c r="Q4" s="270"/>
      <c r="R4" s="256" t="s">
        <v>733</v>
      </c>
      <c r="S4" s="256"/>
    </row>
    <row r="5" spans="1:19" ht="16.5" thickBot="1" x14ac:dyDescent="0.3">
      <c r="A5" s="281"/>
      <c r="B5" s="320"/>
      <c r="C5" s="282"/>
      <c r="D5" s="282"/>
      <c r="E5" s="282"/>
      <c r="F5" s="282"/>
      <c r="G5" s="282"/>
      <c r="H5" s="282"/>
      <c r="I5" s="282"/>
      <c r="J5" s="258"/>
      <c r="K5" s="259"/>
      <c r="L5" s="259"/>
      <c r="M5" s="259"/>
      <c r="N5" s="259"/>
      <c r="O5" s="269"/>
      <c r="P5" s="283"/>
      <c r="Q5" s="284"/>
      <c r="R5" s="256"/>
      <c r="S5" s="256"/>
    </row>
    <row r="6" spans="1:19" ht="81" customHeight="1" thickBot="1" x14ac:dyDescent="0.35">
      <c r="A6" s="655" t="str">
        <f>CONCATENATE('3 pr-2'!A7)</f>
        <v>1.1.</v>
      </c>
      <c r="B6" s="656"/>
      <c r="C6" s="1799" t="str">
        <f>CONCATENATE('3 pr-2'!D7)</f>
        <v/>
      </c>
      <c r="D6" s="1800" t="str">
        <f>CONCATENATE('3 pr-2'!E7)</f>
        <v/>
      </c>
      <c r="E6" s="1800" t="str">
        <f>CONCATENATE('3 pr-2'!F7)</f>
        <v/>
      </c>
      <c r="F6" s="1800" t="str">
        <f>CONCATENATE('3 pr-2'!G7)</f>
        <v/>
      </c>
      <c r="G6" s="1800" t="str">
        <f>CONCATENATE('3 pr-2'!H7)</f>
        <v/>
      </c>
      <c r="H6" s="1800" t="str">
        <f>CONCATENATE('3 pr-2'!I7)</f>
        <v/>
      </c>
      <c r="I6" s="1801" t="str">
        <f>CONCATENATE('3 pr-2'!J7)</f>
        <v/>
      </c>
      <c r="J6" s="657">
        <f t="shared" ref="J6:O6" si="0">SUM(J7+J72)</f>
        <v>35025173.071764708</v>
      </c>
      <c r="K6" s="657">
        <f t="shared" si="0"/>
        <v>2320019.141764706</v>
      </c>
      <c r="L6" s="657">
        <f t="shared" si="0"/>
        <v>1292948.9300000002</v>
      </c>
      <c r="M6" s="657">
        <f t="shared" si="0"/>
        <v>8216263.3399999999</v>
      </c>
      <c r="N6" s="657">
        <f t="shared" si="0"/>
        <v>62660</v>
      </c>
      <c r="O6" s="657">
        <f t="shared" si="0"/>
        <v>23133281.659999996</v>
      </c>
      <c r="P6" s="222" t="s">
        <v>725</v>
      </c>
      <c r="Q6" s="222" t="s">
        <v>725</v>
      </c>
      <c r="R6" s="222" t="s">
        <v>725</v>
      </c>
      <c r="S6" s="222"/>
    </row>
    <row r="7" spans="1:19" ht="45" customHeight="1" thickBot="1" x14ac:dyDescent="0.3">
      <c r="A7" s="345" t="s">
        <v>726</v>
      </c>
      <c r="B7" s="648"/>
      <c r="C7" s="1668" t="str">
        <f>CONCATENATE('3 pr-2'!D8)</f>
        <v/>
      </c>
      <c r="D7" s="1669" t="str">
        <f>CONCATENATE('3 pr-2'!E8)</f>
        <v/>
      </c>
      <c r="E7" s="1669" t="str">
        <f>CONCATENATE('3 pr-2'!F8)</f>
        <v/>
      </c>
      <c r="F7" s="1669" t="str">
        <f>CONCATENATE('3 pr-2'!G8)</f>
        <v/>
      </c>
      <c r="G7" s="1669" t="str">
        <f>CONCATENATE('3 pr-2'!H8)</f>
        <v/>
      </c>
      <c r="H7" s="1669" t="str">
        <f>CONCATENATE('3 pr-2'!I8)</f>
        <v/>
      </c>
      <c r="I7" s="1670" t="str">
        <f>CONCATENATE('3 pr-2'!J8)</f>
        <v/>
      </c>
      <c r="J7" s="303">
        <f t="shared" ref="J7:O7" si="1">SUM(J8+J32+J38+J45+J49+J55+J57+J61+J66)</f>
        <v>32929735.941764709</v>
      </c>
      <c r="K7" s="303">
        <f t="shared" si="1"/>
        <v>2056296.8717647057</v>
      </c>
      <c r="L7" s="303">
        <f t="shared" si="1"/>
        <v>1292948.9300000002</v>
      </c>
      <c r="M7" s="303">
        <f t="shared" si="1"/>
        <v>8216263.3399999999</v>
      </c>
      <c r="N7" s="303">
        <f t="shared" si="1"/>
        <v>0</v>
      </c>
      <c r="O7" s="303">
        <f t="shared" si="1"/>
        <v>21364226.799999997</v>
      </c>
      <c r="P7" s="311" t="s">
        <v>725</v>
      </c>
      <c r="Q7" s="650" t="s">
        <v>725</v>
      </c>
      <c r="R7" s="649" t="s">
        <v>725</v>
      </c>
      <c r="S7" s="314"/>
    </row>
    <row r="8" spans="1:19" ht="45.75" customHeight="1" thickBot="1" x14ac:dyDescent="0.3">
      <c r="A8" s="497" t="s">
        <v>67</v>
      </c>
      <c r="B8" s="613"/>
      <c r="C8" s="1656" t="str">
        <f>CONCATENATE('3 pr-2'!D9)</f>
        <v/>
      </c>
      <c r="D8" s="1789" t="str">
        <f>CONCATENATE('3 pr-2'!E9)</f>
        <v/>
      </c>
      <c r="E8" s="1789" t="str">
        <f>CONCATENATE('3 pr-2'!F9)</f>
        <v/>
      </c>
      <c r="F8" s="1789" t="str">
        <f>CONCATENATE('3 pr-2'!G9)</f>
        <v/>
      </c>
      <c r="G8" s="1789" t="str">
        <f>CONCATENATE('3 pr-2'!H9)</f>
        <v/>
      </c>
      <c r="H8" s="1789" t="str">
        <f>CONCATENATE('3 pr-2'!I9)</f>
        <v/>
      </c>
      <c r="I8" s="1790" t="str">
        <f>CONCATENATE('3 pr-2'!J9)</f>
        <v/>
      </c>
      <c r="J8" s="629">
        <f t="shared" ref="J8:O8" si="2">SUM(J9:J31)</f>
        <v>4047698</v>
      </c>
      <c r="K8" s="629">
        <f t="shared" si="2"/>
        <v>876264</v>
      </c>
      <c r="L8" s="629">
        <f t="shared" si="2"/>
        <v>475716</v>
      </c>
      <c r="M8" s="629">
        <f t="shared" si="2"/>
        <v>0</v>
      </c>
      <c r="N8" s="629">
        <f t="shared" si="2"/>
        <v>0</v>
      </c>
      <c r="O8" s="629">
        <f t="shared" si="2"/>
        <v>2695718</v>
      </c>
      <c r="P8" s="630"/>
      <c r="Q8" s="631"/>
      <c r="R8" s="630"/>
      <c r="S8" s="631"/>
    </row>
    <row r="9" spans="1:19" ht="48.75" x14ac:dyDescent="0.25">
      <c r="A9" s="254" t="str">
        <f>CONCATENATE('3 pr-2'!A10)</f>
        <v>1.1.1.1.1</v>
      </c>
      <c r="B9" s="323" t="str">
        <f>CONCATENATE('ketv. 2lent'!B9)</f>
        <v>20KI-KA-17-1-02616-PR001</v>
      </c>
      <c r="C9" s="255" t="str">
        <f>CONCATENATE('3 pr-2'!D10)</f>
        <v xml:space="preserve">Druskininkų savivaldybės Viečiūnų seniūnijos Ilgio ir Raigardo seniūnaitijų kelių būklės gerinimas  </v>
      </c>
      <c r="D9" s="255" t="str">
        <f>CONCATENATE('3 pr-2'!E10)</f>
        <v xml:space="preserve">Druskininkų savivaldybės administracija  </v>
      </c>
      <c r="E9" s="255" t="str">
        <f>CONCATENATE('3 pr-2'!F10)</f>
        <v>Lietuvos Respublikos žemės ūkio ministerija</v>
      </c>
      <c r="F9" s="255" t="str">
        <f>CONCATENATE('3 pr-2'!G10)</f>
        <v>Druskininkų savivaldybė</v>
      </c>
      <c r="G9" s="255" t="str">
        <f>CONCATENATE('3 pr-2'!H10)</f>
        <v xml:space="preserve">Pagrindinės paslaugos ir kaimų atnaujinimas kaimo vietovėse </v>
      </c>
      <c r="H9" s="255" t="str">
        <f>CONCATENATE('3 pr-2'!I10)</f>
        <v>R</v>
      </c>
      <c r="I9" s="265" t="str">
        <f>CONCATENATE('3 pr-2'!J10)</f>
        <v>-</v>
      </c>
      <c r="J9" s="474">
        <f>IF(Q9&gt;0,'3 pr-2'!L10,0)</f>
        <v>198893</v>
      </c>
      <c r="K9" s="474">
        <f>IF(Q9&gt;0,'3 pr-2'!O10,0)</f>
        <v>39779</v>
      </c>
      <c r="L9" s="474">
        <f>IF(Q9&gt;0,'3 pr-2'!R10,0)</f>
        <v>23867</v>
      </c>
      <c r="M9" s="474">
        <f>IF(Q9&gt;0,'3 pr-2'!U10,0)</f>
        <v>0</v>
      </c>
      <c r="N9" s="474">
        <f>IF(Q9&gt;0,'3 pr-2'!X10,0)</f>
        <v>0</v>
      </c>
      <c r="O9" s="474">
        <f>IF(Q9&gt;0,'3 pr-2'!AA10,0)</f>
        <v>135247</v>
      </c>
      <c r="P9" s="288">
        <f>SUM('3 pr-2'!AG10)</f>
        <v>43010</v>
      </c>
      <c r="Q9" s="602">
        <v>43010</v>
      </c>
      <c r="R9" s="264">
        <f t="shared" ref="R9:R31" si="3">IF((YEAR(P9)-YEAR(Q9))=0,0,YEAR(P9)-YEAR(Q9))</f>
        <v>0</v>
      </c>
      <c r="S9" s="998" t="str">
        <f>IF(P9-Q9&lt;0,(P9-Q9)/30.4166666666667,"–")</f>
        <v>–</v>
      </c>
    </row>
    <row r="10" spans="1:19" ht="48.75" x14ac:dyDescent="0.25">
      <c r="A10" s="254" t="str">
        <f>CONCATENATE('3 pr-2'!A11)</f>
        <v>1.1.1.1.2</v>
      </c>
      <c r="B10" s="323" t="str">
        <f>CONCATENATE('ketv. 2lent'!B10)</f>
        <v>20KI-KA-17-1-02617-PR001</v>
      </c>
      <c r="C10" s="255" t="str">
        <f>CONCATENATE('3 pr-2'!D11)</f>
        <v>Druskininkų savivaldybės Viečiūnų seniūnijos Ratnyčėlės seniūnaitijos kelių būklės gerinimas</v>
      </c>
      <c r="D10" s="255" t="str">
        <f>CONCATENATE('3 pr-2'!E11)</f>
        <v xml:space="preserve">Druskininkų savivaldybės administracija  </v>
      </c>
      <c r="E10" s="255" t="str">
        <f>CONCATENATE('3 pr-2'!F11)</f>
        <v>Lietuvos Respublikos žemės ūkio ministerija</v>
      </c>
      <c r="F10" s="255" t="str">
        <f>CONCATENATE('3 pr-2'!G11)</f>
        <v>Druskininkų savivaldybė</v>
      </c>
      <c r="G10" s="255" t="str">
        <f>CONCATENATE('3 pr-2'!H11)</f>
        <v xml:space="preserve">Pagrindinės paslaugos ir kaimų atnaujinimas kaimo vietovėse </v>
      </c>
      <c r="H10" s="255" t="str">
        <f>CONCATENATE('3 pr-2'!I11)</f>
        <v>R</v>
      </c>
      <c r="I10" s="265" t="str">
        <f>CONCATENATE('3 pr-2'!J11)</f>
        <v>-</v>
      </c>
      <c r="J10" s="474">
        <f>IF(Q10&gt;0,'3 pr-2'!L11,0)</f>
        <v>151340</v>
      </c>
      <c r="K10" s="474">
        <f>IF(Q10&gt;0,'3 pr-2'!O11,0)</f>
        <v>30268</v>
      </c>
      <c r="L10" s="474">
        <f>IF(Q10&gt;0,'3 pr-2'!R11,0)</f>
        <v>18161</v>
      </c>
      <c r="M10" s="474">
        <f>IF(Q10&gt;0,'3 pr-2'!U11,0)</f>
        <v>0</v>
      </c>
      <c r="N10" s="474">
        <f>IF(Q10&gt;0,'3 pr-2'!X11,0)</f>
        <v>0</v>
      </c>
      <c r="O10" s="474">
        <f>IF(Q10&gt;0,'3 pr-2'!AA11,0)</f>
        <v>102911</v>
      </c>
      <c r="P10" s="288">
        <f>SUM('3 pr-2'!AG11)</f>
        <v>43010</v>
      </c>
      <c r="Q10" s="602">
        <v>43010</v>
      </c>
      <c r="R10" s="264">
        <f t="shared" si="3"/>
        <v>0</v>
      </c>
      <c r="S10" s="998" t="str">
        <f t="shared" ref="S10:S71" si="4">IF(P10-Q10&lt;0,(P10-Q10)/30.4166666666667,"–")</f>
        <v>–</v>
      </c>
    </row>
    <row r="11" spans="1:19" ht="48.75" x14ac:dyDescent="0.25">
      <c r="A11" s="254" t="str">
        <f>CONCATENATE('3 pr-2'!A12)</f>
        <v>1.1.1.1.3</v>
      </c>
      <c r="B11" s="323" t="str">
        <f>CONCATENATE('ketv. 2lent'!B11)</f>
        <v>20KI-KA-17-1-02622-PR001</v>
      </c>
      <c r="C11" s="255" t="str">
        <f>CONCATENATE('3 pr-2'!D12)</f>
        <v>Druskininkų savivaldybės Leipalingio seniūnijos Klonio seniūnaitijos kelių būklės gerinimas</v>
      </c>
      <c r="D11" s="255" t="str">
        <f>CONCATENATE('3 pr-2'!E12)</f>
        <v xml:space="preserve">Druskininkų savivaldybės administracija  </v>
      </c>
      <c r="E11" s="255" t="str">
        <f>CONCATENATE('3 pr-2'!F12)</f>
        <v>Lietuvos Respublikos žemės ūkio ministerija</v>
      </c>
      <c r="F11" s="255" t="str">
        <f>CONCATENATE('3 pr-2'!G12)</f>
        <v>Druskininkų savivaldybė</v>
      </c>
      <c r="G11" s="255" t="str">
        <f>CONCATENATE('3 pr-2'!H12)</f>
        <v xml:space="preserve">Pagrindinės paslaugos ir kaimų atnaujinimas kaimo vietovėse </v>
      </c>
      <c r="H11" s="255" t="str">
        <f>CONCATENATE('3 pr-2'!I12)</f>
        <v>R</v>
      </c>
      <c r="I11" s="265" t="str">
        <f>CONCATENATE('3 pr-2'!J12)</f>
        <v>-</v>
      </c>
      <c r="J11" s="474">
        <f>IF(Q11&gt;0,'3 pr-2'!L12,0)</f>
        <v>193059</v>
      </c>
      <c r="K11" s="474">
        <f>IF(Q11&gt;0,'3 pr-2'!O12,0)</f>
        <v>38612</v>
      </c>
      <c r="L11" s="474">
        <f>IF(Q11&gt;0,'3 pr-2'!R12,0)</f>
        <v>23167</v>
      </c>
      <c r="M11" s="474">
        <f>IF(Q11&gt;0,'3 pr-2'!U12,0)</f>
        <v>0</v>
      </c>
      <c r="N11" s="474">
        <f>IF(Q11&gt;0,'3 pr-2'!X12,0)</f>
        <v>0</v>
      </c>
      <c r="O11" s="474">
        <f>IF(Q11&gt;0,'3 pr-2'!AA12,0)</f>
        <v>131280</v>
      </c>
      <c r="P11" s="288">
        <f>SUM('3 pr-2'!AG12)</f>
        <v>43010</v>
      </c>
      <c r="Q11" s="602">
        <v>43010</v>
      </c>
      <c r="R11" s="264">
        <f t="shared" si="3"/>
        <v>0</v>
      </c>
      <c r="S11" s="998" t="str">
        <f t="shared" si="4"/>
        <v>–</v>
      </c>
    </row>
    <row r="12" spans="1:19" ht="48.75" x14ac:dyDescent="0.25">
      <c r="A12" s="254" t="str">
        <f>CONCATENATE('3 pr-2'!A13)</f>
        <v>1.1.1.1.4</v>
      </c>
      <c r="B12" s="323" t="str">
        <f>CONCATENATE('ketv. 2lent'!B12)</f>
        <v>20KI-KA-17-1-02368-PR001</v>
      </c>
      <c r="C12" s="255" t="str">
        <f>CONCATENATE('3 pr-2'!D13)</f>
        <v>Rudaminos laisvalaikio salės pritaikymas bendruomenės poreikiams ir liaudies amatų plėtrai</v>
      </c>
      <c r="D12" s="255" t="str">
        <f>CONCATENATE('3 pr-2'!E13)</f>
        <v>Viešoji įstaiga Lazdijų kultūros centras</v>
      </c>
      <c r="E12" s="255" t="str">
        <f>CONCATENATE('3 pr-2'!F13)</f>
        <v>Lietuvos Respublikos žemės ūkio ministerija</v>
      </c>
      <c r="F12" s="255" t="str">
        <f>CONCATENATE('3 pr-2'!G13)</f>
        <v>Lazdijų rajono savivaldybė</v>
      </c>
      <c r="G12" s="255" t="str">
        <f>CONCATENATE('3 pr-2'!H13)</f>
        <v xml:space="preserve">Pagrindinės paslaugos ir kaimų atnaujinimas kaimo vietovėse </v>
      </c>
      <c r="H12" s="255" t="str">
        <f>CONCATENATE('3 pr-2'!I13)</f>
        <v>R</v>
      </c>
      <c r="I12" s="265" t="str">
        <f>CONCATENATE('3 pr-2'!J13)</f>
        <v>-</v>
      </c>
      <c r="J12" s="474">
        <f>IF(Q12&gt;0,'3 pr-2'!L13,0)</f>
        <v>125000</v>
      </c>
      <c r="K12" s="474">
        <f>IF(Q12&gt;0,'3 pr-2'!O13,0)</f>
        <v>25000</v>
      </c>
      <c r="L12" s="474">
        <f>IF(Q12&gt;0,'3 pr-2'!R13,0)</f>
        <v>15000</v>
      </c>
      <c r="M12" s="474">
        <f>IF(Q12&gt;0,'3 pr-2'!U13,0)</f>
        <v>0</v>
      </c>
      <c r="N12" s="474">
        <f>IF(Q12&gt;0,'3 pr-2'!X13,0)</f>
        <v>0</v>
      </c>
      <c r="O12" s="474">
        <f>IF(Q12&gt;0,'3 pr-2'!AA13,0)</f>
        <v>85000</v>
      </c>
      <c r="P12" s="288">
        <f>SUM('3 pr-2'!AG13)</f>
        <v>43010</v>
      </c>
      <c r="Q12" s="602">
        <v>43010</v>
      </c>
      <c r="R12" s="264">
        <f t="shared" si="3"/>
        <v>0</v>
      </c>
      <c r="S12" s="998" t="str">
        <f t="shared" si="4"/>
        <v>–</v>
      </c>
    </row>
    <row r="13" spans="1:19" ht="48.75" x14ac:dyDescent="0.25">
      <c r="A13" s="254" t="str">
        <f>CONCATENATE('3 pr-2'!A14)</f>
        <v>1.1.1.1.5</v>
      </c>
      <c r="B13" s="323" t="str">
        <f>CONCATENATE('ketv. 2lent'!B13)</f>
        <v>20KI-KA-17-1-02619-PR001</v>
      </c>
      <c r="C13" s="255" t="str">
        <f>CONCATENATE('3 pr-2'!D14)</f>
        <v>Druskininkų savivaldybės Leipalingio seniūnijos Bilso seniūnaitijos kelių būklės gerinimas</v>
      </c>
      <c r="D13" s="255" t="str">
        <f>CONCATENATE('3 pr-2'!E14)</f>
        <v xml:space="preserve">Druskininkų savivaldybės administracija  </v>
      </c>
      <c r="E13" s="255" t="str">
        <f>CONCATENATE('3 pr-2'!F14)</f>
        <v>Lietuvos Respublikos žemės ūkio ministerija</v>
      </c>
      <c r="F13" s="255" t="str">
        <f>CONCATENATE('3 pr-2'!G14)</f>
        <v>Druskininkų savivaldybė</v>
      </c>
      <c r="G13" s="255" t="str">
        <f>CONCATENATE('3 pr-2'!H14)</f>
        <v xml:space="preserve">Pagrindinės paslaugos ir kaimų atnaujinimas kaimo vietovėse </v>
      </c>
      <c r="H13" s="255" t="str">
        <f>CONCATENATE('3 pr-2'!I14)</f>
        <v>R</v>
      </c>
      <c r="I13" s="265" t="str">
        <f>CONCATENATE('3 pr-2'!J14)</f>
        <v>-</v>
      </c>
      <c r="J13" s="474">
        <f>IF(Q13&gt;0,'3 pr-2'!L14,0)</f>
        <v>240940</v>
      </c>
      <c r="K13" s="474">
        <f>IF(Q13&gt;0,'3 pr-2'!O14,0)</f>
        <v>112896</v>
      </c>
      <c r="L13" s="474">
        <f>IF(Q13&gt;0,'3 pr-2'!R14,0)</f>
        <v>19207</v>
      </c>
      <c r="M13" s="474">
        <f>IF(Q13&gt;0,'3 pr-2'!U14,0)</f>
        <v>0</v>
      </c>
      <c r="N13" s="474">
        <f>IF(Q13&gt;0,'3 pr-2'!X14,0)</f>
        <v>0</v>
      </c>
      <c r="O13" s="474">
        <f>IF(Q13&gt;0,'3 pr-2'!AA14,0)</f>
        <v>108837</v>
      </c>
      <c r="P13" s="288">
        <f>SUM('3 pr-2'!AG14)</f>
        <v>43010</v>
      </c>
      <c r="Q13" s="602">
        <v>43010</v>
      </c>
      <c r="R13" s="264">
        <f t="shared" si="3"/>
        <v>0</v>
      </c>
      <c r="S13" s="998" t="str">
        <f t="shared" si="4"/>
        <v>–</v>
      </c>
    </row>
    <row r="14" spans="1:19" ht="60.75" x14ac:dyDescent="0.25">
      <c r="A14" s="254" t="str">
        <f>CONCATENATE('3 pr-2'!A15)</f>
        <v>1.1.1.1.6</v>
      </c>
      <c r="B14" s="323" t="str">
        <f>CONCATENATE('ketv. 2lent'!B14)</f>
        <v>20KI-KA-17-1-02374-PR001</v>
      </c>
      <c r="C14" s="255" t="str">
        <f>CONCATENATE('3 pr-2'!D15)</f>
        <v>Lazdijų rajono kaimų patrauklumo didinimas atnaujinant bibliotekas</v>
      </c>
      <c r="D14" s="255" t="str">
        <f>CONCATENATE('3 pr-2'!E15)</f>
        <v xml:space="preserve">Biudžetinė įstaiga Lazdijų rajono savivaldybės viešoji biblioteka </v>
      </c>
      <c r="E14" s="255" t="str">
        <f>CONCATENATE('3 pr-2'!F15)</f>
        <v>Lietuvos Respublikos žemės ūkio ministerija</v>
      </c>
      <c r="F14" s="255" t="str">
        <f>CONCATENATE('3 pr-2'!G15)</f>
        <v>Lazdijų rajono savivaldybė</v>
      </c>
      <c r="G14" s="255" t="str">
        <f>CONCATENATE('3 pr-2'!H15)</f>
        <v xml:space="preserve">Pagrindinės paslaugos ir kaimų atnaujinimas kaimo vietovėse </v>
      </c>
      <c r="H14" s="255" t="str">
        <f>CONCATENATE('3 pr-2'!I15)</f>
        <v>R</v>
      </c>
      <c r="I14" s="265" t="str">
        <f>CONCATENATE('3 pr-2'!J15)</f>
        <v>-</v>
      </c>
      <c r="J14" s="474">
        <f>IF(Q14&gt;0,'3 pr-2'!L15,0)</f>
        <v>201000</v>
      </c>
      <c r="K14" s="474">
        <f>IF(Q14&gt;0,'3 pr-2'!O15,0)</f>
        <v>40200</v>
      </c>
      <c r="L14" s="474">
        <f>IF(Q14&gt;0,'3 pr-2'!R15,0)</f>
        <v>24120</v>
      </c>
      <c r="M14" s="474">
        <f>IF(Q14&gt;0,'3 pr-2'!U15,0)</f>
        <v>0</v>
      </c>
      <c r="N14" s="474">
        <f>IF(Q14&gt;0,'3 pr-2'!X15,0)</f>
        <v>0</v>
      </c>
      <c r="O14" s="474">
        <f>IF(Q14&gt;0,'3 pr-2'!AA15,0)</f>
        <v>136680</v>
      </c>
      <c r="P14" s="288">
        <f>SUM('3 pr-2'!AG15)</f>
        <v>43010</v>
      </c>
      <c r="Q14" s="602">
        <v>43010</v>
      </c>
      <c r="R14" s="264">
        <f t="shared" si="3"/>
        <v>0</v>
      </c>
      <c r="S14" s="998" t="str">
        <f t="shared" si="4"/>
        <v>–</v>
      </c>
    </row>
    <row r="15" spans="1:19" ht="48.75" x14ac:dyDescent="0.25">
      <c r="A15" s="254" t="str">
        <f>CONCATENATE('3 pr-2'!A16)</f>
        <v>1.1.1.1.7</v>
      </c>
      <c r="B15" s="323" t="str">
        <f>CONCATENATE('ketv. 2lent'!B15)</f>
        <v>20KI-KA-17-1-02437-PR001</v>
      </c>
      <c r="C15" s="255" t="str">
        <f>CONCATENATE('3 pr-2'!D16)</f>
        <v>Alytaus rajono Miroslavo kaimo multifunkcinės sporto aikštės įrengimas ir gatvių bei šaligatvių rekonstrukcija</v>
      </c>
      <c r="D15" s="255" t="str">
        <f>CONCATENATE('3 pr-2'!E16)</f>
        <v>Alytaus rajono savivaldybės administracija</v>
      </c>
      <c r="E15" s="255" t="str">
        <f>CONCATENATE('3 pr-2'!F16)</f>
        <v>Lietuvos Respublikos žemės ūkio ministerija</v>
      </c>
      <c r="F15" s="255" t="str">
        <f>CONCATENATE('3 pr-2'!G16)</f>
        <v>Alytaus rajono savivaldybė</v>
      </c>
      <c r="G15" s="255" t="str">
        <f>CONCATENATE('3 pr-2'!H16)</f>
        <v xml:space="preserve">Pagrindinės paslaugos ir kaimų atnaujinimas kaimo vietovėse </v>
      </c>
      <c r="H15" s="255" t="str">
        <f>CONCATENATE('3 pr-2'!I16)</f>
        <v>R</v>
      </c>
      <c r="I15" s="265" t="str">
        <f>CONCATENATE('3 pr-2'!J16)</f>
        <v>-</v>
      </c>
      <c r="J15" s="474">
        <f>IF(Q15&gt;0,'3 pr-2'!L16,0)</f>
        <v>252212</v>
      </c>
      <c r="K15" s="474">
        <f>IF(Q15&gt;0,'3 pr-2'!O16,0)</f>
        <v>52212</v>
      </c>
      <c r="L15" s="474">
        <f>IF(Q15&gt;0,'3 pr-2'!R16,0)</f>
        <v>30000</v>
      </c>
      <c r="M15" s="474">
        <f>IF(Q15&gt;0,'3 pr-2'!U16,0)</f>
        <v>0</v>
      </c>
      <c r="N15" s="474">
        <f>IF(Q15&gt;0,'3 pr-2'!X16,0)</f>
        <v>0</v>
      </c>
      <c r="O15" s="474">
        <f>IF(Q15&gt;0,'3 pr-2'!AA16,0)</f>
        <v>170000</v>
      </c>
      <c r="P15" s="288">
        <f>SUM('3 pr-2'!AG16)</f>
        <v>43010</v>
      </c>
      <c r="Q15" s="602">
        <v>43010</v>
      </c>
      <c r="R15" s="264">
        <f t="shared" si="3"/>
        <v>0</v>
      </c>
      <c r="S15" s="998" t="str">
        <f t="shared" si="4"/>
        <v>–</v>
      </c>
    </row>
    <row r="16" spans="1:19" ht="48.75" x14ac:dyDescent="0.25">
      <c r="A16" s="254" t="str">
        <f>CONCATENATE('3 pr-2'!A17)</f>
        <v>1.1.1.1.8</v>
      </c>
      <c r="B16" s="323" t="str">
        <f>CONCATENATE('ketv. 2lent'!B16)</f>
        <v>20KI-KA-17-1-02242-PR001</v>
      </c>
      <c r="C16" s="255" t="str">
        <f>CONCATENATE('3 pr-2'!D17)</f>
        <v>Alytaus rajono Luksnėnų kaimo multifunkcinės sporto aikštės įrengimas ir gatvių rekonstrukcija</v>
      </c>
      <c r="D16" s="255" t="str">
        <f>CONCATENATE('3 pr-2'!E17)</f>
        <v>Alytaus rajono savivaldybės administracija</v>
      </c>
      <c r="E16" s="255" t="str">
        <f>CONCATENATE('3 pr-2'!F17)</f>
        <v>Lietuvos Respublikos žemės ūkio ministerija</v>
      </c>
      <c r="F16" s="255" t="str">
        <f>CONCATENATE('3 pr-2'!G17)</f>
        <v>Alytaus rajono savivaldybė</v>
      </c>
      <c r="G16" s="255" t="str">
        <f>CONCATENATE('3 pr-2'!H17)</f>
        <v xml:space="preserve">Pagrindinės paslaugos ir kaimų atnaujinimas kaimo vietovėse </v>
      </c>
      <c r="H16" s="255" t="str">
        <f>CONCATENATE('3 pr-2'!I17)</f>
        <v>R</v>
      </c>
      <c r="I16" s="265" t="str">
        <f>CONCATENATE('3 pr-2'!J17)</f>
        <v>-</v>
      </c>
      <c r="J16" s="474">
        <f>IF(Q16&gt;0,'3 pr-2'!L17,0)</f>
        <v>250309</v>
      </c>
      <c r="K16" s="474">
        <f>IF(Q16&gt;0,'3 pr-2'!O17,0)</f>
        <v>50309</v>
      </c>
      <c r="L16" s="474">
        <f>IF(Q16&gt;0,'3 pr-2'!R17,0)</f>
        <v>30000</v>
      </c>
      <c r="M16" s="474">
        <f>IF(Q16&gt;0,'3 pr-2'!U17,0)</f>
        <v>0</v>
      </c>
      <c r="N16" s="474">
        <f>IF(Q16&gt;0,'3 pr-2'!X17,0)</f>
        <v>0</v>
      </c>
      <c r="O16" s="474">
        <f>IF(Q16&gt;0,'3 pr-2'!AA17,0)</f>
        <v>170000</v>
      </c>
      <c r="P16" s="288">
        <f>SUM('3 pr-2'!AG17)</f>
        <v>43010</v>
      </c>
      <c r="Q16" s="602">
        <v>43010</v>
      </c>
      <c r="R16" s="264">
        <f t="shared" si="3"/>
        <v>0</v>
      </c>
      <c r="S16" s="998" t="str">
        <f t="shared" si="4"/>
        <v>–</v>
      </c>
    </row>
    <row r="17" spans="1:19" ht="48.75" x14ac:dyDescent="0.25">
      <c r="A17" s="254" t="str">
        <f>CONCATENATE('3 pr-2'!A18)</f>
        <v>1.1.1.1.9</v>
      </c>
      <c r="B17" s="323" t="str">
        <f>CONCATENATE('ketv. 2lent'!B17)</f>
        <v>20KI-KA-17-1-02372-PR001</v>
      </c>
      <c r="C17" s="255" t="str">
        <f>CONCATENATE('3 pr-2'!D18)</f>
        <v>Krikštonių laisvalaikio salės pritaikymas bendruomenės poreikiams</v>
      </c>
      <c r="D17" s="255" t="str">
        <f>CONCATENATE('3 pr-2'!E18)</f>
        <v xml:space="preserve">Viešoji įstaiga Lazdijų kultūros centras </v>
      </c>
      <c r="E17" s="255" t="str">
        <f>CONCATENATE('3 pr-2'!F18)</f>
        <v>Lietuvos Respublikos žemės ūkio ministerija</v>
      </c>
      <c r="F17" s="255" t="str">
        <f>CONCATENATE('3 pr-2'!G18)</f>
        <v>Lazdijų rajono savivaldybė</v>
      </c>
      <c r="G17" s="255" t="str">
        <f>CONCATENATE('3 pr-2'!H18)</f>
        <v xml:space="preserve">Pagrindinės paslaugos ir kaimų atnaujinimas kaimo vietovėse </v>
      </c>
      <c r="H17" s="255" t="str">
        <f>CONCATENATE('3 pr-2'!I18)</f>
        <v>R</v>
      </c>
      <c r="I17" s="265" t="str">
        <f>CONCATENATE('3 pr-2'!J18)</f>
        <v>-</v>
      </c>
      <c r="J17" s="474">
        <f>IF(Q17&gt;0,'3 pr-2'!L18,0)</f>
        <v>250000</v>
      </c>
      <c r="K17" s="474">
        <f>IF(Q17&gt;0,'3 pr-2'!O18,0)</f>
        <v>50000</v>
      </c>
      <c r="L17" s="474">
        <f>IF(Q17&gt;0,'3 pr-2'!R18,0)</f>
        <v>30000</v>
      </c>
      <c r="M17" s="474">
        <f>IF(Q17&gt;0,'3 pr-2'!U18,0)</f>
        <v>0</v>
      </c>
      <c r="N17" s="474">
        <f>IF(Q17&gt;0,'3 pr-2'!X18,0)</f>
        <v>0</v>
      </c>
      <c r="O17" s="474">
        <f>IF(Q17&gt;0,'3 pr-2'!AA18,0)</f>
        <v>170000</v>
      </c>
      <c r="P17" s="288">
        <f>SUM('3 pr-2'!AG18)</f>
        <v>43010</v>
      </c>
      <c r="Q17" s="602">
        <v>43010</v>
      </c>
      <c r="R17" s="264">
        <f t="shared" si="3"/>
        <v>0</v>
      </c>
      <c r="S17" s="998" t="str">
        <f t="shared" si="4"/>
        <v>–</v>
      </c>
    </row>
    <row r="18" spans="1:19" ht="48.75" x14ac:dyDescent="0.25">
      <c r="A18" s="254" t="str">
        <f>CONCATENATE('3 pr-2'!A19)</f>
        <v>1.1.1.1.10</v>
      </c>
      <c r="B18" s="323" t="str">
        <f>CONCATENATE('ketv. 2lent'!B18)</f>
        <v>20KI-KA-17-1-02370-PR001</v>
      </c>
      <c r="C18" s="255" t="str">
        <f>CONCATENATE('3 pr-2'!D19)</f>
        <v>Kučiūnų laisvalaikio salės pritaikymas bendruomenės poreikiams</v>
      </c>
      <c r="D18" s="255" t="str">
        <f>CONCATENATE('3 pr-2'!E19)</f>
        <v xml:space="preserve">Viešoji įstaiga Lazdijų kultūros centras </v>
      </c>
      <c r="E18" s="255" t="str">
        <f>CONCATENATE('3 pr-2'!F19)</f>
        <v>Lietuvos Respublikos žemės ūkio ministerija</v>
      </c>
      <c r="F18" s="255" t="str">
        <f>CONCATENATE('3 pr-2'!G19)</f>
        <v>Lazdijų rajono savivaldybė</v>
      </c>
      <c r="G18" s="255" t="str">
        <f>CONCATENATE('3 pr-2'!H19)</f>
        <v xml:space="preserve">Pagrindinės paslaugos ir kaimų atnaujinimas kaimo vietovėse </v>
      </c>
      <c r="H18" s="255" t="str">
        <f>CONCATENATE('3 pr-2'!I19)</f>
        <v>R</v>
      </c>
      <c r="I18" s="265" t="str">
        <f>CONCATENATE('3 pr-2'!J19)</f>
        <v>-</v>
      </c>
      <c r="J18" s="474">
        <f>IF(Q18&gt;0,'3 pr-2'!L19,0)</f>
        <v>250000</v>
      </c>
      <c r="K18" s="474">
        <f>IF(Q18&gt;0,'3 pr-2'!O19,0)</f>
        <v>50000</v>
      </c>
      <c r="L18" s="474">
        <f>IF(Q18&gt;0,'3 pr-2'!R19,0)</f>
        <v>30000</v>
      </c>
      <c r="M18" s="474">
        <f>IF(Q18&gt;0,'3 pr-2'!U19,0)</f>
        <v>0</v>
      </c>
      <c r="N18" s="474">
        <f>IF(Q18&gt;0,'3 pr-2'!X19,0)</f>
        <v>0</v>
      </c>
      <c r="O18" s="474">
        <f>IF(Q18&gt;0,'3 pr-2'!AA19,0)</f>
        <v>170000</v>
      </c>
      <c r="P18" s="288">
        <f>SUM('3 pr-2'!AG19)</f>
        <v>43010</v>
      </c>
      <c r="Q18" s="602">
        <v>43010</v>
      </c>
      <c r="R18" s="264">
        <f t="shared" si="3"/>
        <v>0</v>
      </c>
      <c r="S18" s="998" t="str">
        <f t="shared" si="4"/>
        <v>–</v>
      </c>
    </row>
    <row r="19" spans="1:19" ht="48.75" x14ac:dyDescent="0.25">
      <c r="A19" s="254" t="str">
        <f>CONCATENATE('3 pr-2'!A20)</f>
        <v>1.1.1.1.11</v>
      </c>
      <c r="B19" s="323" t="str">
        <f>CONCATENATE('ketv. 2lent'!B19)</f>
        <v>20KI-KA-17-1-02354-PR001</v>
      </c>
      <c r="C19" s="255" t="str">
        <f>CONCATENATE('3 pr-2'!D20)</f>
        <v>Laisvalaikio infrastruktūros sukūrimas Lazdijų rajono kaimo gyvenamosiose vietovėse</v>
      </c>
      <c r="D19" s="255" t="str">
        <f>CONCATENATE('3 pr-2'!E20)</f>
        <v>Lazdijų rajono savivaldybės administracija</v>
      </c>
      <c r="E19" s="255" t="str">
        <f>CONCATENATE('3 pr-2'!F20)</f>
        <v>Lietuvos Respublikos žemės ūkio ministerija</v>
      </c>
      <c r="F19" s="255" t="str">
        <f>CONCATENATE('3 pr-2'!G20)</f>
        <v>Lazdijų rajono savivaldybė</v>
      </c>
      <c r="G19" s="255" t="str">
        <f>CONCATENATE('3 pr-2'!H20)</f>
        <v xml:space="preserve">Pagrindinės paslaugos ir kaimų atnaujinimas kaimo vietovėse </v>
      </c>
      <c r="H19" s="255" t="str">
        <f>CONCATENATE('3 pr-2'!I20)</f>
        <v>R</v>
      </c>
      <c r="I19" s="265" t="str">
        <f>CONCATENATE('3 pr-2'!J20)</f>
        <v>-</v>
      </c>
      <c r="J19" s="474">
        <f>IF(Q19&gt;0,'3 pr-2'!L20,0)</f>
        <v>125000</v>
      </c>
      <c r="K19" s="474">
        <f>IF(Q19&gt;0,'3 pr-2'!O20,0)</f>
        <v>25000</v>
      </c>
      <c r="L19" s="474">
        <f>IF(Q19&gt;0,'3 pr-2'!R20,0)</f>
        <v>15000</v>
      </c>
      <c r="M19" s="474">
        <f>IF(Q19&gt;0,'3 pr-2'!U20,0)</f>
        <v>0</v>
      </c>
      <c r="N19" s="474">
        <f>IF(Q19&gt;0,'3 pr-2'!X20,0)</f>
        <v>0</v>
      </c>
      <c r="O19" s="474">
        <f>IF(Q19&gt;0,'3 pr-2'!AA20,0)</f>
        <v>85000</v>
      </c>
      <c r="P19" s="288">
        <f>SUM('3 pr-2'!AG20)</f>
        <v>43010</v>
      </c>
      <c r="Q19" s="602">
        <v>43010</v>
      </c>
      <c r="R19" s="264">
        <f t="shared" si="3"/>
        <v>0</v>
      </c>
      <c r="S19" s="998" t="str">
        <f t="shared" si="4"/>
        <v>–</v>
      </c>
    </row>
    <row r="20" spans="1:19" ht="48.75" x14ac:dyDescent="0.25">
      <c r="A20" s="254" t="str">
        <f>CONCATENATE('3 pr-2'!A21)</f>
        <v>1.1.1.1.12</v>
      </c>
      <c r="B20" s="323" t="str">
        <f>CONCATENATE('ketv. 2lent'!B20)</f>
        <v>20KI-KA-17-1-02470-PR001</v>
      </c>
      <c r="C20" s="255" t="str">
        <f>CONCATENATE('3 pr-2'!D21)</f>
        <v>Alytaus rajono Butrimonių miestelio šaligatvių kapitalinis remontas ir gyvenvietės apšvietimo įrengimas</v>
      </c>
      <c r="D20" s="255" t="str">
        <f>CONCATENATE('3 pr-2'!E21)</f>
        <v>Alytaus rajono savivaldybės administracija</v>
      </c>
      <c r="E20" s="255" t="str">
        <f>CONCATENATE('3 pr-2'!F21)</f>
        <v>Lietuvos Respublikos žemės ūkio ministerija</v>
      </c>
      <c r="F20" s="255" t="str">
        <f>CONCATENATE('3 pr-2'!G21)</f>
        <v>Alytaus rajono savivaldybė</v>
      </c>
      <c r="G20" s="255" t="str">
        <f>CONCATENATE('3 pr-2'!H21)</f>
        <v xml:space="preserve">Pagrindinės paslaugos ir kaimų atnaujinimas kaimo vietovėse </v>
      </c>
      <c r="H20" s="255" t="str">
        <f>CONCATENATE('3 pr-2'!I21)</f>
        <v>R</v>
      </c>
      <c r="I20" s="265" t="str">
        <f>CONCATENATE('3 pr-2'!J21)</f>
        <v>-</v>
      </c>
      <c r="J20" s="474">
        <f>IF(Q20&gt;0,'3 pr-2'!L21,0)</f>
        <v>153566</v>
      </c>
      <c r="K20" s="474">
        <f>IF(Q20&gt;0,'3 pr-2'!O21,0)</f>
        <v>30713</v>
      </c>
      <c r="L20" s="474">
        <f>IF(Q20&gt;0,'3 pr-2'!R21,0)</f>
        <v>18428</v>
      </c>
      <c r="M20" s="474">
        <f>IF(Q20&gt;0,'3 pr-2'!U21,0)</f>
        <v>0</v>
      </c>
      <c r="N20" s="474">
        <f>IF(Q20&gt;0,'3 pr-2'!X21,0)</f>
        <v>0</v>
      </c>
      <c r="O20" s="474">
        <f>IF(Q20&gt;0,'3 pr-2'!AA21,0)</f>
        <v>104425</v>
      </c>
      <c r="P20" s="288">
        <f>SUM('3 pr-2'!AG21)</f>
        <v>43010</v>
      </c>
      <c r="Q20" s="602">
        <v>43010</v>
      </c>
      <c r="R20" s="264">
        <f t="shared" si="3"/>
        <v>0</v>
      </c>
      <c r="S20" s="998" t="str">
        <f t="shared" si="4"/>
        <v>–</v>
      </c>
    </row>
    <row r="21" spans="1:19" ht="48.75" x14ac:dyDescent="0.25">
      <c r="A21" s="254" t="str">
        <f>CONCATENATE('3 pr-2'!A22)</f>
        <v>1.1.1.1.13</v>
      </c>
      <c r="B21" s="323" t="str">
        <f>CONCATENATE('ketv. 2lent'!B21)</f>
        <v>20KI-KA-17-1-02438-PR001</v>
      </c>
      <c r="C21" s="255" t="str">
        <f>CONCATENATE('3 pr-2'!D22)</f>
        <v>Alytaus rajono Genių kaimo sporto aikštės įrengimas ir gatvių rekonstrukcija</v>
      </c>
      <c r="D21" s="255" t="str">
        <f>CONCATENATE('3 pr-2'!E22)</f>
        <v>Alytaus rajono savivaldybės administracija</v>
      </c>
      <c r="E21" s="255" t="str">
        <f>CONCATENATE('3 pr-2'!F22)</f>
        <v>Lietuvos Respublikos žemės ūkio ministerija</v>
      </c>
      <c r="F21" s="255" t="str">
        <f>CONCATENATE('3 pr-2'!G22)</f>
        <v>Alytaus rajono savivaldybė</v>
      </c>
      <c r="G21" s="255" t="str">
        <f>CONCATENATE('3 pr-2'!H22)</f>
        <v xml:space="preserve">Pagrindinės paslaugos ir kaimų atnaujinimas kaimo vietovėse </v>
      </c>
      <c r="H21" s="255" t="str">
        <f>CONCATENATE('3 pr-2'!I22)</f>
        <v>R</v>
      </c>
      <c r="I21" s="265" t="str">
        <f>CONCATENATE('3 pr-2'!J22)</f>
        <v>-</v>
      </c>
      <c r="J21" s="474">
        <f>IF(Q21&gt;0,'3 pr-2'!L22,0)</f>
        <v>250000</v>
      </c>
      <c r="K21" s="474">
        <f>IF(Q21&gt;0,'3 pr-2'!O22,0)</f>
        <v>50000</v>
      </c>
      <c r="L21" s="474">
        <f>IF(Q21&gt;0,'3 pr-2'!R22,0)</f>
        <v>30000</v>
      </c>
      <c r="M21" s="474">
        <f>IF(Q21&gt;0,'3 pr-2'!U22,0)</f>
        <v>0</v>
      </c>
      <c r="N21" s="474">
        <f>IF(Q21&gt;0,'3 pr-2'!X22,0)</f>
        <v>0</v>
      </c>
      <c r="O21" s="474">
        <f>IF(Q21&gt;0,'3 pr-2'!AA22,0)</f>
        <v>170000</v>
      </c>
      <c r="P21" s="288">
        <f>SUM('3 pr-2'!AG22)</f>
        <v>43010</v>
      </c>
      <c r="Q21" s="602">
        <v>43010</v>
      </c>
      <c r="R21" s="264">
        <f t="shared" si="3"/>
        <v>0</v>
      </c>
      <c r="S21" s="998" t="str">
        <f t="shared" si="4"/>
        <v>–</v>
      </c>
    </row>
    <row r="22" spans="1:19" ht="48.75" x14ac:dyDescent="0.25">
      <c r="A22" s="254" t="str">
        <f>CONCATENATE('3 pr-2'!A23)</f>
        <v>1.1.1.1.14</v>
      </c>
      <c r="B22" s="323" t="str">
        <f>CONCATENATE('ketv. 2lent'!B22)</f>
        <v>20KI-KA-17-1-01647-PR001</v>
      </c>
      <c r="C22" s="255" t="str">
        <f>CONCATENATE('3 pr-2'!D23)</f>
        <v>Varėnos r. Dargužių kaimo Liepų gatvės ir viešosios erdvės įrengimas</v>
      </c>
      <c r="D22" s="255" t="str">
        <f>CONCATENATE('3 pr-2'!E23)</f>
        <v xml:space="preserve">Varėnos rajono savivaldybės administracija </v>
      </c>
      <c r="E22" s="255" t="str">
        <f>CONCATENATE('3 pr-2'!F23)</f>
        <v>Lietuvos Respublikos žemės ūkio ministerija</v>
      </c>
      <c r="F22" s="255" t="str">
        <f>CONCATENATE('3 pr-2'!G23)</f>
        <v>Varėnos rajono savivaldybė</v>
      </c>
      <c r="G22" s="255" t="str">
        <f>CONCATENATE('3 pr-2'!H23)</f>
        <v xml:space="preserve">Pagrindinės paslaugos ir kaimų atnaujinimas kaimo vietovėse </v>
      </c>
      <c r="H22" s="255" t="str">
        <f>CONCATENATE('3 pr-2'!I23)</f>
        <v>R</v>
      </c>
      <c r="I22" s="265" t="str">
        <f>CONCATENATE('3 pr-2'!J23)</f>
        <v>-</v>
      </c>
      <c r="J22" s="474">
        <f>IF(Q22&gt;0,'3 pr-2'!L23,0)</f>
        <v>215626</v>
      </c>
      <c r="K22" s="474">
        <f>IF(Q22&gt;0,'3 pr-2'!O23,0)</f>
        <v>43125</v>
      </c>
      <c r="L22" s="474">
        <f>IF(Q22&gt;0,'3 pr-2'!R23,0)</f>
        <v>25875</v>
      </c>
      <c r="M22" s="474">
        <f>IF(Q22&gt;0,'3 pr-2'!U23,0)</f>
        <v>0</v>
      </c>
      <c r="N22" s="474">
        <f>IF(Q22&gt;0,'3 pr-2'!X23,0)</f>
        <v>0</v>
      </c>
      <c r="O22" s="474">
        <f>IF(Q22&gt;0,'3 pr-2'!AA23,0)</f>
        <v>146626</v>
      </c>
      <c r="P22" s="288">
        <f>SUM('3 pr-2'!AG23)</f>
        <v>43010</v>
      </c>
      <c r="Q22" s="602">
        <v>43010</v>
      </c>
      <c r="R22" s="264">
        <f t="shared" si="3"/>
        <v>0</v>
      </c>
      <c r="S22" s="998" t="str">
        <f t="shared" si="4"/>
        <v>–</v>
      </c>
    </row>
    <row r="23" spans="1:19" ht="48.75" x14ac:dyDescent="0.25">
      <c r="A23" s="254" t="str">
        <f>CONCATENATE('3 pr-2'!A24)</f>
        <v>1.1.1.1.15</v>
      </c>
      <c r="B23" s="323" t="str">
        <f>CONCATENATE('ketv. 2lent'!B23)</f>
        <v>20KI-KA-17-1-02469-PR001</v>
      </c>
      <c r="C23" s="255" t="str">
        <f>CONCATENATE('3 pr-2'!D24)</f>
        <v>Alytaus rajono Vaisodžių kaimo sporto aikštės įrengimas ir gatvių apšvietimo atnaujinimas bei plėtra</v>
      </c>
      <c r="D23" s="255" t="str">
        <f>CONCATENATE('3 pr-2'!E24)</f>
        <v>Alytaus rajono savivaldybės administracija</v>
      </c>
      <c r="E23" s="255" t="str">
        <f>CONCATENATE('3 pr-2'!F24)</f>
        <v>Lietuvos Respublikos žemės ūkio ministerija</v>
      </c>
      <c r="F23" s="255" t="str">
        <f>CONCATENATE('3 pr-2'!G24)</f>
        <v>Alytaus rajono savivaldybė</v>
      </c>
      <c r="G23" s="255" t="str">
        <f>CONCATENATE('3 pr-2'!H24)</f>
        <v xml:space="preserve">Pagrindinės paslaugos ir kaimų atnaujinimas kaimo vietovėse </v>
      </c>
      <c r="H23" s="255" t="str">
        <f>CONCATENATE('3 pr-2'!I24)</f>
        <v>R</v>
      </c>
      <c r="I23" s="265" t="str">
        <f>CONCATENATE('3 pr-2'!J24)</f>
        <v>-</v>
      </c>
      <c r="J23" s="474">
        <f>IF(Q23&gt;0,'3 pr-2'!L24,0)</f>
        <v>76480</v>
      </c>
      <c r="K23" s="474">
        <f>IF(Q23&gt;0,'3 pr-2'!O24,0)</f>
        <v>15296</v>
      </c>
      <c r="L23" s="474">
        <f>IF(Q23&gt;0,'3 pr-2'!R24,0)</f>
        <v>9178</v>
      </c>
      <c r="M23" s="474">
        <f>IF(Q23&gt;0,'3 pr-2'!U24,0)</f>
        <v>0</v>
      </c>
      <c r="N23" s="474">
        <f>IF(Q23&gt;0,'3 pr-2'!X24,0)</f>
        <v>0</v>
      </c>
      <c r="O23" s="474">
        <f>IF(Q23&gt;0,'3 pr-2'!AA24,0)</f>
        <v>52006</v>
      </c>
      <c r="P23" s="288">
        <f>SUM('3 pr-2'!AG24)</f>
        <v>43010</v>
      </c>
      <c r="Q23" s="602">
        <v>43010</v>
      </c>
      <c r="R23" s="264">
        <f t="shared" si="3"/>
        <v>0</v>
      </c>
      <c r="S23" s="998" t="str">
        <f t="shared" si="4"/>
        <v>–</v>
      </c>
    </row>
    <row r="24" spans="1:19" ht="48.75" x14ac:dyDescent="0.25">
      <c r="A24" s="254" t="str">
        <f>CONCATENATE('3 pr-2'!A25)</f>
        <v>1.1.1.1.16</v>
      </c>
      <c r="B24" s="323" t="str">
        <f>CONCATENATE('ketv. 2lent'!B24)</f>
        <v>20KI-KA-17-1-02240-PR001</v>
      </c>
      <c r="C24" s="255" t="str">
        <f>CONCATENATE('3 pr-2'!D25)</f>
        <v>Alytaus rajono Talokių kaimo sporto aikštės įrengimas ir Plytinės gatvės apšvietimas</v>
      </c>
      <c r="D24" s="255" t="str">
        <f>CONCATENATE('3 pr-2'!E25)</f>
        <v>Alytaus rajono savivaldybės administracija</v>
      </c>
      <c r="E24" s="255" t="str">
        <f>CONCATENATE('3 pr-2'!F25)</f>
        <v>Lietuvos Respublikos žemės ūkio ministerija</v>
      </c>
      <c r="F24" s="255" t="str">
        <f>CONCATENATE('3 pr-2'!G25)</f>
        <v>Alytaus rajono savivaldybė</v>
      </c>
      <c r="G24" s="255" t="str">
        <f>CONCATENATE('3 pr-2'!H25)</f>
        <v xml:space="preserve">Pagrindinės paslaugos ir kaimų atnaujinimas kaimo vietovėse </v>
      </c>
      <c r="H24" s="255" t="str">
        <f>CONCATENATE('3 pr-2'!I25)</f>
        <v>R</v>
      </c>
      <c r="I24" s="265" t="str">
        <f>CONCATENATE('3 pr-2'!J25)</f>
        <v>-</v>
      </c>
      <c r="J24" s="474">
        <f>IF(Q24&gt;0,'3 pr-2'!L25,0)</f>
        <v>139472</v>
      </c>
      <c r="K24" s="474">
        <f>IF(Q24&gt;0,'3 pr-2'!O25,0)</f>
        <v>27894</v>
      </c>
      <c r="L24" s="474">
        <f>IF(Q24&gt;0,'3 pr-2'!R25,0)</f>
        <v>16737</v>
      </c>
      <c r="M24" s="474">
        <f>IF(Q24&gt;0,'3 pr-2'!U25,0)</f>
        <v>0</v>
      </c>
      <c r="N24" s="474">
        <f>IF(Q24&gt;0,'3 pr-2'!X25,0)</f>
        <v>0</v>
      </c>
      <c r="O24" s="474">
        <f>IF(Q24&gt;0,'3 pr-2'!AA25,0)</f>
        <v>94841</v>
      </c>
      <c r="P24" s="288">
        <f>SUM('3 pr-2'!AG25)</f>
        <v>43010</v>
      </c>
      <c r="Q24" s="602">
        <v>43010</v>
      </c>
      <c r="R24" s="264">
        <f t="shared" si="3"/>
        <v>0</v>
      </c>
      <c r="S24" s="998" t="str">
        <f t="shared" si="4"/>
        <v>–</v>
      </c>
    </row>
    <row r="25" spans="1:19" ht="48.75" x14ac:dyDescent="0.25">
      <c r="A25" s="254" t="str">
        <f>CONCATENATE('3 pr-2'!A26)</f>
        <v>1.1.1.1.17</v>
      </c>
      <c r="B25" s="323" t="str">
        <f>CONCATENATE('ketv. 2lent'!B25)</f>
        <v>20KI-KA-17-1-01639-PR001</v>
      </c>
      <c r="C25" s="255" t="str">
        <f>CONCATENATE('3 pr-2'!D26)</f>
        <v>Varėnos r. Rudnios kaimo Pušyno gatvės įrengimas</v>
      </c>
      <c r="D25" s="255" t="str">
        <f>CONCATENATE('3 pr-2'!E26)</f>
        <v xml:space="preserve">Varėnos rajono savivaldybės administracija </v>
      </c>
      <c r="E25" s="255" t="str">
        <f>CONCATENATE('3 pr-2'!F26)</f>
        <v>Lietuvos Respublikos žemės ūkio ministerija</v>
      </c>
      <c r="F25" s="255" t="str">
        <f>CONCATENATE('3 pr-2'!G26)</f>
        <v>Varėnos rajono savivaldybė</v>
      </c>
      <c r="G25" s="255" t="str">
        <f>CONCATENATE('3 pr-2'!H26)</f>
        <v xml:space="preserve">Pagrindinės paslaugos ir kaimų atnaujinimas kaimo vietovėse </v>
      </c>
      <c r="H25" s="255" t="str">
        <f>CONCATENATE('3 pr-2'!I26)</f>
        <v>R</v>
      </c>
      <c r="I25" s="265" t="str">
        <f>CONCATENATE('3 pr-2'!J26)</f>
        <v>-</v>
      </c>
      <c r="J25" s="474">
        <f>IF(Q25&gt;0,'3 pr-2'!L26,0)</f>
        <v>115824</v>
      </c>
      <c r="K25" s="474">
        <f>IF(Q25&gt;0,'3 pr-2'!O26,0)</f>
        <v>23165</v>
      </c>
      <c r="L25" s="474">
        <f>IF(Q25&gt;0,'3 pr-2'!R26,0)</f>
        <v>13899</v>
      </c>
      <c r="M25" s="474">
        <f>IF(Q25&gt;0,'3 pr-2'!U26,0)</f>
        <v>0</v>
      </c>
      <c r="N25" s="474">
        <f>IF(Q25&gt;0,'3 pr-2'!X26,0)</f>
        <v>0</v>
      </c>
      <c r="O25" s="474">
        <f>IF(Q25&gt;0,'3 pr-2'!AA26,0)</f>
        <v>78760</v>
      </c>
      <c r="P25" s="288">
        <f>SUM('3 pr-2'!AG26)</f>
        <v>43010</v>
      </c>
      <c r="Q25" s="602">
        <v>42899</v>
      </c>
      <c r="R25" s="264">
        <f t="shared" si="3"/>
        <v>0</v>
      </c>
      <c r="S25" s="998" t="str">
        <f t="shared" si="4"/>
        <v>–</v>
      </c>
    </row>
    <row r="26" spans="1:19" ht="48.75" x14ac:dyDescent="0.25">
      <c r="A26" s="254" t="str">
        <f>CONCATENATE('3 pr-2'!A27)</f>
        <v>1.1.1.1.18</v>
      </c>
      <c r="B26" s="323" t="str">
        <f>CONCATENATE('ketv. 2lent'!B26)</f>
        <v>20KI-KA-17-1-01666-PR001</v>
      </c>
      <c r="C26" s="255" t="str">
        <f>CONCATENATE('3 pr-2'!D27)</f>
        <v>Varėnos kultūros centro Žilinų filialo pastato atnaujinimas ir pritaikymas bendruomenės poreikiams</v>
      </c>
      <c r="D26" s="255" t="str">
        <f>CONCATENATE('3 pr-2'!E27)</f>
        <v xml:space="preserve">Varėnos rajono savivaldybės administracija </v>
      </c>
      <c r="E26" s="255" t="str">
        <f>CONCATENATE('3 pr-2'!F27)</f>
        <v>Lietuvos Respublikos žemės ūkio ministerija</v>
      </c>
      <c r="F26" s="255" t="str">
        <f>CONCATENATE('3 pr-2'!G27)</f>
        <v>Varėnos rajono savivaldybė</v>
      </c>
      <c r="G26" s="255" t="str">
        <f>CONCATENATE('3 pr-2'!H27)</f>
        <v xml:space="preserve">Pagrindinės paslaugos ir kaimų atnaujinimas kaimo vietovėse </v>
      </c>
      <c r="H26" s="255" t="str">
        <f>CONCATENATE('3 pr-2'!I27)</f>
        <v>R</v>
      </c>
      <c r="I26" s="265" t="str">
        <f>CONCATENATE('3 pr-2'!J27)</f>
        <v>-</v>
      </c>
      <c r="J26" s="474">
        <f>IF(Q26&gt;0,'3 pr-2'!L27,0)</f>
        <v>250000</v>
      </c>
      <c r="K26" s="474">
        <f>IF(Q26&gt;0,'3 pr-2'!O27,0)</f>
        <v>50000</v>
      </c>
      <c r="L26" s="474">
        <f>IF(Q26&gt;0,'3 pr-2'!R27,0)</f>
        <v>30000</v>
      </c>
      <c r="M26" s="474">
        <f>IF(Q26&gt;0,'3 pr-2'!U27,0)</f>
        <v>0</v>
      </c>
      <c r="N26" s="474">
        <f>IF(Q26&gt;0,'3 pr-2'!X27,0)</f>
        <v>0</v>
      </c>
      <c r="O26" s="474">
        <f>IF(Q26&gt;0,'3 pr-2'!AA27,0)</f>
        <v>170000</v>
      </c>
      <c r="P26" s="288">
        <f>SUM('3 pr-2'!AG27)</f>
        <v>43010</v>
      </c>
      <c r="Q26" s="602">
        <v>43010</v>
      </c>
      <c r="R26" s="264">
        <f t="shared" si="3"/>
        <v>0</v>
      </c>
      <c r="S26" s="998" t="str">
        <f t="shared" si="4"/>
        <v>–</v>
      </c>
    </row>
    <row r="27" spans="1:19" ht="48.75" x14ac:dyDescent="0.25">
      <c r="A27" s="254" t="str">
        <f>CONCATENATE('3 pr-2'!A28)</f>
        <v>1.1.1.1.19</v>
      </c>
      <c r="B27" s="323" t="str">
        <f>CONCATENATE('ketv. 2lent'!B27)</f>
        <v>20KI-KA-17-1-02648-PR001</v>
      </c>
      <c r="C27" s="255" t="str">
        <f>CONCATENATE('3 pr-2'!D28)</f>
        <v>Alytaus rajono Pivašiūnų kaimo šaligatvių, laiptų kapitalinis remontas ir gyvenvietės apšvietimo įrengimas</v>
      </c>
      <c r="D27" s="255" t="str">
        <f>CONCATENATE('3 pr-2'!E28)</f>
        <v>Alytaus rajono savivaldybės administracija</v>
      </c>
      <c r="E27" s="255" t="str">
        <f>CONCATENATE('3 pr-2'!F28)</f>
        <v>Lietuvos Respublikos žemės ūkio ministerija</v>
      </c>
      <c r="F27" s="255" t="str">
        <f>CONCATENATE('3 pr-2'!G28)</f>
        <v>Alytaus rajono savivaldybė</v>
      </c>
      <c r="G27" s="255" t="str">
        <f>CONCATENATE('3 pr-2'!H28)</f>
        <v xml:space="preserve">Pagrindinės paslaugos ir kaimų atnaujinimas kaimo vietovėse </v>
      </c>
      <c r="H27" s="255" t="str">
        <f>CONCATENATE('3 pr-2'!I28)</f>
        <v>R</v>
      </c>
      <c r="I27" s="265" t="str">
        <f>CONCATENATE('3 pr-2'!J28)</f>
        <v>-</v>
      </c>
      <c r="J27" s="474">
        <f>IF(Q27&gt;0,'3 pr-2'!L28,0)</f>
        <v>117986</v>
      </c>
      <c r="K27" s="474">
        <f>IF(Q27&gt;0,'3 pr-2'!O28,0)</f>
        <v>23597</v>
      </c>
      <c r="L27" s="474">
        <f>IF(Q27&gt;0,'3 pr-2'!R28,0)</f>
        <v>14158</v>
      </c>
      <c r="M27" s="474">
        <f>IF(Q27&gt;0,'3 pr-2'!U28,0)</f>
        <v>0</v>
      </c>
      <c r="N27" s="474">
        <f>IF(Q27&gt;0,'3 pr-2'!X28,0)</f>
        <v>0</v>
      </c>
      <c r="O27" s="474">
        <f>IF(Q27&gt;0,'3 pr-2'!AA28,0)</f>
        <v>80231</v>
      </c>
      <c r="P27" s="288">
        <f>SUM('3 pr-2'!AG28)</f>
        <v>43010</v>
      </c>
      <c r="Q27" s="602">
        <v>43010</v>
      </c>
      <c r="R27" s="264">
        <f t="shared" si="3"/>
        <v>0</v>
      </c>
      <c r="S27" s="998" t="str">
        <f t="shared" si="4"/>
        <v>–</v>
      </c>
    </row>
    <row r="28" spans="1:19" ht="48.75" x14ac:dyDescent="0.25">
      <c r="A28" s="254" t="str">
        <f>CONCATENATE('3 pr-2'!A29)</f>
        <v>1.1.1.1.20</v>
      </c>
      <c r="B28" s="323" t="str">
        <f>CONCATENATE('ketv. 2lent'!B28)</f>
        <v>20KI-KA-17-1-01736-PR001</v>
      </c>
      <c r="C28" s="255" t="str">
        <f>CONCATENATE('3 pr-2'!D29)</f>
        <v>Pastato, esančio Pušelės g. 11, Naujųjų Valkininkų k., Varėnos r., atnaujinimas ir pritaikymas bendruomenės poreikiams</v>
      </c>
      <c r="D28" s="255" t="str">
        <f>CONCATENATE('3 pr-2'!E29)</f>
        <v xml:space="preserve">Varėnos rajono savivaldybės administracija </v>
      </c>
      <c r="E28" s="255" t="str">
        <f>CONCATENATE('3 pr-2'!F29)</f>
        <v>Lietuvos Respublikos žemės ūkio ministerija</v>
      </c>
      <c r="F28" s="255" t="str">
        <f>CONCATENATE('3 pr-2'!G29)</f>
        <v>Varėnos rajono savivaldybė</v>
      </c>
      <c r="G28" s="255" t="str">
        <f>CONCATENATE('3 pr-2'!H29)</f>
        <v xml:space="preserve">Pagrindinės paslaugos ir kaimų atnaujinimas kaimo vietovėse </v>
      </c>
      <c r="H28" s="255" t="str">
        <f>CONCATENATE('3 pr-2'!I29)</f>
        <v>R</v>
      </c>
      <c r="I28" s="265" t="str">
        <f>CONCATENATE('3 pr-2'!J29)</f>
        <v>-</v>
      </c>
      <c r="J28" s="474">
        <f>IF(Q28&gt;0,'3 pr-2'!L29,0)</f>
        <v>250000</v>
      </c>
      <c r="K28" s="474">
        <f>IF(Q28&gt;0,'3 pr-2'!O29,0)</f>
        <v>50000</v>
      </c>
      <c r="L28" s="474">
        <f>IF(Q28&gt;0,'3 pr-2'!R29,0)</f>
        <v>30000</v>
      </c>
      <c r="M28" s="474">
        <f>IF(Q28&gt;0,'3 pr-2'!U29,0)</f>
        <v>0</v>
      </c>
      <c r="N28" s="474">
        <f>IF(Q28&gt;0,'3 pr-2'!X29,0)</f>
        <v>0</v>
      </c>
      <c r="O28" s="474">
        <f>IF(Q28&gt;0,'3 pr-2'!AA29,0)</f>
        <v>170000</v>
      </c>
      <c r="P28" s="288">
        <f>SUM('3 pr-2'!AG29)</f>
        <v>43010</v>
      </c>
      <c r="Q28" s="602">
        <v>43010</v>
      </c>
      <c r="R28" s="264">
        <f t="shared" si="3"/>
        <v>0</v>
      </c>
      <c r="S28" s="998" t="str">
        <f t="shared" si="4"/>
        <v>–</v>
      </c>
    </row>
    <row r="29" spans="1:19" ht="48.75" x14ac:dyDescent="0.25">
      <c r="A29" s="254" t="str">
        <f>CONCATENATE('3 pr-2'!A30)</f>
        <v>1.1.1.1.21</v>
      </c>
      <c r="B29" s="323" t="str">
        <f>CONCATENATE('ketv. 2lent'!B29)</f>
        <v>20KI-KA-17-1-02364-PR001</v>
      </c>
      <c r="C29" s="255" t="str">
        <f>CONCATENATE('3 pr-2'!D30)</f>
        <v>Kaimo gyvenamųjų vietovių Lazdijų rajono savivaldybėje patrauklumo gerinimas</v>
      </c>
      <c r="D29" s="255" t="str">
        <f>CONCATENATE('3 pr-2'!E30)</f>
        <v>Lazdijų rajono savivaldybės administracija</v>
      </c>
      <c r="E29" s="255" t="str">
        <f>CONCATENATE('3 pr-2'!F30)</f>
        <v>Lietuvos Respublikos žemės ūkio ministerija</v>
      </c>
      <c r="F29" s="255" t="str">
        <f>CONCATENATE('3 pr-2'!G30)</f>
        <v>Lazdijų rajono savivaldybė</v>
      </c>
      <c r="G29" s="255" t="str">
        <f>CONCATENATE('3 pr-2'!H30)</f>
        <v xml:space="preserve">Pagrindinės paslaugos ir kaimų atnaujinimas kaimo vietovėse </v>
      </c>
      <c r="H29" s="255" t="str">
        <f>CONCATENATE('3 pr-2'!I30)</f>
        <v>R</v>
      </c>
      <c r="I29" s="265" t="str">
        <f>CONCATENATE('3 pr-2'!J30)</f>
        <v>-</v>
      </c>
      <c r="J29" s="474">
        <f>IF(Q29&gt;0,'3 pr-2'!L30,0)</f>
        <v>170000</v>
      </c>
      <c r="K29" s="474">
        <f>IF(Q29&gt;0,'3 pr-2'!O30,0)</f>
        <v>34000</v>
      </c>
      <c r="L29" s="474">
        <f>IF(Q29&gt;0,'3 pr-2'!R30,0)</f>
        <v>20400</v>
      </c>
      <c r="M29" s="474">
        <f>IF(Q29&gt;0,'3 pr-2'!U30,0)</f>
        <v>0</v>
      </c>
      <c r="N29" s="474">
        <f>IF(Q29&gt;0,'3 pr-2'!X30,0)</f>
        <v>0</v>
      </c>
      <c r="O29" s="474">
        <f>IF(Q29&gt;0,'3 pr-2'!AA30,0)</f>
        <v>115600</v>
      </c>
      <c r="P29" s="288">
        <f>SUM('3 pr-2'!AG30)</f>
        <v>43010</v>
      </c>
      <c r="Q29" s="602">
        <v>43010</v>
      </c>
      <c r="R29" s="264">
        <f t="shared" si="3"/>
        <v>0</v>
      </c>
      <c r="S29" s="998" t="str">
        <f t="shared" si="4"/>
        <v>–</v>
      </c>
    </row>
    <row r="30" spans="1:19" ht="48.75" x14ac:dyDescent="0.25">
      <c r="A30" s="254" t="str">
        <f>CONCATENATE('3 pr-2'!A31)</f>
        <v>1.1.1.1.22</v>
      </c>
      <c r="B30" s="323" t="str">
        <f>CONCATENATE('ketv. 2lent'!B30)</f>
        <v>20KI-KA-17-1-02241-PR001</v>
      </c>
      <c r="C30" s="255" t="str">
        <f>CONCATENATE('3 pr-2'!D31)</f>
        <v>Alytaus rajono Makniūnų kaimo šaligatvių atnaujinimas ir plėtra</v>
      </c>
      <c r="D30" s="255" t="str">
        <f>CONCATENATE('3 pr-2'!E31)</f>
        <v>Alytaus rajono savivaldybės administracija</v>
      </c>
      <c r="E30" s="255" t="str">
        <f>CONCATENATE('3 pr-2'!F31)</f>
        <v>Lietuvos Respublikos žemės ūkio ministerija</v>
      </c>
      <c r="F30" s="255" t="str">
        <f>CONCATENATE('3 pr-2'!G31)</f>
        <v>Alytaus rajono savivaldybė</v>
      </c>
      <c r="G30" s="255" t="str">
        <f>CONCATENATE('3 pr-2'!H31)</f>
        <v xml:space="preserve">Pagrindinės paslaugos ir kaimų atnaujinimas kaimo vietovėse </v>
      </c>
      <c r="H30" s="255" t="str">
        <f>CONCATENATE('3 pr-2'!I31)</f>
        <v>R</v>
      </c>
      <c r="I30" s="265" t="str">
        <f>CONCATENATE('3 pr-2'!J31)</f>
        <v>-</v>
      </c>
      <c r="J30" s="474">
        <f>IF(Q30&gt;0,'3 pr-2'!L31,0)</f>
        <v>70991</v>
      </c>
      <c r="K30" s="474">
        <f>IF(Q30&gt;0,'3 pr-2'!O31,0)</f>
        <v>14198</v>
      </c>
      <c r="L30" s="474">
        <f>IF(Q30&gt;0,'3 pr-2'!R31,0)</f>
        <v>8519</v>
      </c>
      <c r="M30" s="474">
        <f>IF(Q30&gt;0,'3 pr-2'!U31,0)</f>
        <v>0</v>
      </c>
      <c r="N30" s="474">
        <f>IF(Q30&gt;0,'3 pr-2'!X31,0)</f>
        <v>0</v>
      </c>
      <c r="O30" s="474">
        <f>IF(Q30&gt;0,'3 pr-2'!AA31,0)</f>
        <v>48274</v>
      </c>
      <c r="P30" s="288">
        <f>SUM('3 pr-2'!AG31)</f>
        <v>43010</v>
      </c>
      <c r="Q30" s="602">
        <v>43010</v>
      </c>
      <c r="R30" s="264">
        <f t="shared" si="3"/>
        <v>0</v>
      </c>
      <c r="S30" s="998" t="str">
        <f t="shared" si="4"/>
        <v>–</v>
      </c>
    </row>
    <row r="31" spans="1:19" ht="49.5" thickBot="1" x14ac:dyDescent="0.3">
      <c r="A31" s="342" t="str">
        <f>CONCATENATE('3 pr-2'!A32)</f>
        <v>1.1.1.1.23</v>
      </c>
      <c r="B31" s="323" t="str">
        <f>CONCATENATE('ketv. 2lent'!B31)</f>
        <v/>
      </c>
      <c r="C31" s="343" t="str">
        <f>CONCATENATE('3 pr-2'!D32)</f>
        <v>Varėnos r. Vazgirdonių kaimo Klevų gatvės įrengimas</v>
      </c>
      <c r="D31" s="343" t="str">
        <f>CONCATENATE('3 pr-2'!E32)</f>
        <v xml:space="preserve">Varėnos rajono savivaldybės administracija </v>
      </c>
      <c r="E31" s="343" t="str">
        <f>CONCATENATE('3 pr-2'!F32)</f>
        <v>Lietuvos Respublikos žemės ūkio ministerija</v>
      </c>
      <c r="F31" s="343" t="str">
        <f>CONCATENATE('3 pr-2'!G32)</f>
        <v>Varėnos rajono savivaldybė</v>
      </c>
      <c r="G31" s="343" t="str">
        <f>CONCATENATE('3 pr-2'!H32)</f>
        <v xml:space="preserve">Pagrindinės paslaugos ir kaimų atnaujinimas kaimo vietovėse </v>
      </c>
      <c r="H31" s="343" t="str">
        <f>CONCATENATE('3 pr-2'!I32)</f>
        <v>R</v>
      </c>
      <c r="I31" s="344" t="str">
        <f>CONCATENATE('3 pr-2'!J32)</f>
        <v>-</v>
      </c>
      <c r="J31" s="474">
        <f>IF(Q31&gt;0,'3 pr-2'!L32,0)</f>
        <v>0</v>
      </c>
      <c r="K31" s="474">
        <f>IF(Q31&gt;0,'3 pr-2'!O32,0)</f>
        <v>0</v>
      </c>
      <c r="L31" s="474">
        <f>IF(Q31&gt;0,'3 pr-2'!R32,0)</f>
        <v>0</v>
      </c>
      <c r="M31" s="474">
        <f>IF(Q31&gt;0,'3 pr-2'!U32,0)</f>
        <v>0</v>
      </c>
      <c r="N31" s="474">
        <f>IF(Q31&gt;0,'3 pr-2'!X32,0)</f>
        <v>0</v>
      </c>
      <c r="O31" s="474">
        <f>IF(Q31&gt;0,'3 pr-2'!AA32,0)</f>
        <v>0</v>
      </c>
      <c r="P31" s="309">
        <f>SUM('3 pr-2'!AG32)</f>
        <v>43010</v>
      </c>
      <c r="Q31" s="611"/>
      <c r="R31" s="310">
        <f t="shared" si="3"/>
        <v>117</v>
      </c>
      <c r="S31" s="998" t="str">
        <f t="shared" si="4"/>
        <v>–</v>
      </c>
    </row>
    <row r="32" spans="1:19" ht="28.5" customHeight="1" thickBot="1" x14ac:dyDescent="0.3">
      <c r="A32" s="497" t="str">
        <f>CONCATENATE('3 pr-2'!A33)</f>
        <v>1.1.1.2</v>
      </c>
      <c r="B32" s="613"/>
      <c r="C32" s="1656" t="str">
        <f>CONCATENATE('3 pr-2'!D33)</f>
        <v/>
      </c>
      <c r="D32" s="1789" t="str">
        <f>CONCATENATE('3 pr-2'!E33)</f>
        <v/>
      </c>
      <c r="E32" s="1789" t="str">
        <f>CONCATENATE('3 pr-2'!F33)</f>
        <v/>
      </c>
      <c r="F32" s="1789" t="str">
        <f>CONCATENATE('3 pr-2'!G33)</f>
        <v/>
      </c>
      <c r="G32" s="1789" t="str">
        <f>CONCATENATE('3 pr-2'!H33)</f>
        <v/>
      </c>
      <c r="H32" s="1789" t="str">
        <f>CONCATENATE('3 pr-2'!I33)</f>
        <v/>
      </c>
      <c r="I32" s="1790" t="str">
        <f>CONCATENATE('3 pr-2'!J33)</f>
        <v/>
      </c>
      <c r="J32" s="629">
        <f t="shared" ref="J32:O32" si="5">SUM(J33:J37)</f>
        <v>605025</v>
      </c>
      <c r="K32" s="629">
        <f t="shared" si="5"/>
        <v>45377</v>
      </c>
      <c r="L32" s="629">
        <f t="shared" si="5"/>
        <v>45377</v>
      </c>
      <c r="M32" s="629">
        <f t="shared" si="5"/>
        <v>0</v>
      </c>
      <c r="N32" s="629">
        <f t="shared" si="5"/>
        <v>0</v>
      </c>
      <c r="O32" s="629">
        <f t="shared" si="5"/>
        <v>514271</v>
      </c>
      <c r="P32" s="630" t="s">
        <v>725</v>
      </c>
      <c r="Q32" s="631" t="s">
        <v>725</v>
      </c>
      <c r="R32" s="630" t="s">
        <v>725</v>
      </c>
      <c r="S32" s="631"/>
    </row>
    <row r="33" spans="1:19" ht="48.75" x14ac:dyDescent="0.25">
      <c r="A33" s="614" t="str">
        <f>CONCATENATE('3 pr-2'!A34)</f>
        <v>1.1.1.2.1</v>
      </c>
      <c r="B33" s="619"/>
      <c r="C33" s="615" t="str">
        <f>CONCATENATE('3 pr-2'!D34)</f>
        <v>Matuizų kaimo viešosios infrastruktūros atnaujinimas ir pritaikymas bendruomenės poreikiams</v>
      </c>
      <c r="D33" s="615" t="str">
        <f>CONCATENATE('3 pr-2'!E34)</f>
        <v>Varėnos rajono savivaldybės administracija</v>
      </c>
      <c r="E33" s="615" t="str">
        <f>CONCATENATE('3 pr-2'!F34)</f>
        <v>Lietuvos Respublikos vidaus reikalų ministerija</v>
      </c>
      <c r="F33" s="615" t="str">
        <f>CONCATENATE('3 pr-2'!G34)</f>
        <v>Varėnos rajono savivaldybė</v>
      </c>
      <c r="G33" s="615" t="str">
        <f>CONCATENATE('3 pr-2'!H34)</f>
        <v>8.2.1-CPVA-R-908</v>
      </c>
      <c r="H33" s="615" t="str">
        <f>CONCATENATE('3 pr-2'!I34)</f>
        <v>R</v>
      </c>
      <c r="I33" s="615" t="str">
        <f>CONCATENATE('3 pr-2'!J34)</f>
        <v>-</v>
      </c>
      <c r="J33" s="474">
        <f>IF(Q33&gt;0,'3 pr-2'!L34,0)</f>
        <v>0</v>
      </c>
      <c r="K33" s="474">
        <f>IF(Q33&gt;0,'3 pr-2'!O34,0)</f>
        <v>0</v>
      </c>
      <c r="L33" s="474">
        <f>IF(Q33&gt;0,'3 pr-2'!R34,0)</f>
        <v>0</v>
      </c>
      <c r="M33" s="474">
        <f>IF(Q33&gt;0,'3 pr-2'!U34,0)</f>
        <v>0</v>
      </c>
      <c r="N33" s="474">
        <f>IF(Q33&gt;0,'3 pr-2'!X34,0)</f>
        <v>0</v>
      </c>
      <c r="O33" s="474">
        <f>IF(Q33&gt;0,'3 pr-2'!AA34,0)</f>
        <v>0</v>
      </c>
      <c r="P33" s="620">
        <f>SUM('3 pr-2'!AG34)</f>
        <v>43189</v>
      </c>
      <c r="Q33" s="621"/>
      <c r="R33" s="622"/>
      <c r="S33" s="998" t="str">
        <f t="shared" si="4"/>
        <v>–</v>
      </c>
    </row>
    <row r="34" spans="1:19" ht="48.75" x14ac:dyDescent="0.25">
      <c r="A34" s="616" t="str">
        <f>CONCATENATE('3 pr-2'!A35)</f>
        <v>1.1.1.2.2</v>
      </c>
      <c r="B34" s="473" t="s">
        <v>1500</v>
      </c>
      <c r="C34" s="255" t="str">
        <f>CONCATENATE('3 pr-2'!D35)</f>
        <v>Senosios Varėnos kaimo viešosios infrastruktūros atnaujinimas ir pritaikymas bendruomenės poreikiams</v>
      </c>
      <c r="D34" s="255" t="str">
        <f>CONCATENATE('3 pr-2'!E35)</f>
        <v>Varėnos rajono savivaldybės administracija</v>
      </c>
      <c r="E34" s="255" t="str">
        <f>CONCATENATE('3 pr-2'!F35)</f>
        <v>Lietuvos Respublikos vidaus reikalų ministerija</v>
      </c>
      <c r="F34" s="255" t="str">
        <f>CONCATENATE('3 pr-2'!G35)</f>
        <v>Varėnos rajono savivaldybė</v>
      </c>
      <c r="G34" s="255" t="str">
        <f>CONCATENATE('3 pr-2'!H35)</f>
        <v>8.2.1-CPVA-R-908</v>
      </c>
      <c r="H34" s="255" t="str">
        <f>CONCATENATE('3 pr-2'!I35)</f>
        <v>R</v>
      </c>
      <c r="I34" s="255" t="str">
        <f>CONCATENATE('3 pr-2'!J35)</f>
        <v>-</v>
      </c>
      <c r="J34" s="474">
        <f>IF(Q34&gt;0,'3 pr-2'!L35,0)</f>
        <v>605025</v>
      </c>
      <c r="K34" s="474">
        <f>IF(Q34&gt;0,'3 pr-2'!O35,0)</f>
        <v>45377</v>
      </c>
      <c r="L34" s="474">
        <f>IF(Q34&gt;0,'3 pr-2'!R35,0)</f>
        <v>45377</v>
      </c>
      <c r="M34" s="474">
        <f>IF(Q34&gt;0,'3 pr-2'!U35,0)</f>
        <v>0</v>
      </c>
      <c r="N34" s="474">
        <f>IF(Q34&gt;0,'3 pr-2'!X35,0)</f>
        <v>0</v>
      </c>
      <c r="O34" s="474">
        <f>IF(Q34&gt;0,'3 pr-2'!AA35,0)</f>
        <v>514271</v>
      </c>
      <c r="P34" s="290">
        <f>SUM('3 pr-2'!AG35)</f>
        <v>43039</v>
      </c>
      <c r="Q34" s="604">
        <v>43039</v>
      </c>
      <c r="R34" s="372">
        <f>IF((YEAR(P34)-YEAR(Q34))=0,0,YEAR(P34)-YEAR(Q34))</f>
        <v>0</v>
      </c>
      <c r="S34" s="998" t="str">
        <f t="shared" si="4"/>
        <v>–</v>
      </c>
    </row>
    <row r="35" spans="1:19" ht="48.75" x14ac:dyDescent="0.25">
      <c r="A35" s="616" t="str">
        <f>CONCATENATE('3 pr-2'!A36)</f>
        <v>1.1.1.2.3</v>
      </c>
      <c r="B35" s="473"/>
      <c r="C35" s="255" t="str">
        <f>CONCATENATE('3 pr-2'!D36)</f>
        <v>Kompleksinė Miklusėnų gyvenvietės plėtra</v>
      </c>
      <c r="D35" s="255" t="str">
        <f>CONCATENATE('3 pr-2'!E36)</f>
        <v>Alytaus rajono savivaldybės administracija</v>
      </c>
      <c r="E35" s="255" t="str">
        <f>CONCATENATE('3 pr-2'!F36)</f>
        <v>Lietuvos Respublikos vidaus reikalų ministerija</v>
      </c>
      <c r="F35" s="255" t="str">
        <f>CONCATENATE('3 pr-2'!G36)</f>
        <v>Alytaus rajono  savivaldybė</v>
      </c>
      <c r="G35" s="255" t="str">
        <f>CONCATENATE('3 pr-2'!H36)</f>
        <v>8.2.1-CPVA-R-908</v>
      </c>
      <c r="H35" s="255" t="str">
        <f>CONCATENATE('3 pr-2'!I36)</f>
        <v>R</v>
      </c>
      <c r="I35" s="255" t="str">
        <f>CONCATENATE('3 pr-2'!J36)</f>
        <v>-</v>
      </c>
      <c r="J35" s="474">
        <f>IF(Q35&gt;0,'3 pr-2'!L36,0)</f>
        <v>0</v>
      </c>
      <c r="K35" s="474">
        <f>IF(Q35&gt;0,'3 pr-2'!O36,0)</f>
        <v>0</v>
      </c>
      <c r="L35" s="474">
        <f>IF(Q35&gt;0,'3 pr-2'!R36,0)</f>
        <v>0</v>
      </c>
      <c r="M35" s="474">
        <f>IF(Q35&gt;0,'3 pr-2'!U36,0)</f>
        <v>0</v>
      </c>
      <c r="N35" s="474">
        <f>IF(Q35&gt;0,'3 pr-2'!X36,0)</f>
        <v>0</v>
      </c>
      <c r="O35" s="474">
        <f>IF(Q35&gt;0,'3 pr-2'!AA36,0)</f>
        <v>0</v>
      </c>
      <c r="P35" s="290">
        <f>SUM('3 pr-2'!AG36)</f>
        <v>43281</v>
      </c>
      <c r="Q35" s="604"/>
      <c r="R35" s="291"/>
      <c r="S35" s="998" t="str">
        <f t="shared" si="4"/>
        <v>–</v>
      </c>
    </row>
    <row r="36" spans="1:19" ht="48.75" x14ac:dyDescent="0.25">
      <c r="A36" s="616" t="str">
        <f>CONCATENATE('3 pr-2'!A37)</f>
        <v>1.1.1.2.4</v>
      </c>
      <c r="B36" s="473"/>
      <c r="C36" s="255" t="str">
        <f>CONCATENATE('3 pr-2'!D37)</f>
        <v>Leipalingio viešosios erdvės pritaikymas bendruomenės poreikiams</v>
      </c>
      <c r="D36" s="255" t="str">
        <f>CONCATENATE('3 pr-2'!E37)</f>
        <v xml:space="preserve">Druskininkų savivaldybės administracija  </v>
      </c>
      <c r="E36" s="255" t="str">
        <f>CONCATENATE('3 pr-2'!F37)</f>
        <v>Lietuvos Respublikos vidaus reikalų ministerija</v>
      </c>
      <c r="F36" s="255" t="str">
        <f>CONCATENATE('3 pr-2'!G37)</f>
        <v>Druskininkų savivaldybė, Leipalingio seniūnija</v>
      </c>
      <c r="G36" s="255" t="str">
        <f>CONCATENATE('3 pr-2'!H37)</f>
        <v>8.2.1-CPVA-R-908</v>
      </c>
      <c r="H36" s="255" t="str">
        <f>CONCATENATE('3 pr-2'!I37)</f>
        <v>R</v>
      </c>
      <c r="I36" s="255" t="str">
        <f>CONCATENATE('3 pr-2'!J37)</f>
        <v>-</v>
      </c>
      <c r="J36" s="474">
        <f>IF(Q36&gt;0,'3 pr-2'!L37,0)</f>
        <v>0</v>
      </c>
      <c r="K36" s="474">
        <f>IF(Q36&gt;0,'3 pr-2'!O37,0)</f>
        <v>0</v>
      </c>
      <c r="L36" s="474">
        <f>IF(Q36&gt;0,'3 pr-2'!R37,0)</f>
        <v>0</v>
      </c>
      <c r="M36" s="474">
        <f>IF(Q36&gt;0,'3 pr-2'!U37,0)</f>
        <v>0</v>
      </c>
      <c r="N36" s="474">
        <f>IF(Q36&gt;0,'3 pr-2'!X37,0)</f>
        <v>0</v>
      </c>
      <c r="O36" s="474">
        <f>IF(Q36&gt;0,'3 pr-2'!AA37,0)</f>
        <v>0</v>
      </c>
      <c r="P36" s="290">
        <f>SUM('3 pr-2'!AG37)</f>
        <v>43251</v>
      </c>
      <c r="Q36" s="604"/>
      <c r="R36" s="291"/>
      <c r="S36" s="998" t="str">
        <f t="shared" si="4"/>
        <v>–</v>
      </c>
    </row>
    <row r="37" spans="1:19" ht="49.5" thickBot="1" x14ac:dyDescent="0.3">
      <c r="A37" s="617" t="str">
        <f>CONCATENATE('3 pr-2'!A38)</f>
        <v>1.1.1.2.5</v>
      </c>
      <c r="B37" s="623"/>
      <c r="C37" s="618" t="str">
        <f>CONCATENATE('3 pr-2'!D38)</f>
        <v>Viečiūnų viešosios erdvės pritaikymas bendruomenės poreikiams</v>
      </c>
      <c r="D37" s="618" t="str">
        <f>CONCATENATE('3 pr-2'!E38)</f>
        <v xml:space="preserve">Druskininkų savivaldybės administracija  </v>
      </c>
      <c r="E37" s="618" t="str">
        <f>CONCATENATE('3 pr-2'!F38)</f>
        <v>Lietuvos Respublikos vidaus reikalų ministerija</v>
      </c>
      <c r="F37" s="618" t="str">
        <f>CONCATENATE('3 pr-2'!G38)</f>
        <v>Druskininkų savivaldybė, Viečiūnų seniūnija</v>
      </c>
      <c r="G37" s="618" t="str">
        <f>CONCATENATE('3 pr-2'!H38)</f>
        <v>8.2.1-CPVA-R-908</v>
      </c>
      <c r="H37" s="618" t="str">
        <f>CONCATENATE('3 pr-2'!I38)</f>
        <v>R</v>
      </c>
      <c r="I37" s="618" t="str">
        <f>CONCATENATE('3 pr-2'!J38)</f>
        <v>-</v>
      </c>
      <c r="J37" s="474">
        <f>IF(Q37&gt;0,'3 pr-2'!L38,0)</f>
        <v>0</v>
      </c>
      <c r="K37" s="474">
        <f>IF(Q37&gt;0,'3 pr-2'!O38,0)</f>
        <v>0</v>
      </c>
      <c r="L37" s="474">
        <f>IF(Q37&gt;0,'3 pr-2'!R38,0)</f>
        <v>0</v>
      </c>
      <c r="M37" s="474">
        <f>IF(Q37&gt;0,'3 pr-2'!U38,0)</f>
        <v>0</v>
      </c>
      <c r="N37" s="474">
        <f>IF(Q37&gt;0,'3 pr-2'!X38,0)</f>
        <v>0</v>
      </c>
      <c r="O37" s="474">
        <f>IF(Q37&gt;0,'3 pr-2'!AA38,0)</f>
        <v>0</v>
      </c>
      <c r="P37" s="624">
        <f>SUM('3 pr-2'!AG38)</f>
        <v>43251</v>
      </c>
      <c r="Q37" s="625"/>
      <c r="R37" s="626"/>
      <c r="S37" s="998" t="str">
        <f t="shared" si="4"/>
        <v>–</v>
      </c>
    </row>
    <row r="38" spans="1:19" ht="30" customHeight="1" thickBot="1" x14ac:dyDescent="0.3">
      <c r="A38" s="497" t="str">
        <f>CONCATENATE('3 pr-2'!A39)</f>
        <v>1.1.1.3</v>
      </c>
      <c r="B38" s="613"/>
      <c r="C38" s="1656" t="str">
        <f>CONCATENATE('3 pr-2'!D39)</f>
        <v/>
      </c>
      <c r="D38" s="1789" t="str">
        <f>CONCATENATE('3 pr-2'!E39)</f>
        <v/>
      </c>
      <c r="E38" s="1789" t="str">
        <f>CONCATENATE('3 pr-2'!F39)</f>
        <v/>
      </c>
      <c r="F38" s="1789" t="str">
        <f>CONCATENATE('3 pr-2'!G39)</f>
        <v/>
      </c>
      <c r="G38" s="1789" t="str">
        <f>CONCATENATE('3 pr-2'!H39)</f>
        <v/>
      </c>
      <c r="H38" s="1789" t="str">
        <f>CONCATENATE('3 pr-2'!I39)</f>
        <v/>
      </c>
      <c r="I38" s="1790" t="str">
        <f>CONCATENATE('3 pr-2'!J39)</f>
        <v/>
      </c>
      <c r="J38" s="629">
        <f t="shared" ref="J38:O38" si="6">SUM(J39:J44)</f>
        <v>3269394.13</v>
      </c>
      <c r="K38" s="629">
        <f t="shared" si="6"/>
        <v>348877.5</v>
      </c>
      <c r="L38" s="629">
        <f t="shared" si="6"/>
        <v>271647.09000000003</v>
      </c>
      <c r="M38" s="629">
        <f t="shared" si="6"/>
        <v>0</v>
      </c>
      <c r="N38" s="629">
        <f t="shared" si="6"/>
        <v>0</v>
      </c>
      <c r="O38" s="629">
        <f t="shared" si="6"/>
        <v>2648869.5399999996</v>
      </c>
      <c r="P38" s="630" t="s">
        <v>725</v>
      </c>
      <c r="Q38" s="631" t="s">
        <v>725</v>
      </c>
      <c r="R38" s="630" t="s">
        <v>725</v>
      </c>
      <c r="S38" s="631"/>
    </row>
    <row r="39" spans="1:19" ht="48.75" x14ac:dyDescent="0.25">
      <c r="A39" s="612" t="str">
        <f>CONCATENATE('3 pr-2'!A40)</f>
        <v>1.1.1.3.1</v>
      </c>
      <c r="B39" s="471" t="str">
        <f>CONCATENATE('ketv. 2lent'!B39)</f>
        <v>07.1.1-CPVA-R-905-11-0001</v>
      </c>
      <c r="C39" s="316" t="str">
        <f>CONCATENATE('3 pr-2'!D40)</f>
        <v>Varėnos miesto centrinės dalies modernizavimas ir pritaikymas visuomenės poreikiams (I etapas)</v>
      </c>
      <c r="D39" s="316" t="str">
        <f>CONCATENATE('3 pr-2'!E40)</f>
        <v>Varėnos rajono savivaldybės administracija</v>
      </c>
      <c r="E39" s="316" t="str">
        <f>CONCATENATE('3 pr-2'!F40)</f>
        <v>Lietuvos Respublikos vidaus reikalų ministerija</v>
      </c>
      <c r="F39" s="316" t="str">
        <f>CONCATENATE('3 pr-2'!G40)</f>
        <v>Varėnos miestas</v>
      </c>
      <c r="G39" s="316" t="str">
        <f>CONCATENATE('3 pr-2'!H40)</f>
        <v xml:space="preserve">07.1.1-CPVA-R-905 </v>
      </c>
      <c r="H39" s="316" t="str">
        <f>CONCATENATE('3 pr-2'!I40)</f>
        <v>R</v>
      </c>
      <c r="I39" s="374" t="str">
        <f>CONCATENATE('3 pr-2'!J40)</f>
        <v>ITI</v>
      </c>
      <c r="J39" s="474">
        <f>IF(Q39&gt;0,'3 pr-2'!L40,0)</f>
        <v>1516932.01</v>
      </c>
      <c r="K39" s="474">
        <f>IF(Q39&gt;0,'3 pr-2'!O40,0)</f>
        <v>75846.61</v>
      </c>
      <c r="L39" s="474">
        <f>IF(Q39&gt;0,'3 pr-2'!R40,0)</f>
        <v>151693.20000000001</v>
      </c>
      <c r="M39" s="474">
        <f>IF(Q39&gt;0,'3 pr-2'!U40,0)</f>
        <v>0</v>
      </c>
      <c r="N39" s="474">
        <f>IF(Q39&gt;0,'3 pr-2'!X40,0)</f>
        <v>0</v>
      </c>
      <c r="O39" s="474">
        <f>IF(Q39&gt;0,'3 pr-2'!AA40,0)</f>
        <v>1289392.2</v>
      </c>
      <c r="P39" s="315">
        <f>SUM('3 pr-2'!AG40)</f>
        <v>42566</v>
      </c>
      <c r="Q39" s="627">
        <v>42555</v>
      </c>
      <c r="R39" s="372">
        <f>IF((YEAR(P39)-YEAR(Q39))=0,0,YEAR(P39)-YEAR(Q39))</f>
        <v>0</v>
      </c>
      <c r="S39" s="998" t="str">
        <f t="shared" si="4"/>
        <v>–</v>
      </c>
    </row>
    <row r="40" spans="1:19" ht="48.75" x14ac:dyDescent="0.25">
      <c r="A40" s="254" t="str">
        <f>CONCATENATE('3 pr-2'!A41)</f>
        <v>1.1.1.3.2</v>
      </c>
      <c r="B40" s="323" t="str">
        <f>CONCATENATE('ketv. 2lent'!B40)</f>
        <v>07.1.1-CPVA-R-905-11-0002</v>
      </c>
      <c r="C40" s="255" t="str">
        <f>CONCATENATE('3 pr-2'!D41)</f>
        <v>Varėnos miesto centrinės dalies modernizavimas ir pritaikymas visuomenės poreikiams (II etapas)</v>
      </c>
      <c r="D40" s="255" t="str">
        <f>CONCATENATE('3 pr-2'!E41)</f>
        <v>Varėnos rajono savivaldybės administracija</v>
      </c>
      <c r="E40" s="255" t="str">
        <f>CONCATENATE('3 pr-2'!F41)</f>
        <v>Lietuvos Respublikos vidaus reikalų ministerija</v>
      </c>
      <c r="F40" s="255" t="str">
        <f>CONCATENATE('3 pr-2'!G41)</f>
        <v>Varėnos miestas</v>
      </c>
      <c r="G40" s="255" t="str">
        <f>CONCATENATE('3 pr-2'!H41)</f>
        <v xml:space="preserve">07.1.1-CPVA-R-905 </v>
      </c>
      <c r="H40" s="255" t="str">
        <f>CONCATENATE('3 pr-2'!I41)</f>
        <v>R</v>
      </c>
      <c r="I40" s="265" t="str">
        <f>CONCATENATE('3 pr-2'!J41)</f>
        <v>ITI</v>
      </c>
      <c r="J40" s="474">
        <f>IF(Q40&gt;0,'3 pr-2'!L41,0)</f>
        <v>995216.11</v>
      </c>
      <c r="K40" s="474">
        <f>IF(Q40&gt;0,'3 pr-2'!O41,0)</f>
        <v>74641.210000000006</v>
      </c>
      <c r="L40" s="474">
        <f>IF(Q40&gt;0,'3 pr-2'!R41,0)</f>
        <v>74641.210000000006</v>
      </c>
      <c r="M40" s="474">
        <f>IF(Q40&gt;0,'3 pr-2'!U41,0)</f>
        <v>0</v>
      </c>
      <c r="N40" s="474">
        <f>IF(Q40&gt;0,'3 pr-2'!X41,0)</f>
        <v>0</v>
      </c>
      <c r="O40" s="474">
        <f>IF(Q40&gt;0,'3 pr-2'!AA41,0)</f>
        <v>845933.69</v>
      </c>
      <c r="P40" s="288">
        <f>SUM('3 pr-2'!AG41)</f>
        <v>42885</v>
      </c>
      <c r="Q40" s="604">
        <v>42863</v>
      </c>
      <c r="R40" s="264">
        <f>IF((YEAR(P40)-YEAR(Q40))=0,0,YEAR(P40)-YEAR(Q40))</f>
        <v>0</v>
      </c>
      <c r="S40" s="998" t="str">
        <f t="shared" si="4"/>
        <v>–</v>
      </c>
    </row>
    <row r="41" spans="1:19" ht="48.75" x14ac:dyDescent="0.25">
      <c r="A41" s="254" t="str">
        <f>CONCATENATE('3 pr-2'!A42)</f>
        <v>1.1.1.3.3</v>
      </c>
      <c r="B41" s="323" t="str">
        <f>CONCATENATE('ketv. 2lent'!B41)</f>
        <v/>
      </c>
      <c r="C41" s="255" t="str">
        <f>CONCATENATE('3 pr-2'!D42)</f>
        <v xml:space="preserve">Varėnos miesto Dainų slėnio infrastruktūros atnaujinimas ir pritaikymas visuomenės poreikiams </v>
      </c>
      <c r="D41" s="255" t="str">
        <f>CONCATENATE('3 pr-2'!E42)</f>
        <v>Varėnos rajono savivaldybės administracija</v>
      </c>
      <c r="E41" s="255" t="str">
        <f>CONCATENATE('3 pr-2'!F42)</f>
        <v>Lietuvos Respublikos vidaus reikalų ministerija</v>
      </c>
      <c r="F41" s="255" t="str">
        <f>CONCATENATE('3 pr-2'!G42)</f>
        <v>Varėnos miestas</v>
      </c>
      <c r="G41" s="255" t="str">
        <f>CONCATENATE('3 pr-2'!H42)</f>
        <v xml:space="preserve">07.1.1-CPVA-R-905 </v>
      </c>
      <c r="H41" s="255" t="str">
        <f>CONCATENATE('3 pr-2'!I42)</f>
        <v>R</v>
      </c>
      <c r="I41" s="265" t="str">
        <f>CONCATENATE('3 pr-2'!J42)</f>
        <v>ITI</v>
      </c>
      <c r="J41" s="474">
        <f>IF(Q41&gt;0,'3 pr-2'!L42,0)</f>
        <v>0</v>
      </c>
      <c r="K41" s="474">
        <f>IF(Q41&gt;0,'3 pr-2'!O42,0)</f>
        <v>0</v>
      </c>
      <c r="L41" s="474">
        <f>IF(Q41&gt;0,'3 pr-2'!R42,0)</f>
        <v>0</v>
      </c>
      <c r="M41" s="474">
        <f>IF(Q41&gt;0,'3 pr-2'!U42,0)</f>
        <v>0</v>
      </c>
      <c r="N41" s="474">
        <f>IF(Q41&gt;0,'3 pr-2'!X42,0)</f>
        <v>0</v>
      </c>
      <c r="O41" s="474">
        <f>IF(Q41&gt;0,'3 pr-2'!AA42,0)</f>
        <v>0</v>
      </c>
      <c r="P41" s="288">
        <f>SUM('3 pr-2'!AG42)</f>
        <v>43251</v>
      </c>
      <c r="Q41" s="605"/>
      <c r="R41" s="264"/>
      <c r="S41" s="998" t="str">
        <f t="shared" si="4"/>
        <v>–</v>
      </c>
    </row>
    <row r="42" spans="1:19" ht="48.75" x14ac:dyDescent="0.25">
      <c r="A42" s="254" t="str">
        <f>CONCATENATE('3 pr-2'!A43)</f>
        <v>1.1.1.3.4</v>
      </c>
      <c r="B42" s="323" t="str">
        <f>CONCATENATE('ketv. 2lent'!B42)</f>
        <v>07.1.1-CPVA-R-905-11-0003</v>
      </c>
      <c r="C42" s="255" t="str">
        <f>CONCATENATE('3 pr-2'!D43)</f>
        <v>Karloniškės ežero ir jo prieigų sutvarkymas ir pritaikymas aktyviam poilsiui</v>
      </c>
      <c r="D42" s="255" t="str">
        <f>CONCATENATE('3 pr-2'!E43)</f>
        <v>Varėnos rajono savivaldybės administracija</v>
      </c>
      <c r="E42" s="255" t="str">
        <f>CONCATENATE('3 pr-2'!F43)</f>
        <v>Lietuvos Respublikos vidaus reikalų ministerija</v>
      </c>
      <c r="F42" s="255" t="str">
        <f>CONCATENATE('3 pr-2'!G43)</f>
        <v>Varėnos miestas</v>
      </c>
      <c r="G42" s="255" t="str">
        <f>CONCATENATE('3 pr-2'!H43)</f>
        <v xml:space="preserve">07.1.1-CPVA-R-905 </v>
      </c>
      <c r="H42" s="255" t="str">
        <f>CONCATENATE('3 pr-2'!I43)</f>
        <v>R</v>
      </c>
      <c r="I42" s="265" t="str">
        <f>CONCATENATE('3 pr-2'!J43)</f>
        <v>ITI</v>
      </c>
      <c r="J42" s="474">
        <f>IF(Q42&gt;0,'3 pr-2'!L43,0)</f>
        <v>757246.01</v>
      </c>
      <c r="K42" s="474">
        <f>IF(Q42&gt;0,'3 pr-2'!O43,0)</f>
        <v>198389.68</v>
      </c>
      <c r="L42" s="474">
        <f>IF(Q42&gt;0,'3 pr-2'!R43,0)</f>
        <v>45312.68</v>
      </c>
      <c r="M42" s="474">
        <f>IF(Q42&gt;0,'3 pr-2'!U43,0)</f>
        <v>0</v>
      </c>
      <c r="N42" s="474">
        <f>IF(Q42&gt;0,'3 pr-2'!X43,0)</f>
        <v>0</v>
      </c>
      <c r="O42" s="474">
        <f>IF(Q42&gt;0,'3 pr-2'!AA43,0)</f>
        <v>513543.65</v>
      </c>
      <c r="P42" s="288">
        <f>SUM('3 pr-2'!AG43)</f>
        <v>43008</v>
      </c>
      <c r="Q42" s="604">
        <v>43007</v>
      </c>
      <c r="R42" s="264">
        <f>IF((YEAR(P42)-YEAR(Q42))=0,0,YEAR(P42)-YEAR(Q42))</f>
        <v>0</v>
      </c>
      <c r="S42" s="998" t="str">
        <f t="shared" si="4"/>
        <v>–</v>
      </c>
    </row>
    <row r="43" spans="1:19" ht="48.75" x14ac:dyDescent="0.25">
      <c r="A43" s="254" t="str">
        <f>CONCATENATE('3 pr-2'!A44)</f>
        <v>1.1.1.3.5</v>
      </c>
      <c r="B43" s="323" t="str">
        <f>CONCATENATE('ketv. 2lent'!B43)</f>
        <v/>
      </c>
      <c r="C43" s="255" t="str">
        <f>CONCATENATE('3 pr-2'!D44)</f>
        <v xml:space="preserve">Nenaudojamų teritorijų Varėnos mieste sutvarkymas ir pritaikymas verslui </v>
      </c>
      <c r="D43" s="255" t="str">
        <f>CONCATENATE('3 pr-2'!E44)</f>
        <v>Varėnos rajono savivaldybės administracija</v>
      </c>
      <c r="E43" s="255" t="str">
        <f>CONCATENATE('3 pr-2'!F44)</f>
        <v>Lietuvos Respublikos vidaus reikalų ministerija</v>
      </c>
      <c r="F43" s="255" t="str">
        <f>CONCATENATE('3 pr-2'!G44)</f>
        <v>Varėnos miestas</v>
      </c>
      <c r="G43" s="255" t="str">
        <f>CONCATENATE('3 pr-2'!H44)</f>
        <v xml:space="preserve">07.1.1-CPVA-R-905 </v>
      </c>
      <c r="H43" s="255" t="str">
        <f>CONCATENATE('3 pr-2'!I44)</f>
        <v>R</v>
      </c>
      <c r="I43" s="265" t="str">
        <f>CONCATENATE('3 pr-2'!J44)</f>
        <v>ITI</v>
      </c>
      <c r="J43" s="474">
        <f>IF(Q43&gt;0,'3 pr-2'!L44,0)</f>
        <v>0</v>
      </c>
      <c r="K43" s="474">
        <f>IF(Q43&gt;0,'3 pr-2'!O44,0)</f>
        <v>0</v>
      </c>
      <c r="L43" s="474">
        <f>IF(Q43&gt;0,'3 pr-2'!R44,0)</f>
        <v>0</v>
      </c>
      <c r="M43" s="474">
        <f>IF(Q43&gt;0,'3 pr-2'!U44,0)</f>
        <v>0</v>
      </c>
      <c r="N43" s="474">
        <f>IF(Q43&gt;0,'3 pr-2'!X44,0)</f>
        <v>0</v>
      </c>
      <c r="O43" s="474">
        <f>IF(Q43&gt;0,'3 pr-2'!AA44,0)</f>
        <v>0</v>
      </c>
      <c r="P43" s="288">
        <f>SUM('3 pr-2'!AG44)</f>
        <v>43251</v>
      </c>
      <c r="Q43" s="605"/>
      <c r="R43" s="264"/>
      <c r="S43" s="998" t="str">
        <f t="shared" si="4"/>
        <v>–</v>
      </c>
    </row>
    <row r="44" spans="1:19" ht="49.5" thickBot="1" x14ac:dyDescent="0.3">
      <c r="A44" s="254" t="str">
        <f>CONCATENATE('3 pr-2'!A45)</f>
        <v>1.1.1.3.6</v>
      </c>
      <c r="B44" s="323" t="str">
        <f>CONCATENATE('ketv. 2lent'!B44)</f>
        <v/>
      </c>
      <c r="C44" s="255" t="str">
        <f>CONCATENATE('3 pr-2'!D45)</f>
        <v xml:space="preserve">Teritorijų prie daugiabučių gyvenamųjų pastatų Varėnos mieste sutvarkymas ir pritaikymas visuomenės poreikiams  </v>
      </c>
      <c r="D44" s="255" t="str">
        <f>CONCATENATE('3 pr-2'!E45)</f>
        <v>Varėnos rajono savivaldybės administracija</v>
      </c>
      <c r="E44" s="255" t="str">
        <f>CONCATENATE('3 pr-2'!F45)</f>
        <v>Lietuvos Respublikos vidaus reikalų ministerija</v>
      </c>
      <c r="F44" s="255" t="str">
        <f>CONCATENATE('3 pr-2'!G45)</f>
        <v>Varėnos miestas</v>
      </c>
      <c r="G44" s="255" t="str">
        <f>CONCATENATE('3 pr-2'!H45)</f>
        <v xml:space="preserve">07.1.1-CPVA-R-905 </v>
      </c>
      <c r="H44" s="255" t="str">
        <f>CONCATENATE('3 pr-2'!I45)</f>
        <v>R</v>
      </c>
      <c r="I44" s="265" t="str">
        <f>CONCATENATE('3 pr-2'!J45)</f>
        <v>ITI</v>
      </c>
      <c r="J44" s="474">
        <f>IF(Q44&gt;0,'3 pr-2'!L45,0)</f>
        <v>0</v>
      </c>
      <c r="K44" s="474">
        <f>IF(Q44&gt;0,'3 pr-2'!O45,0)</f>
        <v>0</v>
      </c>
      <c r="L44" s="474">
        <f>IF(Q44&gt;0,'3 pr-2'!R45,0)</f>
        <v>0</v>
      </c>
      <c r="M44" s="474">
        <f>IF(Q44&gt;0,'3 pr-2'!U45,0)</f>
        <v>0</v>
      </c>
      <c r="N44" s="474">
        <f>IF(Q44&gt;0,'3 pr-2'!X45,0)</f>
        <v>0</v>
      </c>
      <c r="O44" s="474">
        <f>IF(Q44&gt;0,'3 pr-2'!AA45,0)</f>
        <v>0</v>
      </c>
      <c r="P44" s="288">
        <f>SUM('3 pr-2'!AG45)</f>
        <v>43218</v>
      </c>
      <c r="Q44" s="605"/>
      <c r="R44" s="264"/>
      <c r="S44" s="998" t="str">
        <f t="shared" si="4"/>
        <v>–</v>
      </c>
    </row>
    <row r="45" spans="1:19" ht="36" customHeight="1" thickBot="1" x14ac:dyDescent="0.3">
      <c r="A45" s="497" t="str">
        <f>CONCATENATE('3 pr-2'!A46)</f>
        <v>1.1.1.4</v>
      </c>
      <c r="B45" s="613"/>
      <c r="C45" s="1656" t="str">
        <f>CONCATENATE('3 pr-2'!D46)</f>
        <v/>
      </c>
      <c r="D45" s="1789" t="str">
        <f>CONCATENATE('3 pr-2'!E46)</f>
        <v/>
      </c>
      <c r="E45" s="1789" t="str">
        <f>CONCATENATE('3 pr-2'!F46)</f>
        <v/>
      </c>
      <c r="F45" s="1789" t="str">
        <f>CONCATENATE('3 pr-2'!G46)</f>
        <v/>
      </c>
      <c r="G45" s="1789" t="str">
        <f>CONCATENATE('3 pr-2'!H46)</f>
        <v/>
      </c>
      <c r="H45" s="1789" t="str">
        <f>CONCATENATE('3 pr-2'!I46)</f>
        <v/>
      </c>
      <c r="I45" s="1790" t="str">
        <f>CONCATENATE('3 pr-2'!J46)</f>
        <v/>
      </c>
      <c r="J45" s="629">
        <f t="shared" ref="J45:O45" si="7">SUM(J46:J48)</f>
        <v>2112023.5599999996</v>
      </c>
      <c r="K45" s="629">
        <f t="shared" si="7"/>
        <v>289057.97000000003</v>
      </c>
      <c r="L45" s="629">
        <f t="shared" si="7"/>
        <v>147808.01999999999</v>
      </c>
      <c r="M45" s="629">
        <f t="shared" si="7"/>
        <v>0</v>
      </c>
      <c r="N45" s="629">
        <f t="shared" si="7"/>
        <v>0</v>
      </c>
      <c r="O45" s="629">
        <f t="shared" si="7"/>
        <v>1675157.5699999998</v>
      </c>
      <c r="P45" s="630" t="s">
        <v>725</v>
      </c>
      <c r="Q45" s="631" t="s">
        <v>725</v>
      </c>
      <c r="R45" s="630" t="s">
        <v>725</v>
      </c>
      <c r="S45" s="631"/>
    </row>
    <row r="46" spans="1:19" ht="48.75" x14ac:dyDescent="0.25">
      <c r="A46" s="254" t="str">
        <f>CONCATENATE('3 pr-2'!A47)</f>
        <v>1.1.1.4.1</v>
      </c>
      <c r="B46" s="323" t="str">
        <f>CONCATENATE('ketv. 2lent'!B46)</f>
        <v>07.1.1-CPVA-V-902-01-0008</v>
      </c>
      <c r="C46" s="255" t="str">
        <f>CONCATENATE('3 pr-2'!D47)</f>
        <v>Buvusios pramoninės teritorijos Pramonės g. 1 Alytuje, pritaikymas verslo vystymui ir plėtrai.</v>
      </c>
      <c r="D46" s="255" t="str">
        <f>CONCATENATE('3 pr-2'!E47)</f>
        <v>Alytaus miesto savivaldybės administracija</v>
      </c>
      <c r="E46" s="255" t="str">
        <f>CONCATENATE('3 pr-2'!F47)</f>
        <v>Lietuvos Respublikos vidaus reikalų ministerija</v>
      </c>
      <c r="F46" s="255" t="str">
        <f>CONCATENATE('3 pr-2'!G47)</f>
        <v>Alytaus m.</v>
      </c>
      <c r="G46" s="255" t="str">
        <f>CONCATENATE('3 pr-2'!H47)</f>
        <v>07.1.1-CPVA-V-902</v>
      </c>
      <c r="H46" s="255" t="str">
        <f>CONCATENATE('3 pr-2'!I47)</f>
        <v>V</v>
      </c>
      <c r="I46" s="265" t="str">
        <f>CONCATENATE('3 pr-2'!J47)</f>
        <v>ITI</v>
      </c>
      <c r="J46" s="474">
        <f>IF(Q46&gt;0,'3 pr-2'!L47,0)</f>
        <v>1293732.5699999998</v>
      </c>
      <c r="K46" s="474">
        <f>IF(Q46&gt;0,'3 pr-2'!O47,0)</f>
        <v>97029.95</v>
      </c>
      <c r="L46" s="474">
        <f>IF(Q46&gt;0,'3 pr-2'!R47,0)</f>
        <v>97029.94</v>
      </c>
      <c r="M46" s="474">
        <f>IF(Q46&gt;0,'3 pr-2'!U47,0)</f>
        <v>0</v>
      </c>
      <c r="N46" s="474">
        <f>IF(Q46&gt;0,'3 pr-2'!X47,0)</f>
        <v>0</v>
      </c>
      <c r="O46" s="474">
        <f>IF(Q46&gt;0,'3 pr-2'!AA47,0)</f>
        <v>1099672.68</v>
      </c>
      <c r="P46" s="288">
        <f>SUM('3 pr-2'!AG47)</f>
        <v>42674</v>
      </c>
      <c r="Q46" s="606">
        <v>42699</v>
      </c>
      <c r="R46" s="264">
        <f>IF((YEAR(P46)-YEAR(Q46))=0,0,YEAR(P46)-YEAR(Q46))</f>
        <v>0</v>
      </c>
      <c r="S46" s="998">
        <f t="shared" si="4"/>
        <v>-0.82191780821917715</v>
      </c>
    </row>
    <row r="47" spans="1:19" ht="48.75" x14ac:dyDescent="0.25">
      <c r="A47" s="254" t="str">
        <f>CONCATENATE('3 pr-2'!A48)</f>
        <v>1.1.1.4.2</v>
      </c>
      <c r="B47" s="323" t="str">
        <f>CONCATENATE('ketv. 2lent'!B47)</f>
        <v>07.1.1-CPVA-R-903-11-0001</v>
      </c>
      <c r="C47" s="255" t="str">
        <f>CONCATENATE('3 pr-2'!D48)</f>
        <v>Amatų centro „Menų kalvė“ Druskininkuose įkūrimas</v>
      </c>
      <c r="D47" s="255" t="str">
        <f>CONCATENATE('3 pr-2'!E48)</f>
        <v xml:space="preserve">Druskininkų savivaldybės administracija  </v>
      </c>
      <c r="E47" s="255" t="str">
        <f>CONCATENATE('3 pr-2'!F48)</f>
        <v>Lietuvos Respublikos vidaus reikalų ministerija</v>
      </c>
      <c r="F47" s="255" t="str">
        <f>CONCATENATE('3 pr-2'!G48)</f>
        <v>Druskininkų miestas</v>
      </c>
      <c r="G47" s="255" t="str">
        <f>CONCATENATE('3 pr-2'!H48)</f>
        <v>07.1.1-CPVA-R-903</v>
      </c>
      <c r="H47" s="255" t="str">
        <f>CONCATENATE('3 pr-2'!I48)</f>
        <v>R</v>
      </c>
      <c r="I47" s="265" t="str">
        <f>CONCATENATE('3 pr-2'!J48)</f>
        <v>ITI</v>
      </c>
      <c r="J47" s="474">
        <f>IF(Q47&gt;0,'3 pr-2'!L48,0)</f>
        <v>474784</v>
      </c>
      <c r="K47" s="474">
        <f>IF(Q47&gt;0,'3 pr-2'!O48,0)</f>
        <v>166265</v>
      </c>
      <c r="L47" s="474">
        <f>IF(Q47&gt;0,'3 pr-2'!R48,0)</f>
        <v>25015.06</v>
      </c>
      <c r="M47" s="474">
        <f>IF(Q47&gt;0,'3 pr-2'!U48,0)</f>
        <v>0</v>
      </c>
      <c r="N47" s="474">
        <f>IF(Q47&gt;0,'3 pr-2'!X48,0)</f>
        <v>0</v>
      </c>
      <c r="O47" s="474">
        <f>IF(Q47&gt;0,'3 pr-2'!AA48,0)</f>
        <v>283503.94</v>
      </c>
      <c r="P47" s="288">
        <f>SUM('3 pr-2'!AG48)</f>
        <v>42583</v>
      </c>
      <c r="Q47" s="606">
        <v>42583</v>
      </c>
      <c r="R47" s="264">
        <f>IF((YEAR(P47)-YEAR(Q47))=0,0,YEAR(P47)-YEAR(Q47))</f>
        <v>0</v>
      </c>
      <c r="S47" s="998" t="str">
        <f t="shared" si="4"/>
        <v>–</v>
      </c>
    </row>
    <row r="48" spans="1:19" ht="49.5" thickBot="1" x14ac:dyDescent="0.3">
      <c r="A48" s="254" t="str">
        <f>CONCATENATE('3 pr-2'!A49)</f>
        <v>1.1.1.4.3</v>
      </c>
      <c r="B48" s="323" t="str">
        <f>CONCATENATE('ketv. 2lent'!B48)</f>
        <v>07.1.1-CPVA-R-903-11-0002</v>
      </c>
      <c r="C48" s="255" t="str">
        <f>CONCATENATE('3 pr-2'!D49)</f>
        <v>Lazdijų miesto kompleksinė infrastruktūros plėtra, III etapas</v>
      </c>
      <c r="D48" s="255" t="str">
        <f>CONCATENATE('3 pr-2'!E49)</f>
        <v>Lazdijų rajono savivaldybės administracija</v>
      </c>
      <c r="E48" s="255" t="str">
        <f>CONCATENATE('3 pr-2'!F49)</f>
        <v>Lietuvos Respublikos vidaus reikalų ministerija</v>
      </c>
      <c r="F48" s="255" t="str">
        <f>CONCATENATE('3 pr-2'!G49)</f>
        <v>Lazdijų miestas</v>
      </c>
      <c r="G48" s="255" t="str">
        <f>CONCATENATE('3 pr-2'!H49)</f>
        <v>07.1.1-CPVA-R-903</v>
      </c>
      <c r="H48" s="255" t="str">
        <f>CONCATENATE('3 pr-2'!I49)</f>
        <v>R</v>
      </c>
      <c r="I48" s="265" t="str">
        <f>CONCATENATE('3 pr-2'!J49)</f>
        <v>ITI</v>
      </c>
      <c r="J48" s="474">
        <f>IF(Q48&gt;0,'3 pr-2'!L49,0)</f>
        <v>343506.99</v>
      </c>
      <c r="K48" s="474">
        <f>IF(Q48&gt;0,'3 pr-2'!O49,0)</f>
        <v>25763.02</v>
      </c>
      <c r="L48" s="474">
        <f>IF(Q48&gt;0,'3 pr-2'!R49,0)</f>
        <v>25763.02</v>
      </c>
      <c r="M48" s="474">
        <f>IF(Q48&gt;0,'3 pr-2'!U49,0)</f>
        <v>0</v>
      </c>
      <c r="N48" s="474">
        <f>IF(Q48&gt;0,'3 pr-2'!X49,0)</f>
        <v>0</v>
      </c>
      <c r="O48" s="474">
        <f>IF(Q48&gt;0,'3 pr-2'!AA49,0)</f>
        <v>291980.95</v>
      </c>
      <c r="P48" s="288">
        <f>SUM('3 pr-2'!AG49)</f>
        <v>42552</v>
      </c>
      <c r="Q48" s="606">
        <v>42580</v>
      </c>
      <c r="R48" s="264">
        <f>IF((YEAR(P48)-YEAR(Q48))=0,0,YEAR(P48)-YEAR(Q48))</f>
        <v>0</v>
      </c>
      <c r="S48" s="998">
        <f t="shared" si="4"/>
        <v>-0.92054794520547845</v>
      </c>
    </row>
    <row r="49" spans="1:19" ht="36" customHeight="1" thickBot="1" x14ac:dyDescent="0.3">
      <c r="A49" s="497" t="str">
        <f>CONCATENATE('3 pr-2'!A50)</f>
        <v>1.1.1.5</v>
      </c>
      <c r="B49" s="613"/>
      <c r="C49" s="1656" t="str">
        <f>CONCATENATE('3 pr-2'!D50)</f>
        <v/>
      </c>
      <c r="D49" s="1789" t="str">
        <f>CONCATENATE('3 pr-2'!E50)</f>
        <v/>
      </c>
      <c r="E49" s="1789" t="str">
        <f>CONCATENATE('3 pr-2'!F50)</f>
        <v/>
      </c>
      <c r="F49" s="1789" t="str">
        <f>CONCATENATE('3 pr-2'!G50)</f>
        <v/>
      </c>
      <c r="G49" s="1789" t="str">
        <f>CONCATENATE('3 pr-2'!H50)</f>
        <v/>
      </c>
      <c r="H49" s="1789" t="str">
        <f>CONCATENATE('3 pr-2'!I50)</f>
        <v/>
      </c>
      <c r="I49" s="1790" t="str">
        <f>CONCATENATE('3 pr-2'!J50)</f>
        <v/>
      </c>
      <c r="J49" s="629">
        <f t="shared" ref="J49:O49" si="8">SUM(J50:J54)</f>
        <v>16427026.24</v>
      </c>
      <c r="K49" s="629">
        <f t="shared" si="8"/>
        <v>0</v>
      </c>
      <c r="L49" s="629">
        <f t="shared" si="8"/>
        <v>0</v>
      </c>
      <c r="M49" s="629">
        <f t="shared" si="8"/>
        <v>7616352.7299999995</v>
      </c>
      <c r="N49" s="629">
        <f t="shared" si="8"/>
        <v>0</v>
      </c>
      <c r="O49" s="629">
        <f t="shared" si="8"/>
        <v>8810673.5099999998</v>
      </c>
      <c r="P49" s="630"/>
      <c r="Q49" s="631"/>
      <c r="R49" s="630"/>
      <c r="S49" s="631"/>
    </row>
    <row r="50" spans="1:19" ht="48.75" x14ac:dyDescent="0.25">
      <c r="A50" s="254" t="str">
        <f>CONCATENATE('3 pr-2'!A51)</f>
        <v>1.1.1.5.1</v>
      </c>
      <c r="B50" s="323" t="str">
        <f>CONCATENATE('ketv. 2lent'!B50)</f>
        <v>05.3.2-APVA-R-014-11-0001</v>
      </c>
      <c r="C50" s="255" t="str">
        <f>CONCATENATE('3 pr-2'!D51)</f>
        <v>Geriamojo vandens tiekimo ir nuotekų tvarkymo sistemų renovavimas ir plėtra Varėnos rajone</v>
      </c>
      <c r="D50" s="255" t="str">
        <f>CONCATENATE('3 pr-2'!E51)</f>
        <v>UAB „Varėnos vandenys“</v>
      </c>
      <c r="E50" s="255" t="str">
        <f>CONCATENATE('3 pr-2'!F51)</f>
        <v>Lietuvos Respublikos aplinkos ministerija</v>
      </c>
      <c r="F50" s="255" t="str">
        <f>CONCATENATE('3 pr-2'!G51)</f>
        <v>Varėnos rajono savivaldybė</v>
      </c>
      <c r="G50" s="255" t="str">
        <f>CONCATENATE('3 pr-2'!H51)</f>
        <v>05.3.2-APVA-R-014</v>
      </c>
      <c r="H50" s="255" t="str">
        <f>CONCATENATE('3 pr-2'!I51)</f>
        <v>R</v>
      </c>
      <c r="I50" s="265" t="str">
        <f>CONCATENATE('3 pr-2'!J51)</f>
        <v>ITI</v>
      </c>
      <c r="J50" s="474">
        <f>IF(Q50&gt;0,'3 pr-2'!L51,0)</f>
        <v>2477103.23</v>
      </c>
      <c r="K50" s="474">
        <f>IF(Q50&gt;0,'3 pr-2'!O51,0)</f>
        <v>0</v>
      </c>
      <c r="L50" s="474">
        <f>IF(Q50&gt;0,'3 pr-2'!R51,0)</f>
        <v>0</v>
      </c>
      <c r="M50" s="474">
        <f>IF(Q50&gt;0,'3 pr-2'!U51,0)</f>
        <v>862874.97</v>
      </c>
      <c r="N50" s="474">
        <f>IF(Q50&gt;0,'3 pr-2'!X51,0)</f>
        <v>0</v>
      </c>
      <c r="O50" s="474">
        <f>IF(Q50&gt;0,'3 pr-2'!AA51,0)</f>
        <v>1614228.26</v>
      </c>
      <c r="P50" s="288">
        <f>SUM('3 pr-2'!AG51)</f>
        <v>42674</v>
      </c>
      <c r="Q50" s="606">
        <v>42671</v>
      </c>
      <c r="R50" s="264">
        <f>IF((YEAR(P50)-YEAR(Q50))=0,0,YEAR(P50)-YEAR(Q50))</f>
        <v>0</v>
      </c>
      <c r="S50" s="998" t="str">
        <f t="shared" si="4"/>
        <v>–</v>
      </c>
    </row>
    <row r="51" spans="1:19" ht="48.75" x14ac:dyDescent="0.25">
      <c r="A51" s="254" t="str">
        <f>CONCATENATE('3 pr-2'!A52)</f>
        <v>1.1.1.5.2.</v>
      </c>
      <c r="B51" s="323" t="str">
        <f>CONCATENATE('ketv. 2lent'!B51)</f>
        <v>05.3.2-APVA-R-014-11-0002</v>
      </c>
      <c r="C51" s="255" t="str">
        <f>CONCATENATE('3 pr-2'!D52)</f>
        <v>Geriamojo vandens ir nuotekų tvarkymo sistemų renovavimas Alytaus mieste</v>
      </c>
      <c r="D51" s="255" t="str">
        <f>CONCATENATE('3 pr-2'!E52)</f>
        <v>UAB “Dzūkijos vandenys“</v>
      </c>
      <c r="E51" s="255" t="str">
        <f>CONCATENATE('3 pr-2'!F52)</f>
        <v>Lietuvos Respublikos aplinkos ministerija</v>
      </c>
      <c r="F51" s="255" t="str">
        <f>CONCATENATE('3 pr-2'!G52)</f>
        <v>Alytaus miestas</v>
      </c>
      <c r="G51" s="255" t="str">
        <f>CONCATENATE('3 pr-2'!H52)</f>
        <v xml:space="preserve">05.3.2-APVA-R-014 </v>
      </c>
      <c r="H51" s="255" t="str">
        <f>CONCATENATE('3 pr-2'!I52)</f>
        <v>R</v>
      </c>
      <c r="I51" s="265" t="str">
        <f>CONCATENATE('3 pr-2'!J52)</f>
        <v>ITI</v>
      </c>
      <c r="J51" s="474">
        <f>IF(Q51&gt;0,'3 pr-2'!L52,0)</f>
        <v>5993883</v>
      </c>
      <c r="K51" s="474">
        <f>IF(Q51&gt;0,'3 pr-2'!O52,0)</f>
        <v>0</v>
      </c>
      <c r="L51" s="474">
        <f>IF(Q51&gt;0,'3 pr-2'!R52,0)</f>
        <v>0</v>
      </c>
      <c r="M51" s="474">
        <f>IF(Q51&gt;0,'3 pr-2'!U52,0)</f>
        <v>3347886.75</v>
      </c>
      <c r="N51" s="474">
        <f>IF(Q51&gt;0,'3 pr-2'!X52,0)</f>
        <v>0</v>
      </c>
      <c r="O51" s="474">
        <f>IF(Q51&gt;0,'3 pr-2'!AA52,0)</f>
        <v>2645996.25</v>
      </c>
      <c r="P51" s="288">
        <f>SUM('3 pr-2'!AG52)</f>
        <v>42704</v>
      </c>
      <c r="Q51" s="606">
        <v>42674</v>
      </c>
      <c r="R51" s="264">
        <f>IF((YEAR(P51)-YEAR(Q51))=0,0,YEAR(P51)-YEAR(Q51))</f>
        <v>0</v>
      </c>
      <c r="S51" s="998" t="str">
        <f t="shared" si="4"/>
        <v>–</v>
      </c>
    </row>
    <row r="52" spans="1:19" ht="48.75" x14ac:dyDescent="0.25">
      <c r="A52" s="254" t="str">
        <f>CONCATENATE('3 pr-2'!A53)</f>
        <v>1.1.1.5.3</v>
      </c>
      <c r="B52" s="323" t="str">
        <f>CONCATENATE('ketv. 2lent'!B52)</f>
        <v>05.3.2-APVA-R-014-11-0004</v>
      </c>
      <c r="C52" s="255" t="str">
        <f>CONCATENATE('3 pr-2'!D53)</f>
        <v>Geriamojo vandens tiekimo ir nuotekų tvarkymo sistemų renovavimas ir plėtra Lazdijų rajono savivaldybėje</v>
      </c>
      <c r="D52" s="255" t="str">
        <f>CONCATENATE('3 pr-2'!E53)</f>
        <v>UAB „Lazdijų vanduo“</v>
      </c>
      <c r="E52" s="255" t="str">
        <f>CONCATENATE('3 pr-2'!F53)</f>
        <v>Lietuvos Respublikos aplinkos ministerija</v>
      </c>
      <c r="F52" s="255" t="str">
        <f>CONCATENATE('3 pr-2'!G53)</f>
        <v>Lazdijų rajono savivaldybė</v>
      </c>
      <c r="G52" s="255" t="str">
        <f>CONCATENATE('3 pr-2'!H53)</f>
        <v>05.3.2-APVA-R-014</v>
      </c>
      <c r="H52" s="255" t="str">
        <f>CONCATENATE('3 pr-2'!I53)</f>
        <v>R</v>
      </c>
      <c r="I52" s="265" t="str">
        <f>CONCATENATE('3 pr-2'!J53)</f>
        <v>-</v>
      </c>
      <c r="J52" s="474">
        <f>IF(Q52&gt;0,'3 pr-2'!L53,0)</f>
        <v>1288228.01</v>
      </c>
      <c r="K52" s="474">
        <f>IF(Q52&gt;0,'3 pr-2'!O53,0)</f>
        <v>0</v>
      </c>
      <c r="L52" s="474">
        <f>IF(Q52&gt;0,'3 pr-2'!R53,0)</f>
        <v>0</v>
      </c>
      <c r="M52" s="474">
        <f>IF(Q52&gt;0,'3 pr-2'!U53,0)</f>
        <v>498126.01</v>
      </c>
      <c r="N52" s="474">
        <f>IF(Q52&gt;0,'3 pr-2'!X53,0)</f>
        <v>0</v>
      </c>
      <c r="O52" s="474">
        <f>IF(Q52&gt;0,'3 pr-2'!AA53,0)</f>
        <v>790102</v>
      </c>
      <c r="P52" s="288">
        <f>SUM('3 pr-2'!AG53)</f>
        <v>42734</v>
      </c>
      <c r="Q52" s="606">
        <v>42734</v>
      </c>
      <c r="R52" s="264">
        <f>IF((YEAR(P52)-YEAR(Q52))=0,0,YEAR(P52)-YEAR(Q52))</f>
        <v>0</v>
      </c>
      <c r="S52" s="998" t="str">
        <f t="shared" si="4"/>
        <v>–</v>
      </c>
    </row>
    <row r="53" spans="1:19" ht="48.75" x14ac:dyDescent="0.25">
      <c r="A53" s="254" t="str">
        <f>CONCATENATE('3 pr-2'!A54)</f>
        <v>1.1.1.5.4.</v>
      </c>
      <c r="B53" s="323" t="str">
        <f>CONCATENATE('ketv. 2lent'!B53)</f>
        <v>05.3.2-APVA-R-014-11-0003</v>
      </c>
      <c r="C53" s="255" t="str">
        <f>CONCATENATE('3 pr-2'!D54)</f>
        <v>Vandens tiekimo ir nuotekų šalinimo infrastruktūros renovavimas ir plėtra Druskininkų savivaldybėje</v>
      </c>
      <c r="D53" s="255" t="str">
        <f>CONCATENATE('3 pr-2'!E54)</f>
        <v>UAB "Druskininkų vandenys"</v>
      </c>
      <c r="E53" s="255" t="str">
        <f>CONCATENATE('3 pr-2'!F54)</f>
        <v>Lietuvos Respublikos aplinkos ministerija</v>
      </c>
      <c r="F53" s="255" t="str">
        <f>CONCATENATE('3 pr-2'!G54)</f>
        <v>Druskininkų miestas</v>
      </c>
      <c r="G53" s="255" t="str">
        <f>CONCATENATE('3 pr-2'!H54)</f>
        <v>05.3.2-APVA-R-014</v>
      </c>
      <c r="H53" s="255" t="str">
        <f>CONCATENATE('3 pr-2'!I54)</f>
        <v>R</v>
      </c>
      <c r="I53" s="265" t="str">
        <f>CONCATENATE('3 pr-2'!J54)</f>
        <v>-</v>
      </c>
      <c r="J53" s="474">
        <f>IF(Q53&gt;0,'3 pr-2'!L54,0)</f>
        <v>5186812</v>
      </c>
      <c r="K53" s="474">
        <f>IF(Q53&gt;0,'3 pr-2'!O54,0)</f>
        <v>0</v>
      </c>
      <c r="L53" s="474">
        <f>IF(Q53&gt;0,'3 pr-2'!R54,0)</f>
        <v>0</v>
      </c>
      <c r="M53" s="474">
        <f>IF(Q53&gt;0,'3 pr-2'!U54,0)</f>
        <v>2294209</v>
      </c>
      <c r="N53" s="474">
        <f>IF(Q53&gt;0,'3 pr-2'!X54,0)</f>
        <v>0</v>
      </c>
      <c r="O53" s="474">
        <f>IF(Q53&gt;0,'3 pr-2'!AA54,0)</f>
        <v>2892603</v>
      </c>
      <c r="P53" s="288">
        <f>SUM('3 pr-2'!AG54)</f>
        <v>42705</v>
      </c>
      <c r="Q53" s="606">
        <v>42682</v>
      </c>
      <c r="R53" s="264">
        <f>IF((YEAR(P53)-YEAR(Q53))=0,0,YEAR(P53)-YEAR(Q53))</f>
        <v>0</v>
      </c>
      <c r="S53" s="998" t="str">
        <f t="shared" si="4"/>
        <v>–</v>
      </c>
    </row>
    <row r="54" spans="1:19" ht="49.5" thickBot="1" x14ac:dyDescent="0.3">
      <c r="A54" s="254" t="str">
        <f>CONCATENATE('3 pr-2'!A55)</f>
        <v>1.1.1.5.5.</v>
      </c>
      <c r="B54" s="323" t="str">
        <f>CONCATENATE('ketv. 2lent'!B54)</f>
        <v>05.3.2-APVA-R-014-11-0005</v>
      </c>
      <c r="C54" s="255" t="str">
        <f>CONCATENATE('3 pr-2'!D55)</f>
        <v>Vandens tiekimo ir nuotekų tvarkymo infrastruktūros plėtra Alytaus rajone (Krokialaukyje)</v>
      </c>
      <c r="D54" s="255" t="str">
        <f>CONCATENATE('3 pr-2'!E55)</f>
        <v>SĮ „Simno komunalininkas“</v>
      </c>
      <c r="E54" s="255" t="str">
        <f>CONCATENATE('3 pr-2'!F55)</f>
        <v>Lietuvos Respublikos aplinkos ministerija</v>
      </c>
      <c r="F54" s="255" t="str">
        <f>CONCATENATE('3 pr-2'!G55)</f>
        <v>Alytaus  rajono savivaldybė</v>
      </c>
      <c r="G54" s="255" t="str">
        <f>CONCATENATE('3 pr-2'!H55)</f>
        <v>05.3.2-APVA-R-014</v>
      </c>
      <c r="H54" s="255" t="str">
        <f>CONCATENATE('3 pr-2'!I55)</f>
        <v>R</v>
      </c>
      <c r="I54" s="265" t="str">
        <f>CONCATENATE('3 pr-2'!J55)</f>
        <v>-</v>
      </c>
      <c r="J54" s="474">
        <f>IF(Q54&gt;0,'3 pr-2'!L55,0)</f>
        <v>1481000</v>
      </c>
      <c r="K54" s="474">
        <f>IF(Q54&gt;0,'3 pr-2'!O55,0)</f>
        <v>0</v>
      </c>
      <c r="L54" s="474">
        <f>IF(Q54&gt;0,'3 pr-2'!R55,0)</f>
        <v>0</v>
      </c>
      <c r="M54" s="474">
        <f>IF(Q54&gt;0,'3 pr-2'!U55,0)</f>
        <v>613256</v>
      </c>
      <c r="N54" s="474">
        <f>IF(Q54&gt;0,'3 pr-2'!X55,0)</f>
        <v>0</v>
      </c>
      <c r="O54" s="474">
        <f>IF(Q54&gt;0,'3 pr-2'!AA55,0)</f>
        <v>867744</v>
      </c>
      <c r="P54" s="288">
        <f>SUM('3 pr-2'!AG55)</f>
        <v>42919</v>
      </c>
      <c r="Q54" s="606">
        <v>42919</v>
      </c>
      <c r="R54" s="264">
        <f>IF((YEAR(P54)-YEAR(Q54))=0,0,YEAR(P54)-YEAR(Q54))</f>
        <v>0</v>
      </c>
      <c r="S54" s="998" t="str">
        <f t="shared" si="4"/>
        <v>–</v>
      </c>
    </row>
    <row r="55" spans="1:19" ht="33.75" customHeight="1" thickBot="1" x14ac:dyDescent="0.3">
      <c r="A55" s="497" t="str">
        <f>CONCATENATE('3 pr-2'!A56)</f>
        <v>1.1.1.6</v>
      </c>
      <c r="B55" s="613"/>
      <c r="C55" s="1656" t="str">
        <f>CONCATENATE('3 pr-2'!D56)</f>
        <v/>
      </c>
      <c r="D55" s="1789" t="str">
        <f>CONCATENATE('3 pr-2'!E56)</f>
        <v/>
      </c>
      <c r="E55" s="1789" t="str">
        <f>CONCATENATE('3 pr-2'!F56)</f>
        <v/>
      </c>
      <c r="F55" s="1789" t="str">
        <f>CONCATENATE('3 pr-2'!G56)</f>
        <v/>
      </c>
      <c r="G55" s="1789" t="str">
        <f>CONCATENATE('3 pr-2'!H56)</f>
        <v/>
      </c>
      <c r="H55" s="1789" t="str">
        <f>CONCATENATE('3 pr-2'!I56)</f>
        <v/>
      </c>
      <c r="I55" s="1790" t="str">
        <f>CONCATENATE('3 pr-2'!J56)</f>
        <v/>
      </c>
      <c r="J55" s="629">
        <f t="shared" ref="J55:O55" si="9">SUM(J56)</f>
        <v>3999404.09</v>
      </c>
      <c r="K55" s="629">
        <f t="shared" si="9"/>
        <v>0</v>
      </c>
      <c r="L55" s="629">
        <f t="shared" si="9"/>
        <v>0</v>
      </c>
      <c r="M55" s="629">
        <f t="shared" si="9"/>
        <v>599910.61</v>
      </c>
      <c r="N55" s="629">
        <f t="shared" si="9"/>
        <v>0</v>
      </c>
      <c r="O55" s="629">
        <f t="shared" si="9"/>
        <v>3399493.48</v>
      </c>
      <c r="P55" s="630"/>
      <c r="Q55" s="631"/>
      <c r="R55" s="630"/>
      <c r="S55" s="631"/>
    </row>
    <row r="56" spans="1:19" ht="49.5" thickBot="1" x14ac:dyDescent="0.3">
      <c r="A56" s="254" t="str">
        <f>CONCATENATE('3 pr-2'!A57)</f>
        <v>1.1.1.6.1</v>
      </c>
      <c r="B56" s="323" t="str">
        <f>CONCATENATE('ketv. 2lent'!B56)</f>
        <v>05.1.1-APVA-R-007-11-0001</v>
      </c>
      <c r="C56" s="255" t="str">
        <f>CONCATENATE('3 pr-2'!D57)</f>
        <v>Paviršinių nuotekų sistemų tvarkymas Alytaus mieste</v>
      </c>
      <c r="D56" s="255" t="str">
        <f>CONCATENATE('3 pr-2'!E57)</f>
        <v>UAB “Dzūkijos vandenys“</v>
      </c>
      <c r="E56" s="255" t="str">
        <f>CONCATENATE('3 pr-2'!F57)</f>
        <v>Lietuvos Respublikos aplinkos ministerija</v>
      </c>
      <c r="F56" s="255" t="str">
        <f>CONCATENATE('3 pr-2'!G57)</f>
        <v>Alytaus  miestas</v>
      </c>
      <c r="G56" s="255" t="str">
        <f>CONCATENATE('3 pr-2'!H57)</f>
        <v>05.1.1-APVA-R-007</v>
      </c>
      <c r="H56" s="255" t="str">
        <f>CONCATENATE('3 pr-2'!I57)</f>
        <v>R</v>
      </c>
      <c r="I56" s="265" t="str">
        <f>CONCATENATE('3 pr-2'!J57)</f>
        <v>-</v>
      </c>
      <c r="J56" s="474">
        <f>IF(Q56&gt;0,'3 pr-2'!L57,0)</f>
        <v>3999404.09</v>
      </c>
      <c r="K56" s="474">
        <f>IF(Q56&gt;0,'3 pr-2'!O57,0)</f>
        <v>0</v>
      </c>
      <c r="L56" s="474">
        <f>IF(Q56&gt;0,'3 pr-2'!R57,0)</f>
        <v>0</v>
      </c>
      <c r="M56" s="474">
        <f>IF(Q56&gt;0,'3 pr-2'!U57,0)</f>
        <v>599910.61</v>
      </c>
      <c r="N56" s="474">
        <f>IF(Q56&gt;0,'3 pr-2'!X57,0)</f>
        <v>0</v>
      </c>
      <c r="O56" s="474">
        <f>IF(Q56&gt;0,'3 pr-2'!AA57,0)</f>
        <v>3399493.48</v>
      </c>
      <c r="P56" s="288">
        <f>SUM('3 pr-2'!AG57)</f>
        <v>42726</v>
      </c>
      <c r="Q56" s="604">
        <v>42726</v>
      </c>
      <c r="R56" s="264">
        <f>IF((YEAR(P56)-YEAR(Q56))=0,0,YEAR(P56)-YEAR(Q56))</f>
        <v>0</v>
      </c>
      <c r="S56" s="998" t="str">
        <f t="shared" si="4"/>
        <v>–</v>
      </c>
    </row>
    <row r="57" spans="1:19" ht="35.25" customHeight="1" thickBot="1" x14ac:dyDescent="0.3">
      <c r="A57" s="497" t="str">
        <f>CONCATENATE('3 pr-2'!A58)</f>
        <v>1.1.1.7</v>
      </c>
      <c r="B57" s="613"/>
      <c r="C57" s="1656" t="str">
        <f>CONCATENATE('3 pr-2'!D58)</f>
        <v>Priemonė:
Savivaldybes jungiančių turizmo trasų ir turizmo maršrutų informacinės infrastruktūros plėtra</v>
      </c>
      <c r="D57" s="1789" t="str">
        <f>CONCATENATE('3 pr-2'!E58)</f>
        <v/>
      </c>
      <c r="E57" s="1789" t="str">
        <f>CONCATENATE('3 pr-2'!F58)</f>
        <v/>
      </c>
      <c r="F57" s="1789" t="str">
        <f>CONCATENATE('3 pr-2'!G58)</f>
        <v/>
      </c>
      <c r="G57" s="1789" t="str">
        <f>CONCATENATE('3 pr-2'!H58)</f>
        <v/>
      </c>
      <c r="H57" s="1789" t="str">
        <f>CONCATENATE('3 pr-2'!I58)</f>
        <v/>
      </c>
      <c r="I57" s="1790" t="str">
        <f>CONCATENATE('3 pr-2'!J58)</f>
        <v/>
      </c>
      <c r="J57" s="629">
        <f t="shared" ref="J57:O57" si="10">SUM(J58:J60)</f>
        <v>496329.4117647059</v>
      </c>
      <c r="K57" s="629">
        <f t="shared" si="10"/>
        <v>74449.411764705874</v>
      </c>
      <c r="L57" s="629">
        <f t="shared" si="10"/>
        <v>0</v>
      </c>
      <c r="M57" s="629">
        <f t="shared" si="10"/>
        <v>0</v>
      </c>
      <c r="N57" s="629">
        <f t="shared" si="10"/>
        <v>0</v>
      </c>
      <c r="O57" s="629">
        <f t="shared" si="10"/>
        <v>421880</v>
      </c>
      <c r="P57" s="630"/>
      <c r="Q57" s="631"/>
      <c r="R57" s="630"/>
      <c r="S57" s="631"/>
    </row>
    <row r="58" spans="1:19" ht="36.75" x14ac:dyDescent="0.25">
      <c r="A58" s="254" t="str">
        <f>CONCATENATE('3 pr-2'!A59)</f>
        <v>1.1.1.7.1</v>
      </c>
      <c r="B58" s="323" t="str">
        <f>CONCATENATE('ketv. 2lent'!B58)</f>
        <v>05.4.1-LVPA-R-821-11-0002</v>
      </c>
      <c r="C58" s="255" t="str">
        <f>CONCATENATE('3 pr-2'!D59)</f>
        <v>Alytaus regiono turizmo informacinės infrastruktūros plėtra</v>
      </c>
      <c r="D58" s="255" t="str">
        <f>CONCATENATE('3 pr-2'!E59)</f>
        <v>Alytaus miesto savivaldybės administracija</v>
      </c>
      <c r="E58" s="255" t="str">
        <f>CONCATENATE('3 pr-2'!F59)</f>
        <v>Lietuvos Respublikos ūkio ministerija</v>
      </c>
      <c r="F58" s="255" t="str">
        <f>CONCATENATE('3 pr-2'!G59)</f>
        <v>Alytaus regionas</v>
      </c>
      <c r="G58" s="255" t="str">
        <f>CONCATENATE('3 pr-2'!H59)</f>
        <v>05.4.1-LVPA-R-821</v>
      </c>
      <c r="H58" s="255" t="str">
        <f>CONCATENATE('3 pr-2'!I59)</f>
        <v>R</v>
      </c>
      <c r="I58" s="265" t="str">
        <f>CONCATENATE('3 pr-2'!J59)</f>
        <v>-</v>
      </c>
      <c r="J58" s="474">
        <f>IF(Q58&gt;0,'3 pr-2'!L59,0)</f>
        <v>208223.52941176473</v>
      </c>
      <c r="K58" s="474">
        <f>IF(Q58&gt;0,'3 pr-2'!O59,0)</f>
        <v>31233.529411764706</v>
      </c>
      <c r="L58" s="474">
        <f>IF(Q58&gt;0,'3 pr-2'!R59,0)</f>
        <v>0</v>
      </c>
      <c r="M58" s="474">
        <f>IF(Q58&gt;0,'3 pr-2'!U59,0)</f>
        <v>0</v>
      </c>
      <c r="N58" s="474">
        <f>IF(Q58&gt;0,'3 pr-2'!X59,0)</f>
        <v>0</v>
      </c>
      <c r="O58" s="474">
        <f>IF(Q58&gt;0,'3 pr-2'!AA59,0)</f>
        <v>176990</v>
      </c>
      <c r="P58" s="288">
        <f>SUM('3 pr-2'!AG59)</f>
        <v>42755</v>
      </c>
      <c r="Q58" s="604">
        <v>42755</v>
      </c>
      <c r="R58" s="264">
        <f>IF((YEAR(P58)-YEAR(Q58))=0,0,YEAR(P58)-YEAR(Q58))</f>
        <v>0</v>
      </c>
      <c r="S58" s="998" t="str">
        <f t="shared" si="4"/>
        <v>–</v>
      </c>
    </row>
    <row r="59" spans="1:19" ht="48.75" x14ac:dyDescent="0.25">
      <c r="A59" s="254" t="str">
        <f>CONCATENATE('3 pr-2'!A60)</f>
        <v>1.1.1.7.2</v>
      </c>
      <c r="B59" s="323" t="str">
        <f>CONCATENATE('ketv. 2lent'!B59)</f>
        <v>05.4.1-LVPA-R-821-11-0001</v>
      </c>
      <c r="C59" s="255" t="str">
        <f>CONCATENATE('3 pr-2'!D60)</f>
        <v>„Turizmo trasų ir maršrutų informacinės infrastruktūros plėtra  Lazdijų, Varėnos rajonų ir Druskininkų savivaldybėse“</v>
      </c>
      <c r="D59" s="255" t="str">
        <f>CONCATENATE('3 pr-2'!E60)</f>
        <v>Lazdijų rajono savivaldybės administracija</v>
      </c>
      <c r="E59" s="255" t="str">
        <f>CONCATENATE('3 pr-2'!F60)</f>
        <v>Lietuvos Respublikos ūkio ministerija</v>
      </c>
      <c r="F59" s="255" t="str">
        <f>CONCATENATE('3 pr-2'!G60)</f>
        <v xml:space="preserve">Lazdijų, Varėnos rajonų ir Druskininkų savivaldybės </v>
      </c>
      <c r="G59" s="255" t="str">
        <f>CONCATENATE('3 pr-2'!H60)</f>
        <v>05.4.1-LVPA-R-821</v>
      </c>
      <c r="H59" s="255" t="str">
        <f>CONCATENATE('3 pr-2'!I60)</f>
        <v>R</v>
      </c>
      <c r="I59" s="265" t="str">
        <f>CONCATENATE('3 pr-2'!J60)</f>
        <v>-</v>
      </c>
      <c r="J59" s="474">
        <f>IF(Q59&gt;0,'3 pr-2'!L60,0)</f>
        <v>288105.8823529412</v>
      </c>
      <c r="K59" s="474">
        <f>IF(Q59&gt;0,'3 pr-2'!O60,0)</f>
        <v>43215.882352941175</v>
      </c>
      <c r="L59" s="474">
        <f>IF(Q59&gt;0,'3 pr-2'!R60,0)</f>
        <v>0</v>
      </c>
      <c r="M59" s="474">
        <f>IF(Q59&gt;0,'3 pr-2'!U60,0)</f>
        <v>0</v>
      </c>
      <c r="N59" s="474">
        <f>IF(Q59&gt;0,'3 pr-2'!X60,0)</f>
        <v>0</v>
      </c>
      <c r="O59" s="474">
        <f>IF(Q59&gt;0,'3 pr-2'!AA60,0)</f>
        <v>244890</v>
      </c>
      <c r="P59" s="288">
        <f>SUM('3 pr-2'!AG60)</f>
        <v>42706</v>
      </c>
      <c r="Q59" s="604">
        <v>42706</v>
      </c>
      <c r="R59" s="264">
        <f>IF((YEAR(P59)-YEAR(Q59))=0,0,YEAR(P59)-YEAR(Q59))</f>
        <v>0</v>
      </c>
      <c r="S59" s="998" t="str">
        <f t="shared" si="4"/>
        <v>–</v>
      </c>
    </row>
    <row r="60" spans="1:19" ht="49.5" thickBot="1" x14ac:dyDescent="0.3">
      <c r="A60" s="254" t="str">
        <f>CONCATENATE('3 pr-2'!A61)</f>
        <v>1.1.1.7.3</v>
      </c>
      <c r="B60" s="323" t="str">
        <f>CONCATENATE('ketv. 2lent'!B60)</f>
        <v/>
      </c>
      <c r="C60" s="255" t="str">
        <f>CONCATENATE('3 pr-2'!D61)</f>
        <v>„Turizmo trasų ir maršrutų informacinės infrastruktūros plėtra  Lazdijų, Varėnos rajonų ir Druskininkų savivaldybėse II etapas“</v>
      </c>
      <c r="D60" s="255" t="str">
        <f>CONCATENATE('3 pr-2'!E61)</f>
        <v>Lazdijų rajono savivaldybės administracija</v>
      </c>
      <c r="E60" s="255" t="str">
        <f>CONCATENATE('3 pr-2'!F61)</f>
        <v>Lietuvos Respublikos ūkio ministerija</v>
      </c>
      <c r="F60" s="255" t="str">
        <f>CONCATENATE('3 pr-2'!G61)</f>
        <v xml:space="preserve">Lazdijų, Varėnos rajonų ir Druskininkų savivaldybės </v>
      </c>
      <c r="G60" s="255" t="str">
        <f>CONCATENATE('3 pr-2'!H61)</f>
        <v>05.4.1-LVPA-R-821</v>
      </c>
      <c r="H60" s="255" t="str">
        <f>CONCATENATE('3 pr-2'!I61)</f>
        <v>R</v>
      </c>
      <c r="I60" s="265" t="str">
        <f>CONCATENATE('3 pr-2'!J61)</f>
        <v>-</v>
      </c>
      <c r="J60" s="474">
        <f>IF(Q60&gt;0,'3 pr-2'!L61,0)</f>
        <v>0</v>
      </c>
      <c r="K60" s="474">
        <f>IF(Q60&gt;0,'3 pr-2'!O61,0)</f>
        <v>0</v>
      </c>
      <c r="L60" s="474">
        <f>IF(Q60&gt;0,'3 pr-2'!R61,0)</f>
        <v>0</v>
      </c>
      <c r="M60" s="474">
        <f>IF(Q60&gt;0,'3 pr-2'!U61,0)</f>
        <v>0</v>
      </c>
      <c r="N60" s="474">
        <f>IF(Q60&gt;0,'3 pr-2'!X61,0)</f>
        <v>0</v>
      </c>
      <c r="O60" s="474">
        <f>IF(Q60&gt;0,'3 pr-2'!AA61,0)</f>
        <v>0</v>
      </c>
      <c r="P60" s="288">
        <f>SUM('3 pr-2'!AG61)</f>
        <v>43496</v>
      </c>
      <c r="Q60" s="605"/>
      <c r="R60" s="264"/>
      <c r="S60" s="998" t="str">
        <f t="shared" si="4"/>
        <v>–</v>
      </c>
    </row>
    <row r="61" spans="1:19" ht="29.25" customHeight="1" thickBot="1" x14ac:dyDescent="0.3">
      <c r="A61" s="497" t="str">
        <f>CONCATENATE('3 pr-2'!A62)</f>
        <v>1.1.1.8</v>
      </c>
      <c r="B61" s="613"/>
      <c r="C61" s="1656" t="str">
        <f>CONCATENATE('3 pr-2'!D62)</f>
        <v/>
      </c>
      <c r="D61" s="1789" t="str">
        <f>CONCATENATE('3 pr-2'!E62)</f>
        <v/>
      </c>
      <c r="E61" s="1789" t="str">
        <f>CONCATENATE('3 pr-2'!F62)</f>
        <v/>
      </c>
      <c r="F61" s="1789" t="str">
        <f>CONCATENATE('3 pr-2'!G62)</f>
        <v/>
      </c>
      <c r="G61" s="1789" t="str">
        <f>CONCATENATE('3 pr-2'!H62)</f>
        <v/>
      </c>
      <c r="H61" s="1789" t="str">
        <f>CONCATENATE('3 pr-2'!I62)</f>
        <v/>
      </c>
      <c r="I61" s="1790" t="str">
        <f>CONCATENATE('3 pr-2'!J62)</f>
        <v/>
      </c>
      <c r="J61" s="629">
        <f t="shared" ref="J61:O61" si="11">SUM(J62:J65)</f>
        <v>1972835.5100000002</v>
      </c>
      <c r="K61" s="629">
        <f t="shared" si="11"/>
        <v>422270.99</v>
      </c>
      <c r="L61" s="629">
        <f t="shared" si="11"/>
        <v>352400.82</v>
      </c>
      <c r="M61" s="629">
        <f t="shared" si="11"/>
        <v>0</v>
      </c>
      <c r="N61" s="629">
        <f t="shared" si="11"/>
        <v>0</v>
      </c>
      <c r="O61" s="629">
        <f t="shared" si="11"/>
        <v>1198163.7</v>
      </c>
      <c r="P61" s="630"/>
      <c r="Q61" s="631"/>
      <c r="R61" s="630"/>
      <c r="S61" s="631"/>
    </row>
    <row r="62" spans="1:19" ht="48.75" x14ac:dyDescent="0.25">
      <c r="A62" s="254" t="str">
        <f>CONCATENATE('3 pr-2'!A63)</f>
        <v>1.1.1.8.1</v>
      </c>
      <c r="B62" s="323" t="str">
        <f>CONCATENATE('ketv. 2lent'!B62)</f>
        <v>07.1.1-CPVA-R-305-11-0001</v>
      </c>
      <c r="C62" s="255" t="str">
        <f>CONCATENATE('3 pr-2'!D63)</f>
        <v>Kultūros įstaigų infrastruktūros modernizavimas Varėnos mieste</v>
      </c>
      <c r="D62" s="255" t="str">
        <f>CONCATENATE('3 pr-2'!E63)</f>
        <v>Varėnos rajono savivaldybės administracija</v>
      </c>
      <c r="E62" s="255" t="str">
        <f>CONCATENATE('3 pr-2'!F63)</f>
        <v>Lietuvos Respublikos kultūros ministerija</v>
      </c>
      <c r="F62" s="255" t="str">
        <f>CONCATENATE('3 pr-2'!G63)</f>
        <v>Varėnos miestas</v>
      </c>
      <c r="G62" s="255" t="str">
        <f>CONCATENATE('3 pr-2'!H63)</f>
        <v>07.1.1-CPVA-R-305</v>
      </c>
      <c r="H62" s="255" t="str">
        <f>CONCATENATE('3 pr-2'!I63)</f>
        <v>R</v>
      </c>
      <c r="I62" s="265" t="str">
        <f>CONCATENATE('3 pr-2'!J63)</f>
        <v>ITI</v>
      </c>
      <c r="J62" s="474">
        <f>IF(Q62&gt;0,'3 pr-2'!L63,0)</f>
        <v>352401</v>
      </c>
      <c r="K62" s="474">
        <f>IF(Q62&gt;0,'3 pr-2'!O63,0)</f>
        <v>52860.15</v>
      </c>
      <c r="L62" s="474">
        <f>IF(Q62&gt;0,'3 pr-2'!R63,0)</f>
        <v>0</v>
      </c>
      <c r="M62" s="474">
        <f>IF(Q62&gt;0,'3 pr-2'!U63,0)</f>
        <v>0</v>
      </c>
      <c r="N62" s="474">
        <f>IF(Q62&gt;0,'3 pr-2'!X63,0)</f>
        <v>0</v>
      </c>
      <c r="O62" s="474">
        <f>IF(Q62&gt;0,'3 pr-2'!AA63,0)</f>
        <v>299540.84999999998</v>
      </c>
      <c r="P62" s="288">
        <f>SUM('3 pr-2'!AG63)</f>
        <v>42767</v>
      </c>
      <c r="Q62" s="606">
        <v>42754</v>
      </c>
      <c r="R62" s="264">
        <f>IF((YEAR(P62)-YEAR(Q62))=0,0,YEAR(P62)-YEAR(Q62))</f>
        <v>0</v>
      </c>
      <c r="S62" s="998" t="str">
        <f t="shared" si="4"/>
        <v>–</v>
      </c>
    </row>
    <row r="63" spans="1:19" ht="48.75" x14ac:dyDescent="0.25">
      <c r="A63" s="254" t="str">
        <f>CONCATENATE('3 pr-2'!A64)</f>
        <v>1.1.1.8.2</v>
      </c>
      <c r="B63" s="323" t="str">
        <f>CONCATENATE('ketv. 2lent'!B63)</f>
        <v>07.1.1-CPVA-R-305-11-0002</v>
      </c>
      <c r="C63" s="255" t="str">
        <f>CONCATENATE('3 pr-2'!D64)</f>
        <v>VšĮ Alytaus kultūros ir komunikacijos centro pastato Alytuje, Pramonės g. 1B, rekonstravimas</v>
      </c>
      <c r="D63" s="255" t="str">
        <f>CONCATENATE('3 pr-2'!E64)</f>
        <v>Alytaus miesto savivaldybės administracija</v>
      </c>
      <c r="E63" s="255" t="str">
        <f>CONCATENATE('3 pr-2'!F64)</f>
        <v>Lietuvos Respublikos kultūros ministerija</v>
      </c>
      <c r="F63" s="255" t="str">
        <f>CONCATENATE('3 pr-2'!G64)</f>
        <v>Alytaus miestas</v>
      </c>
      <c r="G63" s="255" t="str">
        <f>CONCATENATE('3 pr-2'!H64)</f>
        <v>07.1.1-CPVA-R-305</v>
      </c>
      <c r="H63" s="255" t="str">
        <f>CONCATENATE('3 pr-2'!I64)</f>
        <v>R</v>
      </c>
      <c r="I63" s="265" t="str">
        <f>CONCATENATE('3 pr-2'!J64)</f>
        <v>ITI</v>
      </c>
      <c r="J63" s="474">
        <f>IF(Q63&gt;0,'3 pr-2'!L64,0)</f>
        <v>783264.16</v>
      </c>
      <c r="K63" s="474">
        <f>IF(Q63&gt;0,'3 pr-2'!O64,0)</f>
        <v>131322.34</v>
      </c>
      <c r="L63" s="474">
        <f>IF(Q63&gt;0,'3 pr-2'!R64,0)</f>
        <v>352400.82</v>
      </c>
      <c r="M63" s="474">
        <f>IF(Q63&gt;0,'3 pr-2'!U64,0)</f>
        <v>0</v>
      </c>
      <c r="N63" s="474">
        <f>IF(Q63&gt;0,'3 pr-2'!X64,0)</f>
        <v>0</v>
      </c>
      <c r="O63" s="474">
        <f>IF(Q63&gt;0,'3 pr-2'!AA64,0)</f>
        <v>299541</v>
      </c>
      <c r="P63" s="288">
        <f>SUM('3 pr-2'!AG64)</f>
        <v>42762</v>
      </c>
      <c r="Q63" s="606">
        <v>42761</v>
      </c>
      <c r="R63" s="264">
        <f>IF((YEAR(P63)-YEAR(Q63))=0,0,YEAR(P63)-YEAR(Q63))</f>
        <v>0</v>
      </c>
      <c r="S63" s="998" t="str">
        <f t="shared" si="4"/>
        <v>–</v>
      </c>
    </row>
    <row r="64" spans="1:19" ht="48.75" x14ac:dyDescent="0.25">
      <c r="A64" s="254" t="str">
        <f>CONCATENATE('3 pr-2'!A65)</f>
        <v>1.1.1.8.3</v>
      </c>
      <c r="B64" s="323" t="str">
        <f>CONCATENATE('ketv. 2lent'!B64)</f>
        <v>07.1.1-CPVA-R-305-11-0003</v>
      </c>
      <c r="C64" s="255" t="str">
        <f>CONCATENATE('3 pr-2'!D65)</f>
        <v>Druskininkų kultūros centro lauko scenos, Vilniaus al. 24, Druskininkai, modernizavimas ir pritaikymas kultūros  poreikiams</v>
      </c>
      <c r="D64" s="255" t="str">
        <f>CONCATENATE('3 pr-2'!E65)</f>
        <v xml:space="preserve">Druskininkų savivaldybės administracija  </v>
      </c>
      <c r="E64" s="255" t="str">
        <f>CONCATENATE('3 pr-2'!F65)</f>
        <v>Lietuvos Respublikos kultūros ministerija</v>
      </c>
      <c r="F64" s="255" t="str">
        <f>CONCATENATE('3 pr-2'!G65)</f>
        <v>Druskininkų  miestas</v>
      </c>
      <c r="G64" s="255" t="str">
        <f>CONCATENATE('3 pr-2'!H65)</f>
        <v>07.1.1-CPVA-R-305</v>
      </c>
      <c r="H64" s="255" t="str">
        <f>CONCATENATE('3 pr-2'!I65)</f>
        <v>R</v>
      </c>
      <c r="I64" s="265" t="str">
        <f>CONCATENATE('3 pr-2'!J65)</f>
        <v>ITI</v>
      </c>
      <c r="J64" s="474">
        <f>IF(Q64&gt;0,'3 pr-2'!L65,0)</f>
        <v>352401</v>
      </c>
      <c r="K64" s="474">
        <f>IF(Q64&gt;0,'3 pr-2'!O65,0)</f>
        <v>52860.15</v>
      </c>
      <c r="L64" s="474">
        <f>IF(Q64&gt;0,'3 pr-2'!R65,0)</f>
        <v>0</v>
      </c>
      <c r="M64" s="474">
        <f>IF(Q64&gt;0,'3 pr-2'!U65,0)</f>
        <v>0</v>
      </c>
      <c r="N64" s="474">
        <f>IF(Q64&gt;0,'3 pr-2'!X65,0)</f>
        <v>0</v>
      </c>
      <c r="O64" s="474">
        <f>IF(Q64&gt;0,'3 pr-2'!AA65,0)</f>
        <v>299540.84999999998</v>
      </c>
      <c r="P64" s="288">
        <f>SUM('3 pr-2'!AG65)</f>
        <v>42767</v>
      </c>
      <c r="Q64" s="606">
        <v>42762</v>
      </c>
      <c r="R64" s="264">
        <f>IF((YEAR(P64)-YEAR(Q64))=0,0,YEAR(P64)-YEAR(Q64))</f>
        <v>0</v>
      </c>
      <c r="S64" s="998" t="str">
        <f t="shared" si="4"/>
        <v>–</v>
      </c>
    </row>
    <row r="65" spans="1:20" ht="49.5" thickBot="1" x14ac:dyDescent="0.3">
      <c r="A65" s="254" t="str">
        <f>CONCATENATE('3 pr-2'!A66)</f>
        <v>1.1.1.8.4</v>
      </c>
      <c r="B65" s="323" t="str">
        <f>CONCATENATE('ketv. 2lent'!B65)</f>
        <v>07.1.1-CPVA-R-305-11-0004</v>
      </c>
      <c r="C65" s="255" t="str">
        <f>CONCATENATE('3 pr-2'!D66)</f>
        <v>Pastato rekonstrukcija ir pritaikymas kultūrinėms, muziejinėms ir edukacinėms reikmėms</v>
      </c>
      <c r="D65" s="255" t="str">
        <f>CONCATENATE('3 pr-2'!E66)</f>
        <v>Lazdijų rajono savivaldybės administracija</v>
      </c>
      <c r="E65" s="255" t="str">
        <f>CONCATENATE('3 pr-2'!F66)</f>
        <v>Lietuvos Respublikos kultūros ministerija</v>
      </c>
      <c r="F65" s="255" t="str">
        <f>CONCATENATE('3 pr-2'!G66)</f>
        <v>Lazdijų miestas</v>
      </c>
      <c r="G65" s="255" t="str">
        <f>CONCATENATE('3 pr-2'!H66)</f>
        <v>07.1.1-CPVA-R-305</v>
      </c>
      <c r="H65" s="255" t="str">
        <f>CONCATENATE('3 pr-2'!I66)</f>
        <v>R</v>
      </c>
      <c r="I65" s="265" t="str">
        <f>CONCATENATE('3 pr-2'!J66)</f>
        <v>ITI</v>
      </c>
      <c r="J65" s="474">
        <f>IF(Q65&gt;0,'3 pr-2'!L66,0)</f>
        <v>484769.35</v>
      </c>
      <c r="K65" s="474">
        <f>IF(Q65&gt;0,'3 pr-2'!O66,0)</f>
        <v>185228.35</v>
      </c>
      <c r="L65" s="474">
        <f>IF(Q65&gt;0,'3 pr-2'!R66,0)</f>
        <v>0</v>
      </c>
      <c r="M65" s="474">
        <f>IF(Q65&gt;0,'3 pr-2'!U66,0)</f>
        <v>0</v>
      </c>
      <c r="N65" s="474">
        <f>IF(Q65&gt;0,'3 pr-2'!X66,0)</f>
        <v>0</v>
      </c>
      <c r="O65" s="474">
        <f>IF(Q65&gt;0,'3 pr-2'!AA66,0)</f>
        <v>299541</v>
      </c>
      <c r="P65" s="288">
        <f>SUM('3 pr-2'!AG66)</f>
        <v>43097</v>
      </c>
      <c r="Q65" s="606">
        <v>43097</v>
      </c>
      <c r="R65" s="264">
        <f>IF((YEAR(P65)-YEAR(Q65))=0,0,YEAR(P65)-YEAR(Q65))</f>
        <v>0</v>
      </c>
      <c r="S65" s="998" t="str">
        <f t="shared" si="4"/>
        <v>–</v>
      </c>
    </row>
    <row r="66" spans="1:20" ht="34.5" customHeight="1" thickBot="1" x14ac:dyDescent="0.3">
      <c r="A66" s="497" t="str">
        <f>CONCATENATE('3 pr-2'!A67)</f>
        <v>1.1.1.9</v>
      </c>
      <c r="B66" s="613"/>
      <c r="C66" s="1656" t="str">
        <f>CONCATENATE('3 pr-2'!D67)</f>
        <v/>
      </c>
      <c r="D66" s="1789" t="str">
        <f>CONCATENATE('3 pr-2'!E67)</f>
        <v/>
      </c>
      <c r="E66" s="1789" t="str">
        <f>CONCATENATE('3 pr-2'!F67)</f>
        <v/>
      </c>
      <c r="F66" s="1789" t="str">
        <f>CONCATENATE('3 pr-2'!G67)</f>
        <v/>
      </c>
      <c r="G66" s="1789" t="str">
        <f>CONCATENATE('3 pr-2'!H67)</f>
        <v/>
      </c>
      <c r="H66" s="1789" t="str">
        <f>CONCATENATE('3 pr-2'!I67)</f>
        <v/>
      </c>
      <c r="I66" s="1790" t="str">
        <f>CONCATENATE('3 pr-2'!J67)</f>
        <v/>
      </c>
      <c r="J66" s="629">
        <f t="shared" ref="J66:O66" si="12">SUM(J67:J71)</f>
        <v>0</v>
      </c>
      <c r="K66" s="629">
        <f t="shared" si="12"/>
        <v>0</v>
      </c>
      <c r="L66" s="629">
        <f t="shared" si="12"/>
        <v>0</v>
      </c>
      <c r="M66" s="629">
        <f t="shared" si="12"/>
        <v>0</v>
      </c>
      <c r="N66" s="629">
        <f t="shared" si="12"/>
        <v>0</v>
      </c>
      <c r="O66" s="629">
        <f t="shared" si="12"/>
        <v>0</v>
      </c>
      <c r="P66" s="630"/>
      <c r="Q66" s="631"/>
      <c r="R66" s="630"/>
      <c r="S66" s="631"/>
    </row>
    <row r="67" spans="1:20" ht="48.75" x14ac:dyDescent="0.25">
      <c r="A67" s="316" t="str">
        <f>CONCATENATE('3 pr-2'!A68)</f>
        <v>1.1.1.9.1</v>
      </c>
      <c r="B67" s="639" t="str">
        <f>CONCATENATE('ketv. 2lent'!B67)</f>
        <v/>
      </c>
      <c r="C67" s="316" t="str">
        <f>CONCATENATE('3 pr-2'!D68)</f>
        <v>Buvusios sinagogos pastato Kauno g. 9A Alytuje rekonstravimas ir aplinkinės teritorijos sutvarkymas</v>
      </c>
      <c r="D67" s="316" t="str">
        <f>CONCATENATE('3 pr-2'!E68)</f>
        <v>Alytaus miesto savivaldybės administracija</v>
      </c>
      <c r="E67" s="316" t="str">
        <f>CONCATENATE('3 pr-2'!F68)</f>
        <v>Lietuvos Respublikos kultūros ministerija</v>
      </c>
      <c r="F67" s="316" t="str">
        <f>CONCATENATE('3 pr-2'!G68)</f>
        <v>Alytaus  miestas</v>
      </c>
      <c r="G67" s="316" t="str">
        <f>CONCATENATE('3 pr-2'!H68)</f>
        <v>05.4.1-CPVA-R-302</v>
      </c>
      <c r="H67" s="316" t="str">
        <f>CONCATENATE('3 pr-2'!I68)</f>
        <v>R</v>
      </c>
      <c r="I67" s="316" t="str">
        <f>CONCATENATE('3 pr-2'!J68)</f>
        <v>ITI</v>
      </c>
      <c r="J67" s="474">
        <f>IF(Q67&gt;0,'3 pr-2'!L68,0)</f>
        <v>0</v>
      </c>
      <c r="K67" s="474">
        <f>IF(Q67&gt;0,'3 pr-2'!O68,0)</f>
        <v>0</v>
      </c>
      <c r="L67" s="474">
        <f>IF(Q67&gt;0,'3 pr-2'!R68,0)</f>
        <v>0</v>
      </c>
      <c r="M67" s="474">
        <f>IF(Q67&gt;0,'3 pr-2'!U68,0)</f>
        <v>0</v>
      </c>
      <c r="N67" s="474">
        <f>IF(Q67&gt;0,'3 pr-2'!X68,0)</f>
        <v>0</v>
      </c>
      <c r="O67" s="474">
        <f>IF(Q67&gt;0,'3 pr-2'!AA68,0)</f>
        <v>0</v>
      </c>
      <c r="P67" s="640">
        <f>SUM('3 pr-2'!AG68)</f>
        <v>43220</v>
      </c>
      <c r="Q67" s="627"/>
      <c r="R67" s="641"/>
      <c r="S67" s="998" t="str">
        <f t="shared" si="4"/>
        <v>–</v>
      </c>
    </row>
    <row r="68" spans="1:20" ht="48.75" x14ac:dyDescent="0.25">
      <c r="A68" s="255" t="str">
        <f>CONCATENATE('3 pr-2'!A69)</f>
        <v>1.1.1.9.2</v>
      </c>
      <c r="B68" s="473" t="str">
        <f>CONCATENATE('ketv. 2lent'!B68)</f>
        <v/>
      </c>
      <c r="C68" s="255" t="str">
        <f>CONCATENATE('3 pr-2'!D69)</f>
        <v>Mažosios dailės galerijos, M.K.Čiurlionio g. 37, Druskininkai, modernizavimas ir pritaikymas kultūros poreikiams</v>
      </c>
      <c r="D68" s="255" t="str">
        <f>CONCATENATE('3 pr-2'!E69)</f>
        <v xml:space="preserve">Druskininkų savivaldybės administracija  </v>
      </c>
      <c r="E68" s="255" t="str">
        <f>CONCATENATE('3 pr-2'!F69)</f>
        <v>Lietuvos Respublikos kultūros ministerija</v>
      </c>
      <c r="F68" s="255" t="str">
        <f>CONCATENATE('3 pr-2'!G69)</f>
        <v>Druskininkų  miestas</v>
      </c>
      <c r="G68" s="255" t="str">
        <f>CONCATENATE('3 pr-2'!H69)</f>
        <v>05.4.1-CPVA-R-302</v>
      </c>
      <c r="H68" s="255" t="str">
        <f>CONCATENATE('3 pr-2'!I69)</f>
        <v>R</v>
      </c>
      <c r="I68" s="255" t="str">
        <f>CONCATENATE('3 pr-2'!J69)</f>
        <v>ITI</v>
      </c>
      <c r="J68" s="474">
        <f>IF(Q68&gt;0,'3 pr-2'!L69,0)</f>
        <v>0</v>
      </c>
      <c r="K68" s="474">
        <f>IF(Q68&gt;0,'3 pr-2'!O69,0)</f>
        <v>0</v>
      </c>
      <c r="L68" s="474">
        <f>IF(Q68&gt;0,'3 pr-2'!R69,0)</f>
        <v>0</v>
      </c>
      <c r="M68" s="474">
        <f>IF(Q68&gt;0,'3 pr-2'!U69,0)</f>
        <v>0</v>
      </c>
      <c r="N68" s="474">
        <f>IF(Q68&gt;0,'3 pr-2'!X69,0)</f>
        <v>0</v>
      </c>
      <c r="O68" s="474">
        <f>IF(Q68&gt;0,'3 pr-2'!AA69,0)</f>
        <v>0</v>
      </c>
      <c r="P68" s="290">
        <f>SUM('3 pr-2'!AG69)</f>
        <v>43190</v>
      </c>
      <c r="Q68" s="627"/>
      <c r="R68" s="291"/>
      <c r="S68" s="998" t="str">
        <f t="shared" si="4"/>
        <v>–</v>
      </c>
      <c r="T68" s="30"/>
    </row>
    <row r="69" spans="1:20" ht="48.75" x14ac:dyDescent="0.25">
      <c r="A69" s="255" t="str">
        <f>CONCATENATE('3 pr-2'!A70)</f>
        <v>1.1.1.9.3</v>
      </c>
      <c r="B69" s="473" t="str">
        <f>CONCATENATE('ketv. 2lent'!B69)</f>
        <v/>
      </c>
      <c r="C69" s="255" t="str">
        <f>CONCATENATE('3 pr-2'!D70)</f>
        <v>Motiejaus  Gustaičio  memorialinio  namo  kompleksinis sutvarkymas</v>
      </c>
      <c r="D69" s="255" t="str">
        <f>CONCATENATE('3 pr-2'!E70)</f>
        <v>Lazdijų rajono savivaldybės administracija</v>
      </c>
      <c r="E69" s="255" t="str">
        <f>CONCATENATE('3 pr-2'!F70)</f>
        <v>Lietuvos Respublikos kultūros ministerija</v>
      </c>
      <c r="F69" s="255" t="str">
        <f>CONCATENATE('3 pr-2'!G70)</f>
        <v>Lazdijų miestas</v>
      </c>
      <c r="G69" s="255" t="str">
        <f>CONCATENATE('3 pr-2'!H70)</f>
        <v>05.4.1-CPVA-R-302</v>
      </c>
      <c r="H69" s="255" t="str">
        <f>CONCATENATE('3 pr-2'!I70)</f>
        <v>R</v>
      </c>
      <c r="I69" s="255" t="str">
        <f>CONCATENATE('3 pr-2'!J70)</f>
        <v>ITI</v>
      </c>
      <c r="J69" s="474">
        <f>IF(Q69&gt;0,'3 pr-2'!L70,0)</f>
        <v>0</v>
      </c>
      <c r="K69" s="474">
        <f>IF(Q69&gt;0,'3 pr-2'!O70,0)</f>
        <v>0</v>
      </c>
      <c r="L69" s="474">
        <f>IF(Q69&gt;0,'3 pr-2'!R70,0)</f>
        <v>0</v>
      </c>
      <c r="M69" s="474">
        <f>IF(Q69&gt;0,'3 pr-2'!U70,0)</f>
        <v>0</v>
      </c>
      <c r="N69" s="474">
        <f>IF(Q69&gt;0,'3 pr-2'!X70,0)</f>
        <v>0</v>
      </c>
      <c r="O69" s="474">
        <f>IF(Q69&gt;0,'3 pr-2'!AA70,0)</f>
        <v>0</v>
      </c>
      <c r="P69" s="290">
        <f>SUM('3 pr-2'!AG70)</f>
        <v>43179</v>
      </c>
      <c r="Q69" s="604"/>
      <c r="R69" s="291"/>
      <c r="S69" s="998" t="str">
        <f t="shared" si="4"/>
        <v>–</v>
      </c>
    </row>
    <row r="70" spans="1:20" ht="48.75" x14ac:dyDescent="0.25">
      <c r="A70" s="255" t="str">
        <f>CONCATENATE('3 pr-2'!A71)</f>
        <v>1.1.1.9.4</v>
      </c>
      <c r="B70" s="473" t="str">
        <f>CONCATENATE('ketv. 2lent'!B70)</f>
        <v/>
      </c>
      <c r="C70" s="255" t="str">
        <f>CONCATENATE('3 pr-2'!D71)</f>
        <v>Kurnėnų Lauryno Radziukyno mokyklos pritaikymas kultūrinėms ir turistinėms reikmėms</v>
      </c>
      <c r="D70" s="255" t="str">
        <f>CONCATENATE('3 pr-2'!E71)</f>
        <v>Alytaus rajono savivaldybės administracija</v>
      </c>
      <c r="E70" s="255" t="str">
        <f>CONCATENATE('3 pr-2'!F71)</f>
        <v>Lietuvos Respublikos kultūros ministerija</v>
      </c>
      <c r="F70" s="255" t="str">
        <f>CONCATENATE('3 pr-2'!G71)</f>
        <v>Alytaus  rajono savivaldybė</v>
      </c>
      <c r="G70" s="255" t="str">
        <f>CONCATENATE('3 pr-2'!H71)</f>
        <v>05.4.1-CPVA-R-302</v>
      </c>
      <c r="H70" s="255" t="str">
        <f>CONCATENATE('3 pr-2'!I71)</f>
        <v>R</v>
      </c>
      <c r="I70" s="255" t="str">
        <f>CONCATENATE('3 pr-2'!J71)</f>
        <v>-</v>
      </c>
      <c r="J70" s="474">
        <f>IF(Q70&gt;0,'3 pr-2'!L71,0)</f>
        <v>0</v>
      </c>
      <c r="K70" s="474">
        <f>IF(Q70&gt;0,'3 pr-2'!O71,0)</f>
        <v>0</v>
      </c>
      <c r="L70" s="474">
        <f>IF(Q70&gt;0,'3 pr-2'!R71,0)</f>
        <v>0</v>
      </c>
      <c r="M70" s="474">
        <f>IF(Q70&gt;0,'3 pr-2'!U71,0)</f>
        <v>0</v>
      </c>
      <c r="N70" s="474">
        <f>IF(Q70&gt;0,'3 pr-2'!X71,0)</f>
        <v>0</v>
      </c>
      <c r="O70" s="474">
        <f>IF(Q70&gt;0,'3 pr-2'!AA71,0)</f>
        <v>0</v>
      </c>
      <c r="P70" s="290">
        <f>SUM('3 pr-2'!AG71)</f>
        <v>43190</v>
      </c>
      <c r="Q70" s="604"/>
      <c r="R70" s="291"/>
      <c r="S70" s="998" t="str">
        <f t="shared" si="4"/>
        <v>–</v>
      </c>
    </row>
    <row r="71" spans="1:20" ht="49.5" thickBot="1" x14ac:dyDescent="0.3">
      <c r="A71" s="343" t="str">
        <f>CONCATENATE('3 pr-2'!A72)</f>
        <v>1.1.1.9.5</v>
      </c>
      <c r="B71" s="632" t="str">
        <f>CONCATENATE('ketv. 2lent'!B71)</f>
        <v/>
      </c>
      <c r="C71" s="343" t="str">
        <f>CONCATENATE('3 pr-2'!D72)</f>
        <v>Vinco Krėvės-Mickevičiaus memorialinio muziejaus atnaujinimas</v>
      </c>
      <c r="D71" s="343" t="str">
        <f>CONCATENATE('3 pr-2'!E72)</f>
        <v>Varėnos rajono savivaldybės administracija</v>
      </c>
      <c r="E71" s="343" t="str">
        <f>CONCATENATE('3 pr-2'!F72)</f>
        <v>Lietuvos Respublikos kultūros ministerija</v>
      </c>
      <c r="F71" s="343" t="str">
        <f>CONCATENATE('3 pr-2'!G72)</f>
        <v>Varėnos rajono savivaldybė</v>
      </c>
      <c r="G71" s="343" t="str">
        <f>CONCATENATE('3 pr-2'!H72)</f>
        <v>05.4.1-CPVA-R-302</v>
      </c>
      <c r="H71" s="343" t="str">
        <f>CONCATENATE('3 pr-2'!I72)</f>
        <v>R</v>
      </c>
      <c r="I71" s="343" t="str">
        <f>CONCATENATE('3 pr-2'!J72)</f>
        <v>-</v>
      </c>
      <c r="J71" s="474">
        <f>IF(Q71&gt;0,'3 pr-2'!L72,0)</f>
        <v>0</v>
      </c>
      <c r="K71" s="474">
        <f>IF(Q71&gt;0,'3 pr-2'!O72,0)</f>
        <v>0</v>
      </c>
      <c r="L71" s="474">
        <f>IF(Q71&gt;0,'3 pr-2'!R72,0)</f>
        <v>0</v>
      </c>
      <c r="M71" s="474">
        <f>IF(Q71&gt;0,'3 pr-2'!U72,0)</f>
        <v>0</v>
      </c>
      <c r="N71" s="474">
        <f>IF(Q71&gt;0,'3 pr-2'!X72,0)</f>
        <v>0</v>
      </c>
      <c r="O71" s="474">
        <f>IF(Q71&gt;0,'3 pr-2'!AA72,0)</f>
        <v>0</v>
      </c>
      <c r="P71" s="634">
        <f>SUM('3 pr-2'!AG72)</f>
        <v>43241</v>
      </c>
      <c r="Q71" s="637"/>
      <c r="R71" s="638"/>
      <c r="S71" s="998" t="str">
        <f t="shared" si="4"/>
        <v>–</v>
      </c>
    </row>
    <row r="72" spans="1:20" ht="39.75" customHeight="1" thickBot="1" x14ac:dyDescent="0.3">
      <c r="A72" s="345" t="str">
        <f>CONCATENATE('3 pr-2'!A73)</f>
        <v>1.1.2.</v>
      </c>
      <c r="B72" s="648"/>
      <c r="C72" s="1668" t="str">
        <f>CONCATENATE('3 pr-2'!D73)</f>
        <v/>
      </c>
      <c r="D72" s="1669" t="str">
        <f>CONCATENATE('3 pr-2'!E73)</f>
        <v/>
      </c>
      <c r="E72" s="1669" t="str">
        <f>CONCATENATE('3 pr-2'!F73)</f>
        <v/>
      </c>
      <c r="F72" s="1669" t="str">
        <f>CONCATENATE('3 pr-2'!G73)</f>
        <v/>
      </c>
      <c r="G72" s="1669" t="str">
        <f>CONCATENATE('3 pr-2'!H73)</f>
        <v/>
      </c>
      <c r="H72" s="1669" t="str">
        <f>CONCATENATE('3 pr-2'!I73)</f>
        <v/>
      </c>
      <c r="I72" s="1670" t="str">
        <f>CONCATENATE('3 pr-2'!J73)</f>
        <v/>
      </c>
      <c r="J72" s="303">
        <f t="shared" ref="J72:O72" si="13">SUM(J73+J79+J86+J92)</f>
        <v>2095437.1300000001</v>
      </c>
      <c r="K72" s="303">
        <f t="shared" si="13"/>
        <v>263722.27</v>
      </c>
      <c r="L72" s="303">
        <f t="shared" si="13"/>
        <v>0</v>
      </c>
      <c r="M72" s="303">
        <f t="shared" si="13"/>
        <v>0</v>
      </c>
      <c r="N72" s="303">
        <f t="shared" si="13"/>
        <v>62660</v>
      </c>
      <c r="O72" s="303">
        <f t="shared" si="13"/>
        <v>1769054.8599999999</v>
      </c>
      <c r="P72" s="311"/>
      <c r="Q72" s="650"/>
      <c r="R72" s="649"/>
      <c r="S72" s="314"/>
    </row>
    <row r="73" spans="1:20" ht="37.5" customHeight="1" thickBot="1" x14ac:dyDescent="0.3">
      <c r="A73" s="497" t="str">
        <f>CONCATENATE('3 pr-2'!A74)</f>
        <v>1.1.2.1</v>
      </c>
      <c r="B73" s="613"/>
      <c r="C73" s="1656" t="str">
        <f>CONCATENATE('3 pr-2'!D74)</f>
        <v/>
      </c>
      <c r="D73" s="1789" t="str">
        <f>CONCATENATE('3 pr-2'!E74)</f>
        <v/>
      </c>
      <c r="E73" s="1789" t="str">
        <f>CONCATENATE('3 pr-2'!F74)</f>
        <v/>
      </c>
      <c r="F73" s="1789" t="str">
        <f>CONCATENATE('3 pr-2'!G74)</f>
        <v/>
      </c>
      <c r="G73" s="1789" t="str">
        <f>CONCATENATE('3 pr-2'!H74)</f>
        <v/>
      </c>
      <c r="H73" s="1789" t="str">
        <f>CONCATENATE('3 pr-2'!I74)</f>
        <v/>
      </c>
      <c r="I73" s="1790" t="str">
        <f>CONCATENATE('3 pr-2'!J74)</f>
        <v/>
      </c>
      <c r="J73" s="629">
        <f t="shared" ref="J73:O73" si="14">SUM(J75:J78)</f>
        <v>0</v>
      </c>
      <c r="K73" s="629">
        <f t="shared" si="14"/>
        <v>0</v>
      </c>
      <c r="L73" s="629">
        <f t="shared" si="14"/>
        <v>0</v>
      </c>
      <c r="M73" s="629">
        <f t="shared" si="14"/>
        <v>0</v>
      </c>
      <c r="N73" s="629">
        <f t="shared" si="14"/>
        <v>0</v>
      </c>
      <c r="O73" s="629">
        <f t="shared" si="14"/>
        <v>0</v>
      </c>
      <c r="P73" s="630"/>
      <c r="Q73" s="631"/>
      <c r="R73" s="630"/>
      <c r="S73" s="631"/>
    </row>
    <row r="74" spans="1:20" x14ac:dyDescent="0.25">
      <c r="A74" s="316" t="e">
        <f>CONCATENATE('3 pr-2'!#REF!)</f>
        <v>#REF!</v>
      </c>
      <c r="B74" s="639" t="e">
        <f>CONCATENATE('ketv. 2lent'!#REF!)</f>
        <v>#REF!</v>
      </c>
      <c r="C74" s="316" t="e">
        <f>CONCATENATE('3 pr-2'!#REF!)</f>
        <v>#REF!</v>
      </c>
      <c r="D74" s="316" t="e">
        <f>CONCATENATE('3 pr-2'!#REF!)</f>
        <v>#REF!</v>
      </c>
      <c r="E74" s="316" t="e">
        <f>CONCATENATE('3 pr-2'!#REF!)</f>
        <v>#REF!</v>
      </c>
      <c r="F74" s="316" t="e">
        <f>CONCATENATE('3 pr-2'!#REF!)</f>
        <v>#REF!</v>
      </c>
      <c r="G74" s="316" t="e">
        <f>CONCATENATE('3 pr-2'!#REF!)</f>
        <v>#REF!</v>
      </c>
      <c r="H74" s="316" t="e">
        <f>CONCATENATE('3 pr-2'!#REF!)</f>
        <v>#REF!</v>
      </c>
      <c r="I74" s="316" t="e">
        <f>CONCATENATE('3 pr-2'!#REF!)</f>
        <v>#REF!</v>
      </c>
      <c r="J74" s="293" t="e">
        <f>SUM('3 pr-2'!#REF!)</f>
        <v>#REF!</v>
      </c>
      <c r="K74" s="293" t="e">
        <f>SUM('3 pr-2'!#REF!)</f>
        <v>#REF!</v>
      </c>
      <c r="L74" s="293" t="e">
        <f>SUM('3 pr-2'!#REF!)</f>
        <v>#REF!</v>
      </c>
      <c r="M74" s="293" t="e">
        <f>SUM('3 pr-2'!#REF!)</f>
        <v>#REF!</v>
      </c>
      <c r="N74" s="293" t="e">
        <f>SUM('3 pr-2'!#REF!)</f>
        <v>#REF!</v>
      </c>
      <c r="O74" s="293" t="e">
        <f>SUM('3 pr-2'!#REF!)</f>
        <v>#REF!</v>
      </c>
      <c r="P74" s="640" t="e">
        <f>SUM('3 pr-2'!#REF!)</f>
        <v>#REF!</v>
      </c>
      <c r="Q74" s="610"/>
      <c r="R74" s="316"/>
      <c r="S74" s="316"/>
    </row>
    <row r="75" spans="1:20" ht="48.75" x14ac:dyDescent="0.25">
      <c r="A75" s="255" t="str">
        <f>CONCATENATE('3 pr-2'!A75)</f>
        <v>1.1.2.1.1</v>
      </c>
      <c r="B75" s="473" t="str">
        <f>CONCATENATE('ketv. 2lent'!B74)</f>
        <v/>
      </c>
      <c r="C75" s="255" t="str">
        <f>CONCATENATE('3 pr-2'!D75)</f>
        <v xml:space="preserve">Nekenksmingų aplinkai viešojo transporto priemonių įsigijimas Alytaus mieste </v>
      </c>
      <c r="D75" s="255" t="str">
        <f>CONCATENATE('3 pr-2'!E75)</f>
        <v>Alytaus miesto savivaldybės administracija</v>
      </c>
      <c r="E75" s="255" t="str">
        <f>CONCATENATE('3 pr-2'!F75)</f>
        <v>Lietuvos Respublikos susisiekimo ministerija</v>
      </c>
      <c r="F75" s="255" t="str">
        <f>CONCATENATE('3 pr-2'!G75)</f>
        <v>Alytaus  miestas</v>
      </c>
      <c r="G75" s="255" t="str">
        <f>CONCATENATE('3 pr-2'!H75)</f>
        <v>04.5.1-TID-R-518</v>
      </c>
      <c r="H75" s="255" t="str">
        <f>CONCATENATE('3 pr-2'!I75)</f>
        <v>R</v>
      </c>
      <c r="I75" s="255" t="str">
        <f>CONCATENATE('3 pr-2'!J75)</f>
        <v>ITI</v>
      </c>
      <c r="J75" s="474">
        <f>IF(Q75&gt;0,'3 pr-2'!L75,0)</f>
        <v>0</v>
      </c>
      <c r="K75" s="474">
        <f>IF(Q75&gt;0,'3 pr-2'!O75,0)</f>
        <v>0</v>
      </c>
      <c r="L75" s="474">
        <f>IF(Q75&gt;0,'3 pr-2'!R75,0)</f>
        <v>0</v>
      </c>
      <c r="M75" s="474">
        <f>IF(Q75&gt;0,'3 pr-2'!U75,0)</f>
        <v>0</v>
      </c>
      <c r="N75" s="474">
        <f>IF(Q75&gt;0,'3 pr-2'!X75,0)</f>
        <v>0</v>
      </c>
      <c r="O75" s="474">
        <f>IF(Q75&gt;0,'3 pr-2'!AA75,0)</f>
        <v>0</v>
      </c>
      <c r="P75" s="290">
        <f>SUM('3 pr-2'!AG75)</f>
        <v>43455</v>
      </c>
      <c r="Q75" s="603"/>
      <c r="R75" s="255"/>
      <c r="S75" s="998" t="str">
        <f t="shared" ref="S75:S78" si="15">IF(P75-Q75&lt;0,(P75-Q75)/30.4166666666667,"–")</f>
        <v>–</v>
      </c>
    </row>
    <row r="76" spans="1:20" ht="48.75" x14ac:dyDescent="0.25">
      <c r="A76" s="255" t="str">
        <f>CONCATENATE('3 pr-2'!A76)</f>
        <v>1.1.2.1.2</v>
      </c>
      <c r="B76" s="473" t="str">
        <f>CONCATENATE('ketv. 2lent'!B75)</f>
        <v/>
      </c>
      <c r="C76" s="255" t="str">
        <f>CONCATENATE('3 pr-2'!D76)</f>
        <v>Nekenksmingų aplinkai viešojo transporto priemonių įsigijimas Alytaus rajone</v>
      </c>
      <c r="D76" s="255" t="str">
        <f>CONCATENATE('3 pr-2'!E76)</f>
        <v>Alytaus rajono savivaldybės administracija</v>
      </c>
      <c r="E76" s="255" t="str">
        <f>CONCATENATE('3 pr-2'!F76)</f>
        <v>Lietuvos Respublikos susisiekimo ministerija</v>
      </c>
      <c r="F76" s="255" t="str">
        <f>CONCATENATE('3 pr-2'!G76)</f>
        <v>Alytaus  rajono savivaldybė</v>
      </c>
      <c r="G76" s="255" t="str">
        <f>CONCATENATE('3 pr-2'!H76)</f>
        <v>04.5.1-TID-R-518</v>
      </c>
      <c r="H76" s="255" t="str">
        <f>CONCATENATE('3 pr-2'!I76)</f>
        <v>R</v>
      </c>
      <c r="I76" s="255" t="str">
        <f>CONCATENATE('3 pr-2'!J76)</f>
        <v>-</v>
      </c>
      <c r="J76" s="474">
        <f>IF(Q76&gt;0,'3 pr-2'!L76,0)</f>
        <v>0</v>
      </c>
      <c r="K76" s="474">
        <f>IF(Q76&gt;0,'3 pr-2'!O76,0)</f>
        <v>0</v>
      </c>
      <c r="L76" s="474">
        <f>IF(Q76&gt;0,'3 pr-2'!R76,0)</f>
        <v>0</v>
      </c>
      <c r="M76" s="474">
        <f>IF(Q76&gt;0,'3 pr-2'!U76,0)</f>
        <v>0</v>
      </c>
      <c r="N76" s="474">
        <f>IF(Q76&gt;0,'3 pr-2'!X76,0)</f>
        <v>0</v>
      </c>
      <c r="O76" s="474">
        <f>IF(Q76&gt;0,'3 pr-2'!AA76,0)</f>
        <v>0</v>
      </c>
      <c r="P76" s="290">
        <f>SUM('3 pr-2'!AG76)</f>
        <v>43455</v>
      </c>
      <c r="Q76" s="603"/>
      <c r="R76" s="255"/>
      <c r="S76" s="998" t="str">
        <f t="shared" si="15"/>
        <v>–</v>
      </c>
    </row>
    <row r="77" spans="1:20" ht="48.75" x14ac:dyDescent="0.25">
      <c r="A77" s="255" t="str">
        <f>CONCATENATE('3 pr-2'!A77)</f>
        <v>1.1.2.1.3</v>
      </c>
      <c r="B77" s="473" t="str">
        <f>CONCATENATE('ketv. 2lent'!B76)</f>
        <v/>
      </c>
      <c r="C77" s="255" t="str">
        <f>CONCATENATE('3 pr-2'!D77)</f>
        <v>Ekologiškų transporto priemonių įsigijimas Druskininkų savivaldybėje</v>
      </c>
      <c r="D77" s="255" t="str">
        <f>CONCATENATE('3 pr-2'!E77)</f>
        <v xml:space="preserve">Druskininkų savivaldybės administracija  </v>
      </c>
      <c r="E77" s="255" t="str">
        <f>CONCATENATE('3 pr-2'!F77)</f>
        <v>Lietuvos Respublikos susisiekimo ministerija</v>
      </c>
      <c r="F77" s="255" t="str">
        <f>CONCATENATE('3 pr-2'!G77)</f>
        <v>Druskininkų  miestas</v>
      </c>
      <c r="G77" s="255" t="str">
        <f>CONCATENATE('3 pr-2'!H77)</f>
        <v>04.5.1-TID-R-518</v>
      </c>
      <c r="H77" s="255" t="str">
        <f>CONCATENATE('3 pr-2'!I77)</f>
        <v>R</v>
      </c>
      <c r="I77" s="255" t="str">
        <f>CONCATENATE('3 pr-2'!J77)</f>
        <v>-</v>
      </c>
      <c r="J77" s="474">
        <f>IF(Q77&gt;0,'3 pr-2'!L77,0)</f>
        <v>0</v>
      </c>
      <c r="K77" s="474">
        <f>IF(Q77&gt;0,'3 pr-2'!O77,0)</f>
        <v>0</v>
      </c>
      <c r="L77" s="474">
        <f>IF(Q77&gt;0,'3 pr-2'!R77,0)</f>
        <v>0</v>
      </c>
      <c r="M77" s="474">
        <f>IF(Q77&gt;0,'3 pr-2'!U77,0)</f>
        <v>0</v>
      </c>
      <c r="N77" s="474">
        <f>IF(Q77&gt;0,'3 pr-2'!X77,0)</f>
        <v>0</v>
      </c>
      <c r="O77" s="474">
        <f>IF(Q77&gt;0,'3 pr-2'!AA77,0)</f>
        <v>0</v>
      </c>
      <c r="P77" s="290">
        <f>SUM('3 pr-2'!AG77)</f>
        <v>43343</v>
      </c>
      <c r="Q77" s="603"/>
      <c r="R77" s="255"/>
      <c r="S77" s="998" t="str">
        <f t="shared" si="15"/>
        <v>–</v>
      </c>
    </row>
    <row r="78" spans="1:20" ht="49.5" thickBot="1" x14ac:dyDescent="0.3">
      <c r="A78" s="343" t="str">
        <f>CONCATENATE('3 pr-2'!A78)</f>
        <v>1.1.2.1.4</v>
      </c>
      <c r="B78" s="632" t="str">
        <f>CONCATENATE('ketv. 2lent'!B77)</f>
        <v/>
      </c>
      <c r="C78" s="343" t="str">
        <f>CONCATENATE('3 pr-2'!D78)</f>
        <v>Ekologiškų transporto priemonių įsigijimas  Lazdijų rajono savivaldybėje</v>
      </c>
      <c r="D78" s="343" t="str">
        <f>CONCATENATE('3 pr-2'!E78)</f>
        <v>Lazdijų rajono savivaldybės administracija</v>
      </c>
      <c r="E78" s="343" t="str">
        <f>CONCATENATE('3 pr-2'!F78)</f>
        <v>Lietuvos Respublikos susisiekimo ministerija</v>
      </c>
      <c r="F78" s="343" t="str">
        <f>CONCATENATE('3 pr-2'!G78)</f>
        <v>Lazdijų rajono savivaldybė</v>
      </c>
      <c r="G78" s="343" t="str">
        <f>CONCATENATE('3 pr-2'!H78)</f>
        <v>04.5.1-TID-R-518</v>
      </c>
      <c r="H78" s="343" t="str">
        <f>CONCATENATE('3 pr-2'!I78)</f>
        <v>R</v>
      </c>
      <c r="I78" s="343" t="str">
        <f>CONCATENATE('3 pr-2'!J78)</f>
        <v>-</v>
      </c>
      <c r="J78" s="474">
        <f>IF(Q78&gt;0,'3 pr-2'!L78,0)</f>
        <v>0</v>
      </c>
      <c r="K78" s="474">
        <f>IF(Q78&gt;0,'3 pr-2'!O78,0)</f>
        <v>0</v>
      </c>
      <c r="L78" s="474">
        <f>IF(Q78&gt;0,'3 pr-2'!R78,0)</f>
        <v>0</v>
      </c>
      <c r="M78" s="474">
        <f>IF(Q78&gt;0,'3 pr-2'!U78,0)</f>
        <v>0</v>
      </c>
      <c r="N78" s="474">
        <f>IF(Q78&gt;0,'3 pr-2'!X78,0)</f>
        <v>0</v>
      </c>
      <c r="O78" s="474">
        <f>IF(Q78&gt;0,'3 pr-2'!AA78,0)</f>
        <v>0</v>
      </c>
      <c r="P78" s="634">
        <f>SUM('3 pr-2'!AG78)</f>
        <v>43343</v>
      </c>
      <c r="Q78" s="635"/>
      <c r="R78" s="343"/>
      <c r="S78" s="998" t="str">
        <f t="shared" si="15"/>
        <v>–</v>
      </c>
    </row>
    <row r="79" spans="1:20" ht="36" customHeight="1" thickBot="1" x14ac:dyDescent="0.3">
      <c r="A79" s="497" t="str">
        <f>CONCATENATE('3 pr-2'!A79)</f>
        <v>1.1.2.2</v>
      </c>
      <c r="B79" s="613"/>
      <c r="C79" s="1656" t="str">
        <f>CONCATENATE('3 pr-2'!D79)</f>
        <v/>
      </c>
      <c r="D79" s="1789" t="str">
        <f>CONCATENATE('3 pr-2'!E79)</f>
        <v/>
      </c>
      <c r="E79" s="1789" t="str">
        <f>CONCATENATE('3 pr-2'!F79)</f>
        <v/>
      </c>
      <c r="F79" s="1789" t="str">
        <f>CONCATENATE('3 pr-2'!G79)</f>
        <v/>
      </c>
      <c r="G79" s="1789" t="str">
        <f>CONCATENATE('3 pr-2'!H79)</f>
        <v/>
      </c>
      <c r="H79" s="1789" t="str">
        <f>CONCATENATE('3 pr-2'!I79)</f>
        <v/>
      </c>
      <c r="I79" s="1790" t="str">
        <f>CONCATENATE('3 pr-2'!J79)</f>
        <v/>
      </c>
      <c r="J79" s="629">
        <f t="shared" ref="J79:N79" si="16">SUM(J80:J85)</f>
        <v>50638</v>
      </c>
      <c r="K79" s="629">
        <f t="shared" si="16"/>
        <v>7595.7</v>
      </c>
      <c r="L79" s="629">
        <f t="shared" si="16"/>
        <v>0</v>
      </c>
      <c r="M79" s="629">
        <f t="shared" si="16"/>
        <v>0</v>
      </c>
      <c r="N79" s="629">
        <f t="shared" si="16"/>
        <v>0</v>
      </c>
      <c r="O79" s="629">
        <f>SUM(O80:O85)</f>
        <v>43042.3</v>
      </c>
      <c r="P79" s="630"/>
      <c r="Q79" s="631"/>
      <c r="R79" s="630"/>
      <c r="S79" s="631"/>
    </row>
    <row r="80" spans="1:20" ht="48.75" x14ac:dyDescent="0.25">
      <c r="A80" s="316" t="str">
        <f>CONCATENATE('3 pr-2'!A80)</f>
        <v>1.1.2.2.1</v>
      </c>
      <c r="B80" s="639" t="str">
        <f>CONCATENATE('ketv. 2lent'!B79)</f>
        <v/>
      </c>
      <c r="C80" s="316" t="str">
        <f>CONCATENATE('3 pr-2'!D80)</f>
        <v>Darnaus judumo priemonių diegimas Alytaus mieste</v>
      </c>
      <c r="D80" s="316" t="str">
        <f>CONCATENATE('3 pr-2'!E80)</f>
        <v>Alytaus miesto savivaldybės administracija</v>
      </c>
      <c r="E80" s="316" t="str">
        <f>CONCATENATE('3 pr-2'!F80)</f>
        <v>Lietuvos Respublikos susisiekimo ministerija</v>
      </c>
      <c r="F80" s="316" t="str">
        <f>CONCATENATE('3 pr-2'!G80)</f>
        <v>Alytaus  miestas</v>
      </c>
      <c r="G80" s="316" t="str">
        <f>CONCATENATE('3 pr-2'!H80)</f>
        <v>04.5.1.-TID-R-514</v>
      </c>
      <c r="H80" s="316" t="str">
        <f>CONCATENATE('3 pr-2'!I80)</f>
        <v>R</v>
      </c>
      <c r="I80" s="316" t="str">
        <f>CONCATENATE('3 pr-2'!J80)</f>
        <v>-</v>
      </c>
      <c r="J80" s="474">
        <f>IF(Q80&gt;0,'3 pr-2'!L80,0)</f>
        <v>0</v>
      </c>
      <c r="K80" s="474">
        <f>IF(Q80&gt;0,'3 pr-2'!O80,0)</f>
        <v>0</v>
      </c>
      <c r="L80" s="474">
        <f>IF(Q80&gt;0,'3 pr-2'!R80,0)</f>
        <v>0</v>
      </c>
      <c r="M80" s="474">
        <f>IF(Q80&gt;0,'3 pr-2'!U80,0)</f>
        <v>0</v>
      </c>
      <c r="N80" s="474">
        <f>IF(Q80&gt;0,'3 pr-2'!X80,0)</f>
        <v>0</v>
      </c>
      <c r="O80" s="474">
        <f>IF(Q80&gt;0,'3 pr-2'!AA80,0)</f>
        <v>0</v>
      </c>
      <c r="P80" s="640">
        <f>SUM('3 pr-2'!AG80)</f>
        <v>43449</v>
      </c>
      <c r="Q80" s="642"/>
      <c r="R80" s="643"/>
      <c r="S80" s="998" t="str">
        <f t="shared" ref="S80:S83" si="17">IF(P80-Q80&lt;0,(P80-Q80)/30.4166666666667,"–")</f>
        <v>–</v>
      </c>
    </row>
    <row r="81" spans="1:19" ht="48.75" x14ac:dyDescent="0.25">
      <c r="A81" s="255" t="str">
        <f>CONCATENATE('3 pr-2'!A81)</f>
        <v>1.1.2.2.2</v>
      </c>
      <c r="B81" s="473" t="str">
        <f>CONCATENATE('ketv. 2lent'!B80)</f>
        <v>04.5.1-TID-V-513-01-0015</v>
      </c>
      <c r="C81" s="255" t="str">
        <f>CONCATENATE('3 pr-2'!D81)</f>
        <v>Alytaus miesto darnaus judumo plano parengimas</v>
      </c>
      <c r="D81" s="255" t="str">
        <f>CONCATENATE('3 pr-2'!E81)</f>
        <v>Alytaus miesto savivaldybės administracija</v>
      </c>
      <c r="E81" s="255" t="str">
        <f>CONCATENATE('3 pr-2'!F81)</f>
        <v>Lietuvos Respublikos susisiekimo ministerija</v>
      </c>
      <c r="F81" s="255" t="str">
        <f>CONCATENATE('3 pr-2'!G81)</f>
        <v>Alytaus  miestas</v>
      </c>
      <c r="G81" s="255" t="str">
        <f>CONCATENATE('3 pr-2'!H81)</f>
        <v>04.5.1-TID-V-513</v>
      </c>
      <c r="H81" s="255" t="str">
        <f>CONCATENATE('3 pr-2'!I81)</f>
        <v>V</v>
      </c>
      <c r="I81" s="255" t="str">
        <f>CONCATENATE('3 pr-2'!J81)</f>
        <v>ITI</v>
      </c>
      <c r="J81" s="474">
        <f>IF(Q81&gt;0,'3 pr-2'!L81,0)</f>
        <v>33638</v>
      </c>
      <c r="K81" s="474">
        <f>IF(Q81&gt;0,'3 pr-2'!O81,0)</f>
        <v>5045.7</v>
      </c>
      <c r="L81" s="474">
        <f>IF(Q81&gt;0,'3 pr-2'!R81,0)</f>
        <v>0</v>
      </c>
      <c r="M81" s="474">
        <f>IF(Q81&gt;0,'3 pr-2'!U81,0)</f>
        <v>0</v>
      </c>
      <c r="N81" s="474">
        <f>IF(Q81&gt;0,'3 pr-2'!X81,0)</f>
        <v>0</v>
      </c>
      <c r="O81" s="474">
        <f>IF(Q81&gt;0,'3 pr-2'!AA81,0)</f>
        <v>28592.3</v>
      </c>
      <c r="P81" s="290">
        <f>SUM('3 pr-2'!AG81)</f>
        <v>42855</v>
      </c>
      <c r="Q81" s="606">
        <v>42838</v>
      </c>
      <c r="R81" s="291">
        <f>IF((YEAR(P81)-YEAR(Q81))=0,0,YEAR(P81)-YEAR(Q81))</f>
        <v>0</v>
      </c>
      <c r="S81" s="998" t="str">
        <f t="shared" si="17"/>
        <v>–</v>
      </c>
    </row>
    <row r="82" spans="1:19" ht="48.75" x14ac:dyDescent="0.25">
      <c r="A82" s="255" t="str">
        <f>CONCATENATE('3 pr-2'!A82)</f>
        <v>1.1.2.2.3</v>
      </c>
      <c r="B82" s="473" t="str">
        <f>CONCATENATE('ketv. 2lent'!B81)</f>
        <v/>
      </c>
      <c r="C82" s="853" t="str">
        <f>CONCATENATE('3 pr-2'!D82)</f>
        <v>Intelektinių transporto sistemų diegimas Druskininkuose</v>
      </c>
      <c r="D82" s="255" t="str">
        <f>CONCATENATE('3 pr-2'!E82)</f>
        <v>Druskininkų savivaldybės administracija</v>
      </c>
      <c r="E82" s="255" t="str">
        <f>CONCATENATE('3 pr-2'!F82)</f>
        <v>Lietuvos Respublikos susisiekimo ministerija</v>
      </c>
      <c r="F82" s="255" t="str">
        <f>CONCATENATE('3 pr-2'!G82)</f>
        <v>Druskininkų  miestas</v>
      </c>
      <c r="G82" s="255" t="str">
        <f>CONCATENATE('3 pr-2'!H82)</f>
        <v>04.5.1.-TID-R-514</v>
      </c>
      <c r="H82" s="255" t="str">
        <f>CONCATENATE('3 pr-2'!I82)</f>
        <v>R</v>
      </c>
      <c r="I82" s="255" t="str">
        <f>CONCATENATE('3 pr-2'!J82)</f>
        <v>-</v>
      </c>
      <c r="J82" s="474">
        <f>IF(Q82&gt;0,'3 pr-2'!L82,0)</f>
        <v>0</v>
      </c>
      <c r="K82" s="474">
        <f>IF(Q82&gt;0,'3 pr-2'!O82,0)</f>
        <v>0</v>
      </c>
      <c r="L82" s="474">
        <f>IF(Q82&gt;0,'3 pr-2'!R82,0)</f>
        <v>0</v>
      </c>
      <c r="M82" s="474">
        <f>IF(Q82&gt;0,'3 pr-2'!U82,0)</f>
        <v>0</v>
      </c>
      <c r="N82" s="474">
        <f>IF(Q82&gt;0,'3 pr-2'!X82,0)</f>
        <v>0</v>
      </c>
      <c r="O82" s="474">
        <f>IF(Q82&gt;0,'3 pr-2'!AA82,0)</f>
        <v>0</v>
      </c>
      <c r="P82" s="1445">
        <f>SUM('3 pr-2'!AG82)</f>
        <v>43524</v>
      </c>
      <c r="Q82" s="607"/>
      <c r="R82" s="307"/>
      <c r="S82" s="998" t="str">
        <f t="shared" si="17"/>
        <v>–</v>
      </c>
    </row>
    <row r="83" spans="1:19" ht="48.75" x14ac:dyDescent="0.25">
      <c r="A83" s="255" t="str">
        <f>CONCATENATE('3 pr-2'!A83)</f>
        <v>1.1.2.2.4</v>
      </c>
      <c r="B83" s="473" t="str">
        <f>CONCATENATE('ketv. 2lent'!B82)</f>
        <v>04.5.1-TID-V-513-01-0006</v>
      </c>
      <c r="C83" s="255" t="str">
        <f>CONCATENATE('3 pr-2'!D83)</f>
        <v>Darnaus judumo plano Druskininkuose parengimas</v>
      </c>
      <c r="D83" s="255" t="str">
        <f>CONCATENATE('3 pr-2'!E83)</f>
        <v>Druskininkų savivaldybės administracija</v>
      </c>
      <c r="E83" s="255" t="str">
        <f>CONCATENATE('3 pr-2'!F83)</f>
        <v>Lietuvos Respublikos susisiekimo ministerija</v>
      </c>
      <c r="F83" s="255" t="str">
        <f>CONCATENATE('3 pr-2'!G83)</f>
        <v>Druskininkų  miestas</v>
      </c>
      <c r="G83" s="255" t="str">
        <f>CONCATENATE('3 pr-2'!H83)</f>
        <v>04.5.1-TID-V-513</v>
      </c>
      <c r="H83" s="255" t="str">
        <f>CONCATENATE('3 pr-2'!I83)</f>
        <v>V</v>
      </c>
      <c r="I83" s="255" t="str">
        <f>CONCATENATE('3 pr-2'!J83)</f>
        <v>ITI</v>
      </c>
      <c r="J83" s="474">
        <f>IF(Q83&gt;0,'3 pr-2'!L83,0)</f>
        <v>17000</v>
      </c>
      <c r="K83" s="474">
        <f>IF(Q83&gt;0,'3 pr-2'!O83,0)</f>
        <v>2550</v>
      </c>
      <c r="L83" s="474">
        <f>IF(Q83&gt;0,'3 pr-2'!R83,0)</f>
        <v>0</v>
      </c>
      <c r="M83" s="474">
        <f>IF(Q83&gt;0,'3 pr-2'!U83,0)</f>
        <v>0</v>
      </c>
      <c r="N83" s="474">
        <f>IF(Q83&gt;0,'3 pr-2'!X83,0)</f>
        <v>0</v>
      </c>
      <c r="O83" s="474">
        <f>IF(Q83&gt;0,'3 pr-2'!AA83,0)</f>
        <v>14450</v>
      </c>
      <c r="P83" s="290">
        <f>SUM('3 pr-2'!AG83)</f>
        <v>42735</v>
      </c>
      <c r="Q83" s="606">
        <v>42718</v>
      </c>
      <c r="R83" s="291">
        <f>IF((YEAR(P83)-YEAR(Q83))=0,0,YEAR(P83)-YEAR(Q83))</f>
        <v>0</v>
      </c>
      <c r="S83" s="998" t="str">
        <f t="shared" si="17"/>
        <v>–</v>
      </c>
    </row>
    <row r="84" spans="1:19" ht="48.75" x14ac:dyDescent="0.25">
      <c r="A84" s="853" t="str">
        <f>CONCATENATE('3 pr-2'!A84)</f>
        <v>1.1.2.2.5</v>
      </c>
      <c r="B84" s="1446" t="str">
        <f>CONCATENATE('ketv. 2lent'!B83)</f>
        <v>04.5.1-TID-V-513-01-0006</v>
      </c>
      <c r="C84" s="853" t="str">
        <f>CONCATENATE('3 pr-2'!D84)</f>
        <v>Viešojo transporto organizavimo tobulinimas rekonstruojant Druskininkų miesto gatvių infrastruktūrą</v>
      </c>
      <c r="D84" s="853" t="str">
        <f>CONCATENATE('3 pr-2'!E84)</f>
        <v>Druskininkų savivaldybės administracija</v>
      </c>
      <c r="E84" s="853" t="str">
        <f>CONCATENATE('3 pr-2'!F84)</f>
        <v>Lietuvos Respublikos susisiekimo ministerija</v>
      </c>
      <c r="F84" s="853" t="str">
        <f>CONCATENATE('3 pr-2'!G84)</f>
        <v>Druskininkų  miestas</v>
      </c>
      <c r="G84" s="853" t="str">
        <f>CONCATENATE('3 pr-2'!H84)</f>
        <v>04.5.1.-TID-R-514</v>
      </c>
      <c r="H84" s="853" t="str">
        <f>CONCATENATE('3 pr-2'!I84)</f>
        <v>R</v>
      </c>
      <c r="I84" s="853" t="str">
        <f>CONCATENATE('3 pr-2'!J84)</f>
        <v>-</v>
      </c>
      <c r="J84" s="1444">
        <f>IF(Q84&gt;0,'3 pr-2'!L84,0)</f>
        <v>0</v>
      </c>
      <c r="K84" s="1444">
        <f>IF(Q84&gt;0,'3 pr-2'!O84,0)</f>
        <v>0</v>
      </c>
      <c r="L84" s="1444">
        <f>IF(Q84&gt;0,'3 pr-2'!R84,0)</f>
        <v>0</v>
      </c>
      <c r="M84" s="1444">
        <f>IF(Q84&gt;0,'3 pr-2'!U84,0)</f>
        <v>0</v>
      </c>
      <c r="N84" s="1444">
        <f>IF(Q84&gt;0,'3 pr-2'!X84,0)</f>
        <v>0</v>
      </c>
      <c r="O84" s="1444">
        <f>IF(Q84&gt;0,'3 pr-2'!AA84,0)</f>
        <v>0</v>
      </c>
      <c r="P84" s="1445">
        <f>SUM('3 pr-2'!AG84)</f>
        <v>43449</v>
      </c>
      <c r="Q84" s="606"/>
      <c r="R84" s="291">
        <f t="shared" ref="R84:R85" si="18">IF((YEAR(P84)-YEAR(Q84))=0,0,YEAR(P84)-YEAR(Q84))</f>
        <v>118</v>
      </c>
      <c r="S84" s="998" t="str">
        <f t="shared" ref="S84:S85" si="19">IF(P84-Q84&lt;0,(P84-Q84)/30.4166666666667,"–")</f>
        <v>–</v>
      </c>
    </row>
    <row r="85" spans="1:19" ht="49.5" thickBot="1" x14ac:dyDescent="0.3">
      <c r="A85" s="853" t="str">
        <f>CONCATENATE('3 pr-2'!A85)</f>
        <v>1.1.2.2.6</v>
      </c>
      <c r="B85" s="1446" t="str">
        <f>CONCATENATE('ketv. 2lent'!B84)</f>
        <v>04.5.1-TID-V-513-01-0006</v>
      </c>
      <c r="C85" s="853" t="str">
        <f>CONCATENATE('3 pr-2'!D85)</f>
        <v>Vandens transporto infrastruktūros įrengimas skatinant kitų rūšių transportą</v>
      </c>
      <c r="D85" s="853" t="str">
        <f>CONCATENATE('3 pr-2'!E85)</f>
        <v>Druskininkų savivaldybės administracija</v>
      </c>
      <c r="E85" s="853" t="str">
        <f>CONCATENATE('3 pr-2'!F85)</f>
        <v>Lietuvos Respublikos susisiekimo ministerija</v>
      </c>
      <c r="F85" s="853" t="str">
        <f>CONCATENATE('3 pr-2'!G85)</f>
        <v>Druskininkų  miestas</v>
      </c>
      <c r="G85" s="853" t="str">
        <f>CONCATENATE('3 pr-2'!H85)</f>
        <v>04.5.1.-TID-R-514</v>
      </c>
      <c r="H85" s="853" t="str">
        <f>CONCATENATE('3 pr-2'!I85)</f>
        <v>R</v>
      </c>
      <c r="I85" s="853" t="str">
        <f>CONCATENATE('3 pr-2'!J85)</f>
        <v>-</v>
      </c>
      <c r="J85" s="1444">
        <f>IF(Q85&gt;0,'3 pr-2'!L85,0)</f>
        <v>0</v>
      </c>
      <c r="K85" s="1444">
        <f>IF(Q85&gt;0,'3 pr-2'!O85,0)</f>
        <v>0</v>
      </c>
      <c r="L85" s="1444">
        <f>IF(Q85&gt;0,'3 pr-2'!R85,0)</f>
        <v>0</v>
      </c>
      <c r="M85" s="1444">
        <f>IF(Q85&gt;0,'3 pr-2'!U85,0)</f>
        <v>0</v>
      </c>
      <c r="N85" s="1444">
        <f>IF(Q85&gt;0,'3 pr-2'!X85,0)</f>
        <v>0</v>
      </c>
      <c r="O85" s="1444">
        <f>IF(Q85&gt;0,'3 pr-2'!AA85,0)</f>
        <v>0</v>
      </c>
      <c r="P85" s="1445">
        <f>SUM('3 pr-2'!AG85)</f>
        <v>43736</v>
      </c>
      <c r="Q85" s="606"/>
      <c r="R85" s="291">
        <f t="shared" si="18"/>
        <v>119</v>
      </c>
      <c r="S85" s="998" t="str">
        <f t="shared" si="19"/>
        <v>–</v>
      </c>
    </row>
    <row r="86" spans="1:19" ht="36.75" customHeight="1" thickBot="1" x14ac:dyDescent="0.3">
      <c r="A86" s="497" t="str">
        <f>CONCATENATE('3 pr-2'!A86)</f>
        <v>1.1.2.3</v>
      </c>
      <c r="B86" s="613"/>
      <c r="C86" s="1656" t="str">
        <f>CONCATENATE('3 pr-2'!D86)</f>
        <v/>
      </c>
      <c r="D86" s="1789" t="str">
        <f>CONCATENATE('3 pr-2'!E86)</f>
        <v/>
      </c>
      <c r="E86" s="1789" t="str">
        <f>CONCATENATE('3 pr-2'!F86)</f>
        <v/>
      </c>
      <c r="F86" s="1789" t="str">
        <f>CONCATENATE('3 pr-2'!G86)</f>
        <v/>
      </c>
      <c r="G86" s="1789" t="str">
        <f>CONCATENATE('3 pr-2'!H86)</f>
        <v/>
      </c>
      <c r="H86" s="1789" t="str">
        <f>CONCATENATE('3 pr-2'!I86)</f>
        <v/>
      </c>
      <c r="I86" s="1790" t="str">
        <f>CONCATENATE('3 pr-2'!J86)</f>
        <v/>
      </c>
      <c r="J86" s="629">
        <f t="shared" ref="J86:O86" si="20">SUM(J87:J91)</f>
        <v>329408.07</v>
      </c>
      <c r="K86" s="629">
        <f t="shared" si="20"/>
        <v>61477.509999999995</v>
      </c>
      <c r="L86" s="629">
        <f t="shared" si="20"/>
        <v>0</v>
      </c>
      <c r="M86" s="629">
        <f t="shared" si="20"/>
        <v>0</v>
      </c>
      <c r="N86" s="629">
        <f t="shared" si="20"/>
        <v>0</v>
      </c>
      <c r="O86" s="629">
        <f t="shared" si="20"/>
        <v>267930.56</v>
      </c>
      <c r="P86" s="630"/>
      <c r="Q86" s="631"/>
      <c r="R86" s="630"/>
      <c r="S86" s="631"/>
    </row>
    <row r="87" spans="1:19" ht="48.75" x14ac:dyDescent="0.25">
      <c r="A87" s="255" t="str">
        <f>CONCATENATE('3 pr-2'!A87)</f>
        <v>1.1.2.3.1</v>
      </c>
      <c r="B87" s="473" t="str">
        <f>CONCATENATE('ketv. 2lent'!B86)</f>
        <v>04.5.1-TID-R-516-11-0004</v>
      </c>
      <c r="C87" s="255" t="str">
        <f>CONCATENATE('3 pr-2'!D87)</f>
        <v>Dviračių ir pėsčiųjų takų įrengimas Varėnos miesto J. Basanavičiaus ir Žiedo gatvėse</v>
      </c>
      <c r="D87" s="255" t="str">
        <f>CONCATENATE('3 pr-2'!E87)</f>
        <v>Varėnos rajono savivaldybės administracija</v>
      </c>
      <c r="E87" s="255" t="str">
        <f>CONCATENATE('3 pr-2'!F87)</f>
        <v>Lietuvos Respublikos susisiekimo ministerija</v>
      </c>
      <c r="F87" s="255" t="str">
        <f>CONCATENATE('3 pr-2'!G87)</f>
        <v>Varėnos miestas</v>
      </c>
      <c r="G87" s="255" t="str">
        <f>CONCATENATE('3 pr-2'!H87)</f>
        <v>04.5.1-TID-R-516</v>
      </c>
      <c r="H87" s="255" t="str">
        <f>CONCATENATE('3 pr-2'!I87)</f>
        <v>R</v>
      </c>
      <c r="I87" s="255" t="str">
        <f>CONCATENATE('3 pr-2'!J87)</f>
        <v>ITI</v>
      </c>
      <c r="J87" s="474">
        <f>IF(Q87&gt;0,'3 pr-2'!L87,0)</f>
        <v>95080</v>
      </c>
      <c r="K87" s="474">
        <f>IF(Q87&gt;0,'3 pr-2'!O87,0)</f>
        <v>14270</v>
      </c>
      <c r="L87" s="474">
        <f>IF(Q87&gt;0,'3 pr-2'!R87,0)</f>
        <v>0</v>
      </c>
      <c r="M87" s="474">
        <f>IF(Q87&gt;0,'3 pr-2'!U87,0)</f>
        <v>0</v>
      </c>
      <c r="N87" s="474">
        <f>IF(Q87&gt;0,'3 pr-2'!X87,0)</f>
        <v>0</v>
      </c>
      <c r="O87" s="474">
        <f>IF(Q87&gt;0,'3 pr-2'!AA87,0)</f>
        <v>80810</v>
      </c>
      <c r="P87" s="290">
        <f>SUM('3 pr-2'!AG87)</f>
        <v>43100</v>
      </c>
      <c r="Q87" s="604">
        <v>43098</v>
      </c>
      <c r="R87" s="291">
        <f>IF((YEAR(P87)-YEAR(Q87))=0,0,YEAR(P87)-YEAR(Q87))</f>
        <v>0</v>
      </c>
      <c r="S87" s="998" t="str">
        <f t="shared" ref="S87:S91" si="21">IF(P87-Q87&lt;0,(P87-Q87)/30.4166666666667,"–")</f>
        <v>–</v>
      </c>
    </row>
    <row r="88" spans="1:19" ht="48.75" x14ac:dyDescent="0.25">
      <c r="A88" s="255" t="str">
        <f>CONCATENATE('3 pr-2'!A88)</f>
        <v>1.1.2.3.2</v>
      </c>
      <c r="B88" s="473" t="str">
        <f>CONCATENATE('ketv. 2lent'!B87)</f>
        <v>04.5.1-TID-R-516-11-0001</v>
      </c>
      <c r="C88" s="255" t="str">
        <f>CONCATENATE('3 pr-2'!D88)</f>
        <v>Dviračių trasų infrastruktūros įrengimas nuo Putinų g. žiedo Pramonės gatvėje, Alytaus mieste</v>
      </c>
      <c r="D88" s="255" t="str">
        <f>CONCATENATE('3 pr-2'!E88)</f>
        <v>Alytaus miesto savivaldybės administracija</v>
      </c>
      <c r="E88" s="255" t="str">
        <f>CONCATENATE('3 pr-2'!F88)</f>
        <v>Lietuvos Respublikos susisiekimo ministerija</v>
      </c>
      <c r="F88" s="255" t="str">
        <f>CONCATENATE('3 pr-2'!G88)</f>
        <v>Alytaus  miestas</v>
      </c>
      <c r="G88" s="255" t="str">
        <f>CONCATENATE('3 pr-2'!H88)</f>
        <v>04.5.1-TID-R-516</v>
      </c>
      <c r="H88" s="255" t="str">
        <f>CONCATENATE('3 pr-2'!I88)</f>
        <v>R</v>
      </c>
      <c r="I88" s="255" t="str">
        <f>CONCATENATE('3 pr-2'!J88)</f>
        <v>ITI</v>
      </c>
      <c r="J88" s="474">
        <f>IF(Q88&gt;0,'3 pr-2'!L88,0)</f>
        <v>133670.07</v>
      </c>
      <c r="K88" s="474">
        <f>IF(Q88&gt;0,'3 pr-2'!O88,0)</f>
        <v>20050.509999999998</v>
      </c>
      <c r="L88" s="474">
        <f>IF(Q88&gt;0,'3 pr-2'!R88,0)</f>
        <v>0</v>
      </c>
      <c r="M88" s="474">
        <f>IF(Q88&gt;0,'3 pr-2'!U88,0)</f>
        <v>0</v>
      </c>
      <c r="N88" s="474">
        <f>IF(Q88&gt;0,'3 pr-2'!X88,0)</f>
        <v>0</v>
      </c>
      <c r="O88" s="474">
        <f>IF(Q88&gt;0,'3 pr-2'!AA88,0)</f>
        <v>113619.56</v>
      </c>
      <c r="P88" s="290">
        <f>SUM('3 pr-2'!AG88)</f>
        <v>42916</v>
      </c>
      <c r="Q88" s="604">
        <v>42914</v>
      </c>
      <c r="R88" s="291">
        <f>IF((YEAR(P88)-YEAR(Q88))=0,0,YEAR(P88)-YEAR(Q88))</f>
        <v>0</v>
      </c>
      <c r="S88" s="998" t="str">
        <f t="shared" si="21"/>
        <v>–</v>
      </c>
    </row>
    <row r="89" spans="1:19" ht="48.75" x14ac:dyDescent="0.25">
      <c r="A89" s="255" t="str">
        <f>CONCATENATE('3 pr-2'!A89)</f>
        <v>1.1.2.3.3</v>
      </c>
      <c r="B89" s="473" t="str">
        <f>CONCATENATE('ketv. 2lent'!B88)</f>
        <v>04.5.1-TID-R-516-11-0002</v>
      </c>
      <c r="C89" s="255" t="str">
        <f>CONCATENATE('3 pr-2'!D89)</f>
        <v>Dviračių ir pėsčiųjų takų plėtra Lazdijų miesto Turistų gatvėje iki sodų bendrijos „Baltasis“ Lazdijų seniūnijoje</v>
      </c>
      <c r="D89" s="255" t="str">
        <f>CONCATENATE('3 pr-2'!E89)</f>
        <v>Lazdijų rajono savivaldybės administracija</v>
      </c>
      <c r="E89" s="255" t="str">
        <f>CONCATENATE('3 pr-2'!F89)</f>
        <v>Lietuvos Respublikos susisiekimo ministerija</v>
      </c>
      <c r="F89" s="255" t="str">
        <f>CONCATENATE('3 pr-2'!G89)</f>
        <v>Lazdijų miestas</v>
      </c>
      <c r="G89" s="255" t="str">
        <f>CONCATENATE('3 pr-2'!H89)</f>
        <v>04.5.1-TID-R-516</v>
      </c>
      <c r="H89" s="255" t="str">
        <f>CONCATENATE('3 pr-2'!I89)</f>
        <v>R</v>
      </c>
      <c r="I89" s="255" t="str">
        <f>CONCATENATE('3 pr-2'!J89)</f>
        <v>ITI</v>
      </c>
      <c r="J89" s="474">
        <f>IF(Q89&gt;0,'3 pr-2'!L89,0)</f>
        <v>100658</v>
      </c>
      <c r="K89" s="474">
        <f>IF(Q89&gt;0,'3 pr-2'!O89,0)</f>
        <v>27157</v>
      </c>
      <c r="L89" s="474">
        <f>IF(Q89&gt;0,'3 pr-2'!R89,0)</f>
        <v>0</v>
      </c>
      <c r="M89" s="474">
        <f>IF(Q89&gt;0,'3 pr-2'!U89,0)</f>
        <v>0</v>
      </c>
      <c r="N89" s="474">
        <f>IF(Q89&gt;0,'3 pr-2'!X89,0)</f>
        <v>0</v>
      </c>
      <c r="O89" s="474">
        <f>IF(Q89&gt;0,'3 pr-2'!AA89,0)</f>
        <v>73501</v>
      </c>
      <c r="P89" s="290">
        <f>SUM('3 pr-2'!AG89)</f>
        <v>43010</v>
      </c>
      <c r="Q89" s="604">
        <v>43007</v>
      </c>
      <c r="R89" s="291">
        <f>IF((YEAR(P89)-YEAR(Q89))=0,0,YEAR(P89)-YEAR(Q89))</f>
        <v>0</v>
      </c>
      <c r="S89" s="998" t="str">
        <f t="shared" si="21"/>
        <v>–</v>
      </c>
    </row>
    <row r="90" spans="1:19" ht="48.75" x14ac:dyDescent="0.25">
      <c r="A90" s="255" t="str">
        <f>CONCATENATE('3 pr-2'!A90)</f>
        <v>1.1.2.3.4</v>
      </c>
      <c r="B90" s="473" t="str">
        <f>CONCATENATE('ketv. 2lent'!B89)</f>
        <v/>
      </c>
      <c r="C90" s="255" t="str">
        <f>CONCATENATE('3 pr-2'!D90)</f>
        <v>Pėsčiųjų ir dviračių takų plėtra Simno seniūnijoje</v>
      </c>
      <c r="D90" s="255" t="str">
        <f>CONCATENATE('3 pr-2'!E90)</f>
        <v>Alytaus rajono savivaldybės administracija</v>
      </c>
      <c r="E90" s="255" t="str">
        <f>CONCATENATE('3 pr-2'!F90)</f>
        <v>Lietuvos Respublikos susisiekimo ministerija</v>
      </c>
      <c r="F90" s="255" t="str">
        <f>CONCATENATE('3 pr-2'!G90)</f>
        <v>Alytaus rajonas</v>
      </c>
      <c r="G90" s="255" t="str">
        <f>CONCATENATE('3 pr-2'!H90)</f>
        <v>04.5.1-TID-R-516</v>
      </c>
      <c r="H90" s="255" t="str">
        <f>CONCATENATE('3 pr-2'!I90)</f>
        <v>R</v>
      </c>
      <c r="I90" s="255" t="str">
        <f>CONCATENATE('3 pr-2'!J90)</f>
        <v>-</v>
      </c>
      <c r="J90" s="474">
        <f>IF(Q90&gt;0,'3 pr-2'!L90,0)</f>
        <v>0</v>
      </c>
      <c r="K90" s="474">
        <f>IF(Q90&gt;0,'3 pr-2'!O90,0)</f>
        <v>0</v>
      </c>
      <c r="L90" s="474">
        <f>IF(Q90&gt;0,'3 pr-2'!R90,0)</f>
        <v>0</v>
      </c>
      <c r="M90" s="474">
        <f>IF(Q90&gt;0,'3 pr-2'!U90,0)</f>
        <v>0</v>
      </c>
      <c r="N90" s="474">
        <f>IF(Q90&gt;0,'3 pr-2'!X90,0)</f>
        <v>0</v>
      </c>
      <c r="O90" s="474">
        <f>IF(Q90&gt;0,'3 pr-2'!AA90,0)</f>
        <v>0</v>
      </c>
      <c r="P90" s="290">
        <f>SUM('3 pr-2'!AG90)</f>
        <v>43131</v>
      </c>
      <c r="Q90" s="604"/>
      <c r="R90" s="291"/>
      <c r="S90" s="998" t="str">
        <f t="shared" si="21"/>
        <v>–</v>
      </c>
    </row>
    <row r="91" spans="1:19" ht="49.5" thickBot="1" x14ac:dyDescent="0.3">
      <c r="A91" s="255" t="str">
        <f>CONCATENATE('3 pr-2'!A91)</f>
        <v>1.1.2.3.5</v>
      </c>
      <c r="B91" s="473" t="str">
        <f>CONCATENATE('ketv. 2lent'!B90)</f>
        <v/>
      </c>
      <c r="C91" s="255" t="str">
        <f>CONCATENATE('3 pr-2'!D91)</f>
        <v>Dviračių ir pėsčiųjų tako, esančio šalia Ratnyčios upelio, Druskininkų mieste, rekonstrukcija</v>
      </c>
      <c r="D91" s="255" t="str">
        <f>CONCATENATE('3 pr-2'!E91)</f>
        <v xml:space="preserve">Druskininkų savivaldybės administracija  </v>
      </c>
      <c r="E91" s="255" t="str">
        <f>CONCATENATE('3 pr-2'!F91)</f>
        <v>Lietuvos Respublikos susisiekimo ministerija</v>
      </c>
      <c r="F91" s="255" t="str">
        <f>CONCATENATE('3 pr-2'!G91)</f>
        <v>Druskininkų miestas</v>
      </c>
      <c r="G91" s="255" t="str">
        <f>CONCATENATE('3 pr-2'!H91)</f>
        <v>04.5.1-TID-R-516</v>
      </c>
      <c r="H91" s="255" t="str">
        <f>CONCATENATE('3 pr-2'!I91)</f>
        <v>R</v>
      </c>
      <c r="I91" s="255" t="str">
        <f>CONCATENATE('3 pr-2'!J91)</f>
        <v>-</v>
      </c>
      <c r="J91" s="474">
        <f>IF(Q91&gt;0,'3 pr-2'!L91,0)</f>
        <v>0</v>
      </c>
      <c r="K91" s="474">
        <f>IF(Q91&gt;0,'3 pr-2'!O91,0)</f>
        <v>0</v>
      </c>
      <c r="L91" s="474">
        <f>IF(Q91&gt;0,'3 pr-2'!R91,0)</f>
        <v>0</v>
      </c>
      <c r="M91" s="474">
        <f>IF(Q91&gt;0,'3 pr-2'!U91,0)</f>
        <v>0</v>
      </c>
      <c r="N91" s="474">
        <f>IF(Q91&gt;0,'3 pr-2'!X91,0)</f>
        <v>0</v>
      </c>
      <c r="O91" s="474">
        <f>IF(Q91&gt;0,'3 pr-2'!AA91,0)</f>
        <v>0</v>
      </c>
      <c r="P91" s="290">
        <f>SUM('3 pr-2'!AG91)</f>
        <v>43357</v>
      </c>
      <c r="Q91" s="604"/>
      <c r="R91" s="291"/>
      <c r="S91" s="998" t="str">
        <f t="shared" si="21"/>
        <v>–</v>
      </c>
    </row>
    <row r="92" spans="1:19" ht="42.75" customHeight="1" thickBot="1" x14ac:dyDescent="0.3">
      <c r="A92" s="497" t="str">
        <f>CONCATENATE('3 pr-2'!A92)</f>
        <v>1.1.2.4</v>
      </c>
      <c r="B92" s="613" t="str">
        <f>CONCATENATE('ketv. 2lent'!B91)</f>
        <v/>
      </c>
      <c r="C92" s="1656" t="str">
        <f>CONCATENATE('3 pr-2'!D92)</f>
        <v/>
      </c>
      <c r="D92" s="1789" t="str">
        <f>CONCATENATE('3 pr-2'!E92)</f>
        <v/>
      </c>
      <c r="E92" s="1789" t="str">
        <f>CONCATENATE('3 pr-2'!F92)</f>
        <v/>
      </c>
      <c r="F92" s="1789" t="str">
        <f>CONCATENATE('3 pr-2'!G92)</f>
        <v/>
      </c>
      <c r="G92" s="1789" t="str">
        <f>CONCATENATE('3 pr-2'!H92)</f>
        <v/>
      </c>
      <c r="H92" s="1789" t="str">
        <f>CONCATENATE('3 pr-2'!I92)</f>
        <v/>
      </c>
      <c r="I92" s="1790" t="str">
        <f>CONCATENATE('3 pr-2'!J92)</f>
        <v/>
      </c>
      <c r="J92" s="629">
        <f>SUM(J93:J99)</f>
        <v>1715391.06</v>
      </c>
      <c r="K92" s="629">
        <f t="shared" ref="K92:O92" si="22">SUM(K93:K99)</f>
        <v>194649.06</v>
      </c>
      <c r="L92" s="629">
        <f t="shared" si="22"/>
        <v>0</v>
      </c>
      <c r="M92" s="629">
        <f t="shared" si="22"/>
        <v>0</v>
      </c>
      <c r="N92" s="629">
        <f t="shared" si="22"/>
        <v>62660</v>
      </c>
      <c r="O92" s="629">
        <f t="shared" si="22"/>
        <v>1458082</v>
      </c>
      <c r="P92" s="630"/>
      <c r="Q92" s="631"/>
      <c r="R92" s="630"/>
      <c r="S92" s="631"/>
    </row>
    <row r="93" spans="1:19" ht="48.75" x14ac:dyDescent="0.25">
      <c r="A93" s="255" t="str">
        <f>CONCATENATE('3 pr-2'!A93)</f>
        <v>1.1.2.4.1</v>
      </c>
      <c r="B93" s="473" t="str">
        <f>CONCATENATE('ketv. 2lent'!B92)</f>
        <v>06.2.1-TID-R-511-11-0002</v>
      </c>
      <c r="C93" s="255" t="str">
        <f>CONCATENATE('3 pr-2'!D93)</f>
        <v>Varėnos miesto J. Basanavičiaus, Savanorių ir M. K. Čiurlionio gatvių rekonstrukcija</v>
      </c>
      <c r="D93" s="255" t="str">
        <f>CONCATENATE('3 pr-2'!E93)</f>
        <v>Varėnos rajono savivaldybės administracija</v>
      </c>
      <c r="E93" s="255" t="str">
        <f>CONCATENATE('3 pr-2'!F93)</f>
        <v>Lietuvos Respublikos susisiekimo ministerija</v>
      </c>
      <c r="F93" s="255" t="str">
        <f>CONCATENATE('3 pr-2'!G93)</f>
        <v>Varėnos miestas</v>
      </c>
      <c r="G93" s="255" t="str">
        <f>CONCATENATE('3 pr-2'!H93)</f>
        <v>06.2.1-TID-R-511</v>
      </c>
      <c r="H93" s="255" t="str">
        <f>CONCATENATE('3 pr-2'!I93)</f>
        <v>R</v>
      </c>
      <c r="I93" s="255" t="str">
        <f>CONCATENATE('3 pr-2'!J93)</f>
        <v>ITI</v>
      </c>
      <c r="J93" s="474">
        <f>IF(Q93&gt;0,'3 pr-2'!L93,0)</f>
        <v>835464</v>
      </c>
      <c r="K93" s="474">
        <f>IF(Q93&gt;0,'3 pr-2'!O93,0)</f>
        <v>62660</v>
      </c>
      <c r="L93" s="474">
        <f>IF(Q93&gt;0,'3 pr-2'!R93,0)</f>
        <v>0</v>
      </c>
      <c r="M93" s="474">
        <f>IF(Q93&gt;0,'3 pr-2'!U93,0)</f>
        <v>0</v>
      </c>
      <c r="N93" s="474">
        <f>IF(Q93&gt;0,'3 pr-2'!X93,0)</f>
        <v>62660</v>
      </c>
      <c r="O93" s="474">
        <f>IF(Q93&gt;0,'3 pr-2'!AA93,0)</f>
        <v>710144</v>
      </c>
      <c r="P93" s="290">
        <f>SUM('3 pr-2'!AG93)</f>
        <v>42887</v>
      </c>
      <c r="Q93" s="604">
        <v>42887</v>
      </c>
      <c r="R93" s="291">
        <f>IF((YEAR(P93)-YEAR(Q93))=0,0,YEAR(P93)-YEAR(Q93))</f>
        <v>0</v>
      </c>
      <c r="S93" s="998" t="str">
        <f t="shared" ref="S93:S98" si="23">IF(P93-Q93&lt;0,(P93-Q93)/30.4166666666667,"–")</f>
        <v>–</v>
      </c>
    </row>
    <row r="94" spans="1:19" ht="48.75" x14ac:dyDescent="0.25">
      <c r="A94" s="255" t="str">
        <f>CONCATENATE('3 pr-2'!A94)</f>
        <v>1.1.2.4.2</v>
      </c>
      <c r="B94" s="473" t="str">
        <f>CONCATENATE('ketv. 2lent'!B93)</f>
        <v>06.2.1-TID-R-511-11-0001</v>
      </c>
      <c r="C94" s="255" t="str">
        <f>CONCATENATE('3 pr-2'!D94)</f>
        <v>Perspektyvinės gatvės nuo Pramonės  g. iki Naujosios g. Alytuje įrengimas</v>
      </c>
      <c r="D94" s="255" t="str">
        <f>CONCATENATE('3 pr-2'!E94)</f>
        <v>Alytaus miesto savivaldybės administracija</v>
      </c>
      <c r="E94" s="255" t="str">
        <f>CONCATENATE('3 pr-2'!F94)</f>
        <v>Lietuvos Respublikos susisiekimo ministerija</v>
      </c>
      <c r="F94" s="255" t="str">
        <f>CONCATENATE('3 pr-2'!G94)</f>
        <v>Alytaus  miestas</v>
      </c>
      <c r="G94" s="255" t="str">
        <f>CONCATENATE('3 pr-2'!H94)</f>
        <v>06.2.1-TID-R-511</v>
      </c>
      <c r="H94" s="255" t="str">
        <f>CONCATENATE('3 pr-2'!I94)</f>
        <v>R</v>
      </c>
      <c r="I94" s="255" t="str">
        <f>CONCATENATE('3 pr-2'!J94)</f>
        <v>ITI</v>
      </c>
      <c r="J94" s="474">
        <f>IF(Q94&gt;0,'3 pr-2'!L94,0)</f>
        <v>879927.06</v>
      </c>
      <c r="K94" s="474">
        <f>IF(Q94&gt;0,'3 pr-2'!O94,0)</f>
        <v>131989.06</v>
      </c>
      <c r="L94" s="474">
        <f>IF(Q94&gt;0,'3 pr-2'!R94,0)</f>
        <v>0</v>
      </c>
      <c r="M94" s="474">
        <f>IF(Q94&gt;0,'3 pr-2'!U94,0)</f>
        <v>0</v>
      </c>
      <c r="N94" s="474">
        <f>IF(Q94&gt;0,'3 pr-2'!X94,0)</f>
        <v>0</v>
      </c>
      <c r="O94" s="474">
        <f>IF(Q94&gt;0,'3 pr-2'!AA94,0)</f>
        <v>747938</v>
      </c>
      <c r="P94" s="290">
        <f>SUM('3 pr-2'!AG94)</f>
        <v>42855</v>
      </c>
      <c r="Q94" s="604">
        <v>42851</v>
      </c>
      <c r="R94" s="291">
        <f>IF((YEAR(P94)-YEAR(Q94))=0,0,YEAR(P94)-YEAR(Q94))</f>
        <v>0</v>
      </c>
      <c r="S94" s="998" t="str">
        <f t="shared" si="23"/>
        <v>–</v>
      </c>
    </row>
    <row r="95" spans="1:19" ht="48.75" x14ac:dyDescent="0.25">
      <c r="A95" s="255" t="str">
        <f>CONCATENATE('3 pr-2'!A95)</f>
        <v>1.1.2.4.3.</v>
      </c>
      <c r="B95" s="473" t="str">
        <f>CONCATENATE('ketv. 2lent'!B94)</f>
        <v/>
      </c>
      <c r="C95" s="255" t="str">
        <f>CONCATENATE('3 pr-2'!D95)</f>
        <v>Saugaus eismo priemonių diegimas, Alytuje</v>
      </c>
      <c r="D95" s="255" t="str">
        <f>CONCATENATE('3 pr-2'!E95)</f>
        <v>Alytaus miesto savivaldybės administracija</v>
      </c>
      <c r="E95" s="255" t="str">
        <f>CONCATENATE('3 pr-2'!F95)</f>
        <v>Lietuvos Respublikos susisiekimo ministerija</v>
      </c>
      <c r="F95" s="255" t="str">
        <f>CONCATENATE('3 pr-2'!G95)</f>
        <v>Alytaus  miestas</v>
      </c>
      <c r="G95" s="255" t="str">
        <f>CONCATENATE('3 pr-2'!H95)</f>
        <v>06.2.1-TID-R-511</v>
      </c>
      <c r="H95" s="255" t="str">
        <f>CONCATENATE('3 pr-2'!I95)</f>
        <v>R</v>
      </c>
      <c r="I95" s="255" t="str">
        <f>CONCATENATE('3 pr-2'!J95)</f>
        <v>-</v>
      </c>
      <c r="J95" s="474">
        <f>IF(Q95&gt;0,'3 pr-2'!L95,0)</f>
        <v>0</v>
      </c>
      <c r="K95" s="474">
        <f>IF(Q95&gt;0,'3 pr-2'!O95,0)</f>
        <v>0</v>
      </c>
      <c r="L95" s="474">
        <f>IF(Q95&gt;0,'3 pr-2'!R95,0)</f>
        <v>0</v>
      </c>
      <c r="M95" s="474">
        <f>IF(Q95&gt;0,'3 pr-2'!U95,0)</f>
        <v>0</v>
      </c>
      <c r="N95" s="474">
        <f>IF(Q95&gt;0,'3 pr-2'!X95,0)</f>
        <v>0</v>
      </c>
      <c r="O95" s="474">
        <f>IF(Q95&gt;0,'3 pr-2'!AA95,0)</f>
        <v>0</v>
      </c>
      <c r="P95" s="290">
        <f>SUM('3 pr-2'!AG95)</f>
        <v>43342</v>
      </c>
      <c r="Q95" s="604"/>
      <c r="R95" s="291"/>
      <c r="S95" s="998" t="str">
        <f t="shared" si="23"/>
        <v>–</v>
      </c>
    </row>
    <row r="96" spans="1:19" ht="48.75" x14ac:dyDescent="0.25">
      <c r="A96" s="255" t="str">
        <f>CONCATENATE('3 pr-2'!A96)</f>
        <v>1.1.2.4.4</v>
      </c>
      <c r="B96" s="473" t="str">
        <f>CONCATENATE('ketv. 2lent'!B95)</f>
        <v/>
      </c>
      <c r="C96" s="255" t="str">
        <f>CONCATENATE('3 pr-2'!D96)</f>
        <v>Eismo saugos priemonių diegimas Alytaus rajone</v>
      </c>
      <c r="D96" s="255" t="str">
        <f>CONCATENATE('3 pr-2'!E96)</f>
        <v>Alytaus rajono savivaldybės administracija</v>
      </c>
      <c r="E96" s="255" t="str">
        <f>CONCATENATE('3 pr-2'!F96)</f>
        <v>Lietuvos Respublikos susisiekimo ministerija</v>
      </c>
      <c r="F96" s="255" t="str">
        <f>CONCATENATE('3 pr-2'!G96)</f>
        <v>Alytaus  rajono savivaldybė</v>
      </c>
      <c r="G96" s="255" t="str">
        <f>CONCATENATE('3 pr-2'!H96)</f>
        <v>06.2.1-TID-R-511</v>
      </c>
      <c r="H96" s="255" t="str">
        <f>CONCATENATE('3 pr-2'!I96)</f>
        <v>R</v>
      </c>
      <c r="I96" s="255" t="str">
        <f>CONCATENATE('3 pr-2'!J96)</f>
        <v>-</v>
      </c>
      <c r="J96" s="474">
        <f>IF(Q96&gt;0,'3 pr-2'!L96,0)</f>
        <v>0</v>
      </c>
      <c r="K96" s="474">
        <f>IF(Q96&gt;0,'3 pr-2'!O96,0)</f>
        <v>0</v>
      </c>
      <c r="L96" s="474">
        <f>IF(Q96&gt;0,'3 pr-2'!R96,0)</f>
        <v>0</v>
      </c>
      <c r="M96" s="474">
        <f>IF(Q96&gt;0,'3 pr-2'!U96,0)</f>
        <v>0</v>
      </c>
      <c r="N96" s="474">
        <f>IF(Q96&gt;0,'3 pr-2'!X96,0)</f>
        <v>0</v>
      </c>
      <c r="O96" s="474">
        <f>IF(Q96&gt;0,'3 pr-2'!AA96,0)</f>
        <v>0</v>
      </c>
      <c r="P96" s="290">
        <f>SUM('3 pr-2'!AG96)</f>
        <v>43252</v>
      </c>
      <c r="Q96" s="604"/>
      <c r="R96" s="291"/>
      <c r="S96" s="998" t="str">
        <f t="shared" si="23"/>
        <v>–</v>
      </c>
    </row>
    <row r="97" spans="1:19" ht="48.75" x14ac:dyDescent="0.25">
      <c r="A97" s="255" t="str">
        <f>CONCATENATE('3 pr-2'!A97)</f>
        <v>1.1.2.4.5</v>
      </c>
      <c r="B97" s="473" t="str">
        <f>CONCATENATE('ketv. 2lent'!B96)</f>
        <v/>
      </c>
      <c r="C97" s="255" t="str">
        <f>CONCATENATE('3 pr-2'!D97)</f>
        <v>M. K. Čiurlionio gatvės atkarpos Druskininkų m. rekonstrukcija</v>
      </c>
      <c r="D97" s="255" t="str">
        <f>CONCATENATE('3 pr-2'!E97)</f>
        <v xml:space="preserve">Druskininkų savivaldybės administracija  </v>
      </c>
      <c r="E97" s="255" t="str">
        <f>CONCATENATE('3 pr-2'!F97)</f>
        <v>Lietuvos Respublikos susisiekimo ministerija</v>
      </c>
      <c r="F97" s="255" t="str">
        <f>CONCATENATE('3 pr-2'!G97)</f>
        <v>Druskininkų miestas</v>
      </c>
      <c r="G97" s="255" t="str">
        <f>CONCATENATE('3 pr-2'!H97)</f>
        <v>06.2.1-TID-R-511</v>
      </c>
      <c r="H97" s="255" t="str">
        <f>CONCATENATE('3 pr-2'!I97)</f>
        <v>R</v>
      </c>
      <c r="I97" s="255" t="str">
        <f>CONCATENATE('3 pr-2'!J97)</f>
        <v>-</v>
      </c>
      <c r="J97" s="474">
        <f>IF(Q97&gt;0,'3 pr-2'!L97,0)</f>
        <v>0</v>
      </c>
      <c r="K97" s="474">
        <f>IF(Q97&gt;0,'3 pr-2'!O97,0)</f>
        <v>0</v>
      </c>
      <c r="L97" s="474">
        <f>IF(Q97&gt;0,'3 pr-2'!R97,0)</f>
        <v>0</v>
      </c>
      <c r="M97" s="474">
        <f>IF(Q97&gt;0,'3 pr-2'!U97,0)</f>
        <v>0</v>
      </c>
      <c r="N97" s="474">
        <f>IF(Q97&gt;0,'3 pr-2'!X97,0)</f>
        <v>0</v>
      </c>
      <c r="O97" s="474">
        <f>IF(Q97&gt;0,'3 pr-2'!AA97,0)</f>
        <v>0</v>
      </c>
      <c r="P97" s="290">
        <f>SUM('3 pr-2'!AG97)</f>
        <v>43326</v>
      </c>
      <c r="Q97" s="604"/>
      <c r="R97" s="291"/>
      <c r="S97" s="998" t="str">
        <f t="shared" si="23"/>
        <v>–</v>
      </c>
    </row>
    <row r="98" spans="1:19" ht="45.75" customHeight="1" x14ac:dyDescent="0.25">
      <c r="A98" s="343" t="str">
        <f>CONCATENATE('3 pr-2'!A98)</f>
        <v>1.1.2.4.6</v>
      </c>
      <c r="B98" s="632" t="str">
        <f>CONCATENATE('ketv. 2lent'!B97)</f>
        <v/>
      </c>
      <c r="C98" s="343" t="str">
        <f>CONCATENATE('3 pr-2'!D98)</f>
        <v>Lazdijų miesto Seinų ir Lazdijos gatvių bei vietinės reikšmės kelio nuo Janonio gatvės iki Lazdijų hipodromo rekonstravimas</v>
      </c>
      <c r="D98" s="343" t="str">
        <f>CONCATENATE('3 pr-2'!E98)</f>
        <v>Lazdijų rajono savivaldybės administracija</v>
      </c>
      <c r="E98" s="343" t="str">
        <f>CONCATENATE('3 pr-2'!F98)</f>
        <v>Lietuvos Respublikos susisiekimo ministerija</v>
      </c>
      <c r="F98" s="343" t="str">
        <f>CONCATENATE('3 pr-2'!G98)</f>
        <v>Lazdijų miestas</v>
      </c>
      <c r="G98" s="343" t="str">
        <f>CONCATENATE('3 pr-2'!H98)</f>
        <v>06.2.1-TID-R-511</v>
      </c>
      <c r="H98" s="343" t="str">
        <f>CONCATENATE('3 pr-2'!I98)</f>
        <v>R</v>
      </c>
      <c r="I98" s="343" t="str">
        <f>CONCATENATE('3 pr-2'!J98)</f>
        <v>ITI</v>
      </c>
      <c r="J98" s="474">
        <f>IF(Q98&gt;0,'3 pr-2'!L98,0)</f>
        <v>0</v>
      </c>
      <c r="K98" s="474">
        <f>IF(Q98&gt;0,'3 pr-2'!O98,0)</f>
        <v>0</v>
      </c>
      <c r="L98" s="474">
        <f>IF(Q98&gt;0,'3 pr-2'!R98,0)</f>
        <v>0</v>
      </c>
      <c r="M98" s="474">
        <f>IF(Q98&gt;0,'3 pr-2'!U98,0)</f>
        <v>0</v>
      </c>
      <c r="N98" s="474">
        <f>IF(Q98&gt;0,'3 pr-2'!X98,0)</f>
        <v>0</v>
      </c>
      <c r="O98" s="474">
        <f>IF(Q98&gt;0,'3 pr-2'!AA98,0)</f>
        <v>0</v>
      </c>
      <c r="P98" s="634">
        <f>SUM('3 pr-2'!AG98)</f>
        <v>43130</v>
      </c>
      <c r="Q98" s="627"/>
      <c r="R98" s="638"/>
      <c r="S98" s="998" t="str">
        <f t="shared" si="23"/>
        <v>–</v>
      </c>
    </row>
    <row r="99" spans="1:19" ht="45.75" customHeight="1" thickBot="1" x14ac:dyDescent="0.3">
      <c r="A99" s="343" t="str">
        <f>CONCATENATE('3 pr-2'!A99)</f>
        <v>1.1.2.4.7</v>
      </c>
      <c r="B99" s="632" t="str">
        <f>CONCATENATE('ketv. 2lent'!B98)</f>
        <v/>
      </c>
      <c r="C99" s="343" t="str">
        <f>CONCATENATE('3 pr-2'!D99)</f>
        <v>Eismo saugumo priemonių diegimas Druskininkų savivaldybėje</v>
      </c>
      <c r="D99" s="343" t="str">
        <f>CONCATENATE('3 pr-2'!E99)</f>
        <v xml:space="preserve">Druskininkų savivaldybės administracija  </v>
      </c>
      <c r="E99" s="343" t="str">
        <f>CONCATENATE('3 pr-2'!F99)</f>
        <v>Lietuvos Respublikos susisiekimo ministerija</v>
      </c>
      <c r="F99" s="343" t="str">
        <f>CONCATENATE('3 pr-2'!G99)</f>
        <v>Druskininkų miestas</v>
      </c>
      <c r="G99" s="343" t="str">
        <f>CONCATENATE('3 pr-2'!H99)</f>
        <v>06.2.1-TID-R-511</v>
      </c>
      <c r="H99" s="343" t="str">
        <f>CONCATENATE('3 pr-2'!I99)</f>
        <v>R</v>
      </c>
      <c r="I99" s="343" t="str">
        <f>CONCATENATE('3 pr-2'!J99)</f>
        <v>-</v>
      </c>
      <c r="J99" s="474">
        <f>IF(Q99&gt;0,'3 pr-2'!L99,0)</f>
        <v>0</v>
      </c>
      <c r="K99" s="474">
        <f>IF(Q99&gt;0,'3 pr-2'!O99,0)</f>
        <v>0</v>
      </c>
      <c r="L99" s="474">
        <f>IF(Q99&gt;0,'3 pr-2'!R99,0)</f>
        <v>0</v>
      </c>
      <c r="M99" s="474">
        <f>IF(Q99&gt;0,'3 pr-2'!U99,0)</f>
        <v>0</v>
      </c>
      <c r="N99" s="474">
        <f>IF(Q99&gt;0,'3 pr-2'!X99,0)</f>
        <v>0</v>
      </c>
      <c r="O99" s="474">
        <f>IF(Q99&gt;0,'3 pr-2'!AA99,0)</f>
        <v>0</v>
      </c>
      <c r="P99" s="634">
        <f>SUM('3 pr-2'!AG99)</f>
        <v>43496</v>
      </c>
      <c r="Q99" s="627"/>
      <c r="R99" s="638"/>
      <c r="S99" s="998" t="str">
        <f t="shared" ref="S99" si="24">IF(P99-Q99&lt;0,(P99-Q99)/30.4166666666667,"–")</f>
        <v>–</v>
      </c>
    </row>
    <row r="100" spans="1:19" ht="48" customHeight="1" thickBot="1" x14ac:dyDescent="0.35">
      <c r="A100" s="655" t="str">
        <f>CONCATENATE('3 pr-2'!A100)</f>
        <v>2.1.</v>
      </c>
      <c r="B100" s="656" t="str">
        <f>CONCATENATE('ketv. 2lent'!B99)</f>
        <v/>
      </c>
      <c r="C100" s="1799" t="str">
        <f>CONCATENATE('3 pr-2'!D100)</f>
        <v/>
      </c>
      <c r="D100" s="1800" t="str">
        <f>CONCATENATE('3 pr-2'!E100)</f>
        <v/>
      </c>
      <c r="E100" s="1800" t="str">
        <f>CONCATENATE('3 pr-2'!F100)</f>
        <v/>
      </c>
      <c r="F100" s="1800" t="str">
        <f>CONCATENATE('3 pr-2'!G100)</f>
        <v/>
      </c>
      <c r="G100" s="1800" t="str">
        <f>CONCATENATE('3 pr-2'!H100)</f>
        <v/>
      </c>
      <c r="H100" s="1800" t="str">
        <f>CONCATENATE('3 pr-2'!I100)</f>
        <v/>
      </c>
      <c r="I100" s="1801" t="str">
        <f>CONCATENATE('3 pr-2'!J100)</f>
        <v/>
      </c>
      <c r="J100" s="657">
        <f>SUM(J101+J120+J146+J159)</f>
        <v>9281076.2599999979</v>
      </c>
      <c r="K100" s="646">
        <f>SUM('3 pr-2'!O100)</f>
        <v>1867021.34</v>
      </c>
      <c r="L100" s="646">
        <f>SUM('3 pr-2'!R100)</f>
        <v>411330.16378378379</v>
      </c>
      <c r="M100" s="646">
        <f>SUM('3 pr-2'!U100)</f>
        <v>40158</v>
      </c>
      <c r="N100" s="646">
        <f>SUM('3 pr-2'!X100)</f>
        <v>0</v>
      </c>
      <c r="O100" s="646">
        <f>SUM('3 pr-2'!AA100)</f>
        <v>10278245.306216216</v>
      </c>
      <c r="P100" s="646" t="s">
        <v>725</v>
      </c>
      <c r="Q100" s="646" t="s">
        <v>725</v>
      </c>
      <c r="R100" s="646" t="s">
        <v>725</v>
      </c>
      <c r="S100" s="646"/>
    </row>
    <row r="101" spans="1:19" ht="59.25" customHeight="1" thickBot="1" x14ac:dyDescent="0.3">
      <c r="A101" s="345" t="str">
        <f>CONCATENATE('3 pr-2'!A101)</f>
        <v>2.1.1.</v>
      </c>
      <c r="B101" s="648" t="str">
        <f>CONCATENATE('ketv. 2lent'!B100)</f>
        <v/>
      </c>
      <c r="C101" s="1668" t="str">
        <f>CONCATENATE('3 pr-2'!D101)</f>
        <v/>
      </c>
      <c r="D101" s="1669" t="str">
        <f>CONCATENATE('3 pr-2'!E101)</f>
        <v/>
      </c>
      <c r="E101" s="1669" t="str">
        <f>CONCATENATE('3 pr-2'!F101)</f>
        <v/>
      </c>
      <c r="F101" s="1669" t="str">
        <f>CONCATENATE('3 pr-2'!G101)</f>
        <v/>
      </c>
      <c r="G101" s="1669" t="str">
        <f>CONCATENATE('3 pr-2'!H101)</f>
        <v/>
      </c>
      <c r="H101" s="1669" t="str">
        <f>CONCATENATE('3 pr-2'!I101)</f>
        <v/>
      </c>
      <c r="I101" s="1670" t="str">
        <f>CONCATENATE('3 pr-2'!J101)</f>
        <v/>
      </c>
      <c r="J101" s="303">
        <f t="shared" ref="J101:O101" si="25">SUM(J102+J108+J114)</f>
        <v>4705665.1899999995</v>
      </c>
      <c r="K101" s="303">
        <f t="shared" si="25"/>
        <v>737430.77999999991</v>
      </c>
      <c r="L101" s="303">
        <f t="shared" si="25"/>
        <v>201261.19378378382</v>
      </c>
      <c r="M101" s="303">
        <f t="shared" si="25"/>
        <v>0</v>
      </c>
      <c r="N101" s="303">
        <f t="shared" si="25"/>
        <v>0</v>
      </c>
      <c r="O101" s="303">
        <f t="shared" si="25"/>
        <v>3766973.2162162159</v>
      </c>
      <c r="P101" s="311" t="s">
        <v>725</v>
      </c>
      <c r="Q101" s="650" t="s">
        <v>725</v>
      </c>
      <c r="R101" s="649" t="s">
        <v>725</v>
      </c>
      <c r="S101" s="314"/>
    </row>
    <row r="102" spans="1:19" ht="37.5" customHeight="1" thickBot="1" x14ac:dyDescent="0.3">
      <c r="A102" s="497" t="str">
        <f>CONCATENATE('3 pr-2'!A102)</f>
        <v>2.1.1.1</v>
      </c>
      <c r="B102" s="613" t="str">
        <f>CONCATENATE('ketv. 2lent'!B101)</f>
        <v/>
      </c>
      <c r="C102" s="1656" t="str">
        <f>CONCATENATE('3 pr-2'!D102)</f>
        <v/>
      </c>
      <c r="D102" s="1789" t="str">
        <f>CONCATENATE('3 pr-2'!E102)</f>
        <v/>
      </c>
      <c r="E102" s="1789" t="str">
        <f>CONCATENATE('3 pr-2'!F102)</f>
        <v/>
      </c>
      <c r="F102" s="1789" t="str">
        <f>CONCATENATE('3 pr-2'!G102)</f>
        <v/>
      </c>
      <c r="G102" s="1789" t="str">
        <f>CONCATENATE('3 pr-2'!H102)</f>
        <v/>
      </c>
      <c r="H102" s="1789" t="str">
        <f>CONCATENATE('3 pr-2'!I102)</f>
        <v/>
      </c>
      <c r="I102" s="1790" t="str">
        <f>CONCATENATE('3 pr-2'!J102)</f>
        <v/>
      </c>
      <c r="J102" s="629">
        <f t="shared" ref="J102:O102" si="26">SUM(J103:J107)</f>
        <v>1343974.82</v>
      </c>
      <c r="K102" s="629">
        <f t="shared" si="26"/>
        <v>100799.41</v>
      </c>
      <c r="L102" s="629">
        <f t="shared" si="26"/>
        <v>100798.41</v>
      </c>
      <c r="M102" s="629">
        <f t="shared" si="26"/>
        <v>0</v>
      </c>
      <c r="N102" s="629">
        <f t="shared" si="26"/>
        <v>0</v>
      </c>
      <c r="O102" s="629">
        <f t="shared" si="26"/>
        <v>1142377</v>
      </c>
      <c r="P102" s="630"/>
      <c r="Q102" s="631"/>
      <c r="R102" s="630"/>
      <c r="S102" s="631"/>
    </row>
    <row r="103" spans="1:19" ht="60.75" x14ac:dyDescent="0.25">
      <c r="A103" s="255" t="str">
        <f>CONCATENATE('3 pr-2'!A103)</f>
        <v>2.1.1.1.1</v>
      </c>
      <c r="B103" s="473" t="str">
        <f>CONCATENATE('ketv. 2lent'!B102)</f>
        <v xml:space="preserve">09.1.3-CPVA-R-724-11-0003 </v>
      </c>
      <c r="C103" s="255" t="str">
        <f>CONCATENATE('3 pr-2'!D103)</f>
        <v>Varėnos r. Merkinės Vinco Krėvės gimnazijos laisvų patalpų pritaikymas ikimokyklinio ir priešmokyklinio ugdymo grupėms įrengti</v>
      </c>
      <c r="D103" s="255" t="str">
        <f>CONCATENATE('3 pr-2'!E103)</f>
        <v>Varėnos rajono savivaldybės administracija</v>
      </c>
      <c r="E103" s="255" t="str">
        <f>CONCATENATE('3 pr-2'!F103)</f>
        <v>Lietuvos Respublikos švietimo ir mokslo ministerija</v>
      </c>
      <c r="F103" s="255" t="str">
        <f>CONCATENATE('3 pr-2'!G103)</f>
        <v>Varėnos miestas</v>
      </c>
      <c r="G103" s="255" t="str">
        <f>CONCATENATE('3 pr-2'!H103)</f>
        <v>09.1.3-CPVA-R-724</v>
      </c>
      <c r="H103" s="255" t="str">
        <f>CONCATENATE('3 pr-2'!I103)</f>
        <v>R</v>
      </c>
      <c r="I103" s="255" t="str">
        <f>CONCATENATE('3 pr-2'!J103)</f>
        <v>-</v>
      </c>
      <c r="J103" s="474">
        <f>IF(Q103&gt;0,'3 pr-2'!L103,0)</f>
        <v>220453</v>
      </c>
      <c r="K103" s="474">
        <f>IF(Q103&gt;0,'3 pr-2'!O103,0)</f>
        <v>16534</v>
      </c>
      <c r="L103" s="474">
        <f>IF(Q103&gt;0,'3 pr-2'!R103,0)</f>
        <v>16534</v>
      </c>
      <c r="M103" s="474">
        <f>IF(Q103&gt;0,'3 pr-2'!U103,0)</f>
        <v>0</v>
      </c>
      <c r="N103" s="474">
        <f>IF(Q103&gt;0,'3 pr-2'!X103,0)</f>
        <v>0</v>
      </c>
      <c r="O103" s="474">
        <f>IF(Q103&gt;0,'3 pr-2'!AA103,0)</f>
        <v>187385</v>
      </c>
      <c r="P103" s="290">
        <f>SUM('3 pr-2'!AG103)</f>
        <v>42993</v>
      </c>
      <c r="Q103" s="606">
        <v>42993</v>
      </c>
      <c r="R103" s="291">
        <f>IF((YEAR(P103)-YEAR(Q103))=0,0,YEAR(P103)-YEAR(Q103))</f>
        <v>0</v>
      </c>
      <c r="S103" s="998" t="str">
        <f t="shared" ref="S103:S107" si="27">IF(P103-Q103&lt;0,(P103-Q103)/30.4166666666667,"–")</f>
        <v>–</v>
      </c>
    </row>
    <row r="104" spans="1:19" ht="60.75" x14ac:dyDescent="0.25">
      <c r="A104" s="255" t="str">
        <f>CONCATENATE('3 pr-2'!A104)</f>
        <v>2.1.1.1.2</v>
      </c>
      <c r="B104" s="473" t="str">
        <f>CONCATENATE('ketv. 2lent'!B103)</f>
        <v>09.1.3-CPVA-R-724-11-0005</v>
      </c>
      <c r="C104" s="255" t="str">
        <f>CONCATENATE('3 pr-2'!D104)</f>
        <v>Alytaus rajono bendrojo ugdymo įstaigų aprūpinimas gamtos, technologijų, menų ir kitų mokslų laboratorijų įranga</v>
      </c>
      <c r="D104" s="255" t="str">
        <f>CONCATENATE('3 pr-2'!E104)</f>
        <v>Alytaus rajono savivaldybės administracija</v>
      </c>
      <c r="E104" s="255" t="str">
        <f>CONCATENATE('3 pr-2'!F104)</f>
        <v>Lietuvos Respublikos švietimo ir mokslo ministerija</v>
      </c>
      <c r="F104" s="255" t="str">
        <f>CONCATENATE('3 pr-2'!G104)</f>
        <v>Alytaus  rajono savivaldybė</v>
      </c>
      <c r="G104" s="255" t="str">
        <f>CONCATENATE('3 pr-2'!H104)</f>
        <v>09.1.3-CPVA-R-724</v>
      </c>
      <c r="H104" s="255" t="str">
        <f>CONCATENATE('3 pr-2'!I104)</f>
        <v>R</v>
      </c>
      <c r="I104" s="255" t="str">
        <f>CONCATENATE('3 pr-2'!J104)</f>
        <v>-</v>
      </c>
      <c r="J104" s="474">
        <f>IF(Q104&gt;0,'3 pr-2'!L104,0)</f>
        <v>106844.82</v>
      </c>
      <c r="K104" s="474">
        <f>IF(Q104&gt;0,'3 pr-2'!O104,0)</f>
        <v>8013.41</v>
      </c>
      <c r="L104" s="474">
        <f>IF(Q104&gt;0,'3 pr-2'!R104,0)</f>
        <v>8013.41</v>
      </c>
      <c r="M104" s="474">
        <f>IF(Q104&gt;0,'3 pr-2'!U104,0)</f>
        <v>0</v>
      </c>
      <c r="N104" s="474">
        <f>IF(Q104&gt;0,'3 pr-2'!X104,0)</f>
        <v>0</v>
      </c>
      <c r="O104" s="474">
        <f>IF(Q104&gt;0,'3 pr-2'!AA104,0)</f>
        <v>90818</v>
      </c>
      <c r="P104" s="290">
        <f>SUM('3 pr-2'!AG104)</f>
        <v>42993</v>
      </c>
      <c r="Q104" s="606">
        <v>43003</v>
      </c>
      <c r="R104" s="291">
        <f>IF((YEAR(P104)-YEAR(Q104))=0,0,YEAR(P104)-YEAR(Q104))</f>
        <v>0</v>
      </c>
      <c r="S104" s="998">
        <f t="shared" si="27"/>
        <v>-0.32876712328767088</v>
      </c>
    </row>
    <row r="105" spans="1:19" ht="60.75" x14ac:dyDescent="0.25">
      <c r="A105" s="255" t="str">
        <f>CONCATENATE('3 pr-2'!A105)</f>
        <v>2.1.1.1.3</v>
      </c>
      <c r="B105" s="473" t="str">
        <f>CONCATENATE('ketv. 2lent'!B104)</f>
        <v xml:space="preserve">09.1.3-CPVA-R-724-11-0002 </v>
      </c>
      <c r="C105" s="255" t="str">
        <f>CONCATENATE('3 pr-2'!D105)</f>
        <v>Modernių ir saugių erdvių kūrimas Dzūkijos pagrindinėje mokykloje, Alytuje</v>
      </c>
      <c r="D105" s="255" t="str">
        <f>CONCATENATE('3 pr-2'!E105)</f>
        <v>Alytaus miesto savivaldybės administracija</v>
      </c>
      <c r="E105" s="255" t="str">
        <f>CONCATENATE('3 pr-2'!F105)</f>
        <v>Lietuvos Respublikos švietimo ir mokslo ministerija</v>
      </c>
      <c r="F105" s="255" t="str">
        <f>CONCATENATE('3 pr-2'!G105)</f>
        <v>Alytaus  miestas</v>
      </c>
      <c r="G105" s="255" t="str">
        <f>CONCATENATE('3 pr-2'!H105)</f>
        <v>09.1.3-CPVA-R-724</v>
      </c>
      <c r="H105" s="255" t="str">
        <f>CONCATENATE('3 pr-2'!I105)</f>
        <v>R</v>
      </c>
      <c r="I105" s="255" t="str">
        <f>CONCATENATE('3 pr-2'!J105)</f>
        <v>-</v>
      </c>
      <c r="J105" s="474">
        <f>IF(Q105&gt;0,'3 pr-2'!L105,0)</f>
        <v>657021</v>
      </c>
      <c r="K105" s="474">
        <f>IF(Q105&gt;0,'3 pr-2'!O105,0)</f>
        <v>49277</v>
      </c>
      <c r="L105" s="474">
        <f>IF(Q105&gt;0,'3 pr-2'!R105,0)</f>
        <v>49277</v>
      </c>
      <c r="M105" s="474">
        <f>IF(Q105&gt;0,'3 pr-2'!U105,0)</f>
        <v>0</v>
      </c>
      <c r="N105" s="474">
        <f>IF(Q105&gt;0,'3 pr-2'!X105,0)</f>
        <v>0</v>
      </c>
      <c r="O105" s="474">
        <f>IF(Q105&gt;0,'3 pr-2'!AA105,0)</f>
        <v>558467</v>
      </c>
      <c r="P105" s="290">
        <f>SUM('3 pr-2'!AG105)</f>
        <v>42992</v>
      </c>
      <c r="Q105" s="606">
        <v>42991</v>
      </c>
      <c r="R105" s="291">
        <f>IF((YEAR(P105)-YEAR(Q105))=0,0,YEAR(P105)-YEAR(Q105))</f>
        <v>0</v>
      </c>
      <c r="S105" s="998" t="str">
        <f t="shared" si="27"/>
        <v>–</v>
      </c>
    </row>
    <row r="106" spans="1:19" ht="60.75" x14ac:dyDescent="0.25">
      <c r="A106" s="255" t="str">
        <f>CONCATENATE('3 pr-2'!A106)</f>
        <v>2.1.1.1.4</v>
      </c>
      <c r="B106" s="473" t="str">
        <f>CONCATENATE('ketv. 2lent'!B105)</f>
        <v>09.1.3-CPVA-R-724-11-0004</v>
      </c>
      <c r="C106" s="255" t="str">
        <f>CONCATENATE('3 pr-2'!D106)</f>
        <v>Modernių ir saugių erdvių sukūrimas bendrojo ugdymo mokyklose Druskininkų sav.</v>
      </c>
      <c r="D106" s="255" t="str">
        <f>CONCATENATE('3 pr-2'!E106)</f>
        <v>Druskininkų savivaldybės administracija</v>
      </c>
      <c r="E106" s="255" t="str">
        <f>CONCATENATE('3 pr-2'!F106)</f>
        <v>Lietuvos Respublikos švietimo ir mokslo ministerija</v>
      </c>
      <c r="F106" s="255" t="str">
        <f>CONCATENATE('3 pr-2'!G106)</f>
        <v>Druskininkų savivaldybė</v>
      </c>
      <c r="G106" s="255" t="str">
        <f>CONCATENATE('3 pr-2'!H106)</f>
        <v>09.1.3-CPVA-R-724</v>
      </c>
      <c r="H106" s="255" t="str">
        <f>CONCATENATE('3 pr-2'!I106)</f>
        <v>R</v>
      </c>
      <c r="I106" s="255" t="str">
        <f>CONCATENATE('3 pr-2'!J106)</f>
        <v>-</v>
      </c>
      <c r="J106" s="474">
        <f>IF(Q106&gt;0,'3 pr-2'!L106,0)</f>
        <v>163877</v>
      </c>
      <c r="K106" s="474">
        <f>IF(Q106&gt;0,'3 pr-2'!O106,0)</f>
        <v>12291</v>
      </c>
      <c r="L106" s="474">
        <f>IF(Q106&gt;0,'3 pr-2'!R106,0)</f>
        <v>12291</v>
      </c>
      <c r="M106" s="474">
        <f>IF(Q106&gt;0,'3 pr-2'!U106,0)</f>
        <v>0</v>
      </c>
      <c r="N106" s="474">
        <f>IF(Q106&gt;0,'3 pr-2'!X106,0)</f>
        <v>0</v>
      </c>
      <c r="O106" s="474">
        <f>IF(Q106&gt;0,'3 pr-2'!AA106,0)</f>
        <v>139295</v>
      </c>
      <c r="P106" s="290">
        <f>SUM('3 pr-2'!AG106)</f>
        <v>42993</v>
      </c>
      <c r="Q106" s="606">
        <v>42993</v>
      </c>
      <c r="R106" s="291">
        <f>IF((YEAR(P106)-YEAR(Q106))=0,0,YEAR(P106)-YEAR(Q106))</f>
        <v>0</v>
      </c>
      <c r="S106" s="998" t="str">
        <f t="shared" si="27"/>
        <v>–</v>
      </c>
    </row>
    <row r="107" spans="1:19" ht="61.5" thickBot="1" x14ac:dyDescent="0.3">
      <c r="A107" s="255" t="str">
        <f>CONCATENATE('3 pr-2'!A107)</f>
        <v>2.1.1.1.5</v>
      </c>
      <c r="B107" s="473" t="str">
        <f>CONCATENATE('ketv. 2lent'!B106)</f>
        <v xml:space="preserve">09.1.3-CPVA-R-724-11-0001 </v>
      </c>
      <c r="C107" s="255" t="str">
        <f>CONCATENATE('3 pr-2'!D107)</f>
        <v>Modernių ir saugių erdvių sukūrimas bendrojo ugdymo įstaigose Lazdijų rajono savivaldybėje</v>
      </c>
      <c r="D107" s="255" t="str">
        <f>CONCATENATE('3 pr-2'!E107)</f>
        <v>Lazdijų rajono savivaldybės administracija</v>
      </c>
      <c r="E107" s="255" t="str">
        <f>CONCATENATE('3 pr-2'!F107)</f>
        <v>Lietuvos Respublikos švietimo ir mokslo ministerija</v>
      </c>
      <c r="F107" s="255" t="str">
        <f>CONCATENATE('3 pr-2'!G107)</f>
        <v>Lazdijų rajono savivaldybė</v>
      </c>
      <c r="G107" s="255" t="str">
        <f>CONCATENATE('3 pr-2'!H107)</f>
        <v>09.1.3-CPVA-R-724</v>
      </c>
      <c r="H107" s="255" t="str">
        <f>CONCATENATE('3 pr-2'!I107)</f>
        <v>R</v>
      </c>
      <c r="I107" s="255" t="str">
        <f>CONCATENATE('3 pr-2'!J107)</f>
        <v>-</v>
      </c>
      <c r="J107" s="474">
        <f>IF(Q107&gt;0,'3 pr-2'!L107,0)</f>
        <v>195779</v>
      </c>
      <c r="K107" s="474">
        <f>IF(Q107&gt;0,'3 pr-2'!O107,0)</f>
        <v>14684</v>
      </c>
      <c r="L107" s="474">
        <f>IF(Q107&gt;0,'3 pr-2'!R107,0)</f>
        <v>14683</v>
      </c>
      <c r="M107" s="474">
        <f>IF(Q107&gt;0,'3 pr-2'!U107,0)</f>
        <v>0</v>
      </c>
      <c r="N107" s="474">
        <f>IF(Q107&gt;0,'3 pr-2'!X107,0)</f>
        <v>0</v>
      </c>
      <c r="O107" s="474">
        <f>IF(Q107&gt;0,'3 pr-2'!AA107,0)</f>
        <v>166412</v>
      </c>
      <c r="P107" s="290">
        <f>SUM('3 pr-2'!AG107)</f>
        <v>42993</v>
      </c>
      <c r="Q107" s="606">
        <v>42991</v>
      </c>
      <c r="R107" s="291">
        <f>IF((YEAR(P107)-YEAR(Q107))=0,0,YEAR(P107)-YEAR(Q107))</f>
        <v>0</v>
      </c>
      <c r="S107" s="998" t="str">
        <f t="shared" si="27"/>
        <v>–</v>
      </c>
    </row>
    <row r="108" spans="1:19" ht="39.75" customHeight="1" thickBot="1" x14ac:dyDescent="0.3">
      <c r="A108" s="497" t="str">
        <f>CONCATENATE('3 pr-2'!A108)</f>
        <v>2.1.1.2</v>
      </c>
      <c r="B108" s="613" t="str">
        <f>CONCATENATE('ketv. 2lent'!B107)</f>
        <v/>
      </c>
      <c r="C108" s="1656" t="str">
        <f>CONCATENATE('3 pr-2'!D108)</f>
        <v/>
      </c>
      <c r="D108" s="1789" t="str">
        <f>CONCATENATE('3 pr-2'!E108)</f>
        <v/>
      </c>
      <c r="E108" s="1789" t="str">
        <f>CONCATENATE('3 pr-2'!F108)</f>
        <v/>
      </c>
      <c r="F108" s="1789" t="str">
        <f>CONCATENATE('3 pr-2'!G108)</f>
        <v/>
      </c>
      <c r="G108" s="1789" t="str">
        <f>CONCATENATE('3 pr-2'!H108)</f>
        <v/>
      </c>
      <c r="H108" s="1789" t="str">
        <f>CONCATENATE('3 pr-2'!I108)</f>
        <v/>
      </c>
      <c r="I108" s="1790" t="str">
        <f>CONCATENATE('3 pr-2'!J108)</f>
        <v/>
      </c>
      <c r="J108" s="629">
        <f t="shared" ref="J108:O108" si="28">SUM(J109:J113)</f>
        <v>1973901.3</v>
      </c>
      <c r="K108" s="629">
        <f t="shared" si="28"/>
        <v>487893.3</v>
      </c>
      <c r="L108" s="629">
        <f t="shared" si="28"/>
        <v>0</v>
      </c>
      <c r="M108" s="629">
        <f t="shared" si="28"/>
        <v>0</v>
      </c>
      <c r="N108" s="629">
        <f t="shared" si="28"/>
        <v>0</v>
      </c>
      <c r="O108" s="629">
        <f t="shared" si="28"/>
        <v>1486008</v>
      </c>
      <c r="P108" s="630"/>
      <c r="Q108" s="631"/>
      <c r="R108" s="630"/>
      <c r="S108" s="631"/>
    </row>
    <row r="109" spans="1:19" ht="37.5" customHeight="1" x14ac:dyDescent="0.25">
      <c r="A109" s="316" t="str">
        <f>CONCATENATE('3 pr-2'!A109)</f>
        <v>2.1.1.2.1</v>
      </c>
      <c r="B109" s="639" t="str">
        <f>CONCATENATE('ketv. 2lent'!B108)</f>
        <v>09.1.3-CPVA-R-725-11-0003</v>
      </c>
      <c r="C109" s="316" t="str">
        <f>CONCATENATE('3 pr-2'!D109)</f>
        <v>Varėnos moksleivių kūrybos centro pastato J. Basanavičiaus g. 38, Varėnoje, modernizavimas</v>
      </c>
      <c r="D109" s="316" t="str">
        <f>CONCATENATE('3 pr-2'!E109)</f>
        <v>Varėnos rajono savivaldybės administracija</v>
      </c>
      <c r="E109" s="316" t="str">
        <f>CONCATENATE('3 pr-2'!F109)</f>
        <v>Lietuvos Respublikos švietimo ir mokslo ministerija</v>
      </c>
      <c r="F109" s="316" t="str">
        <f>CONCATENATE('3 pr-2'!G109)</f>
        <v>Varėnos miestas</v>
      </c>
      <c r="G109" s="316" t="str">
        <f>CONCATENATE('3 pr-2'!H109)</f>
        <v>09.13.CPVA-R-725</v>
      </c>
      <c r="H109" s="316" t="str">
        <f>CONCATENATE('3 pr-2'!I109)</f>
        <v>R</v>
      </c>
      <c r="I109" s="316" t="str">
        <f>CONCATENATE('3 pr-2'!J109)</f>
        <v>-</v>
      </c>
      <c r="J109" s="474">
        <f>IF(Q109&gt;0,'3 pr-2'!L109,0)</f>
        <v>437551</v>
      </c>
      <c r="K109" s="474">
        <f>IF(Q109&gt;0,'3 pr-2'!O109,0)</f>
        <v>65633</v>
      </c>
      <c r="L109" s="474">
        <f>IF(Q109&gt;0,'3 pr-2'!R109,0)</f>
        <v>0</v>
      </c>
      <c r="M109" s="474">
        <f>IF(Q109&gt;0,'3 pr-2'!U109,0)</f>
        <v>0</v>
      </c>
      <c r="N109" s="474">
        <f>IF(Q109&gt;0,'3 pr-2'!X109,0)</f>
        <v>0</v>
      </c>
      <c r="O109" s="474">
        <f>IF(Q109&gt;0,'3 pr-2'!AA109,0)</f>
        <v>371918</v>
      </c>
      <c r="P109" s="640">
        <f>SUM('3 pr-2'!AG109)</f>
        <v>43007</v>
      </c>
      <c r="Q109" s="654">
        <v>43004</v>
      </c>
      <c r="R109" s="641">
        <f>IF((YEAR(P109)-YEAR(Q109))=0,0,YEAR(P109)-YEAR(Q109))</f>
        <v>0</v>
      </c>
      <c r="S109" s="998" t="str">
        <f t="shared" ref="S109:S113" si="29">IF(P109-Q109&lt;0,(P109-Q109)/30.4166666666667,"–")</f>
        <v>–</v>
      </c>
    </row>
    <row r="110" spans="1:19" ht="60.75" x14ac:dyDescent="0.25">
      <c r="A110" s="255" t="str">
        <f>CONCATENATE('3 pr-2'!A110)</f>
        <v>2.1.1.2.2</v>
      </c>
      <c r="B110" s="473" t="str">
        <f>CONCATENATE('ketv. 2lent'!B109)</f>
        <v>09.1.3-CPVA-R-725-11-0005</v>
      </c>
      <c r="C110" s="255" t="str">
        <f>CONCATENATE('3 pr-2'!D110)</f>
        <v>Alytaus r. meno ir sporto mokyklos edukacinių erdvių įkūrimas ir atnaujinimas</v>
      </c>
      <c r="D110" s="255" t="str">
        <f>CONCATENATE('3 pr-2'!E110)</f>
        <v>Alytaus rajono savivaldybės administracija</v>
      </c>
      <c r="E110" s="255" t="str">
        <f>CONCATENATE('3 pr-2'!F110)</f>
        <v>Lietuvos Respublikos švietimo ir mokslo ministerija</v>
      </c>
      <c r="F110" s="255" t="str">
        <f>CONCATENATE('3 pr-2'!G110)</f>
        <v>Alytaus  rajono savivaldybė</v>
      </c>
      <c r="G110" s="255" t="str">
        <f>CONCATENATE('3 pr-2'!H110)</f>
        <v>09.13.CPVA-R-725</v>
      </c>
      <c r="H110" s="255" t="str">
        <f>CONCATENATE('3 pr-2'!I110)</f>
        <v>R</v>
      </c>
      <c r="I110" s="255" t="str">
        <f>CONCATENATE('3 pr-2'!J110)</f>
        <v>-</v>
      </c>
      <c r="J110" s="474">
        <f>IF(Q110&gt;0,'3 pr-2'!L110,0)</f>
        <v>856456</v>
      </c>
      <c r="K110" s="474">
        <f>IF(Q110&gt;0,'3 pr-2'!O110,0)</f>
        <v>319845</v>
      </c>
      <c r="L110" s="474">
        <f>IF(Q110&gt;0,'3 pr-2'!R110,0)</f>
        <v>0</v>
      </c>
      <c r="M110" s="474">
        <f>IF(Q110&gt;0,'3 pr-2'!U110,0)</f>
        <v>0</v>
      </c>
      <c r="N110" s="474">
        <f>IF(Q110&gt;0,'3 pr-2'!X110,0)</f>
        <v>0</v>
      </c>
      <c r="O110" s="474">
        <f>IF(Q110&gt;0,'3 pr-2'!AA110,0)</f>
        <v>536611</v>
      </c>
      <c r="P110" s="290">
        <f>SUM('3 pr-2'!AG110)</f>
        <v>43008</v>
      </c>
      <c r="Q110" s="606">
        <v>43007</v>
      </c>
      <c r="R110" s="291">
        <f>IF((YEAR(P110)-YEAR(Q110))=0,0,YEAR(P110)-YEAR(Q110))</f>
        <v>0</v>
      </c>
      <c r="S110" s="998" t="str">
        <f t="shared" si="29"/>
        <v>–</v>
      </c>
    </row>
    <row r="111" spans="1:19" ht="60.75" x14ac:dyDescent="0.25">
      <c r="A111" s="255" t="str">
        <f>CONCATENATE('3 pr-2'!A111)</f>
        <v>2.1.1.2.3</v>
      </c>
      <c r="B111" s="473" t="str">
        <f>CONCATENATE('ketv. 2lent'!B110)</f>
        <v>09.1.3-CPVA-R-725-11-0004</v>
      </c>
      <c r="C111" s="255" t="str">
        <f>CONCATENATE('3 pr-2'!D111)</f>
        <v>Alytaus muzikos mokyklos pastato modernizavimas ir ugdymo aplinkos gerinimas</v>
      </c>
      <c r="D111" s="255" t="str">
        <f>CONCATENATE('3 pr-2'!E111)</f>
        <v>Alytaus miesto savivaldybės administracija</v>
      </c>
      <c r="E111" s="255" t="str">
        <f>CONCATENATE('3 pr-2'!F111)</f>
        <v>Lietuvos Respublikos švietimo ir mokslo ministerija</v>
      </c>
      <c r="F111" s="255" t="str">
        <f>CONCATENATE('3 pr-2'!G111)</f>
        <v>Alytaus  miestas</v>
      </c>
      <c r="G111" s="255" t="str">
        <f>CONCATENATE('3 pr-2'!H111)</f>
        <v>09.13.CPVA-R-725</v>
      </c>
      <c r="H111" s="255" t="str">
        <f>CONCATENATE('3 pr-2'!I111)</f>
        <v>R</v>
      </c>
      <c r="I111" s="255" t="str">
        <f>CONCATENATE('3 pr-2'!J111)</f>
        <v>-</v>
      </c>
      <c r="J111" s="474">
        <f>IF(Q111&gt;0,'3 pr-2'!L111,0)</f>
        <v>397378</v>
      </c>
      <c r="K111" s="474">
        <f>IF(Q111&gt;0,'3 pr-2'!O111,0)</f>
        <v>59607</v>
      </c>
      <c r="L111" s="474">
        <f>IF(Q111&gt;0,'3 pr-2'!R111,0)</f>
        <v>0</v>
      </c>
      <c r="M111" s="474">
        <f>IF(Q111&gt;0,'3 pr-2'!U111,0)</f>
        <v>0</v>
      </c>
      <c r="N111" s="474">
        <f>IF(Q111&gt;0,'3 pr-2'!X111,0)</f>
        <v>0</v>
      </c>
      <c r="O111" s="474">
        <f>IF(Q111&gt;0,'3 pr-2'!AA111,0)</f>
        <v>337771</v>
      </c>
      <c r="P111" s="290">
        <f>SUM('3 pr-2'!AG111)</f>
        <v>43007</v>
      </c>
      <c r="Q111" s="606">
        <v>43006</v>
      </c>
      <c r="R111" s="291">
        <f>IF((YEAR(P111)-YEAR(Q111))=0,0,YEAR(P111)-YEAR(Q111))</f>
        <v>0</v>
      </c>
      <c r="S111" s="998" t="str">
        <f t="shared" si="29"/>
        <v>–</v>
      </c>
    </row>
    <row r="112" spans="1:19" ht="60.75" x14ac:dyDescent="0.25">
      <c r="A112" s="255" t="str">
        <f>CONCATENATE('3 pr-2'!A112)</f>
        <v>2.1.1.2.4</v>
      </c>
      <c r="B112" s="473" t="str">
        <f>CONCATENATE('ketv. 2lent'!B111)</f>
        <v>09.1.3-CPVA-R-725-11-0002</v>
      </c>
      <c r="C112" s="255" t="str">
        <f>CONCATENATE('3 pr-2'!D112)</f>
        <v>Druskininkų M. K. Čiurlionio meno mokyklos infrastruktūros tobulinimas</v>
      </c>
      <c r="D112" s="255" t="str">
        <f>CONCATENATE('3 pr-2'!E112)</f>
        <v xml:space="preserve">Druskininkų savivaldybės administracija  </v>
      </c>
      <c r="E112" s="255" t="str">
        <f>CONCATENATE('3 pr-2'!F112)</f>
        <v>Lietuvos Respublikos švietimo ir mokslo ministerija</v>
      </c>
      <c r="F112" s="255" t="str">
        <f>CONCATENATE('3 pr-2'!G112)</f>
        <v>Druskininkų miestas</v>
      </c>
      <c r="G112" s="255" t="str">
        <f>CONCATENATE('3 pr-2'!H112)</f>
        <v>09.13.CPVA-R-725</v>
      </c>
      <c r="H112" s="255" t="str">
        <f>CONCATENATE('3 pr-2'!I112)</f>
        <v>R</v>
      </c>
      <c r="I112" s="255" t="str">
        <f>CONCATENATE('3 pr-2'!J112)</f>
        <v>-</v>
      </c>
      <c r="J112" s="474">
        <f>IF(Q112&gt;0,'3 pr-2'!L112,0)</f>
        <v>146702.29999999999</v>
      </c>
      <c r="K112" s="474">
        <f>IF(Q112&gt;0,'3 pr-2'!O112,0)</f>
        <v>22436.3</v>
      </c>
      <c r="L112" s="474">
        <f>IF(Q112&gt;0,'3 pr-2'!R112,0)</f>
        <v>0</v>
      </c>
      <c r="M112" s="474">
        <f>IF(Q112&gt;0,'3 pr-2'!U112,0)</f>
        <v>0</v>
      </c>
      <c r="N112" s="474">
        <f>IF(Q112&gt;0,'3 pr-2'!X112,0)</f>
        <v>0</v>
      </c>
      <c r="O112" s="474">
        <f>IF(Q112&gt;0,'3 pr-2'!AA112,0)</f>
        <v>124266</v>
      </c>
      <c r="P112" s="290">
        <f>SUM('3 pr-2'!AG112)</f>
        <v>42993</v>
      </c>
      <c r="Q112" s="606">
        <v>42993</v>
      </c>
      <c r="R112" s="291">
        <f>IF((YEAR(P112)-YEAR(Q112))=0,0,YEAR(P112)-YEAR(Q112))</f>
        <v>0</v>
      </c>
      <c r="S112" s="998" t="str">
        <f t="shared" si="29"/>
        <v>–</v>
      </c>
    </row>
    <row r="113" spans="1:20" ht="61.5" thickBot="1" x14ac:dyDescent="0.3">
      <c r="A113" s="343" t="str">
        <f>CONCATENATE('3 pr-2'!A113)</f>
        <v>2.1.1.2.5</v>
      </c>
      <c r="B113" s="632" t="str">
        <f>CONCATENATE('ketv. 2lent'!B112)</f>
        <v>09.1.3-CPVA-R-725-11-0001</v>
      </c>
      <c r="C113" s="343" t="str">
        <f>CONCATENATE('3 pr-2'!D113)</f>
        <v>Neformaliojo švietimo įstaigų Lazdijų rajono savivaldybėje infrastruktūros tobulinimas</v>
      </c>
      <c r="D113" s="343" t="str">
        <f>CONCATENATE('3 pr-2'!E113)</f>
        <v>VšĮ „Lazdijų sporto centras“</v>
      </c>
      <c r="E113" s="343" t="str">
        <f>CONCATENATE('3 pr-2'!F113)</f>
        <v>Lietuvos Respublikos švietimo ir mokslo ministerija</v>
      </c>
      <c r="F113" s="343" t="str">
        <f>CONCATENATE('3 pr-2'!G113)</f>
        <v>Lazdijų rajono savivaldybė</v>
      </c>
      <c r="G113" s="343" t="str">
        <f>CONCATENATE('3 pr-2'!H113)</f>
        <v>09.13.CPVA-R-725</v>
      </c>
      <c r="H113" s="343" t="str">
        <f>CONCATENATE('3 pr-2'!I113)</f>
        <v>R</v>
      </c>
      <c r="I113" s="343" t="str">
        <f>CONCATENATE('3 pr-2'!J113)</f>
        <v>-</v>
      </c>
      <c r="J113" s="474">
        <f>IF(Q113&gt;0,'3 pr-2'!L113,0)</f>
        <v>135814</v>
      </c>
      <c r="K113" s="474">
        <f>IF(Q113&gt;0,'3 pr-2'!O113,0)</f>
        <v>20372</v>
      </c>
      <c r="L113" s="474">
        <f>IF(Q113&gt;0,'3 pr-2'!R113,0)</f>
        <v>0</v>
      </c>
      <c r="M113" s="474">
        <f>IF(Q113&gt;0,'3 pr-2'!U113,0)</f>
        <v>0</v>
      </c>
      <c r="N113" s="474">
        <f>IF(Q113&gt;0,'3 pr-2'!X113,0)</f>
        <v>0</v>
      </c>
      <c r="O113" s="474">
        <f>IF(Q113&gt;0,'3 pr-2'!AA113,0)</f>
        <v>115442</v>
      </c>
      <c r="P113" s="634">
        <f>SUM('3 pr-2'!AG113)</f>
        <v>42916</v>
      </c>
      <c r="Q113" s="609">
        <v>42915</v>
      </c>
      <c r="R113" s="638">
        <f>IF((YEAR(P113)-YEAR(Q113))=0,0,YEAR(P113)-YEAR(Q113))</f>
        <v>0</v>
      </c>
      <c r="S113" s="998" t="str">
        <f t="shared" si="29"/>
        <v>–</v>
      </c>
    </row>
    <row r="114" spans="1:20" ht="37.5" customHeight="1" thickBot="1" x14ac:dyDescent="0.3">
      <c r="A114" s="497" t="str">
        <f>CONCATENATE('3 pr-2'!A114)</f>
        <v>2.1.1.3</v>
      </c>
      <c r="B114" s="613" t="str">
        <f>CONCATENATE('ketv. 2lent'!B113)</f>
        <v/>
      </c>
      <c r="C114" s="1656" t="str">
        <f>CONCATENATE('3 pr-2'!D114)</f>
        <v/>
      </c>
      <c r="D114" s="1789" t="str">
        <f>CONCATENATE('3 pr-2'!E114)</f>
        <v/>
      </c>
      <c r="E114" s="1789" t="str">
        <f>CONCATENATE('3 pr-2'!F114)</f>
        <v/>
      </c>
      <c r="F114" s="1789" t="str">
        <f>CONCATENATE('3 pr-2'!G114)</f>
        <v/>
      </c>
      <c r="G114" s="1789" t="str">
        <f>CONCATENATE('3 pr-2'!H114)</f>
        <v/>
      </c>
      <c r="H114" s="1789" t="str">
        <f>CONCATENATE('3 pr-2'!I114)</f>
        <v/>
      </c>
      <c r="I114" s="1790" t="str">
        <f>CONCATENATE('3 pr-2'!J114)</f>
        <v/>
      </c>
      <c r="J114" s="629">
        <f t="shared" ref="J114:O114" si="30">SUM(J115:J119)</f>
        <v>1387789.0699999996</v>
      </c>
      <c r="K114" s="629">
        <f t="shared" si="30"/>
        <v>148738.06999999998</v>
      </c>
      <c r="L114" s="629">
        <f t="shared" si="30"/>
        <v>100462.7837837838</v>
      </c>
      <c r="M114" s="629">
        <f t="shared" si="30"/>
        <v>0</v>
      </c>
      <c r="N114" s="629">
        <f t="shared" si="30"/>
        <v>0</v>
      </c>
      <c r="O114" s="629">
        <f t="shared" si="30"/>
        <v>1138588.2162162161</v>
      </c>
      <c r="P114" s="630"/>
      <c r="Q114" s="631"/>
      <c r="R114" s="630"/>
      <c r="S114" s="631"/>
    </row>
    <row r="115" spans="1:20" ht="60.75" x14ac:dyDescent="0.25">
      <c r="A115" s="316" t="str">
        <f>CONCATENATE('3 pr-2'!A115)</f>
        <v>2.1.1.3.1</v>
      </c>
      <c r="B115" s="639" t="str">
        <f>CONCATENATE('ketv. 2lent'!B114)</f>
        <v>09.1.3-CPVA-R-705-11-0003</v>
      </c>
      <c r="C115" s="316" t="str">
        <f>CONCATENATE('3 pr-2'!D115)</f>
        <v>Varėnos "Pasakos" vaikų lopšelio-darželio pastato modernizavimas</v>
      </c>
      <c r="D115" s="316" t="str">
        <f>CONCATENATE('3 pr-2'!E115)</f>
        <v>Varėnos rajono savivaldybės administracija</v>
      </c>
      <c r="E115" s="316" t="str">
        <f>CONCATENATE('3 pr-2'!F115)</f>
        <v>Lietuvos Respublikos švietimo ir mokslo ministerija</v>
      </c>
      <c r="F115" s="316" t="str">
        <f>CONCATENATE('3 pr-2'!G115)</f>
        <v>Varėnos miestas</v>
      </c>
      <c r="G115" s="316" t="str">
        <f>CONCATENATE('3 pr-2'!H115)</f>
        <v>09.1.3-CPVA-R-705</v>
      </c>
      <c r="H115" s="316" t="str">
        <f>CONCATENATE('3 pr-2'!I115)</f>
        <v>R</v>
      </c>
      <c r="I115" s="316" t="str">
        <f>CONCATENATE('3 pr-2'!J115)</f>
        <v>-</v>
      </c>
      <c r="J115" s="474">
        <f>IF(Q115&gt;0,'3 pr-2'!L115,0)</f>
        <v>370000</v>
      </c>
      <c r="K115" s="474">
        <f>IF(Q115&gt;0,'3 pr-2'!O115,0)</f>
        <v>57342</v>
      </c>
      <c r="L115" s="474">
        <f>IF(Q115&gt;0,'3 pr-2'!R115,0)</f>
        <v>25351</v>
      </c>
      <c r="M115" s="474">
        <f>IF(Q115&gt;0,'3 pr-2'!U115,0)</f>
        <v>0</v>
      </c>
      <c r="N115" s="474">
        <f>IF(Q115&gt;0,'3 pr-2'!X115,0)</f>
        <v>0</v>
      </c>
      <c r="O115" s="474">
        <f>IF(Q115&gt;0,'3 pr-2'!AA115,0)</f>
        <v>287307</v>
      </c>
      <c r="P115" s="640">
        <f>SUM('3 pr-2'!AG115)</f>
        <v>43080</v>
      </c>
      <c r="Q115" s="627">
        <v>43080</v>
      </c>
      <c r="R115" s="638">
        <f t="shared" ref="R115:R119" si="31">IF((YEAR(P115)-YEAR(Q115))=0,0,YEAR(P115)-YEAR(Q115))</f>
        <v>0</v>
      </c>
      <c r="S115" s="998" t="str">
        <f t="shared" ref="S115:S119" si="32">IF(P115-Q115&lt;0,(P115-Q115)/30.4166666666667,"–")</f>
        <v>–</v>
      </c>
      <c r="T115" s="30"/>
    </row>
    <row r="116" spans="1:20" ht="60.75" x14ac:dyDescent="0.25">
      <c r="A116" s="255" t="str">
        <f>CONCATENATE('3 pr-2'!A116)</f>
        <v>2.1.1.3.2</v>
      </c>
      <c r="B116" s="473" t="str">
        <f>CONCATENATE('ketv. 2lent'!B115)</f>
        <v>09.1.3-CPVA-R-705-11-0004</v>
      </c>
      <c r="C116" s="255" t="str">
        <f>CONCATENATE('3 pr-2'!D116)</f>
        <v>Alytaus r. ikimokyklinio ir priešmokyklinio ugdymo prieinamumo didinimas įkuriant ir atnaujinant edukacines erdves</v>
      </c>
      <c r="D116" s="255" t="str">
        <f>CONCATENATE('3 pr-2'!E116)</f>
        <v>Alytaus rajono savivaldybės administracija</v>
      </c>
      <c r="E116" s="255" t="str">
        <f>CONCATENATE('3 pr-2'!F116)</f>
        <v>Lietuvos Respublikos švietimo ir mokslo ministerija</v>
      </c>
      <c r="F116" s="255" t="str">
        <f>CONCATENATE('3 pr-2'!G116)</f>
        <v>Alytaus  rajono savivaldybė</v>
      </c>
      <c r="G116" s="255" t="str">
        <f>CONCATENATE('3 pr-2'!H116)</f>
        <v>09.1.3-CPVA-R-705</v>
      </c>
      <c r="H116" s="255" t="str">
        <f>CONCATENATE('3 pr-2'!I116)</f>
        <v>R</v>
      </c>
      <c r="I116" s="255" t="str">
        <f>CONCATENATE('3 pr-2'!J116)</f>
        <v/>
      </c>
      <c r="J116" s="474">
        <f>IF(Q116&gt;0,'3 pr-2'!L116,0)</f>
        <v>597456.86</v>
      </c>
      <c r="K116" s="474">
        <f>IF(Q116&gt;0,'3 pr-2'!O116,0)</f>
        <v>59861.86</v>
      </c>
      <c r="L116" s="474">
        <f>IF(Q116&gt;0,'3 pr-2'!R116,0)</f>
        <v>43588</v>
      </c>
      <c r="M116" s="474">
        <f>IF(Q116&gt;0,'3 pr-2'!U116,0)</f>
        <v>0</v>
      </c>
      <c r="N116" s="474">
        <f>IF(Q116&gt;0,'3 pr-2'!X116,0)</f>
        <v>0</v>
      </c>
      <c r="O116" s="474">
        <f>IF(Q116&gt;0,'3 pr-2'!AA116,0)</f>
        <v>494007</v>
      </c>
      <c r="P116" s="290">
        <f>SUM('3 pr-2'!AG116)</f>
        <v>43080</v>
      </c>
      <c r="Q116" s="604">
        <v>43080</v>
      </c>
      <c r="R116" s="638">
        <f t="shared" si="31"/>
        <v>0</v>
      </c>
      <c r="S116" s="998" t="str">
        <f t="shared" si="32"/>
        <v>–</v>
      </c>
    </row>
    <row r="117" spans="1:20" ht="60.75" x14ac:dyDescent="0.25">
      <c r="A117" s="255" t="str">
        <f>CONCATENATE('3 pr-2'!A117)</f>
        <v>2.1.1.3.3</v>
      </c>
      <c r="B117" s="473" t="str">
        <f>CONCATENATE('ketv. 2lent'!B116)</f>
        <v>09.1.3-CPVA-R-705-11-0001</v>
      </c>
      <c r="C117" s="255" t="str">
        <f>CONCATENATE('3 pr-2'!D117)</f>
        <v>Alytaus lopšelio-darželio " Girinukas" ugdymo aplinkos modernizavimas</v>
      </c>
      <c r="D117" s="255" t="str">
        <f>CONCATENATE('3 pr-2'!E117)</f>
        <v>Alytaus miesto savivaldybės administracija</v>
      </c>
      <c r="E117" s="255" t="str">
        <f>CONCATENATE('3 pr-2'!F117)</f>
        <v>Lietuvos Respublikos švietimo ir mokslo ministerija</v>
      </c>
      <c r="F117" s="255" t="str">
        <f>CONCATENATE('3 pr-2'!G117)</f>
        <v>Alytaus  miestas</v>
      </c>
      <c r="G117" s="255" t="str">
        <f>CONCATENATE('3 pr-2'!H117)</f>
        <v>09.1.3-CPVA-R-705</v>
      </c>
      <c r="H117" s="255" t="str">
        <f>CONCATENATE('3 pr-2'!I117)</f>
        <v>R</v>
      </c>
      <c r="I117" s="255" t="str">
        <f>CONCATENATE('3 pr-2'!J117)</f>
        <v>-</v>
      </c>
      <c r="J117" s="474">
        <f>IF(Q117&gt;0,'3 pr-2'!L117,0)</f>
        <v>181986</v>
      </c>
      <c r="K117" s="474">
        <f>IF(Q117&gt;0,'3 pr-2'!O117,0)</f>
        <v>13649</v>
      </c>
      <c r="L117" s="474">
        <f>IF(Q117&gt;0,'3 pr-2'!R117,0)</f>
        <v>13649</v>
      </c>
      <c r="M117" s="474">
        <f>IF(Q117&gt;0,'3 pr-2'!U117,0)</f>
        <v>0</v>
      </c>
      <c r="N117" s="474">
        <f>IF(Q117&gt;0,'3 pr-2'!X117,0)</f>
        <v>0</v>
      </c>
      <c r="O117" s="474">
        <f>IF(Q117&gt;0,'3 pr-2'!AA117,0)</f>
        <v>154688</v>
      </c>
      <c r="P117" s="290">
        <f>SUM('3 pr-2'!AG117)</f>
        <v>43080</v>
      </c>
      <c r="Q117" s="604">
        <v>43076</v>
      </c>
      <c r="R117" s="638">
        <f t="shared" si="31"/>
        <v>0</v>
      </c>
      <c r="S117" s="998" t="str">
        <f t="shared" si="32"/>
        <v>–</v>
      </c>
    </row>
    <row r="118" spans="1:20" ht="60.75" x14ac:dyDescent="0.25">
      <c r="A118" s="255" t="str">
        <f>CONCATENATE('3 pr-2'!A118)</f>
        <v>2.1.1.3.4</v>
      </c>
      <c r="B118" s="473" t="str">
        <f>CONCATENATE('ketv. 2lent'!B117)</f>
        <v>09.1.3-CPVA-R-705-11-0005</v>
      </c>
      <c r="C118" s="255" t="str">
        <f>CONCATENATE('3 pr-2'!D118)</f>
        <v>Druskininkų sav. Viečiūnų progimnazijos ikimokyklinio ugdymo skyriaus „Linelis“ ugdymo prieinamumo didinimas</v>
      </c>
      <c r="D118" s="255" t="str">
        <f>CONCATENATE('3 pr-2'!E118)</f>
        <v xml:space="preserve">Druskininkų savivaldybės administracija  </v>
      </c>
      <c r="E118" s="255" t="str">
        <f>CONCATENATE('3 pr-2'!F118)</f>
        <v>Lietuvos Respublikos švietimo ir mokslo ministerija</v>
      </c>
      <c r="F118" s="255" t="str">
        <f>CONCATENATE('3 pr-2'!G118)</f>
        <v>Druskininkų savivaldybė</v>
      </c>
      <c r="G118" s="255" t="str">
        <f>CONCATENATE('3 pr-2'!H118)</f>
        <v>09.1.3-CPVA-R-705</v>
      </c>
      <c r="H118" s="255" t="str">
        <f>CONCATENATE('3 pr-2'!I118)</f>
        <v>R</v>
      </c>
      <c r="I118" s="255" t="str">
        <f>CONCATENATE('3 pr-2'!J118)</f>
        <v>-</v>
      </c>
      <c r="J118" s="474">
        <f>IF(Q118&gt;0,'3 pr-2'!L118,0)</f>
        <v>104792</v>
      </c>
      <c r="K118" s="474">
        <f>IF(Q118&gt;0,'3 pr-2'!O118,0)</f>
        <v>7859</v>
      </c>
      <c r="L118" s="474">
        <f>IF(Q118&gt;0,'3 pr-2'!R118,0)</f>
        <v>7859</v>
      </c>
      <c r="M118" s="474">
        <f>IF(Q118&gt;0,'3 pr-2'!U118,0)</f>
        <v>0</v>
      </c>
      <c r="N118" s="474">
        <f>IF(Q118&gt;0,'3 pr-2'!X118,0)</f>
        <v>0</v>
      </c>
      <c r="O118" s="474">
        <f>IF(Q118&gt;0,'3 pr-2'!AA118,0)</f>
        <v>89074</v>
      </c>
      <c r="P118" s="290">
        <f>SUM('3 pr-2'!AG118)</f>
        <v>43160</v>
      </c>
      <c r="Q118" s="604">
        <v>43080</v>
      </c>
      <c r="R118" s="638">
        <f t="shared" si="31"/>
        <v>1</v>
      </c>
      <c r="S118" s="998" t="str">
        <f t="shared" si="32"/>
        <v>–</v>
      </c>
    </row>
    <row r="119" spans="1:20" ht="61.5" thickBot="1" x14ac:dyDescent="0.3">
      <c r="A119" s="343" t="str">
        <f>CONCATENATE('3 pr-2'!A119)</f>
        <v>2.1.1.3.5</v>
      </c>
      <c r="B119" s="632" t="str">
        <f>CONCATENATE('ketv. 2lent'!B118)</f>
        <v>09.1.3-CPVA-R-705-11-0002</v>
      </c>
      <c r="C119" s="343" t="str">
        <f>CONCATENATE('3 pr-2'!D119)</f>
        <v>Ikimokyklinio ir priešmokyklinio ugdymo įstaigų Lazdijų rajono savivaldybėje modernizavimas</v>
      </c>
      <c r="D119" s="343" t="str">
        <f>CONCATENATE('3 pr-2'!E119)</f>
        <v>Lazdijų rajono savivaldybės administracija</v>
      </c>
      <c r="E119" s="343" t="str">
        <f>CONCATENATE('3 pr-2'!F119)</f>
        <v>Lietuvos Respublikos švietimo ir mokslo ministerija</v>
      </c>
      <c r="F119" s="343" t="str">
        <f>CONCATENATE('3 pr-2'!G119)</f>
        <v>Lazdijų rajono savivaldybė</v>
      </c>
      <c r="G119" s="343" t="str">
        <f>CONCATENATE('3 pr-2'!H119)</f>
        <v>09.1.3-CPVA-R-705</v>
      </c>
      <c r="H119" s="343" t="str">
        <f>CONCATENATE('3 pr-2'!I119)</f>
        <v>R</v>
      </c>
      <c r="I119" s="343" t="str">
        <f>CONCATENATE('3 pr-2'!J119)</f>
        <v>-</v>
      </c>
      <c r="J119" s="474">
        <f>IF(Q119&gt;0,'3 pr-2'!L119,0)</f>
        <v>133554.20999999979</v>
      </c>
      <c r="K119" s="474">
        <f>IF(Q119&gt;0,'3 pr-2'!O119,0)</f>
        <v>10026.209999999999</v>
      </c>
      <c r="L119" s="474">
        <f>IF(Q119&gt;0,'3 pr-2'!R119,0)</f>
        <v>10015.7837837838</v>
      </c>
      <c r="M119" s="474">
        <f>IF(Q119&gt;0,'3 pr-2'!U119,0)</f>
        <v>0</v>
      </c>
      <c r="N119" s="474">
        <f>IF(Q119&gt;0,'3 pr-2'!X119,0)</f>
        <v>0</v>
      </c>
      <c r="O119" s="474">
        <f>IF(Q119&gt;0,'3 pr-2'!AA119,0)</f>
        <v>113512.21621621599</v>
      </c>
      <c r="P119" s="634">
        <f>SUM('3 pr-2'!AG119)</f>
        <v>43080</v>
      </c>
      <c r="Q119" s="637">
        <v>43080</v>
      </c>
      <c r="R119" s="638">
        <f t="shared" si="31"/>
        <v>0</v>
      </c>
      <c r="S119" s="998" t="str">
        <f t="shared" si="32"/>
        <v>–</v>
      </c>
    </row>
    <row r="120" spans="1:20" ht="50.25" customHeight="1" thickBot="1" x14ac:dyDescent="0.3">
      <c r="A120" s="345" t="str">
        <f>CONCATENATE('3 pr-2'!A120)</f>
        <v>2.1.2.</v>
      </c>
      <c r="B120" s="648" t="str">
        <f>CONCATENATE('ketv. 2lent'!B119)</f>
        <v/>
      </c>
      <c r="C120" s="1668" t="str">
        <f>CONCATENATE('3 pr-2'!D120)</f>
        <v/>
      </c>
      <c r="D120" s="1669" t="str">
        <f>CONCATENATE('3 pr-2'!E120)</f>
        <v/>
      </c>
      <c r="E120" s="1669" t="str">
        <f>CONCATENATE('3 pr-2'!F120)</f>
        <v/>
      </c>
      <c r="F120" s="1669" t="str">
        <f>CONCATENATE('3 pr-2'!G120)</f>
        <v/>
      </c>
      <c r="G120" s="1669" t="str">
        <f>CONCATENATE('3 pr-2'!H120)</f>
        <v/>
      </c>
      <c r="H120" s="1669" t="str">
        <f>CONCATENATE('3 pr-2'!I120)</f>
        <v/>
      </c>
      <c r="I120" s="1670" t="str">
        <f>CONCATENATE('3 pr-2'!J120)</f>
        <v/>
      </c>
      <c r="J120" s="303">
        <f t="shared" ref="J120:O120" si="33">SUM(J121+J134)</f>
        <v>0</v>
      </c>
      <c r="K120" s="303">
        <f t="shared" si="33"/>
        <v>0</v>
      </c>
      <c r="L120" s="303">
        <f t="shared" si="33"/>
        <v>0</v>
      </c>
      <c r="M120" s="303">
        <f t="shared" si="33"/>
        <v>0</v>
      </c>
      <c r="N120" s="303">
        <f t="shared" si="33"/>
        <v>0</v>
      </c>
      <c r="O120" s="303">
        <f t="shared" si="33"/>
        <v>0</v>
      </c>
      <c r="P120" s="311"/>
      <c r="Q120" s="650"/>
      <c r="R120" s="649"/>
      <c r="S120" s="314"/>
    </row>
    <row r="121" spans="1:20" ht="38.25" customHeight="1" thickBot="1" x14ac:dyDescent="0.3">
      <c r="A121" s="497" t="str">
        <f>CONCATENATE('3 pr-2'!A121)</f>
        <v>2.1.2.1</v>
      </c>
      <c r="B121" s="613" t="str">
        <f>CONCATENATE('ketv. 2lent'!B120)</f>
        <v/>
      </c>
      <c r="C121" s="1656" t="str">
        <f>CONCATENATE('3 pr-2'!D121)</f>
        <v/>
      </c>
      <c r="D121" s="1789" t="str">
        <f>CONCATENATE('3 pr-2'!E121)</f>
        <v/>
      </c>
      <c r="E121" s="1789" t="str">
        <f>CONCATENATE('3 pr-2'!F121)</f>
        <v/>
      </c>
      <c r="F121" s="1789" t="str">
        <f>CONCATENATE('3 pr-2'!G121)</f>
        <v/>
      </c>
      <c r="G121" s="1789" t="str">
        <f>CONCATENATE('3 pr-2'!H121)</f>
        <v/>
      </c>
      <c r="H121" s="1789" t="str">
        <f>CONCATENATE('3 pr-2'!I121)</f>
        <v/>
      </c>
      <c r="I121" s="1790" t="str">
        <f>CONCATENATE('3 pr-2'!J121)</f>
        <v/>
      </c>
      <c r="J121" s="629">
        <f t="shared" ref="J121:O121" si="34">SUM(J122:J129)</f>
        <v>0</v>
      </c>
      <c r="K121" s="629">
        <f t="shared" si="34"/>
        <v>0</v>
      </c>
      <c r="L121" s="629">
        <f t="shared" si="34"/>
        <v>0</v>
      </c>
      <c r="M121" s="629">
        <f t="shared" si="34"/>
        <v>0</v>
      </c>
      <c r="N121" s="629">
        <f t="shared" si="34"/>
        <v>0</v>
      </c>
      <c r="O121" s="629">
        <f t="shared" si="34"/>
        <v>0</v>
      </c>
      <c r="P121" s="630">
        <f>SUM('3 pr-2'!AG121)</f>
        <v>0</v>
      </c>
      <c r="Q121" s="631">
        <v>0</v>
      </c>
      <c r="R121" s="630">
        <f>IF((YEAR(P121)-YEAR(Q121))=0,0,YEAR(P121)-YEAR(Q121))</f>
        <v>0</v>
      </c>
      <c r="S121" s="631">
        <f>IF((MONTH(P121)-MONTH(Q121))=0,0,MONTH(P121)-MONTH(Q121))</f>
        <v>0</v>
      </c>
    </row>
    <row r="122" spans="1:20" ht="60.75" x14ac:dyDescent="0.25">
      <c r="A122" s="254" t="str">
        <f>CONCATENATE('3 pr-2'!A122)</f>
        <v>2.1.2.1.1</v>
      </c>
      <c r="B122" s="323" t="str">
        <f>CONCATENATE('ketv. 2lent'!B121)</f>
        <v/>
      </c>
      <c r="C122" s="255" t="str">
        <f>CONCATENATE('3 pr-2'!D122)</f>
        <v xml:space="preserve">Alytaus poliklinikos teikiamų pirminės sveikatos priežiūros paslaugų prieinamumo didinimas ir kokybės gerinimas </v>
      </c>
      <c r="D122" s="255" t="str">
        <f>CONCATENATE('3 pr-2'!E122)</f>
        <v>VšĮ Alytaus poliklinika</v>
      </c>
      <c r="E122" s="255" t="str">
        <f>CONCATENATE('3 pr-2'!F122)</f>
        <v>Lietuvos Respublikos Sveikatos apsaugos ministerija</v>
      </c>
      <c r="F122" s="255" t="str">
        <f>CONCATENATE('3 pr-2'!G122)</f>
        <v>Alytaus  miestas</v>
      </c>
      <c r="G122" s="255" t="str">
        <f>CONCATENATE('3 pr-2'!H122)</f>
        <v>08.1.3-CPVA-R-609</v>
      </c>
      <c r="H122" s="255" t="str">
        <f>CONCATENATE('3 pr-2'!I122)</f>
        <v>R</v>
      </c>
      <c r="I122" s="265" t="str">
        <f>CONCATENATE('3 pr-2'!J122)</f>
        <v>-</v>
      </c>
      <c r="J122" s="474">
        <f>IF(Q122&gt;0,'3 pr-2'!L122,0)</f>
        <v>0</v>
      </c>
      <c r="K122" s="474">
        <f>IF(Q122&gt;0,'3 pr-2'!O122,0)</f>
        <v>0</v>
      </c>
      <c r="L122" s="474">
        <f>IF(Q122&gt;0,'3 pr-2'!R122,0)</f>
        <v>0</v>
      </c>
      <c r="M122" s="474">
        <f>IF(Q122&gt;0,'3 pr-2'!U122,0)</f>
        <v>0</v>
      </c>
      <c r="N122" s="474">
        <f>IF(Q122&gt;0,'3 pr-2'!X122,0)</f>
        <v>0</v>
      </c>
      <c r="O122" s="474">
        <f>IF(Q122&gt;0,'3 pr-2'!AA122,0)</f>
        <v>0</v>
      </c>
      <c r="P122" s="288">
        <f>SUM('3 pr-2'!AG122)</f>
        <v>43363</v>
      </c>
      <c r="Q122" s="608"/>
      <c r="R122" s="264"/>
      <c r="S122" s="998" t="str">
        <f t="shared" ref="S122:S129" si="35">IF(P122-Q122&lt;0,(P122-Q122)/30.4166666666667,"–")</f>
        <v>–</v>
      </c>
    </row>
    <row r="123" spans="1:20" ht="84.75" x14ac:dyDescent="0.25">
      <c r="A123" s="254" t="str">
        <f>CONCATENATE('3 pr-2'!A123)</f>
        <v>2.1.2.1.2</v>
      </c>
      <c r="B123" s="323" t="str">
        <f>CONCATENATE('ketv. 2lent'!B122)</f>
        <v/>
      </c>
      <c r="C123" s="255" t="str">
        <f>CONCATENATE('3 pr-2'!D123)</f>
        <v>Sveikatos priežiūros paslaugų modernizavimas bei optimizavimas pirminės sveikatos priežiūros centre</v>
      </c>
      <c r="D123" s="255" t="str">
        <f>CONCATENATE('3 pr-2'!E123)</f>
        <v xml:space="preserve">VšĮ Alytaus miesto savivaldybės pirminės sveikatos priežiūros centras </v>
      </c>
      <c r="E123" s="255" t="str">
        <f>CONCATENATE('3 pr-2'!F123)</f>
        <v>Lietuvos Respublikos Sveikatos apsaugos ministerija</v>
      </c>
      <c r="F123" s="255" t="str">
        <f>CONCATENATE('3 pr-2'!G123)</f>
        <v>Alytaus  miestas</v>
      </c>
      <c r="G123" s="255" t="str">
        <f>CONCATENATE('3 pr-2'!H123)</f>
        <v>08.1.3-CPVA-R-609</v>
      </c>
      <c r="H123" s="255" t="str">
        <f>CONCATENATE('3 pr-2'!I123)</f>
        <v>R</v>
      </c>
      <c r="I123" s="265" t="str">
        <f>CONCATENATE('3 pr-2'!J123)</f>
        <v>-</v>
      </c>
      <c r="J123" s="474">
        <f>IF(Q123&gt;0,'3 pr-2'!L123,0)</f>
        <v>0</v>
      </c>
      <c r="K123" s="474">
        <f>IF(Q123&gt;0,'3 pr-2'!O123,0)</f>
        <v>0</v>
      </c>
      <c r="L123" s="474">
        <f>IF(Q123&gt;0,'3 pr-2'!R123,0)</f>
        <v>0</v>
      </c>
      <c r="M123" s="474">
        <f>IF(Q123&gt;0,'3 pr-2'!U123,0)</f>
        <v>0</v>
      </c>
      <c r="N123" s="474">
        <f>IF(Q123&gt;0,'3 pr-2'!X123,0)</f>
        <v>0</v>
      </c>
      <c r="O123" s="474">
        <f>IF(Q123&gt;0,'3 pr-2'!AA123,0)</f>
        <v>0</v>
      </c>
      <c r="P123" s="288">
        <f>SUM('3 pr-2'!AG123)</f>
        <v>43373</v>
      </c>
      <c r="Q123" s="608"/>
      <c r="R123" s="264"/>
      <c r="S123" s="998" t="str">
        <f t="shared" si="35"/>
        <v>–</v>
      </c>
    </row>
    <row r="124" spans="1:20" ht="60.75" x14ac:dyDescent="0.25">
      <c r="A124" s="254" t="str">
        <f>CONCATENATE('3 pr-2'!A124)</f>
        <v>2.1.2.1.3</v>
      </c>
      <c r="B124" s="323" t="str">
        <f>CONCATENATE('ketv. 2lent'!B123)</f>
        <v/>
      </c>
      <c r="C124" s="255" t="str">
        <f>CONCATENATE('3 pr-2'!D124)</f>
        <v>UAB „MediCA klinika“ teikiamų pirminės asmens sveikatos priežiūros paslaugų efektyvumo didinimas Alytaus miesto savivaldybėje</v>
      </c>
      <c r="D124" s="255" t="str">
        <f>CONCATENATE('3 pr-2'!E124)</f>
        <v>UAB „MediCA klinika“</v>
      </c>
      <c r="E124" s="255" t="str">
        <f>CONCATENATE('3 pr-2'!F124)</f>
        <v>Lietuvos Respublikos Sveikatos apsaugos ministerija</v>
      </c>
      <c r="F124" s="255" t="str">
        <f>CONCATENATE('3 pr-2'!G124)</f>
        <v>Alytaus  miestas</v>
      </c>
      <c r="G124" s="255" t="str">
        <f>CONCATENATE('3 pr-2'!H124)</f>
        <v>08.1.3-CPVA-R-609</v>
      </c>
      <c r="H124" s="255" t="str">
        <f>CONCATENATE('3 pr-2'!I124)</f>
        <v>R</v>
      </c>
      <c r="I124" s="265" t="str">
        <f>CONCATENATE('3 pr-2'!J124)</f>
        <v>-</v>
      </c>
      <c r="J124" s="474">
        <f>IF(Q124&gt;0,'3 pr-2'!L124,0)</f>
        <v>0</v>
      </c>
      <c r="K124" s="474">
        <f>IF(Q124&gt;0,'3 pr-2'!O124,0)</f>
        <v>0</v>
      </c>
      <c r="L124" s="474">
        <f>IF(Q124&gt;0,'3 pr-2'!R124,0)</f>
        <v>0</v>
      </c>
      <c r="M124" s="474">
        <f>IF(Q124&gt;0,'3 pr-2'!U124,0)</f>
        <v>0</v>
      </c>
      <c r="N124" s="474">
        <f>IF(Q124&gt;0,'3 pr-2'!X124,0)</f>
        <v>0</v>
      </c>
      <c r="O124" s="474">
        <f>IF(Q124&gt;0,'3 pr-2'!AA124,0)</f>
        <v>0</v>
      </c>
      <c r="P124" s="288">
        <f>SUM('3 pr-2'!AG124)</f>
        <v>43373</v>
      </c>
      <c r="Q124" s="608"/>
      <c r="R124" s="264"/>
      <c r="S124" s="998" t="str">
        <f t="shared" si="35"/>
        <v>–</v>
      </c>
    </row>
    <row r="125" spans="1:20" ht="60.75" x14ac:dyDescent="0.25">
      <c r="A125" s="254" t="str">
        <f>CONCATENATE('3 pr-2'!A125)</f>
        <v>2.1.2.1.4</v>
      </c>
      <c r="B125" s="323" t="str">
        <f>CONCATENATE('ketv. 2lent'!B124)</f>
        <v/>
      </c>
      <c r="C125" s="255" t="str">
        <f>CONCATENATE('3 pr-2'!D125)</f>
        <v>UAB "Pagalba ligoniui" teikiamų paslaugų efektyvumo didinimas</v>
      </c>
      <c r="D125" s="255" t="str">
        <f>CONCATENATE('3 pr-2'!E125)</f>
        <v>UAB „Pagalba ligoniui“, Alytaus filialas</v>
      </c>
      <c r="E125" s="255" t="str">
        <f>CONCATENATE('3 pr-2'!F125)</f>
        <v>Lietuvos Respublikos Sveikatos apsaugos ministerija</v>
      </c>
      <c r="F125" s="255" t="str">
        <f>CONCATENATE('3 pr-2'!G125)</f>
        <v>Alytaus  miestas</v>
      </c>
      <c r="G125" s="255" t="str">
        <f>CONCATENATE('3 pr-2'!H125)</f>
        <v>08.1.3-CPVA-R-609</v>
      </c>
      <c r="H125" s="255" t="str">
        <f>CONCATENATE('3 pr-2'!I125)</f>
        <v>R</v>
      </c>
      <c r="I125" s="265" t="str">
        <f>CONCATENATE('3 pr-2'!J125)</f>
        <v>-</v>
      </c>
      <c r="J125" s="474">
        <f>IF(Q125&gt;0,'3 pr-2'!L125,0)</f>
        <v>0</v>
      </c>
      <c r="K125" s="474">
        <f>IF(Q125&gt;0,'3 pr-2'!O125,0)</f>
        <v>0</v>
      </c>
      <c r="L125" s="474">
        <f>IF(Q125&gt;0,'3 pr-2'!R125,0)</f>
        <v>0</v>
      </c>
      <c r="M125" s="474">
        <f>IF(Q125&gt;0,'3 pr-2'!U125,0)</f>
        <v>0</v>
      </c>
      <c r="N125" s="474">
        <f>IF(Q125&gt;0,'3 pr-2'!X125,0)</f>
        <v>0</v>
      </c>
      <c r="O125" s="474">
        <f>IF(Q125&gt;0,'3 pr-2'!AA125,0)</f>
        <v>0</v>
      </c>
      <c r="P125" s="288">
        <f>SUM('3 pr-2'!AG125)</f>
        <v>43373</v>
      </c>
      <c r="Q125" s="608"/>
      <c r="R125" s="264"/>
      <c r="S125" s="998" t="str">
        <f t="shared" si="35"/>
        <v>–</v>
      </c>
    </row>
    <row r="126" spans="1:20" ht="84.75" x14ac:dyDescent="0.25">
      <c r="A126" s="254" t="str">
        <f>CONCATENATE('3 pr-2'!A126)</f>
        <v>2.1.2.1.5</v>
      </c>
      <c r="B126" s="323" t="str">
        <f>CONCATENATE('ketv. 2lent'!B125)</f>
        <v/>
      </c>
      <c r="C126" s="255" t="str">
        <f>CONCATENATE('3 pr-2'!D126)</f>
        <v>Pirminės asmens sveikatos priežiūros veiklos efektyvumo didinimas Alytaus rajono savivaldybėje</v>
      </c>
      <c r="D126" s="255" t="str">
        <f>CONCATENATE('3 pr-2'!E126)</f>
        <v>VšĮ Alytaus rajono savivaldybės pirminės sveikatos priežiūros centras</v>
      </c>
      <c r="E126" s="255" t="str">
        <f>CONCATENATE('3 pr-2'!F126)</f>
        <v>Lietuvos Respublikos Sveikatos apsaugos ministerija</v>
      </c>
      <c r="F126" s="255" t="str">
        <f>CONCATENATE('3 pr-2'!G126)</f>
        <v>Alytaus rajonas</v>
      </c>
      <c r="G126" s="255" t="str">
        <f>CONCATENATE('3 pr-2'!H126)</f>
        <v>08.1.3-CPVA-R-609</v>
      </c>
      <c r="H126" s="255" t="str">
        <f>CONCATENATE('3 pr-2'!I126)</f>
        <v>R</v>
      </c>
      <c r="I126" s="265" t="str">
        <f>CONCATENATE('3 pr-2'!J126)</f>
        <v>-</v>
      </c>
      <c r="J126" s="474">
        <f>IF(Q126&gt;0,'3 pr-2'!L126,0)</f>
        <v>0</v>
      </c>
      <c r="K126" s="474">
        <f>IF(Q126&gt;0,'3 pr-2'!O126,0)</f>
        <v>0</v>
      </c>
      <c r="L126" s="474">
        <f>IF(Q126&gt;0,'3 pr-2'!R126,0)</f>
        <v>0</v>
      </c>
      <c r="M126" s="474">
        <f>IF(Q126&gt;0,'3 pr-2'!U126,0)</f>
        <v>0</v>
      </c>
      <c r="N126" s="474">
        <f>IF(Q126&gt;0,'3 pr-2'!X126,0)</f>
        <v>0</v>
      </c>
      <c r="O126" s="474">
        <f>IF(Q126&gt;0,'3 pr-2'!AA126,0)</f>
        <v>0</v>
      </c>
      <c r="P126" s="288">
        <f>SUM('3 pr-2'!AG126)</f>
        <v>43403</v>
      </c>
      <c r="Q126" s="608"/>
      <c r="R126" s="264"/>
      <c r="S126" s="998" t="str">
        <f t="shared" si="35"/>
        <v>–</v>
      </c>
    </row>
    <row r="127" spans="1:20" ht="60.75" x14ac:dyDescent="0.25">
      <c r="A127" s="254" t="str">
        <f>CONCATENATE('3 pr-2'!A127)</f>
        <v>2.1.2.1.6</v>
      </c>
      <c r="B127" s="323" t="str">
        <f>CONCATENATE('ketv. 2lent'!B126)</f>
        <v/>
      </c>
      <c r="C127" s="255" t="str">
        <f>CONCATENATE('3 pr-2'!D127)</f>
        <v>Sveikatos priežiūros paslaugų gerinimas "UAB "Disolis"</v>
      </c>
      <c r="D127" s="255" t="str">
        <f>CONCATENATE('3 pr-2'!E127)</f>
        <v>UAB „Disolis“</v>
      </c>
      <c r="E127" s="255" t="str">
        <f>CONCATENATE('3 pr-2'!F127)</f>
        <v>Lietuvos Respublikos Sveikatos apsaugos ministerija</v>
      </c>
      <c r="F127" s="255" t="str">
        <f>CONCATENATE('3 pr-2'!G127)</f>
        <v>Alytaus rajonas</v>
      </c>
      <c r="G127" s="255" t="str">
        <f>CONCATENATE('3 pr-2'!H127)</f>
        <v>08.1.3-CPVA-R-609</v>
      </c>
      <c r="H127" s="255" t="str">
        <f>CONCATENATE('3 pr-2'!I127)</f>
        <v>R</v>
      </c>
      <c r="I127" s="265" t="str">
        <f>CONCATENATE('3 pr-2'!J127)</f>
        <v>-</v>
      </c>
      <c r="J127" s="474">
        <f>IF(Q127&gt;0,'3 pr-2'!L127,0)</f>
        <v>0</v>
      </c>
      <c r="K127" s="474">
        <f>IF(Q127&gt;0,'3 pr-2'!O127,0)</f>
        <v>0</v>
      </c>
      <c r="L127" s="474">
        <f>IF(Q127&gt;0,'3 pr-2'!R127,0)</f>
        <v>0</v>
      </c>
      <c r="M127" s="474">
        <f>IF(Q127&gt;0,'3 pr-2'!U127,0)</f>
        <v>0</v>
      </c>
      <c r="N127" s="474">
        <f>IF(Q127&gt;0,'3 pr-2'!X127,0)</f>
        <v>0</v>
      </c>
      <c r="O127" s="474">
        <f>IF(Q127&gt;0,'3 pr-2'!AA127,0)</f>
        <v>0</v>
      </c>
      <c r="P127" s="288">
        <f>SUM('3 pr-2'!AG127)</f>
        <v>43403</v>
      </c>
      <c r="Q127" s="608"/>
      <c r="R127" s="264"/>
      <c r="S127" s="998" t="str">
        <f t="shared" si="35"/>
        <v>–</v>
      </c>
    </row>
    <row r="128" spans="1:20" ht="60.75" x14ac:dyDescent="0.25">
      <c r="A128" s="254" t="str">
        <f>CONCATENATE('3 pr-2'!A128)</f>
        <v>2.1.2.1.7</v>
      </c>
      <c r="B128" s="323" t="str">
        <f>CONCATENATE('ketv. 2lent'!B127)</f>
        <v/>
      </c>
      <c r="C128" s="255" t="str">
        <f>CONCATENATE('3 pr-2'!D128)</f>
        <v>Pirminės asmens sveikatos priežiūros kokybės ir prieinamumo gerinimas Druskininkų savivaldybėje</v>
      </c>
      <c r="D128" s="255" t="str">
        <f>CONCATENATE('3 pr-2'!E128)</f>
        <v>VšĮ Druskininkų pirminės sveikatos priežiūros centras</v>
      </c>
      <c r="E128" s="255" t="str">
        <f>CONCATENATE('3 pr-2'!F128)</f>
        <v>Lietuvos Respublikos Sveikatos apsaugos ministerija</v>
      </c>
      <c r="F128" s="255" t="str">
        <f>CONCATENATE('3 pr-2'!G128)</f>
        <v>Druskininkų sav.</v>
      </c>
      <c r="G128" s="255" t="str">
        <f>CONCATENATE('3 pr-2'!H128)</f>
        <v>08.1.3-CPVA-R-609</v>
      </c>
      <c r="H128" s="255" t="str">
        <f>CONCATENATE('3 pr-2'!I128)</f>
        <v>R</v>
      </c>
      <c r="I128" s="265" t="str">
        <f>CONCATENATE('3 pr-2'!J128)</f>
        <v>-</v>
      </c>
      <c r="J128" s="474">
        <f>IF(Q128&gt;0,'3 pr-2'!L128,0)</f>
        <v>0</v>
      </c>
      <c r="K128" s="474">
        <f>IF(Q128&gt;0,'3 pr-2'!O128,0)</f>
        <v>0</v>
      </c>
      <c r="L128" s="474">
        <f>IF(Q128&gt;0,'3 pr-2'!R128,0)</f>
        <v>0</v>
      </c>
      <c r="M128" s="474">
        <f>IF(Q128&gt;0,'3 pr-2'!U128,0)</f>
        <v>0</v>
      </c>
      <c r="N128" s="474">
        <f>IF(Q128&gt;0,'3 pr-2'!X128,0)</f>
        <v>0</v>
      </c>
      <c r="O128" s="474">
        <f>IF(Q128&gt;0,'3 pr-2'!AA128,0)</f>
        <v>0</v>
      </c>
      <c r="P128" s="288">
        <f>SUM('3 pr-2'!AG128)</f>
        <v>43403</v>
      </c>
      <c r="Q128" s="608"/>
      <c r="R128" s="264"/>
      <c r="S128" s="998" t="str">
        <f t="shared" si="35"/>
        <v>–</v>
      </c>
    </row>
    <row r="129" spans="1:19" ht="60.75" x14ac:dyDescent="0.25">
      <c r="A129" s="254" t="str">
        <f>CONCATENATE('3 pr-2'!A129)</f>
        <v>2.1.2.1.8</v>
      </c>
      <c r="B129" s="323" t="str">
        <f>CONCATENATE('ketv. 2lent'!B128)</f>
        <v/>
      </c>
      <c r="C129" s="255" t="str">
        <f>CONCATENATE('3 pr-2'!D129)</f>
        <v>UAB "Druskininkų šeimos klinika" asmens sveikatos priežiūros paslaugų prieinamumo ir efektyvumo didinimas</v>
      </c>
      <c r="D129" s="255" t="str">
        <f>CONCATENATE('3 pr-2'!E129)</f>
        <v>UAB „Druskininkų šeimos klinika“</v>
      </c>
      <c r="E129" s="255" t="str">
        <f>CONCATENATE('3 pr-2'!F129)</f>
        <v>Lietuvos Respublikos Sveikatos apsaugos ministerija</v>
      </c>
      <c r="F129" s="255" t="str">
        <f>CONCATENATE('3 pr-2'!G129)</f>
        <v>Druskininkų sav.</v>
      </c>
      <c r="G129" s="255" t="str">
        <f>CONCATENATE('3 pr-2'!H129)</f>
        <v>08.1.3-CPVA-R-609</v>
      </c>
      <c r="H129" s="255" t="str">
        <f>CONCATENATE('3 pr-2'!I129)</f>
        <v>R</v>
      </c>
      <c r="I129" s="265" t="str">
        <f>CONCATENATE('3 pr-2'!J129)</f>
        <v>-</v>
      </c>
      <c r="J129" s="474">
        <f>IF(Q129&gt;0,'3 pr-2'!L129,0)</f>
        <v>0</v>
      </c>
      <c r="K129" s="474">
        <f>IF(Q129&gt;0,'3 pr-2'!O129,0)</f>
        <v>0</v>
      </c>
      <c r="L129" s="474">
        <f>IF(Q129&gt;0,'3 pr-2'!R129,0)</f>
        <v>0</v>
      </c>
      <c r="M129" s="474">
        <f>IF(Q129&gt;0,'3 pr-2'!U129,0)</f>
        <v>0</v>
      </c>
      <c r="N129" s="474">
        <f>IF(Q129&gt;0,'3 pr-2'!X129,0)</f>
        <v>0</v>
      </c>
      <c r="O129" s="474">
        <f>IF(Q129&gt;0,'3 pr-2'!AA129,0)</f>
        <v>0</v>
      </c>
      <c r="P129" s="288">
        <f>SUM('3 pr-2'!AG129)</f>
        <v>43403</v>
      </c>
      <c r="Q129" s="608"/>
      <c r="R129" s="264"/>
      <c r="S129" s="998" t="str">
        <f t="shared" si="35"/>
        <v>–</v>
      </c>
    </row>
    <row r="130" spans="1:19" ht="60.75" x14ac:dyDescent="0.25">
      <c r="A130" s="254" t="str">
        <f>CONCATENATE('3 pr-2'!A130)</f>
        <v>2.1.2.1.9</v>
      </c>
      <c r="B130" s="323" t="str">
        <f>CONCATENATE('ketv. 2lent'!B129)</f>
        <v/>
      </c>
      <c r="C130" s="255" t="str">
        <f>CONCATENATE('3 pr-2'!D130)</f>
        <v>I. S. Kavaliauskienės įmonės teikiamų pirminės ambulatorinės asmens sveikatos priežiūros paslaugų kokybės ir prieinamumo gerinimas.</v>
      </c>
      <c r="D130" s="255" t="str">
        <f>CONCATENATE('3 pr-2'!E130)</f>
        <v>Irenos Stanislavos Kavaliauskienės įmonė</v>
      </c>
      <c r="E130" s="255" t="str">
        <f>CONCATENATE('3 pr-2'!F130)</f>
        <v>Lietuvos Respublikos Sveikatos apsaugos ministerija</v>
      </c>
      <c r="F130" s="255" t="str">
        <f>CONCATENATE('3 pr-2'!G130)</f>
        <v>Druskininkų sav.</v>
      </c>
      <c r="G130" s="255" t="str">
        <f>CONCATENATE('3 pr-2'!H130)</f>
        <v>08.1.3-CPVA-R-609</v>
      </c>
      <c r="H130" s="255" t="str">
        <f>CONCATENATE('3 pr-2'!I130)</f>
        <v>R</v>
      </c>
      <c r="I130" s="265" t="str">
        <f>CONCATENATE('3 pr-2'!J130)</f>
        <v>-</v>
      </c>
      <c r="J130" s="474">
        <f>IF(Q130&gt;0,'3 pr-2'!L130,0)</f>
        <v>0</v>
      </c>
      <c r="K130" s="474">
        <f>IF(Q130&gt;0,'3 pr-2'!O130,0)</f>
        <v>0</v>
      </c>
      <c r="L130" s="474">
        <f>IF(Q130&gt;0,'3 pr-2'!R130,0)</f>
        <v>0</v>
      </c>
      <c r="M130" s="474">
        <f>IF(Q130&gt;0,'3 pr-2'!U130,0)</f>
        <v>0</v>
      </c>
      <c r="N130" s="474">
        <f>IF(Q130&gt;0,'3 pr-2'!X130,0)</f>
        <v>0</v>
      </c>
      <c r="O130" s="474">
        <f>IF(Q130&gt;0,'3 pr-2'!AA130,0)</f>
        <v>0</v>
      </c>
      <c r="P130" s="288">
        <f>SUM('3 pr-2'!AG130)</f>
        <v>43373</v>
      </c>
      <c r="Q130" s="608"/>
      <c r="R130" s="264"/>
      <c r="S130" s="998" t="str">
        <f t="shared" ref="S130:S133" si="36">IF(P130-Q130&lt;0,(P130-Q130)/30.4166666666667,"–")</f>
        <v>–</v>
      </c>
    </row>
    <row r="131" spans="1:19" ht="60.75" x14ac:dyDescent="0.25">
      <c r="A131" s="254" t="str">
        <f>CONCATENATE('3 pr-2'!A131)</f>
        <v>2.1.2.1.10</v>
      </c>
      <c r="B131" s="323" t="str">
        <f>CONCATENATE('ketv. 2lent'!B130)</f>
        <v/>
      </c>
      <c r="C131" s="255" t="str">
        <f>CONCATENATE('3 pr-2'!D131)</f>
        <v>Pirminės ambulatorinės asmens sveikatos priežiūros efektyvumo didinimas R.Ambrazaitienės ir L. Puzinovienės šeimos gydytojų kabinetuose</v>
      </c>
      <c r="D131" s="255" t="str">
        <f>CONCATENATE('3 pr-2'!E131)</f>
        <v>UAB „Rasos Ambrazaitienės šeimos gydytojo kabinetas“</v>
      </c>
      <c r="E131" s="255" t="str">
        <f>CONCATENATE('3 pr-2'!F131)</f>
        <v>Lietuvos Respublikos Sveikatos apsaugos ministerija</v>
      </c>
      <c r="F131" s="255" t="str">
        <f>CONCATENATE('3 pr-2'!G131)</f>
        <v>Druskininkų sav.</v>
      </c>
      <c r="G131" s="255" t="str">
        <f>CONCATENATE('3 pr-2'!H131)</f>
        <v>08.1.3-CPVA-R-609</v>
      </c>
      <c r="H131" s="255" t="str">
        <f>CONCATENATE('3 pr-2'!I131)</f>
        <v>R</v>
      </c>
      <c r="I131" s="265" t="str">
        <f>CONCATENATE('3 pr-2'!J131)</f>
        <v>-</v>
      </c>
      <c r="J131" s="474">
        <f>IF(Q131&gt;0,'3 pr-2'!L131,0)</f>
        <v>0</v>
      </c>
      <c r="K131" s="474">
        <f>IF(Q131&gt;0,'3 pr-2'!O131,0)</f>
        <v>0</v>
      </c>
      <c r="L131" s="474">
        <f>IF(Q131&gt;0,'3 pr-2'!R131,0)</f>
        <v>0</v>
      </c>
      <c r="M131" s="474">
        <f>IF(Q131&gt;0,'3 pr-2'!U131,0)</f>
        <v>0</v>
      </c>
      <c r="N131" s="474">
        <f>IF(Q131&gt;0,'3 pr-2'!X131,0)</f>
        <v>0</v>
      </c>
      <c r="O131" s="474">
        <f>IF(Q131&gt;0,'3 pr-2'!AA131,0)</f>
        <v>0</v>
      </c>
      <c r="P131" s="288">
        <f>SUM('3 pr-2'!AG131)</f>
        <v>43403</v>
      </c>
      <c r="Q131" s="608"/>
      <c r="R131" s="264"/>
      <c r="S131" s="998" t="str">
        <f t="shared" si="36"/>
        <v>–</v>
      </c>
    </row>
    <row r="132" spans="1:19" ht="60.75" x14ac:dyDescent="0.25">
      <c r="A132" s="254" t="str">
        <f>CONCATENATE('3 pr-2'!A132)</f>
        <v>2.1.2.1.11</v>
      </c>
      <c r="B132" s="323" t="str">
        <f>CONCATENATE('ketv. 2lent'!B131)</f>
        <v/>
      </c>
      <c r="C132" s="255" t="str">
        <f>CONCATENATE('3 pr-2'!D132)</f>
        <v xml:space="preserve">Pirminės asmens sveikatos priežiūros veiklos efektyvumo didinimas Lazdijų rajono savivaldybėje </v>
      </c>
      <c r="D132" s="255" t="str">
        <f>CONCATENATE('3 pr-2'!E132)</f>
        <v>Lazdijų rajono savivaldybės administracija</v>
      </c>
      <c r="E132" s="255" t="str">
        <f>CONCATENATE('3 pr-2'!F132)</f>
        <v>Lietuvos Respublikos Sveikatos apsaugos ministerija</v>
      </c>
      <c r="F132" s="255" t="str">
        <f>CONCATENATE('3 pr-2'!G132)</f>
        <v>Lazdijai</v>
      </c>
      <c r="G132" s="255" t="str">
        <f>CONCATENATE('3 pr-2'!H132)</f>
        <v>08.1.3-CPVA-R-609</v>
      </c>
      <c r="H132" s="255" t="str">
        <f>CONCATENATE('3 pr-2'!I132)</f>
        <v>R</v>
      </c>
      <c r="I132" s="265" t="str">
        <f>CONCATENATE('3 pr-2'!J132)</f>
        <v>-</v>
      </c>
      <c r="J132" s="474">
        <f>IF(Q132&gt;0,'3 pr-2'!L132,0)</f>
        <v>0</v>
      </c>
      <c r="K132" s="474">
        <f>IF(Q132&gt;0,'3 pr-2'!O132,0)</f>
        <v>0</v>
      </c>
      <c r="L132" s="474">
        <f>IF(Q132&gt;0,'3 pr-2'!R132,0)</f>
        <v>0</v>
      </c>
      <c r="M132" s="474">
        <f>IF(Q132&gt;0,'3 pr-2'!U132,0)</f>
        <v>0</v>
      </c>
      <c r="N132" s="474">
        <f>IF(Q132&gt;0,'3 pr-2'!X132,0)</f>
        <v>0</v>
      </c>
      <c r="O132" s="474">
        <f>IF(Q132&gt;0,'3 pr-2'!AA132,0)</f>
        <v>0</v>
      </c>
      <c r="P132" s="288">
        <f>SUM('3 pr-2'!AG132)</f>
        <v>43404</v>
      </c>
      <c r="Q132" s="608"/>
      <c r="R132" s="264"/>
      <c r="S132" s="998" t="str">
        <f t="shared" si="36"/>
        <v>–</v>
      </c>
    </row>
    <row r="133" spans="1:19" ht="61.5" thickBot="1" x14ac:dyDescent="0.3">
      <c r="A133" s="254" t="str">
        <f>CONCATENATE('3 pr-2'!A133)</f>
        <v>2.1.2.1.12</v>
      </c>
      <c r="B133" s="323" t="str">
        <f>CONCATENATE('ketv. 2lent'!B132)</f>
        <v/>
      </c>
      <c r="C133" s="255" t="str">
        <f>CONCATENATE('3 pr-2'!D133)</f>
        <v>Pirminės asmens sveikatos priežiūros veiklos efektyvumo didinimas Varėnos rajono savivaldybėje</v>
      </c>
      <c r="D133" s="255" t="str">
        <f>CONCATENATE('3 pr-2'!E133)</f>
        <v>VšĮ Varėnos pirminės sveikatos priežiūros centras</v>
      </c>
      <c r="E133" s="255" t="str">
        <f>CONCATENATE('3 pr-2'!F133)</f>
        <v>Lietuvos Respublikos Sveikatos apsaugos ministerija</v>
      </c>
      <c r="F133" s="255" t="str">
        <f>CONCATENATE('3 pr-2'!G133)</f>
        <v>Varėnos r. sav.</v>
      </c>
      <c r="G133" s="255" t="str">
        <f>CONCATENATE('3 pr-2'!H133)</f>
        <v>08.1.3-CPVA-R-609</v>
      </c>
      <c r="H133" s="255" t="str">
        <f>CONCATENATE('3 pr-2'!I133)</f>
        <v>R</v>
      </c>
      <c r="I133" s="265" t="str">
        <f>CONCATENATE('3 pr-2'!J133)</f>
        <v>-</v>
      </c>
      <c r="J133" s="474">
        <f>IF(Q133&gt;0,'3 pr-2'!L133,0)</f>
        <v>0</v>
      </c>
      <c r="K133" s="474">
        <f>IF(Q133&gt;0,'3 pr-2'!O133,0)</f>
        <v>0</v>
      </c>
      <c r="L133" s="474">
        <f>IF(Q133&gt;0,'3 pr-2'!R133,0)</f>
        <v>0</v>
      </c>
      <c r="M133" s="474">
        <f>IF(Q133&gt;0,'3 pr-2'!U133,0)</f>
        <v>0</v>
      </c>
      <c r="N133" s="474">
        <f>IF(Q133&gt;0,'3 pr-2'!X133,0)</f>
        <v>0</v>
      </c>
      <c r="O133" s="474">
        <f>IF(Q133&gt;0,'3 pr-2'!AA133,0)</f>
        <v>0</v>
      </c>
      <c r="P133" s="288">
        <f>SUM('3 pr-2'!AG133)</f>
        <v>43434</v>
      </c>
      <c r="Q133" s="608"/>
      <c r="R133" s="264"/>
      <c r="S133" s="998" t="str">
        <f t="shared" si="36"/>
        <v>–</v>
      </c>
    </row>
    <row r="134" spans="1:19" ht="41.25" customHeight="1" thickBot="1" x14ac:dyDescent="0.3">
      <c r="A134" s="497" t="str">
        <f>CONCATENATE('3 pr-2'!A135)</f>
        <v>2.1.2.2</v>
      </c>
      <c r="B134" s="613" t="str">
        <f>CONCATENATE('ketv. 2lent'!B133)</f>
        <v/>
      </c>
      <c r="C134" s="1656" t="str">
        <f>CONCATENATE('3 pr-2'!D135)</f>
        <v/>
      </c>
      <c r="D134" s="1787" t="str">
        <f>CONCATENATE('3 pr-2'!E135)</f>
        <v/>
      </c>
      <c r="E134" s="1787" t="str">
        <f>CONCATENATE('3 pr-2'!F135)</f>
        <v/>
      </c>
      <c r="F134" s="1787" t="str">
        <f>CONCATENATE('3 pr-2'!G135)</f>
        <v/>
      </c>
      <c r="G134" s="1787" t="str">
        <f>CONCATENATE('3 pr-2'!H135)</f>
        <v/>
      </c>
      <c r="H134" s="1787" t="str">
        <f>CONCATENATE('3 pr-2'!I135)</f>
        <v/>
      </c>
      <c r="I134" s="1788" t="str">
        <f>CONCATENATE('3 pr-2'!J135)</f>
        <v/>
      </c>
      <c r="J134" s="987">
        <f t="shared" ref="J134:O134" si="37">SUM(J135:J139)</f>
        <v>0</v>
      </c>
      <c r="K134" s="987">
        <f t="shared" si="37"/>
        <v>0</v>
      </c>
      <c r="L134" s="987">
        <f t="shared" si="37"/>
        <v>0</v>
      </c>
      <c r="M134" s="987">
        <f t="shared" si="37"/>
        <v>0</v>
      </c>
      <c r="N134" s="987">
        <f t="shared" si="37"/>
        <v>0</v>
      </c>
      <c r="O134" s="987">
        <f t="shared" si="37"/>
        <v>0</v>
      </c>
      <c r="P134" s="988"/>
      <c r="Q134" s="989"/>
      <c r="R134" s="988"/>
      <c r="S134" s="989"/>
    </row>
    <row r="135" spans="1:19" ht="60.75" x14ac:dyDescent="0.25">
      <c r="A135" s="990" t="str">
        <f>CONCATENATE('3 pr-2'!A136)</f>
        <v>2.1.2.2.1</v>
      </c>
      <c r="B135" s="991" t="str">
        <f>CONCATENATE('ketv. 2lent'!B134)</f>
        <v/>
      </c>
      <c r="C135" s="992" t="str">
        <f>CONCATENATE('3 pr-2'!D136)</f>
        <v>Sveikos gyvensenos skatinimas Alytaus rajone</v>
      </c>
      <c r="D135" s="992" t="str">
        <f>CONCATENATE('3 pr-2'!E136)</f>
        <v>Alytaus rajono savivaldybės visuomenės sveikatos biuras</v>
      </c>
      <c r="E135" s="992" t="str">
        <f>CONCATENATE('3 pr-2'!F136)</f>
        <v>Lietuvos Respublikos Sveikatos apsaugos ministerija</v>
      </c>
      <c r="F135" s="992" t="str">
        <f>CONCATENATE('3 pr-2'!G136)</f>
        <v>Alytaus rajono savivaldybė</v>
      </c>
      <c r="G135" s="992" t="str">
        <f>CONCATENATE('3 pr-2'!H136)</f>
        <v>08.4.2-ESFA-R-630</v>
      </c>
      <c r="H135" s="992" t="str">
        <f>CONCATENATE('3 pr-2'!I136)</f>
        <v>R</v>
      </c>
      <c r="I135" s="993" t="str">
        <f>CONCATENATE('3 pr-2'!J136)</f>
        <v>-</v>
      </c>
      <c r="J135" s="994">
        <f>IF(Q135&gt;0,'3 pr-2'!L136,0)</f>
        <v>0</v>
      </c>
      <c r="K135" s="994">
        <f>IF(Q135&gt;0,'3 pr-2'!O136,0)</f>
        <v>0</v>
      </c>
      <c r="L135" s="994">
        <f>IF(Q135&gt;0,'3 pr-2'!R136,0)</f>
        <v>0</v>
      </c>
      <c r="M135" s="994">
        <f>IF(Q135&gt;0,'3 pr-2'!U136,0)</f>
        <v>0</v>
      </c>
      <c r="N135" s="994">
        <f>IF(Q135&gt;0,'3 pr-2'!X136,0)</f>
        <v>0</v>
      </c>
      <c r="O135" s="994">
        <f>IF(Q135&gt;0,'3 pr-2'!AA136,0)</f>
        <v>0</v>
      </c>
      <c r="P135" s="995">
        <f>SUM('3 pr-2'!AG136)</f>
        <v>43220</v>
      </c>
      <c r="Q135" s="996"/>
      <c r="R135" s="997"/>
      <c r="S135" s="998" t="str">
        <f t="shared" ref="S135:S139" si="38">IF(P135-Q135&lt;0,(P135-Q135)/30.4166666666667,"–")</f>
        <v>–</v>
      </c>
    </row>
    <row r="136" spans="1:19" ht="60.75" x14ac:dyDescent="0.25">
      <c r="A136" s="990" t="str">
        <f>CONCATENATE('3 pr-2'!A137)</f>
        <v>2.1.2.2.2</v>
      </c>
      <c r="B136" s="991" t="str">
        <f>CONCATENATE('ketv. 2lent'!B135)</f>
        <v/>
      </c>
      <c r="C136" s="992" t="str">
        <f>CONCATENATE('3 pr-2'!D137)</f>
        <v>Mažais žingsneliais – sveikos gyvensenos link</v>
      </c>
      <c r="D136" s="992" t="str">
        <f>CONCATENATE('3 pr-2'!E137)</f>
        <v>Alytaus miesto savivaldybės administracija</v>
      </c>
      <c r="E136" s="992" t="str">
        <f>CONCATENATE('3 pr-2'!F137)</f>
        <v>Lietuvos Respublikos Sveikatos apsaugos ministerija</v>
      </c>
      <c r="F136" s="992" t="str">
        <f>CONCATENATE('3 pr-2'!G137)</f>
        <v>Alytaus  miestas</v>
      </c>
      <c r="G136" s="992" t="str">
        <f>CONCATENATE('3 pr-2'!H137)</f>
        <v>08.4.2-ESFA-R-630</v>
      </c>
      <c r="H136" s="992" t="str">
        <f>CONCATENATE('3 pr-2'!I137)</f>
        <v>R</v>
      </c>
      <c r="I136" s="993" t="str">
        <f>CONCATENATE('3 pr-2'!J137)</f>
        <v>-</v>
      </c>
      <c r="J136" s="994">
        <f>IF(Q136&gt;0,'3 pr-2'!L137,0)</f>
        <v>0</v>
      </c>
      <c r="K136" s="994">
        <f>IF(Q136&gt;0,'3 pr-2'!O137,0)</f>
        <v>0</v>
      </c>
      <c r="L136" s="994">
        <f>IF(Q136&gt;0,'3 pr-2'!R137,0)</f>
        <v>0</v>
      </c>
      <c r="M136" s="994">
        <f>IF(Q136&gt;0,'3 pr-2'!U137,0)</f>
        <v>0</v>
      </c>
      <c r="N136" s="994">
        <f>IF(Q136&gt;0,'3 pr-2'!X137,0)</f>
        <v>0</v>
      </c>
      <c r="O136" s="994">
        <f>IF(Q136&gt;0,'3 pr-2'!AA137,0)</f>
        <v>0</v>
      </c>
      <c r="P136" s="995">
        <f>SUM('3 pr-2'!AG137)</f>
        <v>43251</v>
      </c>
      <c r="Q136" s="996"/>
      <c r="R136" s="997"/>
      <c r="S136" s="998" t="str">
        <f t="shared" si="38"/>
        <v>–</v>
      </c>
    </row>
    <row r="137" spans="1:19" ht="60.75" x14ac:dyDescent="0.25">
      <c r="A137" s="990" t="str">
        <f>CONCATENATE('3 pr-2'!A138)</f>
        <v>2.1.2.2.3</v>
      </c>
      <c r="B137" s="991" t="str">
        <f>CONCATENATE('ketv. 2lent'!B136)</f>
        <v/>
      </c>
      <c r="C137" s="992" t="str">
        <f>CONCATENATE('3 pr-2'!D138)</f>
        <v>Sveikos gyvensenos skatinimas Varėnos rajono savivaldybėje</v>
      </c>
      <c r="D137" s="992" t="str">
        <f>CONCATENATE('3 pr-2'!E138)</f>
        <v>Varėnos rajono savivaldybės visuomenės sveikatos biuras</v>
      </c>
      <c r="E137" s="992" t="str">
        <f>CONCATENATE('3 pr-2'!F138)</f>
        <v>Lietuvos Respublikos Sveikatos apsaugos ministerija</v>
      </c>
      <c r="F137" s="992" t="str">
        <f>CONCATENATE('3 pr-2'!G138)</f>
        <v>Varėnos rajono savivaldybė</v>
      </c>
      <c r="G137" s="992" t="str">
        <f>CONCATENATE('3 pr-2'!H138)</f>
        <v>08.4.2-ESFA-R-630</v>
      </c>
      <c r="H137" s="992" t="str">
        <f>CONCATENATE('3 pr-2'!I138)</f>
        <v>R</v>
      </c>
      <c r="I137" s="993" t="str">
        <f>CONCATENATE('3 pr-2'!J138)</f>
        <v>-</v>
      </c>
      <c r="J137" s="994">
        <f>IF(Q137&gt;0,'3 pr-2'!L138,0)</f>
        <v>0</v>
      </c>
      <c r="K137" s="994">
        <f>IF(Q137&gt;0,'3 pr-2'!O138,0)</f>
        <v>0</v>
      </c>
      <c r="L137" s="994">
        <f>IF(Q137&gt;0,'3 pr-2'!R138,0)</f>
        <v>0</v>
      </c>
      <c r="M137" s="994">
        <f>IF(Q137&gt;0,'3 pr-2'!U138,0)</f>
        <v>0</v>
      </c>
      <c r="N137" s="994">
        <f>IF(Q137&gt;0,'3 pr-2'!X138,0)</f>
        <v>0</v>
      </c>
      <c r="O137" s="994">
        <f>IF(Q137&gt;0,'3 pr-2'!AA138,0)</f>
        <v>0</v>
      </c>
      <c r="P137" s="995">
        <f>SUM('3 pr-2'!AG138)</f>
        <v>43250</v>
      </c>
      <c r="Q137" s="996"/>
      <c r="R137" s="997"/>
      <c r="S137" s="998" t="str">
        <f t="shared" si="38"/>
        <v>–</v>
      </c>
    </row>
    <row r="138" spans="1:19" ht="60.75" x14ac:dyDescent="0.25">
      <c r="A138" s="990" t="str">
        <f>CONCATENATE('3 pr-2'!A139)</f>
        <v>2.1.2.2.4.</v>
      </c>
      <c r="B138" s="991" t="str">
        <f>CONCATENATE('ketv. 2lent'!B137)</f>
        <v/>
      </c>
      <c r="C138" s="992" t="str">
        <f>CONCATENATE('3 pr-2'!D139)</f>
        <v>Sveika bendruomenė – stipri visuomenė</v>
      </c>
      <c r="D138" s="992" t="str">
        <f>CONCATENATE('3 pr-2'!E139)</f>
        <v>Druskininkų savivaldybės visuomenės sveikatos biuras</v>
      </c>
      <c r="E138" s="992" t="str">
        <f>CONCATENATE('3 pr-2'!F139)</f>
        <v>Lietuvos Respublikos Sveikatos apsaugos ministerija</v>
      </c>
      <c r="F138" s="992" t="str">
        <f>CONCATENATE('3 pr-2'!G139)</f>
        <v>Druskininkų savivaldybė</v>
      </c>
      <c r="G138" s="992" t="str">
        <f>CONCATENATE('3 pr-2'!H139)</f>
        <v>08.4.2-ESFA-R-630</v>
      </c>
      <c r="H138" s="992" t="str">
        <f>CONCATENATE('3 pr-2'!I139)</f>
        <v>R</v>
      </c>
      <c r="I138" s="993" t="str">
        <f>CONCATENATE('3 pr-2'!J139)</f>
        <v>-</v>
      </c>
      <c r="J138" s="994">
        <f>IF(Q138&gt;0,'3 pr-2'!L139,0)</f>
        <v>0</v>
      </c>
      <c r="K138" s="994">
        <f>IF(Q138&gt;0,'3 pr-2'!O139,0)</f>
        <v>0</v>
      </c>
      <c r="L138" s="994">
        <f>IF(Q138&gt;0,'3 pr-2'!R139,0)</f>
        <v>0</v>
      </c>
      <c r="M138" s="994">
        <f>IF(Q138&gt;0,'3 pr-2'!U139,0)</f>
        <v>0</v>
      </c>
      <c r="N138" s="994">
        <f>IF(Q138&gt;0,'3 pr-2'!X139,0)</f>
        <v>0</v>
      </c>
      <c r="O138" s="994">
        <f>IF(Q138&gt;0,'3 pr-2'!AA139,0)</f>
        <v>0</v>
      </c>
      <c r="P138" s="995">
        <f>SUM('3 pr-2'!AG139)</f>
        <v>43220</v>
      </c>
      <c r="Q138" s="996"/>
      <c r="R138" s="997"/>
      <c r="S138" s="998" t="str">
        <f t="shared" si="38"/>
        <v>–</v>
      </c>
    </row>
    <row r="139" spans="1:19" ht="61.5" thickBot="1" x14ac:dyDescent="0.3">
      <c r="A139" s="990" t="str">
        <f>CONCATENATE('3 pr-2'!A140)</f>
        <v>2.1.2.2.5</v>
      </c>
      <c r="B139" s="991" t="str">
        <f>CONCATENATE('ketv. 2lent'!B138)</f>
        <v/>
      </c>
      <c r="C139" s="992" t="str">
        <f>CONCATENATE('3 pr-2'!D140)</f>
        <v>Sveikos gyvensenos skatinimas Lazdijų rajono savivaldybėje</v>
      </c>
      <c r="D139" s="992" t="str">
        <f>CONCATENATE('3 pr-2'!E140)</f>
        <v>Lazdijų rajono savivaldybės visuomenės sveikatos biuras</v>
      </c>
      <c r="E139" s="992" t="str">
        <f>CONCATENATE('3 pr-2'!F140)</f>
        <v>Lietuvos Respublikos Sveikatos apsaugos ministerija</v>
      </c>
      <c r="F139" s="992" t="str">
        <f>CONCATENATE('3 pr-2'!G140)</f>
        <v>Lazdijų rajono savivaldybė</v>
      </c>
      <c r="G139" s="992" t="str">
        <f>CONCATENATE('3 pr-2'!H140)</f>
        <v>08.4.2-ESFA-R-630</v>
      </c>
      <c r="H139" s="992" t="str">
        <f>CONCATENATE('3 pr-2'!I140)</f>
        <v>R</v>
      </c>
      <c r="I139" s="993" t="str">
        <f>CONCATENATE('3 pr-2'!J140)</f>
        <v>-</v>
      </c>
      <c r="J139" s="994">
        <f>IF(Q139&gt;0,'3 pr-2'!L140,0)</f>
        <v>0</v>
      </c>
      <c r="K139" s="994">
        <f>IF(Q139&gt;0,'3 pr-2'!O140,0)</f>
        <v>0</v>
      </c>
      <c r="L139" s="994">
        <f>IF(Q139&gt;0,'3 pr-2'!R140,0)</f>
        <v>0</v>
      </c>
      <c r="M139" s="994">
        <f>IF(Q139&gt;0,'3 pr-2'!U140,0)</f>
        <v>0</v>
      </c>
      <c r="N139" s="994">
        <f>IF(Q139&gt;0,'3 pr-2'!X140,0)</f>
        <v>0</v>
      </c>
      <c r="O139" s="994">
        <f>IF(Q139&gt;0,'3 pr-2'!AA140,0)</f>
        <v>0</v>
      </c>
      <c r="P139" s="995">
        <f>SUM('3 pr-2'!AG140)</f>
        <v>43217</v>
      </c>
      <c r="Q139" s="996"/>
      <c r="R139" s="997"/>
      <c r="S139" s="998" t="str">
        <f t="shared" si="38"/>
        <v>–</v>
      </c>
    </row>
    <row r="140" spans="1:19" ht="41.25" customHeight="1" thickBot="1" x14ac:dyDescent="0.3">
      <c r="A140" s="497" t="str">
        <f>CONCATENATE('3 pr-2'!A141)</f>
        <v>2.1.2.3</v>
      </c>
      <c r="B140" s="613" t="str">
        <f>CONCATENATE('ketv. 2lent'!B139)</f>
        <v/>
      </c>
      <c r="C140" s="1656" t="str">
        <f>CONCATENATE('3 pr-2'!D141)</f>
        <v/>
      </c>
      <c r="D140" s="1787" t="str">
        <f>CONCATENATE('3 pr-2'!E141)</f>
        <v/>
      </c>
      <c r="E140" s="1787" t="str">
        <f>CONCATENATE('3 pr-2'!F141)</f>
        <v/>
      </c>
      <c r="F140" s="1787" t="str">
        <f>CONCATENATE('3 pr-2'!G141)</f>
        <v/>
      </c>
      <c r="G140" s="1787" t="str">
        <f>CONCATENATE('3 pr-2'!H141)</f>
        <v/>
      </c>
      <c r="H140" s="1787" t="str">
        <f>CONCATENATE('3 pr-2'!I141)</f>
        <v/>
      </c>
      <c r="I140" s="1788" t="str">
        <f>CONCATENATE('3 pr-2'!J141)</f>
        <v/>
      </c>
      <c r="J140" s="987">
        <f t="shared" ref="J140:O140" si="39">SUM(J141:J151)</f>
        <v>6637350.6499999994</v>
      </c>
      <c r="K140" s="987">
        <f t="shared" si="39"/>
        <v>1539568.6500000001</v>
      </c>
      <c r="L140" s="987">
        <f t="shared" si="39"/>
        <v>43896</v>
      </c>
      <c r="M140" s="987">
        <f t="shared" si="39"/>
        <v>0</v>
      </c>
      <c r="N140" s="987">
        <f t="shared" si="39"/>
        <v>0</v>
      </c>
      <c r="O140" s="987">
        <f t="shared" si="39"/>
        <v>5053886</v>
      </c>
      <c r="P140" s="988"/>
      <c r="Q140" s="989"/>
      <c r="R140" s="988"/>
      <c r="S140" s="989"/>
    </row>
    <row r="141" spans="1:19" ht="84.75" x14ac:dyDescent="0.25">
      <c r="A141" s="990" t="str">
        <f>CONCATENATE('3 pr-2'!A142)</f>
        <v>2.1.2.3.1</v>
      </c>
      <c r="B141" s="991" t="str">
        <f>CONCATENATE('ketv. 2lent'!B140)</f>
        <v/>
      </c>
      <c r="C141" s="992" t="str">
        <f>CONCATENATE('3 pr-2'!D142)</f>
        <v>Priemonių gerinančių ambulatorinių sveikatos priežiūros paslaugų prieinamumą tuberkulioze sergantiems asmenims, Alytaus rajone įgyvendinimas</v>
      </c>
      <c r="D141" s="992" t="str">
        <f>CONCATENATE('3 pr-2'!E142)</f>
        <v>VšĮ Alytaus rajono savivaldybės pirminės sveikatos priežiūros centras</v>
      </c>
      <c r="E141" s="992" t="str">
        <f>CONCATENATE('3 pr-2'!F142)</f>
        <v>Lietuvos Respublikos Sveikatos apsaugos ministerija</v>
      </c>
      <c r="F141" s="992" t="str">
        <f>CONCATENATE('3 pr-2'!G142)</f>
        <v>Alytaus rajono savivaldybė</v>
      </c>
      <c r="G141" s="992" t="str">
        <f>CONCATENATE('3 pr-2'!H142)</f>
        <v>08.4.2-ESFA-R-615</v>
      </c>
      <c r="H141" s="992" t="str">
        <f>CONCATENATE('3 pr-2'!I142)</f>
        <v>R</v>
      </c>
      <c r="I141" s="993" t="str">
        <f>CONCATENATE('3 pr-2'!J142)</f>
        <v>-</v>
      </c>
      <c r="J141" s="994">
        <f>IF(Q141&gt;0,'3 pr-2'!L142,0)</f>
        <v>0</v>
      </c>
      <c r="K141" s="994">
        <f>IF(Q141&gt;0,'3 pr-2'!O142,0)</f>
        <v>0</v>
      </c>
      <c r="L141" s="994">
        <f>IF(Q141&gt;0,'3 pr-2'!R142,0)</f>
        <v>0</v>
      </c>
      <c r="M141" s="994">
        <f>IF(Q141&gt;0,'3 pr-2'!U142,0)</f>
        <v>0</v>
      </c>
      <c r="N141" s="994">
        <f>IF(Q141&gt;0,'3 pr-2'!X142,0)</f>
        <v>0</v>
      </c>
      <c r="O141" s="994">
        <f>IF(Q141&gt;0,'3 pr-2'!AA142,0)</f>
        <v>0</v>
      </c>
      <c r="P141" s="995">
        <f>SUM('3 pr-2'!AG142)</f>
        <v>43252</v>
      </c>
      <c r="Q141" s="996"/>
      <c r="R141" s="997"/>
      <c r="S141" s="998" t="str">
        <f t="shared" ref="S141:S145" si="40">IF(P141-Q141&lt;0,(P141-Q141)/30.4166666666667,"–")</f>
        <v>–</v>
      </c>
    </row>
    <row r="142" spans="1:19" ht="60.75" x14ac:dyDescent="0.25">
      <c r="A142" s="990" t="str">
        <f>CONCATENATE('3 pr-2'!A143)</f>
        <v>2.1.2.3.2</v>
      </c>
      <c r="B142" s="991" t="str">
        <f>CONCATENATE('ketv. 2lent'!B141)</f>
        <v/>
      </c>
      <c r="C142" s="992" t="str">
        <f>CONCATENATE('3 pr-2'!D143)</f>
        <v>Ambulatorinių sveikatos priežiūros paslaugų gerinimas tuberkulioze sergantiems asmenims</v>
      </c>
      <c r="D142" s="992" t="str">
        <f>CONCATENATE('3 pr-2'!E143)</f>
        <v>Alytaus miesto savivaldybės administracija</v>
      </c>
      <c r="E142" s="992" t="str">
        <f>CONCATENATE('3 pr-2'!F143)</f>
        <v>Lietuvos Respublikos Sveikatos apsaugos ministerija</v>
      </c>
      <c r="F142" s="992" t="str">
        <f>CONCATENATE('3 pr-2'!G143)</f>
        <v>Alytaus  miestas</v>
      </c>
      <c r="G142" s="992" t="str">
        <f>CONCATENATE('3 pr-2'!H143)</f>
        <v>08.4.2-ESFA-R-615</v>
      </c>
      <c r="H142" s="992" t="str">
        <f>CONCATENATE('3 pr-2'!I143)</f>
        <v>R</v>
      </c>
      <c r="I142" s="993" t="str">
        <f>CONCATENATE('3 pr-2'!J143)</f>
        <v>-</v>
      </c>
      <c r="J142" s="994">
        <f>IF(Q142&gt;0,'3 pr-2'!L143,0)</f>
        <v>0</v>
      </c>
      <c r="K142" s="994">
        <f>IF(Q142&gt;0,'3 pr-2'!O143,0)</f>
        <v>0</v>
      </c>
      <c r="L142" s="994">
        <f>IF(Q142&gt;0,'3 pr-2'!R143,0)</f>
        <v>0</v>
      </c>
      <c r="M142" s="994">
        <f>IF(Q142&gt;0,'3 pr-2'!U143,0)</f>
        <v>0</v>
      </c>
      <c r="N142" s="994">
        <f>IF(Q142&gt;0,'3 pr-2'!X143,0)</f>
        <v>0</v>
      </c>
      <c r="O142" s="994">
        <f>IF(Q142&gt;0,'3 pr-2'!AA143,0)</f>
        <v>0</v>
      </c>
      <c r="P142" s="995">
        <f>SUM('3 pr-2'!AG143)</f>
        <v>43281</v>
      </c>
      <c r="Q142" s="996"/>
      <c r="R142" s="997"/>
      <c r="S142" s="998" t="str">
        <f t="shared" si="40"/>
        <v>–</v>
      </c>
    </row>
    <row r="143" spans="1:19" ht="60.75" x14ac:dyDescent="0.25">
      <c r="A143" s="990" t="str">
        <f>CONCATENATE('3 pr-2'!A144)</f>
        <v>2.1.2.3.3</v>
      </c>
      <c r="B143" s="991" t="str">
        <f>CONCATENATE('ketv. 2lent'!B142)</f>
        <v/>
      </c>
      <c r="C143" s="992" t="str">
        <f>CONCATENATE('3 pr-2'!D144)</f>
        <v xml:space="preserve">Paslaugų tuberkulioze sergantiems asmenims gerinimas Lazdijų rajono savivaldybėje </v>
      </c>
      <c r="D143" s="992" t="str">
        <f>CONCATENATE('3 pr-2'!E144)</f>
        <v>Lazdijų rajono savivaldybės administracija</v>
      </c>
      <c r="E143" s="992" t="str">
        <f>CONCATENATE('3 pr-2'!F144)</f>
        <v>Lietuvos Respublikos Sveikatos apsaugos ministerija</v>
      </c>
      <c r="F143" s="992" t="str">
        <f>CONCATENATE('3 pr-2'!G144)</f>
        <v>Lazdijų rajono savivaldybė</v>
      </c>
      <c r="G143" s="992" t="str">
        <f>CONCATENATE('3 pr-2'!H144)</f>
        <v>08.4.2-ESFA-R-615</v>
      </c>
      <c r="H143" s="992" t="str">
        <f>CONCATENATE('3 pr-2'!I144)</f>
        <v>R</v>
      </c>
      <c r="I143" s="993" t="str">
        <f>CONCATENATE('3 pr-2'!J144)</f>
        <v>-</v>
      </c>
      <c r="J143" s="994">
        <f>IF(Q143&gt;0,'3 pr-2'!L144,0)</f>
        <v>0</v>
      </c>
      <c r="K143" s="994">
        <f>IF(Q143&gt;0,'3 pr-2'!O144,0)</f>
        <v>0</v>
      </c>
      <c r="L143" s="994">
        <f>IF(Q143&gt;0,'3 pr-2'!R144,0)</f>
        <v>0</v>
      </c>
      <c r="M143" s="994">
        <f>IF(Q143&gt;0,'3 pr-2'!U144,0)</f>
        <v>0</v>
      </c>
      <c r="N143" s="994">
        <f>IF(Q143&gt;0,'3 pr-2'!X144,0)</f>
        <v>0</v>
      </c>
      <c r="O143" s="994">
        <f>IF(Q143&gt;0,'3 pr-2'!AA144,0)</f>
        <v>0</v>
      </c>
      <c r="P143" s="995">
        <f>SUM('3 pr-2'!AG144)</f>
        <v>43189</v>
      </c>
      <c r="Q143" s="996"/>
      <c r="R143" s="997"/>
      <c r="S143" s="998" t="str">
        <f t="shared" si="40"/>
        <v>–</v>
      </c>
    </row>
    <row r="144" spans="1:19" ht="60.75" x14ac:dyDescent="0.25">
      <c r="A144" s="990" t="str">
        <f>CONCATENATE('3 pr-2'!A145)</f>
        <v>2.1.2.3.4</v>
      </c>
      <c r="B144" s="991" t="str">
        <f>CONCATENATE('ketv. 2lent'!B143)</f>
        <v/>
      </c>
      <c r="C144" s="992" t="str">
        <f>CONCATENATE('3 pr-2'!D145)</f>
        <v>Ambulatorinių sveikatos priežiūros paslaugų tuberkulioze sergantiems asmenims prieinamumo gerinimas Druskininkų savivaldybėje</v>
      </c>
      <c r="D144" s="992" t="str">
        <f>CONCATENATE('3 pr-2'!E145)</f>
        <v>Druskininkų pirminės sveikatos priežiūros centras</v>
      </c>
      <c r="E144" s="992" t="str">
        <f>CONCATENATE('3 pr-2'!F145)</f>
        <v>Lietuvos Respublikos Sveikatos apsaugos ministerija</v>
      </c>
      <c r="F144" s="992" t="str">
        <f>CONCATENATE('3 pr-2'!G145)</f>
        <v>Druskininkų savivaldybė</v>
      </c>
      <c r="G144" s="992" t="str">
        <f>CONCATENATE('3 pr-2'!H145)</f>
        <v>08.4.2-ESFA-R-615</v>
      </c>
      <c r="H144" s="992" t="str">
        <f>CONCATENATE('3 pr-2'!I145)</f>
        <v>R</v>
      </c>
      <c r="I144" s="993" t="str">
        <f>CONCATENATE('3 pr-2'!J145)</f>
        <v>-</v>
      </c>
      <c r="J144" s="994">
        <f>IF(Q144&gt;0,'3 pr-2'!L145,0)</f>
        <v>0</v>
      </c>
      <c r="K144" s="994">
        <f>IF(Q144&gt;0,'3 pr-2'!O145,0)</f>
        <v>0</v>
      </c>
      <c r="L144" s="994">
        <f>IF(Q144&gt;0,'3 pr-2'!R145,0)</f>
        <v>0</v>
      </c>
      <c r="M144" s="994">
        <f>IF(Q144&gt;0,'3 pr-2'!U145,0)</f>
        <v>0</v>
      </c>
      <c r="N144" s="994">
        <f>IF(Q144&gt;0,'3 pr-2'!X145,0)</f>
        <v>0</v>
      </c>
      <c r="O144" s="994">
        <f>IF(Q144&gt;0,'3 pr-2'!AA145,0)</f>
        <v>0</v>
      </c>
      <c r="P144" s="995">
        <f>SUM('3 pr-2'!AG145)</f>
        <v>43253</v>
      </c>
      <c r="Q144" s="996"/>
      <c r="R144" s="997"/>
      <c r="S144" s="998" t="str">
        <f t="shared" si="40"/>
        <v>–</v>
      </c>
    </row>
    <row r="145" spans="1:19" ht="61.5" thickBot="1" x14ac:dyDescent="0.3">
      <c r="A145" s="990" t="str">
        <f>CONCATENATE('3 pr-2'!A146)</f>
        <v>2.1.2.3.5</v>
      </c>
      <c r="B145" s="991" t="str">
        <f>CONCATENATE('ketv. 2lent'!B144)</f>
        <v/>
      </c>
      <c r="C145" s="992" t="str">
        <f>CONCATENATE('3 pr-2'!D146)</f>
        <v>Ambulatorinių sveikatos priežiūros paslaugų prieinamumo gerinimas tuberkulioze sergantiems asmenims Varėnos rajono savivaldybėje</v>
      </c>
      <c r="D145" s="992" t="str">
        <f>CONCATENATE('3 pr-2'!E146)</f>
        <v>Varėnos rajono savivaldybės administracija</v>
      </c>
      <c r="E145" s="992" t="str">
        <f>CONCATENATE('3 pr-2'!F146)</f>
        <v>Lietuvos Respublikos Sveikatos apsaugos ministerija</v>
      </c>
      <c r="F145" s="992" t="str">
        <f>CONCATENATE('3 pr-2'!G146)</f>
        <v>Varėnos rajono savivaldybė</v>
      </c>
      <c r="G145" s="992" t="str">
        <f>CONCATENATE('3 pr-2'!H146)</f>
        <v>08.4.2-ESFA-R-615</v>
      </c>
      <c r="H145" s="992" t="str">
        <f>CONCATENATE('3 pr-2'!I146)</f>
        <v>R</v>
      </c>
      <c r="I145" s="993" t="str">
        <f>CONCATENATE('3 pr-2'!J146)</f>
        <v>-</v>
      </c>
      <c r="J145" s="994">
        <f>IF(Q145&gt;0,'3 pr-2'!L146,0)</f>
        <v>0</v>
      </c>
      <c r="K145" s="994">
        <f>IF(Q145&gt;0,'3 pr-2'!O146,0)</f>
        <v>0</v>
      </c>
      <c r="L145" s="994">
        <f>IF(Q145&gt;0,'3 pr-2'!R146,0)</f>
        <v>0</v>
      </c>
      <c r="M145" s="994">
        <f>IF(Q145&gt;0,'3 pr-2'!U146,0)</f>
        <v>0</v>
      </c>
      <c r="N145" s="994">
        <f>IF(Q145&gt;0,'3 pr-2'!X146,0)</f>
        <v>0</v>
      </c>
      <c r="O145" s="994">
        <f>IF(Q145&gt;0,'3 pr-2'!AA146,0)</f>
        <v>0</v>
      </c>
      <c r="P145" s="995">
        <f>SUM('3 pr-2'!AG146)</f>
        <v>43252</v>
      </c>
      <c r="Q145" s="996"/>
      <c r="R145" s="997"/>
      <c r="S145" s="998" t="str">
        <f t="shared" si="40"/>
        <v>–</v>
      </c>
    </row>
    <row r="146" spans="1:19" ht="44.25" customHeight="1" thickBot="1" x14ac:dyDescent="0.3">
      <c r="A146" s="345" t="str">
        <f>CONCATENATE('3 pr-2'!A147)</f>
        <v>2.1.3.</v>
      </c>
      <c r="B146" s="648" t="str">
        <f>CONCATENATE('ketv. 2lent'!B145)</f>
        <v/>
      </c>
      <c r="C146" s="1668" t="str">
        <f>CONCATENATE('3 pr-2'!D147)</f>
        <v/>
      </c>
      <c r="D146" s="1669" t="str">
        <f>CONCATENATE('3 pr-2'!E147)</f>
        <v/>
      </c>
      <c r="E146" s="1669" t="str">
        <f>CONCATENATE('3 pr-2'!F147)</f>
        <v/>
      </c>
      <c r="F146" s="1669" t="str">
        <f>CONCATENATE('3 pr-2'!G147)</f>
        <v/>
      </c>
      <c r="G146" s="1669" t="str">
        <f>CONCATENATE('3 pr-2'!H147)</f>
        <v/>
      </c>
      <c r="H146" s="1669" t="str">
        <f>CONCATENATE('3 pr-2'!I147)</f>
        <v/>
      </c>
      <c r="I146" s="1670" t="str">
        <f>CONCATENATE('3 pr-2'!J147)</f>
        <v/>
      </c>
      <c r="J146" s="303">
        <f t="shared" ref="J146:O146" si="41">SUM(J147+J153)</f>
        <v>4238690.55</v>
      </c>
      <c r="K146" s="303">
        <f t="shared" si="41"/>
        <v>810007.55</v>
      </c>
      <c r="L146" s="303">
        <f t="shared" si="41"/>
        <v>21948</v>
      </c>
      <c r="M146" s="303">
        <f t="shared" si="41"/>
        <v>0</v>
      </c>
      <c r="N146" s="303">
        <f t="shared" si="41"/>
        <v>0</v>
      </c>
      <c r="O146" s="303">
        <f t="shared" si="41"/>
        <v>3406735</v>
      </c>
      <c r="P146" s="311" t="s">
        <v>725</v>
      </c>
      <c r="Q146" s="650" t="s">
        <v>725</v>
      </c>
      <c r="R146" s="649" t="s">
        <v>725</v>
      </c>
      <c r="S146" s="314"/>
    </row>
    <row r="147" spans="1:19" ht="42.75" customHeight="1" thickBot="1" x14ac:dyDescent="0.3">
      <c r="A147" s="497" t="str">
        <f>CONCATENATE('3 pr-2'!A148)</f>
        <v>2.1.3.1</v>
      </c>
      <c r="B147" s="613" t="str">
        <f>CONCATENATE('ketv. 2lent'!B146)</f>
        <v/>
      </c>
      <c r="C147" s="1656" t="str">
        <f>CONCATENATE('3 pr-2'!D148)</f>
        <v/>
      </c>
      <c r="D147" s="1789" t="str">
        <f>CONCATENATE('3 pr-2'!E148)</f>
        <v/>
      </c>
      <c r="E147" s="1789" t="str">
        <f>CONCATENATE('3 pr-2'!F148)</f>
        <v/>
      </c>
      <c r="F147" s="1789" t="str">
        <f>CONCATENATE('3 pr-2'!G148)</f>
        <v/>
      </c>
      <c r="G147" s="1789" t="str">
        <f>CONCATENATE('3 pr-2'!H148)</f>
        <v/>
      </c>
      <c r="H147" s="1789" t="str">
        <f>CONCATENATE('3 pr-2'!I148)</f>
        <v/>
      </c>
      <c r="I147" s="1790" t="str">
        <f>CONCATENATE('3 pr-2'!J148)</f>
        <v/>
      </c>
      <c r="J147" s="629">
        <f t="shared" ref="J147:O147" si="42">SUM(J148:J152)</f>
        <v>1272489.55</v>
      </c>
      <c r="K147" s="629">
        <f t="shared" si="42"/>
        <v>364780.55000000005</v>
      </c>
      <c r="L147" s="629">
        <f t="shared" si="42"/>
        <v>21948</v>
      </c>
      <c r="M147" s="629">
        <f t="shared" si="42"/>
        <v>0</v>
      </c>
      <c r="N147" s="629">
        <f t="shared" si="42"/>
        <v>0</v>
      </c>
      <c r="O147" s="629">
        <f t="shared" si="42"/>
        <v>885761</v>
      </c>
      <c r="P147" s="630"/>
      <c r="Q147" s="631"/>
      <c r="R147" s="630"/>
      <c r="S147" s="631"/>
    </row>
    <row r="148" spans="1:19" ht="60.75" x14ac:dyDescent="0.25">
      <c r="A148" s="254" t="str">
        <f>CONCATENATE('3 pr-2'!A149)</f>
        <v>2.1.3.1.1</v>
      </c>
      <c r="B148" s="323" t="str">
        <f>CONCATENATE('ketv. 2lent'!B147)</f>
        <v>08.1.1-CPVA-R-407-11-0002</v>
      </c>
      <c r="C148" s="255" t="str">
        <f>CONCATENATE('3 pr-2'!D149)</f>
        <v>Socialinių paslaugų infrastruktūros plėtra Varėnos rajono savivaldybėje</v>
      </c>
      <c r="D148" s="255" t="str">
        <f>CONCATENATE('3 pr-2'!E149)</f>
        <v>Varėnos rajono savivaldybės administracija</v>
      </c>
      <c r="E148" s="255" t="str">
        <f>CONCATENATE('3 pr-2'!F149)</f>
        <v>Lietuvos Respublikos socialinės apsaugos ir darbo ministerija</v>
      </c>
      <c r="F148" s="255" t="str">
        <f>CONCATENATE('3 pr-2'!G149)</f>
        <v>Varėnos rajono savivaldybė</v>
      </c>
      <c r="G148" s="255" t="str">
        <f>CONCATENATE('3 pr-2'!H149)</f>
        <v>08.1.2-CPVA-R-407</v>
      </c>
      <c r="H148" s="255" t="str">
        <f>CONCATENATE('3 pr-2'!I149)</f>
        <v>R</v>
      </c>
      <c r="I148" s="265" t="str">
        <f>CONCATENATE('3 pr-2'!J149)</f>
        <v>-</v>
      </c>
      <c r="J148" s="474">
        <f>IF(Q148&gt;0,'3 pr-2'!L149,0)</f>
        <v>148480</v>
      </c>
      <c r="K148" s="474">
        <f>IF(Q148&gt;0,'3 pr-2'!O149,0)</f>
        <v>22272</v>
      </c>
      <c r="L148" s="474">
        <f>IF(Q148&gt;0,'3 pr-2'!R149,0)</f>
        <v>0</v>
      </c>
      <c r="M148" s="474">
        <f>IF(Q148&gt;0,'3 pr-2'!U149,0)</f>
        <v>0</v>
      </c>
      <c r="N148" s="474">
        <f>IF(Q148&gt;0,'3 pr-2'!X149,0)</f>
        <v>0</v>
      </c>
      <c r="O148" s="474">
        <f>IF(Q148&gt;0,'3 pr-2'!AA149,0)</f>
        <v>126208</v>
      </c>
      <c r="P148" s="288">
        <f>SUM('3 pr-2'!AG149)</f>
        <v>42719</v>
      </c>
      <c r="Q148" s="604">
        <v>42734</v>
      </c>
      <c r="R148" s="264">
        <f>IF((YEAR(P148)-YEAR(Q148))=0,0,YEAR(P148)-YEAR(Q148))</f>
        <v>0</v>
      </c>
      <c r="S148" s="998">
        <f t="shared" ref="S148:S152" si="43">IF(P148-Q148&lt;0,(P148-Q148)/30.4166666666667,"–")</f>
        <v>-0.49315068493150632</v>
      </c>
    </row>
    <row r="149" spans="1:19" ht="60.75" x14ac:dyDescent="0.25">
      <c r="A149" s="254" t="str">
        <f>CONCATENATE('3 pr-2'!A150)</f>
        <v>2.1.3.1.2</v>
      </c>
      <c r="B149" s="323" t="str">
        <f>CONCATENATE('ketv. 2lent'!B148)</f>
        <v>08.1.1-CPVA-R-407-11-0004</v>
      </c>
      <c r="C149" s="255" t="str">
        <f>CONCATENATE('3 pr-2'!D150)</f>
        <v>Psichosocialinės pagalbos centro įkūrimas</v>
      </c>
      <c r="D149" s="255" t="str">
        <f>CONCATENATE('3 pr-2'!E150)</f>
        <v>Alytaus rajono savivaldybės administracija</v>
      </c>
      <c r="E149" s="255" t="str">
        <f>CONCATENATE('3 pr-2'!F150)</f>
        <v>Lietuvos Respublikos socialinės apsaugos ir darbo ministerija</v>
      </c>
      <c r="F149" s="255" t="str">
        <f>CONCATENATE('3 pr-2'!G150)</f>
        <v>Alytaus  miestas</v>
      </c>
      <c r="G149" s="255" t="str">
        <f>CONCATENATE('3 pr-2'!H150)</f>
        <v>08.1.2-CPVA-R-407</v>
      </c>
      <c r="H149" s="255" t="str">
        <f>CONCATENATE('3 pr-2'!I150)</f>
        <v>R</v>
      </c>
      <c r="I149" s="265" t="str">
        <f>CONCATENATE('3 pr-2'!J150)</f>
        <v/>
      </c>
      <c r="J149" s="474">
        <f>IF(Q149&gt;0,'3 pr-2'!L150,0)</f>
        <v>188353</v>
      </c>
      <c r="K149" s="474">
        <f>IF(Q149&gt;0,'3 pr-2'!O150,0)</f>
        <v>28253</v>
      </c>
      <c r="L149" s="474">
        <f>IF(Q149&gt;0,'3 pr-2'!R150,0)</f>
        <v>0</v>
      </c>
      <c r="M149" s="474">
        <f>IF(Q149&gt;0,'3 pr-2'!U150,0)</f>
        <v>0</v>
      </c>
      <c r="N149" s="474">
        <f>IF(Q149&gt;0,'3 pr-2'!X150,0)</f>
        <v>0</v>
      </c>
      <c r="O149" s="474">
        <f>IF(Q149&gt;0,'3 pr-2'!AA150,0)</f>
        <v>160100</v>
      </c>
      <c r="P149" s="288">
        <f>SUM('3 pr-2'!AG150)</f>
        <v>42734</v>
      </c>
      <c r="Q149" s="604">
        <v>42738</v>
      </c>
      <c r="R149" s="264">
        <f>IF((YEAR(P149)-YEAR(Q149))=0,0,YEAR(P149)-YEAR(Q149))</f>
        <v>-1</v>
      </c>
      <c r="S149" s="998">
        <f t="shared" si="43"/>
        <v>-0.13150684931506834</v>
      </c>
    </row>
    <row r="150" spans="1:19" ht="60.75" x14ac:dyDescent="0.25">
      <c r="A150" s="254" t="str">
        <f>CONCATENATE('3 pr-2'!A151)</f>
        <v>2.1.3.1.3</v>
      </c>
      <c r="B150" s="323" t="str">
        <f>CONCATENATE('ketv. 2lent'!B149)</f>
        <v>08.1.1-CPVA-R-407-11-0005</v>
      </c>
      <c r="C150" s="255" t="str">
        <f>CONCATENATE('3 pr-2'!D151)</f>
        <v>Socialinių paslaugų plėtra Alytaus mieste</v>
      </c>
      <c r="D150" s="255" t="str">
        <f>CONCATENATE('3 pr-2'!E151)</f>
        <v>Alytaus miesto savivaldybės administracija</v>
      </c>
      <c r="E150" s="255" t="str">
        <f>CONCATENATE('3 pr-2'!F151)</f>
        <v>Lietuvos Respublikos socialinės apsaugos ir darbo ministerija</v>
      </c>
      <c r="F150" s="255" t="str">
        <f>CONCATENATE('3 pr-2'!G151)</f>
        <v>Alytaus  miestas</v>
      </c>
      <c r="G150" s="255" t="str">
        <f>CONCATENATE('3 pr-2'!H151)</f>
        <v>08.1.2-CPVA-R-407</v>
      </c>
      <c r="H150" s="255" t="str">
        <f>CONCATENATE('3 pr-2'!I151)</f>
        <v>R</v>
      </c>
      <c r="I150" s="265" t="str">
        <f>CONCATENATE('3 pr-2'!J151)</f>
        <v>-</v>
      </c>
      <c r="J150" s="474">
        <f>IF(Q150&gt;0,'3 pr-2'!L151,0)</f>
        <v>637900.55000000005</v>
      </c>
      <c r="K150" s="474">
        <f>IF(Q150&gt;0,'3 pr-2'!O151,0)</f>
        <v>291539.55000000005</v>
      </c>
      <c r="L150" s="474">
        <f>IF(Q150&gt;0,'3 pr-2'!R151,0)</f>
        <v>0</v>
      </c>
      <c r="M150" s="474">
        <f>IF(Q150&gt;0,'3 pr-2'!U151,0)</f>
        <v>0</v>
      </c>
      <c r="N150" s="474">
        <f>IF(Q150&gt;0,'3 pr-2'!X151,0)</f>
        <v>0</v>
      </c>
      <c r="O150" s="474">
        <f>IF(Q150&gt;0,'3 pr-2'!AA151,0)</f>
        <v>346361</v>
      </c>
      <c r="P150" s="288">
        <f>SUM('3 pr-2'!AG151)</f>
        <v>42766</v>
      </c>
      <c r="Q150" s="604">
        <v>42766</v>
      </c>
      <c r="R150" s="264">
        <f>IF((YEAR(P150)-YEAR(Q150))=0,0,YEAR(P150)-YEAR(Q150))</f>
        <v>0</v>
      </c>
      <c r="S150" s="998" t="str">
        <f t="shared" si="43"/>
        <v>–</v>
      </c>
    </row>
    <row r="151" spans="1:19" ht="60.75" x14ac:dyDescent="0.25">
      <c r="A151" s="254" t="str">
        <f>CONCATENATE('3 pr-2'!A152)</f>
        <v>2.1.3.1.4</v>
      </c>
      <c r="B151" s="323" t="str">
        <f>CONCATENATE('ketv. 2lent'!B150)</f>
        <v>08.1.1-CPVA-R-407-11-0001</v>
      </c>
      <c r="C151" s="255" t="str">
        <f>CONCATENATE('3 pr-2'!D152)</f>
        <v>Socialinių paslaugų infrastruktūros plėtra Druskininkų savivaldybėje</v>
      </c>
      <c r="D151" s="255" t="str">
        <f>CONCATENATE('3 pr-2'!E152)</f>
        <v>Druskininkų savivaldybės administracija</v>
      </c>
      <c r="E151" s="255" t="str">
        <f>CONCATENATE('3 pr-2'!F152)</f>
        <v>Lietuvos Respublikos socialinės apsaugos ir darbo ministerija</v>
      </c>
      <c r="F151" s="255" t="str">
        <f>CONCATENATE('3 pr-2'!G152)</f>
        <v>Druskininkų savivaldybė</v>
      </c>
      <c r="G151" s="255" t="str">
        <f>CONCATENATE('3 pr-2'!H152)</f>
        <v>08.1.2-CPVA-R-407</v>
      </c>
      <c r="H151" s="255" t="str">
        <f>CONCATENATE('3 pr-2'!I152)</f>
        <v>R</v>
      </c>
      <c r="I151" s="265" t="str">
        <f>CONCATENATE('3 pr-2'!J152)</f>
        <v>-</v>
      </c>
      <c r="J151" s="474">
        <f>IF(Q151&gt;0,'3 pr-2'!L152,0)</f>
        <v>151437</v>
      </c>
      <c r="K151" s="474">
        <f>IF(Q151&gt;0,'3 pr-2'!O152,0)</f>
        <v>22716</v>
      </c>
      <c r="L151" s="474">
        <f>IF(Q151&gt;0,'3 pr-2'!R152,0)</f>
        <v>0</v>
      </c>
      <c r="M151" s="474">
        <f>IF(Q151&gt;0,'3 pr-2'!U152,0)</f>
        <v>0</v>
      </c>
      <c r="N151" s="474">
        <f>IF(Q151&gt;0,'3 pr-2'!X152,0)</f>
        <v>0</v>
      </c>
      <c r="O151" s="474">
        <f>IF(Q151&gt;0,'3 pr-2'!AA152,0)</f>
        <v>128721</v>
      </c>
      <c r="P151" s="288">
        <f>SUM('3 pr-2'!AG152)</f>
        <v>42735</v>
      </c>
      <c r="Q151" s="604">
        <v>42734</v>
      </c>
      <c r="R151" s="264">
        <f>IF((YEAR(P151)-YEAR(Q151))=0,0,YEAR(P151)-YEAR(Q151))</f>
        <v>0</v>
      </c>
      <c r="S151" s="998" t="str">
        <f t="shared" si="43"/>
        <v>–</v>
      </c>
    </row>
    <row r="152" spans="1:19" ht="61.5" thickBot="1" x14ac:dyDescent="0.3">
      <c r="A152" s="254" t="str">
        <f>CONCATENATE('3 pr-2'!A153)</f>
        <v>2.1.3.1.5</v>
      </c>
      <c r="B152" s="323" t="str">
        <f>CONCATENATE('ketv. 2lent'!B151)</f>
        <v>08.1.1-CPVA-R-407-11-0003</v>
      </c>
      <c r="C152" s="255" t="str">
        <f>CONCATENATE('3 pr-2'!D153)</f>
        <v>Socialinių paslaugų infrastruktūros modernizavimas ir plėtra VšĮ Kapčiamiesčio globos namuose</v>
      </c>
      <c r="D152" s="255" t="str">
        <f>CONCATENATE('3 pr-2'!E153)</f>
        <v>VšĮ Kapčiamiesčio globos namai</v>
      </c>
      <c r="E152" s="255" t="str">
        <f>CONCATENATE('3 pr-2'!F153)</f>
        <v>Lietuvos Respublikos socialinės apsaugos ir darbo ministerija</v>
      </c>
      <c r="F152" s="255" t="str">
        <f>CONCATENATE('3 pr-2'!G153)</f>
        <v>Lazdijų rajono savivaldybė</v>
      </c>
      <c r="G152" s="255" t="str">
        <f>CONCATENATE('3 pr-2'!H153)</f>
        <v>08.1.2-CPVA-R-407</v>
      </c>
      <c r="H152" s="255" t="str">
        <f>CONCATENATE('3 pr-2'!I153)</f>
        <v>R</v>
      </c>
      <c r="I152" s="265" t="str">
        <f>CONCATENATE('3 pr-2'!J153)</f>
        <v>-</v>
      </c>
      <c r="J152" s="474">
        <f>IF(Q152&gt;0,'3 pr-2'!L153,0)</f>
        <v>146319</v>
      </c>
      <c r="K152" s="474">
        <f>IF(Q152&gt;0,'3 pr-2'!O153,0)</f>
        <v>0</v>
      </c>
      <c r="L152" s="474">
        <f>IF(Q152&gt;0,'3 pr-2'!R153,0)</f>
        <v>21948</v>
      </c>
      <c r="M152" s="474">
        <f>IF(Q152&gt;0,'3 pr-2'!U153,0)</f>
        <v>0</v>
      </c>
      <c r="N152" s="474">
        <f>IF(Q152&gt;0,'3 pr-2'!X153,0)</f>
        <v>0</v>
      </c>
      <c r="O152" s="474">
        <f>IF(Q152&gt;0,'3 pr-2'!AA153,0)</f>
        <v>124371</v>
      </c>
      <c r="P152" s="288">
        <f>SUM('3 pr-2'!AG153)</f>
        <v>42735</v>
      </c>
      <c r="Q152" s="604">
        <v>42737</v>
      </c>
      <c r="R152" s="264">
        <f>IF((YEAR(P152)-YEAR(Q152))=0,0,YEAR(P152)-YEAR(Q152))</f>
        <v>-1</v>
      </c>
      <c r="S152" s="998">
        <f t="shared" si="43"/>
        <v>-6.5753424657534171E-2</v>
      </c>
    </row>
    <row r="153" spans="1:19" ht="25.5" customHeight="1" thickBot="1" x14ac:dyDescent="0.3">
      <c r="A153" s="497" t="str">
        <f>CONCATENATE('3 pr-2'!A154)</f>
        <v>2.1.3.2</v>
      </c>
      <c r="B153" s="613" t="str">
        <f>CONCATENATE('ketv. 2lent'!B152)</f>
        <v/>
      </c>
      <c r="C153" s="1656" t="str">
        <f>CONCATENATE('3 pr-2'!D154)</f>
        <v/>
      </c>
      <c r="D153" s="1789" t="str">
        <f>CONCATENATE('3 pr-2'!E154)</f>
        <v/>
      </c>
      <c r="E153" s="1789" t="str">
        <f>CONCATENATE('3 pr-2'!F154)</f>
        <v/>
      </c>
      <c r="F153" s="1789" t="str">
        <f>CONCATENATE('3 pr-2'!G154)</f>
        <v/>
      </c>
      <c r="G153" s="1789" t="str">
        <f>CONCATENATE('3 pr-2'!H154)</f>
        <v/>
      </c>
      <c r="H153" s="1789" t="str">
        <f>CONCATENATE('3 pr-2'!I154)</f>
        <v/>
      </c>
      <c r="I153" s="1790" t="str">
        <f>CONCATENATE('3 pr-2'!J154)</f>
        <v/>
      </c>
      <c r="J153" s="629">
        <f t="shared" ref="J153:O153" si="44">SUM(J154:J158)</f>
        <v>2966201</v>
      </c>
      <c r="K153" s="629">
        <f t="shared" si="44"/>
        <v>445227</v>
      </c>
      <c r="L153" s="629">
        <f t="shared" si="44"/>
        <v>0</v>
      </c>
      <c r="M153" s="629">
        <f t="shared" si="44"/>
        <v>0</v>
      </c>
      <c r="N153" s="629">
        <f t="shared" si="44"/>
        <v>0</v>
      </c>
      <c r="O153" s="629">
        <f t="shared" si="44"/>
        <v>2520974</v>
      </c>
      <c r="P153" s="630"/>
      <c r="Q153" s="631"/>
      <c r="R153" s="630"/>
      <c r="S153" s="631"/>
    </row>
    <row r="154" spans="1:19" ht="60.75" x14ac:dyDescent="0.25">
      <c r="A154" s="254" t="str">
        <f>CONCATENATE('3 pr-2'!A155)</f>
        <v>2.1.3.2.1</v>
      </c>
      <c r="B154" s="323" t="str">
        <f>CONCATENATE('ketv. 2lent'!B153)</f>
        <v>08.1.2-CPVA-R-408-11-0001</v>
      </c>
      <c r="C154" s="255" t="str">
        <f>CONCATENATE('3 pr-2'!D155)</f>
        <v>Socialinio būsto plėtra Varėnos rajone</v>
      </c>
      <c r="D154" s="255" t="str">
        <f>CONCATENATE('3 pr-2'!E155)</f>
        <v>Varėnos rajono savivaldybės administracija</v>
      </c>
      <c r="E154" s="255" t="str">
        <f>CONCATENATE('3 pr-2'!F155)</f>
        <v>Lietuvos Respublikos socialinės apsaugos ir darbo ministerija</v>
      </c>
      <c r="F154" s="255" t="str">
        <f>CONCATENATE('3 pr-2'!G155)</f>
        <v>Varėnos rajono savivaldybė</v>
      </c>
      <c r="G154" s="255" t="str">
        <f>CONCATENATE('3 pr-2'!H155)</f>
        <v>08.1.1-CPVA·R-408</v>
      </c>
      <c r="H154" s="255" t="str">
        <f>CONCATENATE('3 pr-2'!I155)</f>
        <v>R</v>
      </c>
      <c r="I154" s="265" t="str">
        <f>CONCATENATE('3 pr-2'!J155)</f>
        <v>-</v>
      </c>
      <c r="J154" s="474">
        <f>IF(Q154&gt;0,'3 pr-2'!L155,0)</f>
        <v>736499</v>
      </c>
      <c r="K154" s="474">
        <f>IF(Q154&gt;0,'3 pr-2'!O155,0)</f>
        <v>110475</v>
      </c>
      <c r="L154" s="474">
        <f>IF(Q154&gt;0,'3 pr-2'!R155,0)</f>
        <v>0</v>
      </c>
      <c r="M154" s="474">
        <f>IF(Q154&gt;0,'3 pr-2'!U155,0)</f>
        <v>0</v>
      </c>
      <c r="N154" s="474">
        <f>IF(Q154&gt;0,'3 pr-2'!X155,0)</f>
        <v>0</v>
      </c>
      <c r="O154" s="474">
        <f>IF(Q154&gt;0,'3 pr-2'!AA155,0)</f>
        <v>626024</v>
      </c>
      <c r="P154" s="288">
        <f>SUM('3 pr-2'!AG155)</f>
        <v>42674</v>
      </c>
      <c r="Q154" s="606">
        <v>42506</v>
      </c>
      <c r="R154" s="264">
        <f>IF((YEAR(P154)-YEAR(Q154))=0,0,YEAR(P154)-YEAR(Q154))</f>
        <v>0</v>
      </c>
      <c r="S154" s="998" t="str">
        <f t="shared" ref="S154:S158" si="45">IF(P154-Q154&lt;0,(P154-Q154)/30.4166666666667,"–")</f>
        <v>–</v>
      </c>
    </row>
    <row r="155" spans="1:19" ht="60.75" x14ac:dyDescent="0.25">
      <c r="A155" s="254" t="str">
        <f>CONCATENATE('3 pr-2'!A156)</f>
        <v>2.1.3.2.2</v>
      </c>
      <c r="B155" s="323" t="str">
        <f>CONCATENATE('ketv. 2lent'!B154)</f>
        <v>08.1.2-CPVA-R-408-11-0005</v>
      </c>
      <c r="C155" s="255" t="str">
        <f>CONCATENATE('3 pr-2'!D156)</f>
        <v>Būsto prieinamumo pažeidžiamoms gyventojų grupėms didinimas Alytaus rajone</v>
      </c>
      <c r="D155" s="255" t="str">
        <f>CONCATENATE('3 pr-2'!E156)</f>
        <v>Alytaus rajono savivaldybės administracija</v>
      </c>
      <c r="E155" s="255" t="str">
        <f>CONCATENATE('3 pr-2'!F156)</f>
        <v>Lietuvos Respublikos socialinės apsaugos ir darbo ministerija</v>
      </c>
      <c r="F155" s="255" t="str">
        <f>CONCATENATE('3 pr-2'!G156)</f>
        <v>Alytaus  rajono savivaldybė</v>
      </c>
      <c r="G155" s="255" t="str">
        <f>CONCATENATE('3 pr-2'!H156)</f>
        <v>08.1.1-CPVA·R-408</v>
      </c>
      <c r="H155" s="255" t="str">
        <f>CONCATENATE('3 pr-2'!I156)</f>
        <v>R</v>
      </c>
      <c r="I155" s="265" t="str">
        <f>CONCATENATE('3 pr-2'!J156)</f>
        <v>-</v>
      </c>
      <c r="J155" s="474">
        <f>IF(Q155&gt;0,'3 pr-2'!L156,0)</f>
        <v>241889</v>
      </c>
      <c r="K155" s="474">
        <f>IF(Q155&gt;0,'3 pr-2'!O156,0)</f>
        <v>36283</v>
      </c>
      <c r="L155" s="474">
        <f>IF(Q155&gt;0,'3 pr-2'!R156,0)</f>
        <v>0</v>
      </c>
      <c r="M155" s="474">
        <f>IF(Q155&gt;0,'3 pr-2'!U156,0)</f>
        <v>0</v>
      </c>
      <c r="N155" s="474">
        <f>IF(Q155&gt;0,'3 pr-2'!X156,0)</f>
        <v>0</v>
      </c>
      <c r="O155" s="474">
        <f>IF(Q155&gt;0,'3 pr-2'!AA156,0)</f>
        <v>205606</v>
      </c>
      <c r="P155" s="288">
        <f>SUM('3 pr-2'!AG156)</f>
        <v>42674</v>
      </c>
      <c r="Q155" s="606">
        <v>42523</v>
      </c>
      <c r="R155" s="264">
        <f>IF((YEAR(P155)-YEAR(Q155))=0,0,YEAR(P155)-YEAR(Q155))</f>
        <v>0</v>
      </c>
      <c r="S155" s="998" t="str">
        <f t="shared" si="45"/>
        <v>–</v>
      </c>
    </row>
    <row r="156" spans="1:19" ht="60.75" x14ac:dyDescent="0.25">
      <c r="A156" s="254" t="str">
        <f>CONCATENATE('3 pr-2'!A157)</f>
        <v>2.1.3.1.3</v>
      </c>
      <c r="B156" s="323" t="str">
        <f>CONCATENATE('ketv. 2lent'!B155)</f>
        <v>08.1.2-CPVA-R-408-11-0002</v>
      </c>
      <c r="C156" s="255" t="str">
        <f>CONCATENATE('3 pr-2'!D157)</f>
        <v>Socialinio būsto plėtra Alytaus mieste</v>
      </c>
      <c r="D156" s="255" t="str">
        <f>CONCATENATE('3 pr-2'!E157)</f>
        <v>Alytaus miesto savivaldybės administracija</v>
      </c>
      <c r="E156" s="255" t="str">
        <f>CONCATENATE('3 pr-2'!F157)</f>
        <v>Lietuvos Respublikos socialinės apsaugos ir darbo ministerija</v>
      </c>
      <c r="F156" s="255" t="str">
        <f>CONCATENATE('3 pr-2'!G157)</f>
        <v>Alytaus miestas</v>
      </c>
      <c r="G156" s="255" t="str">
        <f>CONCATENATE('3 pr-2'!H157)</f>
        <v>08.1.1-CPVA·R-408</v>
      </c>
      <c r="H156" s="255" t="str">
        <f>CONCATENATE('3 pr-2'!I157)</f>
        <v>R</v>
      </c>
      <c r="I156" s="265" t="str">
        <f>CONCATENATE('3 pr-2'!J157)</f>
        <v>-</v>
      </c>
      <c r="J156" s="474">
        <f>IF(Q156&gt;0,'3 pr-2'!L157,0)</f>
        <v>891741</v>
      </c>
      <c r="K156" s="474">
        <f>IF(Q156&gt;0,'3 pr-2'!O157,0)</f>
        <v>133761</v>
      </c>
      <c r="L156" s="474">
        <f>IF(Q156&gt;0,'3 pr-2'!R157,0)</f>
        <v>0</v>
      </c>
      <c r="M156" s="474">
        <f>IF(Q156&gt;0,'3 pr-2'!U157,0)</f>
        <v>0</v>
      </c>
      <c r="N156" s="474">
        <f>IF(Q156&gt;0,'3 pr-2'!X157,0)</f>
        <v>0</v>
      </c>
      <c r="O156" s="474">
        <f>IF(Q156&gt;0,'3 pr-2'!AA157,0)</f>
        <v>757980</v>
      </c>
      <c r="P156" s="288">
        <f>SUM('3 pr-2'!AG157)</f>
        <v>42674</v>
      </c>
      <c r="Q156" s="606">
        <v>42563</v>
      </c>
      <c r="R156" s="264">
        <f>IF((YEAR(P156)-YEAR(Q156))=0,0,YEAR(P156)-YEAR(Q156))</f>
        <v>0</v>
      </c>
      <c r="S156" s="998" t="str">
        <f t="shared" si="45"/>
        <v>–</v>
      </c>
    </row>
    <row r="157" spans="1:19" ht="60.75" x14ac:dyDescent="0.25">
      <c r="A157" s="254" t="str">
        <f>CONCATENATE('3 pr-2'!A158)</f>
        <v>2.1.3.2.4</v>
      </c>
      <c r="B157" s="323" t="str">
        <f>CONCATENATE('ketv. 2lent'!B156)</f>
        <v>08.1.2-CPVA-R-408-11-0003</v>
      </c>
      <c r="C157" s="255" t="str">
        <f>CONCATENATE('3 pr-2'!D158)</f>
        <v>Socialinio būsto fondo plėtra Druskininkų savivaldybėje</v>
      </c>
      <c r="D157" s="255" t="str">
        <f>CONCATENATE('3 pr-2'!E158)</f>
        <v>Druskininkų savivaldybės administracija</v>
      </c>
      <c r="E157" s="255" t="str">
        <f>CONCATENATE('3 pr-2'!F158)</f>
        <v>Lietuvos Respublikos socialinės apsaugos ir darbo ministerija</v>
      </c>
      <c r="F157" s="255" t="str">
        <f>CONCATENATE('3 pr-2'!G158)</f>
        <v>Druskininkų savivaldybė</v>
      </c>
      <c r="G157" s="255" t="str">
        <f>CONCATENATE('3 pr-2'!H158)</f>
        <v>08.1.1-CPVA·R-408</v>
      </c>
      <c r="H157" s="255" t="str">
        <f>CONCATENATE('3 pr-2'!I158)</f>
        <v>R</v>
      </c>
      <c r="I157" s="265" t="str">
        <f>CONCATENATE('3 pr-2'!J158)</f>
        <v>-</v>
      </c>
      <c r="J157" s="474">
        <f>IF(Q157&gt;0,'3 pr-2'!L158,0)</f>
        <v>727473</v>
      </c>
      <c r="K157" s="474">
        <f>IF(Q157&gt;0,'3 pr-2'!O158,0)</f>
        <v>109121</v>
      </c>
      <c r="L157" s="474">
        <f>IF(Q157&gt;0,'3 pr-2'!R158,0)</f>
        <v>0</v>
      </c>
      <c r="M157" s="474">
        <f>IF(Q157&gt;0,'3 pr-2'!U158,0)</f>
        <v>0</v>
      </c>
      <c r="N157" s="474">
        <f>IF(Q157&gt;0,'3 pr-2'!X158,0)</f>
        <v>0</v>
      </c>
      <c r="O157" s="474">
        <f>IF(Q157&gt;0,'3 pr-2'!AA158,0)</f>
        <v>618352</v>
      </c>
      <c r="P157" s="288">
        <f>SUM('3 pr-2'!AG158)</f>
        <v>42674</v>
      </c>
      <c r="Q157" s="606">
        <v>42515</v>
      </c>
      <c r="R157" s="264">
        <f>IF((YEAR(P157)-YEAR(Q157))=0,0,YEAR(P157)-YEAR(Q157))</f>
        <v>0</v>
      </c>
      <c r="S157" s="998" t="str">
        <f t="shared" si="45"/>
        <v>–</v>
      </c>
    </row>
    <row r="158" spans="1:19" ht="61.5" thickBot="1" x14ac:dyDescent="0.3">
      <c r="A158" s="254" t="str">
        <f>CONCATENATE('3 pr-2'!A159)</f>
        <v>2.1.3.2.5</v>
      </c>
      <c r="B158" s="323" t="str">
        <f>CONCATENATE('ketv. 2lent'!B157)</f>
        <v>08.1.2-CPVA-R-408-11-0004</v>
      </c>
      <c r="C158" s="255" t="str">
        <f>CONCATENATE('3 pr-2'!D159)</f>
        <v>Socialinio būsto fondo plėtra Lazdijų rajono savivaldybėje</v>
      </c>
      <c r="D158" s="255" t="str">
        <f>CONCATENATE('3 pr-2'!E159)</f>
        <v>Lazdijų rajono savivaldybės administracija</v>
      </c>
      <c r="E158" s="255" t="str">
        <f>CONCATENATE('3 pr-2'!F159)</f>
        <v>Lietuvos Respublikos socialinės apsaugos ir darbo ministerija</v>
      </c>
      <c r="F158" s="255" t="str">
        <f>CONCATENATE('3 pr-2'!G159)</f>
        <v>Lazdijų rajono savivaldybė</v>
      </c>
      <c r="G158" s="255" t="str">
        <f>CONCATENATE('3 pr-2'!H159)</f>
        <v>08.1.1-CPVA·R-408</v>
      </c>
      <c r="H158" s="255" t="str">
        <f>CONCATENATE('3 pr-2'!I159)</f>
        <v>R</v>
      </c>
      <c r="I158" s="265" t="str">
        <f>CONCATENATE('3 pr-2'!J159)</f>
        <v>-</v>
      </c>
      <c r="J158" s="474">
        <f>IF(Q158&gt;0,'3 pr-2'!L159,0)</f>
        <v>368599</v>
      </c>
      <c r="K158" s="474">
        <f>IF(Q158&gt;0,'3 pr-2'!O159,0)</f>
        <v>55587</v>
      </c>
      <c r="L158" s="474">
        <f>IF(Q158&gt;0,'3 pr-2'!R159,0)</f>
        <v>0</v>
      </c>
      <c r="M158" s="474">
        <f>IF(Q158&gt;0,'3 pr-2'!U159,0)</f>
        <v>0</v>
      </c>
      <c r="N158" s="474">
        <f>IF(Q158&gt;0,'3 pr-2'!X159,0)</f>
        <v>0</v>
      </c>
      <c r="O158" s="474">
        <f>IF(Q158&gt;0,'3 pr-2'!AA159,0)</f>
        <v>313012</v>
      </c>
      <c r="P158" s="288">
        <f>SUM('3 pr-2'!AG159)</f>
        <v>42674</v>
      </c>
      <c r="Q158" s="609">
        <v>42566</v>
      </c>
      <c r="R158" s="310">
        <f>IF((YEAR(P158)-YEAR(Q158))=0,0,YEAR(P158)-YEAR(Q158))</f>
        <v>0</v>
      </c>
      <c r="S158" s="998" t="str">
        <f t="shared" si="45"/>
        <v>–</v>
      </c>
    </row>
    <row r="159" spans="1:19" ht="40.5" customHeight="1" thickBot="1" x14ac:dyDescent="0.3">
      <c r="A159" s="345" t="str">
        <f>CONCATENATE('3 pr-2'!A160)</f>
        <v>2.1.4.</v>
      </c>
      <c r="B159" s="648" t="str">
        <f>CONCATENATE('ketv. 2lent'!B158)</f>
        <v/>
      </c>
      <c r="C159" s="1668" t="str">
        <f>CONCATENATE('3 pr-2'!D160)</f>
        <v/>
      </c>
      <c r="D159" s="1669" t="str">
        <f>CONCATENATE('3 pr-2'!E160)</f>
        <v/>
      </c>
      <c r="E159" s="1669" t="str">
        <f>CONCATENATE('3 pr-2'!F160)</f>
        <v/>
      </c>
      <c r="F159" s="1669" t="str">
        <f>CONCATENATE('3 pr-2'!G160)</f>
        <v/>
      </c>
      <c r="G159" s="1669" t="str">
        <f>CONCATENATE('3 pr-2'!H160)</f>
        <v/>
      </c>
      <c r="H159" s="1669" t="str">
        <f>CONCATENATE('3 pr-2'!I160)</f>
        <v/>
      </c>
      <c r="I159" s="1670" t="str">
        <f>CONCATENATE('3 pr-2'!J160)</f>
        <v/>
      </c>
      <c r="J159" s="303">
        <f t="shared" ref="J159:O159" si="46">SUM(J160)</f>
        <v>336720.52</v>
      </c>
      <c r="K159" s="303">
        <f t="shared" si="46"/>
        <v>50508.03</v>
      </c>
      <c r="L159" s="303">
        <f t="shared" si="46"/>
        <v>0</v>
      </c>
      <c r="M159" s="303">
        <f t="shared" si="46"/>
        <v>0</v>
      </c>
      <c r="N159" s="303">
        <f t="shared" si="46"/>
        <v>0</v>
      </c>
      <c r="O159" s="303">
        <f t="shared" si="46"/>
        <v>286212.49</v>
      </c>
      <c r="P159" s="311" t="s">
        <v>725</v>
      </c>
      <c r="Q159" s="650" t="s">
        <v>725</v>
      </c>
      <c r="R159" s="649" t="s">
        <v>725</v>
      </c>
      <c r="S159" s="314"/>
    </row>
    <row r="160" spans="1:19" ht="38.25" customHeight="1" thickBot="1" x14ac:dyDescent="0.3">
      <c r="A160" s="497" t="str">
        <f>CONCATENATE('3 pr-2'!A161)</f>
        <v>2.1.4.1</v>
      </c>
      <c r="B160" s="613" t="str">
        <f>CONCATENATE('ketv. 2lent'!B159)</f>
        <v/>
      </c>
      <c r="C160" s="1656" t="str">
        <f>CONCATENATE('3 pr-2'!D161)</f>
        <v/>
      </c>
      <c r="D160" s="1789" t="str">
        <f>CONCATENATE('3 pr-2'!E161)</f>
        <v/>
      </c>
      <c r="E160" s="1789" t="str">
        <f>CONCATENATE('3 pr-2'!F161)</f>
        <v/>
      </c>
      <c r="F160" s="1789" t="str">
        <f>CONCATENATE('3 pr-2'!G161)</f>
        <v/>
      </c>
      <c r="G160" s="1789" t="str">
        <f>CONCATENATE('3 pr-2'!H161)</f>
        <v/>
      </c>
      <c r="H160" s="1789" t="str">
        <f>CONCATENATE('3 pr-2'!I161)</f>
        <v/>
      </c>
      <c r="I160" s="1790" t="str">
        <f>CONCATENATE('3 pr-2'!J161)</f>
        <v/>
      </c>
      <c r="J160" s="629">
        <f t="shared" ref="J160:O160" si="47">SUM(J161:J166)</f>
        <v>336720.52</v>
      </c>
      <c r="K160" s="629">
        <f t="shared" si="47"/>
        <v>50508.03</v>
      </c>
      <c r="L160" s="629">
        <f t="shared" si="47"/>
        <v>0</v>
      </c>
      <c r="M160" s="629">
        <f t="shared" si="47"/>
        <v>0</v>
      </c>
      <c r="N160" s="629">
        <f t="shared" si="47"/>
        <v>0</v>
      </c>
      <c r="O160" s="629">
        <f t="shared" si="47"/>
        <v>286212.49</v>
      </c>
      <c r="P160" s="630"/>
      <c r="Q160" s="631"/>
      <c r="R160" s="630"/>
      <c r="S160" s="631"/>
    </row>
    <row r="161" spans="1:20" ht="48.75" x14ac:dyDescent="0.25">
      <c r="A161" s="254" t="str">
        <f>CONCATENATE('3 pr-2'!A162)</f>
        <v>2.1.4.1.1</v>
      </c>
      <c r="B161" s="323" t="str">
        <f>CONCATENATE('ketv. 2lent'!B160)</f>
        <v>10.1.3-ESFA-R-920-11-0001</v>
      </c>
      <c r="C161" s="255" t="str">
        <f>CONCATENATE('3 pr-2'!D162)</f>
        <v>Paslaugų teikimo ir asmenų aptarnavimo kokybės gerinimas Varėnos rajono savivaldybėje</v>
      </c>
      <c r="D161" s="255" t="str">
        <f>CONCATENATE('3 pr-2'!E162)</f>
        <v>Varėnos rajono savivaldybės administracija</v>
      </c>
      <c r="E161" s="255" t="str">
        <f>CONCATENATE('3 pr-2'!F162)</f>
        <v>Lietuvos Respublikos vidaus reikalų ministerija</v>
      </c>
      <c r="F161" s="255" t="str">
        <f>CONCATENATE('3 pr-2'!G162)</f>
        <v>Varėnos miestas</v>
      </c>
      <c r="G161" s="255" t="str">
        <f>CONCATENATE('3 pr-2'!H162)</f>
        <v>10.1.3-ESFA-R-920</v>
      </c>
      <c r="H161" s="255" t="str">
        <f>CONCATENATE('3 pr-2'!I162)</f>
        <v>R</v>
      </c>
      <c r="I161" s="265" t="str">
        <f>CONCATENATE('3 pr-2'!J162)</f>
        <v>-</v>
      </c>
      <c r="J161" s="474">
        <f>IF(Q161&gt;0,'3 pr-2'!L162,0)</f>
        <v>172733.52</v>
      </c>
      <c r="K161" s="474">
        <f>IF(Q161&gt;0,'3 pr-2'!O162,0)</f>
        <v>25910.03</v>
      </c>
      <c r="L161" s="474">
        <f>IF(Q161&gt;0,'3 pr-2'!R162,0)</f>
        <v>0</v>
      </c>
      <c r="M161" s="474">
        <f>IF(Q161&gt;0,'3 pr-2'!U162,0)</f>
        <v>0</v>
      </c>
      <c r="N161" s="474">
        <f>IF(Q161&gt;0,'3 pr-2'!X162,0)</f>
        <v>0</v>
      </c>
      <c r="O161" s="474">
        <f>IF(Q161&gt;0,'3 pr-2'!AA162,0)</f>
        <v>146823.49</v>
      </c>
      <c r="P161" s="288">
        <f>SUM('3 pr-2'!AG162)</f>
        <v>43039</v>
      </c>
      <c r="Q161" s="627">
        <v>43039</v>
      </c>
      <c r="R161" s="317"/>
      <c r="S161" s="998" t="str">
        <f t="shared" ref="S161:S166" si="48">IF(P161-Q161&lt;0,(P161-Q161)/30.4166666666667,"–")</f>
        <v>–</v>
      </c>
      <c r="T161" s="30"/>
    </row>
    <row r="162" spans="1:20" ht="48.75" x14ac:dyDescent="0.25">
      <c r="A162" s="254" t="str">
        <f>CONCATENATE('3 pr-2'!A163)</f>
        <v>2.1.4.1.2</v>
      </c>
      <c r="B162" s="323" t="str">
        <f>CONCATENATE('ketv. 2lent'!B161)</f>
        <v/>
      </c>
      <c r="C162" s="255" t="str">
        <f>CONCATENATE('3 pr-2'!D163)</f>
        <v>Paslaugų ir asmenų aptarnavimo kokybės gerinimas Alytaus rajono savivaldybėje</v>
      </c>
      <c r="D162" s="255" t="str">
        <f>CONCATENATE('3 pr-2'!E163)</f>
        <v>Alytaus rajono savivaldybės administracija</v>
      </c>
      <c r="E162" s="255" t="str">
        <f>CONCATENATE('3 pr-2'!F163)</f>
        <v>Lietuvos Respublikos vidaus reikalų ministerija</v>
      </c>
      <c r="F162" s="255" t="str">
        <f>CONCATENATE('3 pr-2'!G163)</f>
        <v>Alytaus  rajono savivaldybė</v>
      </c>
      <c r="G162" s="255" t="str">
        <f>CONCATENATE('3 pr-2'!H163)</f>
        <v>10.1.3-ESFA-R-920</v>
      </c>
      <c r="H162" s="255" t="str">
        <f>CONCATENATE('3 pr-2'!I163)</f>
        <v>R</v>
      </c>
      <c r="I162" s="265" t="str">
        <f>CONCATENATE('3 pr-2'!J163)</f>
        <v>-</v>
      </c>
      <c r="J162" s="474">
        <f>IF(Q162&gt;0,'3 pr-2'!L163,0)</f>
        <v>0</v>
      </c>
      <c r="K162" s="474">
        <f>IF(Q162&gt;0,'3 pr-2'!O163,0)</f>
        <v>0</v>
      </c>
      <c r="L162" s="474">
        <f>IF(Q162&gt;0,'3 pr-2'!R163,0)</f>
        <v>0</v>
      </c>
      <c r="M162" s="474">
        <f>IF(Q162&gt;0,'3 pr-2'!U163,0)</f>
        <v>0</v>
      </c>
      <c r="N162" s="474">
        <f>IF(Q162&gt;0,'3 pr-2'!X163,0)</f>
        <v>0</v>
      </c>
      <c r="O162" s="474">
        <f>IF(Q162&gt;0,'3 pr-2'!AA163,0)</f>
        <v>0</v>
      </c>
      <c r="P162" s="288">
        <f>SUM('3 pr-2'!AG163)</f>
        <v>43131</v>
      </c>
      <c r="Q162" s="605"/>
      <c r="R162" s="256"/>
      <c r="S162" s="998" t="str">
        <f t="shared" si="48"/>
        <v>–</v>
      </c>
    </row>
    <row r="163" spans="1:20" ht="48.75" x14ac:dyDescent="0.25">
      <c r="A163" s="254" t="str">
        <f>CONCATENATE('3 pr-2'!A164)</f>
        <v>2.1.4.1.3</v>
      </c>
      <c r="B163" s="323" t="str">
        <f>CONCATENATE('ketv. 2lent'!B162)</f>
        <v>10.1.3-ESFA-R-920-11-0003</v>
      </c>
      <c r="C163" s="255" t="str">
        <f>CONCATENATE('3 pr-2'!D164)</f>
        <v>Lazdijų rajono savivaldybės administracijos ir jos viešojo valdymo institucijų teikiamų paslaugų procesų tobulinimas</v>
      </c>
      <c r="D163" s="255" t="str">
        <f>CONCATENATE('3 pr-2'!E164)</f>
        <v>Lazdijų rajono savivaldybės administracija</v>
      </c>
      <c r="E163" s="255" t="str">
        <f>CONCATENATE('3 pr-2'!F164)</f>
        <v>Lietuvos Respublikos vidaus reikalų ministerija</v>
      </c>
      <c r="F163" s="255" t="str">
        <f>CONCATENATE('3 pr-2'!G164)</f>
        <v>Lazdijų rajono savivaldybė</v>
      </c>
      <c r="G163" s="255" t="str">
        <f>CONCATENATE('3 pr-2'!H164)</f>
        <v>10.1.3-ESFA-R-920</v>
      </c>
      <c r="H163" s="255" t="str">
        <f>CONCATENATE('3 pr-2'!I164)</f>
        <v>R</v>
      </c>
      <c r="I163" s="265" t="str">
        <f>CONCATENATE('3 pr-2'!J164)</f>
        <v>-</v>
      </c>
      <c r="J163" s="474">
        <f>IF(Q163&gt;0,'3 pr-2'!L164,0)</f>
        <v>163987</v>
      </c>
      <c r="K163" s="474">
        <f>IF(Q163&gt;0,'3 pr-2'!O164,0)</f>
        <v>24598</v>
      </c>
      <c r="L163" s="474">
        <f>IF(Q163&gt;0,'3 pr-2'!R164,0)</f>
        <v>0</v>
      </c>
      <c r="M163" s="474">
        <f>IF(Q163&gt;0,'3 pr-2'!U164,0)</f>
        <v>0</v>
      </c>
      <c r="N163" s="474">
        <f>IF(Q163&gt;0,'3 pr-2'!X164,0)</f>
        <v>0</v>
      </c>
      <c r="O163" s="474">
        <f>IF(Q163&gt;0,'3 pr-2'!AA164,0)</f>
        <v>139389</v>
      </c>
      <c r="P163" s="288">
        <f>SUM('3 pr-2'!AG164)</f>
        <v>43063</v>
      </c>
      <c r="Q163" s="604">
        <v>43061</v>
      </c>
      <c r="R163" s="256"/>
      <c r="S163" s="998" t="str">
        <f t="shared" si="48"/>
        <v>–</v>
      </c>
    </row>
    <row r="164" spans="1:20" ht="48.75" x14ac:dyDescent="0.25">
      <c r="A164" s="254" t="str">
        <f>CONCATENATE('3 pr-2'!A165)</f>
        <v>2.1.4.1.4</v>
      </c>
      <c r="B164" s="323" t="str">
        <f>CONCATENATE('ketv. 2lent'!B163)</f>
        <v/>
      </c>
      <c r="C164" s="255" t="str">
        <f>CONCATENATE('3 pr-2'!D165)</f>
        <v>Teikiamų paslaugų procesų tobulinimas ir asmenų aptarnavimo kokybės gerinimas Alytaus miesto savivaldybės administracijoje ir jai pavaldžiose įstaigose. I etapas</v>
      </c>
      <c r="D164" s="255" t="str">
        <f>CONCATENATE('3 pr-2'!E165)</f>
        <v>Alytaus miesto savivaldybės administracija</v>
      </c>
      <c r="E164" s="255" t="str">
        <f>CONCATENATE('3 pr-2'!F165)</f>
        <v>Lietuvos Respublikos vidaus reikalų ministerija</v>
      </c>
      <c r="F164" s="255" t="str">
        <f>CONCATENATE('3 pr-2'!G165)</f>
        <v>Alytaus miestas</v>
      </c>
      <c r="G164" s="255" t="str">
        <f>CONCATENATE('3 pr-2'!H165)</f>
        <v>10.1.3-ESFA-R-920</v>
      </c>
      <c r="H164" s="255" t="str">
        <f>CONCATENATE('3 pr-2'!I165)</f>
        <v>R</v>
      </c>
      <c r="I164" s="265" t="str">
        <f>CONCATENATE('3 pr-2'!J165)</f>
        <v>-</v>
      </c>
      <c r="J164" s="474">
        <f>IF(Q164&gt;0,'3 pr-2'!L165,0)</f>
        <v>0</v>
      </c>
      <c r="K164" s="474">
        <f>IF(Q164&gt;0,'3 pr-2'!O165,0)</f>
        <v>0</v>
      </c>
      <c r="L164" s="474">
        <f>IF(Q164&gt;0,'3 pr-2'!R165,0)</f>
        <v>0</v>
      </c>
      <c r="M164" s="474">
        <f>IF(Q164&gt;0,'3 pr-2'!U165,0)</f>
        <v>0</v>
      </c>
      <c r="N164" s="474">
        <f>IF(Q164&gt;0,'3 pr-2'!X165,0)</f>
        <v>0</v>
      </c>
      <c r="O164" s="474">
        <f>IF(Q164&gt;0,'3 pr-2'!AA165,0)</f>
        <v>0</v>
      </c>
      <c r="P164" s="288">
        <f>SUM('3 pr-2'!AG165)</f>
        <v>43159</v>
      </c>
      <c r="Q164" s="603"/>
      <c r="R164" s="256"/>
      <c r="S164" s="998" t="str">
        <f t="shared" si="48"/>
        <v>–</v>
      </c>
    </row>
    <row r="165" spans="1:20" ht="48.75" x14ac:dyDescent="0.25">
      <c r="A165" s="254" t="str">
        <f>CONCATENATE('3 pr-2'!A166)</f>
        <v>2.1.4.1.5</v>
      </c>
      <c r="B165" s="323" t="str">
        <f>CONCATENATE('ketv. 2lent'!B164)</f>
        <v/>
      </c>
      <c r="C165" s="255" t="str">
        <f>CONCATENATE('3 pr-2'!D166)</f>
        <v>Paslaugų teikimo ir asmenų aptarnavimo kokybės gerinimas Druskininkų savivaldybėje</v>
      </c>
      <c r="D165" s="255" t="str">
        <f>CONCATENATE('3 pr-2'!E166)</f>
        <v>Druskininkų savivaldybės administracija</v>
      </c>
      <c r="E165" s="255" t="str">
        <f>CONCATENATE('3 pr-2'!F166)</f>
        <v>Lietuvos Respublikos vidaus reikalų ministerija</v>
      </c>
      <c r="F165" s="255" t="str">
        <f>CONCATENATE('3 pr-2'!G166)</f>
        <v>Druskininkų savivaldybė</v>
      </c>
      <c r="G165" s="255" t="str">
        <f>CONCATENATE('3 pr-2'!H166)</f>
        <v>10.1.3-ESFA-R-920</v>
      </c>
      <c r="H165" s="255" t="str">
        <f>CONCATENATE('3 pr-2'!I166)</f>
        <v>R</v>
      </c>
      <c r="I165" s="265" t="str">
        <f>CONCATENATE('3 pr-2'!J166)</f>
        <v>-</v>
      </c>
      <c r="J165" s="474">
        <f>IF(Q165&gt;0,'3 pr-2'!L166,0)</f>
        <v>0</v>
      </c>
      <c r="K165" s="474">
        <f>IF(Q165&gt;0,'3 pr-2'!O166,0)</f>
        <v>0</v>
      </c>
      <c r="L165" s="474">
        <f>IF(Q165&gt;0,'3 pr-2'!R166,0)</f>
        <v>0</v>
      </c>
      <c r="M165" s="474">
        <f>IF(Q165&gt;0,'3 pr-2'!U166,0)</f>
        <v>0</v>
      </c>
      <c r="N165" s="474">
        <f>IF(Q165&gt;0,'3 pr-2'!X166,0)</f>
        <v>0</v>
      </c>
      <c r="O165" s="474">
        <f>IF(Q165&gt;0,'3 pr-2'!AA166,0)</f>
        <v>0</v>
      </c>
      <c r="P165" s="288">
        <f>SUM('3 pr-2'!AG166)</f>
        <v>43146</v>
      </c>
      <c r="Q165" s="627"/>
      <c r="R165" s="256"/>
      <c r="S165" s="998" t="str">
        <f t="shared" si="48"/>
        <v>–</v>
      </c>
    </row>
    <row r="166" spans="1:20" ht="49.5" thickBot="1" x14ac:dyDescent="0.3">
      <c r="A166" s="254" t="str">
        <f>CONCATENATE('3 pr-2'!A167)</f>
        <v>2.1.4.1.6</v>
      </c>
      <c r="B166" s="323" t="str">
        <f>CONCATENATE('ketv. 2lent'!B165)</f>
        <v/>
      </c>
      <c r="C166" s="255" t="str">
        <f>CONCATENATE('3 pr-2'!D167)</f>
        <v>Teikiamų paslaugų procesų tobulinimas ir asmenų aptarnavimo kokybės gerinimas Alytaus miesto savivaldybės administracijoje ir jai pavaldžiose įstaigose. II etapas</v>
      </c>
      <c r="D166" s="255" t="str">
        <f>CONCATENATE('3 pr-2'!E167)</f>
        <v>Alytaus miesto savivaldybės administracija</v>
      </c>
      <c r="E166" s="255" t="str">
        <f>CONCATENATE('3 pr-2'!F167)</f>
        <v>Lietuvos Respublikos vidaus reikalų ministerija</v>
      </c>
      <c r="F166" s="255" t="str">
        <f>CONCATENATE('3 pr-2'!G167)</f>
        <v>Alytaus miestas</v>
      </c>
      <c r="G166" s="255" t="str">
        <f>CONCATENATE('3 pr-2'!H167)</f>
        <v>10.1.3-ESFA-R-920</v>
      </c>
      <c r="H166" s="255" t="str">
        <f>CONCATENATE('3 pr-2'!I167)</f>
        <v>R</v>
      </c>
      <c r="I166" s="265" t="str">
        <f>CONCATENATE('3 pr-2'!J167)</f>
        <v>-</v>
      </c>
      <c r="J166" s="474">
        <f>IF(Q166&gt;0,'3 pr-2'!L167,0)</f>
        <v>0</v>
      </c>
      <c r="K166" s="474">
        <f>IF(Q166&gt;0,'3 pr-2'!O167,0)</f>
        <v>0</v>
      </c>
      <c r="L166" s="474">
        <f>IF(Q166&gt;0,'3 pr-2'!R167,0)</f>
        <v>0</v>
      </c>
      <c r="M166" s="474">
        <f>IF(Q166&gt;0,'3 pr-2'!U167,0)</f>
        <v>0</v>
      </c>
      <c r="N166" s="474">
        <f>IF(Q166&gt;0,'3 pr-2'!X167,0)</f>
        <v>0</v>
      </c>
      <c r="O166" s="474">
        <f>IF(Q166&gt;0,'3 pr-2'!AA167,0)</f>
        <v>0</v>
      </c>
      <c r="P166" s="288">
        <f>SUM('3 pr-2'!AG167)</f>
        <v>43524</v>
      </c>
      <c r="Q166" s="603"/>
      <c r="R166" s="256"/>
      <c r="S166" s="998" t="str">
        <f t="shared" si="48"/>
        <v>–</v>
      </c>
    </row>
    <row r="167" spans="1:20" ht="42" customHeight="1" thickBot="1" x14ac:dyDescent="0.35">
      <c r="A167" s="655" t="str">
        <f>CONCATENATE('3 pr-2'!A168)</f>
        <v>3.1.</v>
      </c>
      <c r="B167" s="656" t="str">
        <f>CONCATENATE('ketv. 2lent'!B166)</f>
        <v/>
      </c>
      <c r="C167" s="1799" t="str">
        <f>CONCATENATE('3 pr-2'!D168)</f>
        <v/>
      </c>
      <c r="D167" s="1800" t="str">
        <f>CONCATENATE('3 pr-2'!E168)</f>
        <v/>
      </c>
      <c r="E167" s="1800" t="str">
        <f>CONCATENATE('3 pr-2'!F168)</f>
        <v/>
      </c>
      <c r="F167" s="1800" t="str">
        <f>CONCATENATE('3 pr-2'!G168)</f>
        <v/>
      </c>
      <c r="G167" s="1800" t="str">
        <f>CONCATENATE('3 pr-2'!H168)</f>
        <v/>
      </c>
      <c r="H167" s="1800" t="str">
        <f>CONCATENATE('3 pr-2'!I168)</f>
        <v/>
      </c>
      <c r="I167" s="1801" t="str">
        <f>CONCATENATE('3 pr-2'!J168)</f>
        <v/>
      </c>
      <c r="J167" s="657">
        <f t="shared" ref="J167:O167" si="49">SUM(J168+J171)</f>
        <v>5366399.1899999995</v>
      </c>
      <c r="K167" s="657">
        <f t="shared" si="49"/>
        <v>963235.93999999971</v>
      </c>
      <c r="L167" s="657">
        <f t="shared" si="49"/>
        <v>0</v>
      </c>
      <c r="M167" s="657">
        <f t="shared" si="49"/>
        <v>0</v>
      </c>
      <c r="N167" s="657">
        <f t="shared" si="49"/>
        <v>0</v>
      </c>
      <c r="O167" s="657">
        <f t="shared" si="49"/>
        <v>4403162.95</v>
      </c>
      <c r="P167" s="646" t="s">
        <v>725</v>
      </c>
      <c r="Q167" s="646" t="s">
        <v>725</v>
      </c>
      <c r="R167" s="646" t="s">
        <v>725</v>
      </c>
      <c r="S167" s="646"/>
    </row>
    <row r="168" spans="1:20" ht="32.25" customHeight="1" thickBot="1" x14ac:dyDescent="0.3">
      <c r="A168" s="345" t="str">
        <f>CONCATENATE('3 pr-2'!A169)</f>
        <v>3.1.1.</v>
      </c>
      <c r="B168" s="648" t="str">
        <f>CONCATENATE('ketv. 2lent'!B167)</f>
        <v/>
      </c>
      <c r="C168" s="1668" t="str">
        <f>CONCATENATE('3 pr-2'!D169)</f>
        <v/>
      </c>
      <c r="D168" s="1669" t="str">
        <f>CONCATENATE('3 pr-2'!E169)</f>
        <v/>
      </c>
      <c r="E168" s="1669" t="str">
        <f>CONCATENATE('3 pr-2'!F169)</f>
        <v/>
      </c>
      <c r="F168" s="1669" t="str">
        <f>CONCATENATE('3 pr-2'!G169)</f>
        <v/>
      </c>
      <c r="G168" s="1669" t="str">
        <f>CONCATENATE('3 pr-2'!H169)</f>
        <v/>
      </c>
      <c r="H168" s="1669" t="str">
        <f>CONCATENATE('3 pr-2'!I169)</f>
        <v/>
      </c>
      <c r="I168" s="1670" t="str">
        <f>CONCATENATE('3 pr-2'!J169)</f>
        <v/>
      </c>
      <c r="J168" s="303">
        <f t="shared" ref="J168:O169" si="50">SUM(J169)</f>
        <v>4130687.05</v>
      </c>
      <c r="K168" s="303">
        <f t="shared" si="50"/>
        <v>777879.2799999998</v>
      </c>
      <c r="L168" s="303">
        <f t="shared" si="50"/>
        <v>0</v>
      </c>
      <c r="M168" s="303">
        <f t="shared" si="50"/>
        <v>0</v>
      </c>
      <c r="N168" s="303">
        <f t="shared" si="50"/>
        <v>0</v>
      </c>
      <c r="O168" s="303">
        <f t="shared" si="50"/>
        <v>3352807.77</v>
      </c>
      <c r="P168" s="311" t="s">
        <v>725</v>
      </c>
      <c r="Q168" s="650" t="s">
        <v>725</v>
      </c>
      <c r="R168" s="649" t="s">
        <v>725</v>
      </c>
      <c r="S168" s="314"/>
    </row>
    <row r="169" spans="1:20" ht="33.75" customHeight="1" thickBot="1" x14ac:dyDescent="0.3">
      <c r="A169" s="497" t="str">
        <f>CONCATENATE('3 pr-2'!A170)</f>
        <v>3.1.1.1</v>
      </c>
      <c r="B169" s="613" t="str">
        <f>CONCATENATE('ketv. 2lent'!B168)</f>
        <v/>
      </c>
      <c r="C169" s="1656" t="str">
        <f>CONCATENATE('3 pr-2'!D170)</f>
        <v/>
      </c>
      <c r="D169" s="1789" t="str">
        <f>CONCATENATE('3 pr-2'!E170)</f>
        <v/>
      </c>
      <c r="E169" s="1789" t="str">
        <f>CONCATENATE('3 pr-2'!F170)</f>
        <v/>
      </c>
      <c r="F169" s="1789" t="str">
        <f>CONCATENATE('3 pr-2'!G170)</f>
        <v/>
      </c>
      <c r="G169" s="1789" t="str">
        <f>CONCATENATE('3 pr-2'!H170)</f>
        <v/>
      </c>
      <c r="H169" s="1789" t="str">
        <f>CONCATENATE('3 pr-2'!I170)</f>
        <v/>
      </c>
      <c r="I169" s="1790" t="str">
        <f>CONCATENATE('3 pr-2'!J170)</f>
        <v/>
      </c>
      <c r="J169" s="629">
        <f t="shared" si="50"/>
        <v>4130687.05</v>
      </c>
      <c r="K169" s="629">
        <f t="shared" si="50"/>
        <v>777879.2799999998</v>
      </c>
      <c r="L169" s="629">
        <f t="shared" si="50"/>
        <v>0</v>
      </c>
      <c r="M169" s="629">
        <f t="shared" si="50"/>
        <v>0</v>
      </c>
      <c r="N169" s="629">
        <f t="shared" si="50"/>
        <v>0</v>
      </c>
      <c r="O169" s="629">
        <f t="shared" si="50"/>
        <v>3352807.77</v>
      </c>
      <c r="P169" s="630"/>
      <c r="Q169" s="631"/>
      <c r="R169" s="630"/>
      <c r="S169" s="631"/>
    </row>
    <row r="170" spans="1:20" ht="49.5" thickBot="1" x14ac:dyDescent="0.3">
      <c r="A170" s="254" t="str">
        <f>CONCATENATE('3 pr-2'!A171)</f>
        <v>3.1.1.1.1</v>
      </c>
      <c r="B170" s="323" t="str">
        <f>CONCATENATE('ketv. 2lent'!B169)</f>
        <v>05.2.1-APVA-R-008-11-0001</v>
      </c>
      <c r="C170" s="255" t="str">
        <f>CONCATENATE('3 pr-2'!D171)</f>
        <v>Komunalinių atliekų tvarkymo sistemos plėtra Alytaus regione</v>
      </c>
      <c r="D170" s="255" t="str">
        <f>CONCATENATE('3 pr-2'!E171)</f>
        <v>Alytaus regiono atliekų tvarkymo centras</v>
      </c>
      <c r="E170" s="255" t="str">
        <f>CONCATENATE('3 pr-2'!F171)</f>
        <v>Lietuvos Respublikos aplinkos ministerija</v>
      </c>
      <c r="F170" s="255" t="str">
        <f>CONCATENATE('3 pr-2'!G171)</f>
        <v>Alytaus atliekų tvarkymo regionas</v>
      </c>
      <c r="G170" s="255" t="str">
        <f>CONCATENATE('3 pr-2'!H171)</f>
        <v>05.2.1-APVA-R-008</v>
      </c>
      <c r="H170" s="255" t="str">
        <f>CONCATENATE('3 pr-2'!I171)</f>
        <v>R</v>
      </c>
      <c r="I170" s="265" t="str">
        <f>CONCATENATE('3 pr-2'!J171)</f>
        <v>-</v>
      </c>
      <c r="J170" s="474">
        <f>IF(Q170&gt;0,'3 pr-2'!L171,0)</f>
        <v>4130687.05</v>
      </c>
      <c r="K170" s="474">
        <f>IF(Q170&gt;0,'3 pr-2'!O171,0)</f>
        <v>777879.2799999998</v>
      </c>
      <c r="L170" s="474">
        <f>IF(Q170&gt;0,'3 pr-2'!R171,0)</f>
        <v>0</v>
      </c>
      <c r="M170" s="474">
        <f>IF(Q170&gt;0,'3 pr-2'!U171,0)</f>
        <v>0</v>
      </c>
      <c r="N170" s="474">
        <f>IF(Q170&gt;0,'3 pr-2'!X171,0)</f>
        <v>0</v>
      </c>
      <c r="O170" s="474">
        <f>IF(Q170&gt;0,'3 pr-2'!AA171,0)</f>
        <v>3352807.77</v>
      </c>
      <c r="P170" s="288">
        <f>SUM('3 pr-2'!AG171)</f>
        <v>42916</v>
      </c>
      <c r="Q170" s="604">
        <v>42832</v>
      </c>
      <c r="R170" s="264">
        <f>IF((YEAR(P170)-YEAR(Q170))=0,0,YEAR(P170)-YEAR(Q170))</f>
        <v>0</v>
      </c>
      <c r="S170" s="998" t="str">
        <f t="shared" ref="S170" si="51">IF(P170-Q170&lt;0,(P170-Q170)/30.4166666666667,"–")</f>
        <v>–</v>
      </c>
    </row>
    <row r="171" spans="1:20" ht="39.75" customHeight="1" thickBot="1" x14ac:dyDescent="0.3">
      <c r="A171" s="345" t="str">
        <f>CONCATENATE('3 pr-2'!A172)</f>
        <v>3.1.2.</v>
      </c>
      <c r="B171" s="648" t="str">
        <f>CONCATENATE('ketv. 2lent'!B170)</f>
        <v/>
      </c>
      <c r="C171" s="1668" t="str">
        <f>CONCATENATE('3 pr-2'!D172)</f>
        <v/>
      </c>
      <c r="D171" s="1669" t="str">
        <f>CONCATENATE('3 pr-2'!E172)</f>
        <v/>
      </c>
      <c r="E171" s="1669" t="str">
        <f>CONCATENATE('3 pr-2'!F172)</f>
        <v/>
      </c>
      <c r="F171" s="1669" t="str">
        <f>CONCATENATE('3 pr-2'!G172)</f>
        <v/>
      </c>
      <c r="G171" s="1669" t="str">
        <f>CONCATENATE('3 pr-2'!H172)</f>
        <v/>
      </c>
      <c r="H171" s="1669" t="str">
        <f>CONCATENATE('3 pr-2'!I172)</f>
        <v/>
      </c>
      <c r="I171" s="1670" t="str">
        <f>CONCATENATE('3 pr-2'!J172)</f>
        <v/>
      </c>
      <c r="J171" s="303">
        <f t="shared" ref="J171:O171" si="52">SUM(J172)</f>
        <v>1235712.1400000001</v>
      </c>
      <c r="K171" s="303">
        <f t="shared" si="52"/>
        <v>185356.65999999997</v>
      </c>
      <c r="L171" s="303">
        <f t="shared" si="52"/>
        <v>0</v>
      </c>
      <c r="M171" s="303">
        <f t="shared" si="52"/>
        <v>0</v>
      </c>
      <c r="N171" s="303">
        <f t="shared" si="52"/>
        <v>0</v>
      </c>
      <c r="O171" s="303">
        <f t="shared" si="52"/>
        <v>1050355.1800000002</v>
      </c>
      <c r="P171" s="311" t="s">
        <v>725</v>
      </c>
      <c r="Q171" s="650" t="s">
        <v>725</v>
      </c>
      <c r="R171" s="649" t="s">
        <v>725</v>
      </c>
      <c r="S171" s="314"/>
    </row>
    <row r="172" spans="1:20" ht="33.75" customHeight="1" thickBot="1" x14ac:dyDescent="0.3">
      <c r="A172" s="497" t="str">
        <f>CONCATENATE('3 pr-2'!A173)</f>
        <v>3.1.2.1</v>
      </c>
      <c r="B172" s="613" t="str">
        <f>CONCATENATE('ketv. 2lent'!B171)</f>
        <v/>
      </c>
      <c r="C172" s="1656" t="str">
        <f>CONCATENATE('3 pr-2'!D173)</f>
        <v/>
      </c>
      <c r="D172" s="1789" t="str">
        <f>CONCATENATE('3 pr-2'!E173)</f>
        <v/>
      </c>
      <c r="E172" s="1789" t="str">
        <f>CONCATENATE('3 pr-2'!F173)</f>
        <v/>
      </c>
      <c r="F172" s="1789" t="str">
        <f>CONCATENATE('3 pr-2'!G173)</f>
        <v/>
      </c>
      <c r="G172" s="1789" t="str">
        <f>CONCATENATE('3 pr-2'!H173)</f>
        <v/>
      </c>
      <c r="H172" s="1789" t="str">
        <f>CONCATENATE('3 pr-2'!I173)</f>
        <v/>
      </c>
      <c r="I172" s="1790" t="str">
        <f>CONCATENATE('3 pr-2'!J173)</f>
        <v/>
      </c>
      <c r="J172" s="629">
        <f t="shared" ref="J172:O172" si="53">SUM(J173:J180)</f>
        <v>1235712.1400000001</v>
      </c>
      <c r="K172" s="629">
        <f t="shared" si="53"/>
        <v>185356.65999999997</v>
      </c>
      <c r="L172" s="629">
        <f t="shared" si="53"/>
        <v>0</v>
      </c>
      <c r="M172" s="629">
        <f t="shared" si="53"/>
        <v>0</v>
      </c>
      <c r="N172" s="629">
        <f t="shared" si="53"/>
        <v>0</v>
      </c>
      <c r="O172" s="629">
        <f t="shared" si="53"/>
        <v>1050355.1800000002</v>
      </c>
      <c r="P172" s="630"/>
      <c r="Q172" s="631"/>
      <c r="R172" s="630"/>
      <c r="S172" s="631"/>
    </row>
    <row r="173" spans="1:20" ht="48.75" x14ac:dyDescent="0.25">
      <c r="A173" s="316" t="str">
        <f>CONCATENATE('3 pr-2'!A174)</f>
        <v>3.1.2.1.1</v>
      </c>
      <c r="B173" s="639" t="str">
        <f>CONCATENATE('ketv. 2lent'!B172)</f>
        <v>05.5.1-APVA-R-019-11-0002</v>
      </c>
      <c r="C173" s="316" t="str">
        <f>CONCATENATE('3 pr-2'!D174)</f>
        <v>Kraštovaizdžio formavimas ir tvarkymas Varėnos r. savivaldybėje (I etapas)</v>
      </c>
      <c r="D173" s="316" t="str">
        <f>CONCATENATE('3 pr-2'!E174)</f>
        <v>Varėnos rajono savivaldybės administracija</v>
      </c>
      <c r="E173" s="316" t="str">
        <f>CONCATENATE('3 pr-2'!F174)</f>
        <v>Lietuvos Respublikos aplinkos ministerija</v>
      </c>
      <c r="F173" s="316" t="str">
        <f>CONCATENATE('3 pr-2'!G174)</f>
        <v>Varėnos  rajono savivaldybė</v>
      </c>
      <c r="G173" s="316" t="str">
        <f>CONCATENATE('3 pr-2'!H174)</f>
        <v>05.5.1-APVA-R-019</v>
      </c>
      <c r="H173" s="316" t="str">
        <f>CONCATENATE('3 pr-2'!I174)</f>
        <v>R</v>
      </c>
      <c r="I173" s="316" t="str">
        <f>CONCATENATE('3 pr-2'!J174)</f>
        <v>-</v>
      </c>
      <c r="J173" s="293">
        <f>IF(Q173&gt;0,'3 pr-2'!L174,0)</f>
        <v>566501</v>
      </c>
      <c r="K173" s="293">
        <f>IF(Q173&gt;0,'3 pr-2'!O174,0)</f>
        <v>84975</v>
      </c>
      <c r="L173" s="293">
        <f>IF(Q173&gt;0,'3 pr-2'!R174,0)</f>
        <v>0</v>
      </c>
      <c r="M173" s="293">
        <f>IF(Q173&gt;0,'3 pr-2'!U174,0)</f>
        <v>0</v>
      </c>
      <c r="N173" s="293">
        <f>IF(Q173&gt;0,'3 pr-2'!X174,0)</f>
        <v>0</v>
      </c>
      <c r="O173" s="293">
        <f>IF(Q173&gt;0,'3 pr-2'!AA174,0)</f>
        <v>481526</v>
      </c>
      <c r="P173" s="640">
        <f>SUM('3 pr-2'!AG174)</f>
        <v>42795</v>
      </c>
      <c r="Q173" s="627">
        <v>42797</v>
      </c>
      <c r="R173" s="641">
        <f>IF((YEAR(P173)-YEAR(Q173))=0,0,YEAR(P173)-YEAR(Q173))</f>
        <v>0</v>
      </c>
      <c r="S173" s="998">
        <f t="shared" ref="S173:S180" si="54">IF(P173-Q173&lt;0,(P173-Q173)/30.4166666666667,"–")</f>
        <v>-6.5753424657534171E-2</v>
      </c>
    </row>
    <row r="174" spans="1:20" ht="48.75" x14ac:dyDescent="0.25">
      <c r="A174" s="255" t="str">
        <f>CONCATENATE('3 pr-2'!A175)</f>
        <v>3.1.2.1.2</v>
      </c>
      <c r="B174" s="473" t="str">
        <f>CONCATENATE('ketv. 2lent'!B173)</f>
        <v/>
      </c>
      <c r="C174" s="255" t="str">
        <f>CONCATENATE('3 pr-2'!D175)</f>
        <v>Kraštovaizdžio formavimas ir tvarkymas Varėnos r. savivaldybėje (II etapas)</v>
      </c>
      <c r="D174" s="255" t="str">
        <f>CONCATENATE('3 pr-2'!E175)</f>
        <v>Varėnos rajono savivaldybės administracija</v>
      </c>
      <c r="E174" s="255" t="str">
        <f>CONCATENATE('3 pr-2'!F175)</f>
        <v>Lietuvos Respublikos aplinkos ministerija</v>
      </c>
      <c r="F174" s="255" t="str">
        <f>CONCATENATE('3 pr-2'!G175)</f>
        <v>Varėnos  rajono savivaldybė</v>
      </c>
      <c r="G174" s="255" t="str">
        <f>CONCATENATE('3 pr-2'!H175)</f>
        <v>05.5.1-APVA-R-019</v>
      </c>
      <c r="H174" s="255" t="str">
        <f>CONCATENATE('3 pr-2'!I175)</f>
        <v>R</v>
      </c>
      <c r="I174" s="255" t="str">
        <f>CONCATENATE('3 pr-2'!J175)</f>
        <v>-</v>
      </c>
      <c r="J174" s="474">
        <f>IF(Q174&gt;0,'3 pr-2'!L175,0)</f>
        <v>0</v>
      </c>
      <c r="K174" s="474">
        <f>IF(Q174&gt;0,'3 pr-2'!O175,0)</f>
        <v>0</v>
      </c>
      <c r="L174" s="474">
        <f>IF(Q174&gt;0,'3 pr-2'!R175,0)</f>
        <v>0</v>
      </c>
      <c r="M174" s="474">
        <f>IF(Q174&gt;0,'3 pr-2'!U175,0)</f>
        <v>0</v>
      </c>
      <c r="N174" s="474">
        <f>IF(Q174&gt;0,'3 pr-2'!X175,0)</f>
        <v>0</v>
      </c>
      <c r="O174" s="474">
        <f>IF(Q174&gt;0,'3 pr-2'!AA175,0)</f>
        <v>0</v>
      </c>
      <c r="P174" s="290">
        <f>SUM('3 pr-2'!AG175)</f>
        <v>43465</v>
      </c>
      <c r="Q174" s="604"/>
      <c r="R174" s="291"/>
      <c r="S174" s="998" t="str">
        <f t="shared" si="54"/>
        <v>–</v>
      </c>
    </row>
    <row r="175" spans="1:20" ht="48.75" x14ac:dyDescent="0.25">
      <c r="A175" s="255" t="str">
        <f>CONCATENATE('3 pr-2'!A176)</f>
        <v>3.1.2.1.3</v>
      </c>
      <c r="B175" s="473" t="str">
        <f>CONCATENATE('ketv. 2lent'!B174)</f>
        <v>05.5.1-APVA-R-019-11-0001</v>
      </c>
      <c r="C175" s="255" t="str">
        <f>CONCATENATE('3 pr-2'!D176)</f>
        <v>Bešeimininkių apleistų pastatų ir įrenginių tvarkymas Alytaus rajono savivaldybėje</v>
      </c>
      <c r="D175" s="255" t="str">
        <f>CONCATENATE('3 pr-2'!E176)</f>
        <v>Alytaus rajono savivaldybės administracija</v>
      </c>
      <c r="E175" s="255" t="str">
        <f>CONCATENATE('3 pr-2'!F176)</f>
        <v>Lietuvos Respublikos aplinkos ministerija</v>
      </c>
      <c r="F175" s="255" t="str">
        <f>CONCATENATE('3 pr-2'!G176)</f>
        <v>Alytaus rajonas</v>
      </c>
      <c r="G175" s="255" t="str">
        <f>CONCATENATE('3 pr-2'!H176)</f>
        <v>05.5.1-APVA-R-019</v>
      </c>
      <c r="H175" s="255" t="str">
        <f>CONCATENATE('3 pr-2'!I176)</f>
        <v>R</v>
      </c>
      <c r="I175" s="255" t="str">
        <f>CONCATENATE('3 pr-2'!J176)</f>
        <v/>
      </c>
      <c r="J175" s="474">
        <f>IF(Q175&gt;0,'3 pr-2'!L176,0)</f>
        <v>101766</v>
      </c>
      <c r="K175" s="474">
        <f>IF(Q175&gt;0,'3 pr-2'!O176,0)</f>
        <v>15264.9</v>
      </c>
      <c r="L175" s="474">
        <f>IF(Q175&gt;0,'3 pr-2'!R176,0)</f>
        <v>0</v>
      </c>
      <c r="M175" s="474">
        <f>IF(Q175&gt;0,'3 pr-2'!U176,0)</f>
        <v>0</v>
      </c>
      <c r="N175" s="474">
        <f>IF(Q175&gt;0,'3 pr-2'!X176,0)</f>
        <v>0</v>
      </c>
      <c r="O175" s="474">
        <f>IF(Q175&gt;0,'3 pr-2'!AA176,0)</f>
        <v>86500.800000000003</v>
      </c>
      <c r="P175" s="290">
        <f>SUM('3 pr-2'!AG176)</f>
        <v>42767</v>
      </c>
      <c r="Q175" s="604">
        <v>42769</v>
      </c>
      <c r="R175" s="291">
        <f>IF((YEAR(P175)-YEAR(Q175))=0,0,YEAR(P175)-YEAR(Q175))</f>
        <v>0</v>
      </c>
      <c r="S175" s="998">
        <f t="shared" si="54"/>
        <v>-6.5753424657534171E-2</v>
      </c>
    </row>
    <row r="176" spans="1:20" ht="48.75" x14ac:dyDescent="0.25">
      <c r="A176" s="255" t="str">
        <f>CONCATENATE('3 pr-2'!A177)</f>
        <v>3.1.2.1.4</v>
      </c>
      <c r="B176" s="473" t="str">
        <f>CONCATENATE('ketv. 2lent'!B175)</f>
        <v>05.5.1-APVA-R-019-11-0004</v>
      </c>
      <c r="C176" s="255" t="str">
        <f>CONCATENATE('3 pr-2'!D177)</f>
        <v>Alytaus miesto bendrojo plano korektūra zonuojant kraštovaizdžio struktūrą, nustatant reglamentus ir principus</v>
      </c>
      <c r="D176" s="255" t="str">
        <f>CONCATENATE('3 pr-2'!E177)</f>
        <v>Alytaus miesto savivaldybės administracija</v>
      </c>
      <c r="E176" s="255" t="str">
        <f>CONCATENATE('3 pr-2'!F177)</f>
        <v>Lietuvos Respublikos aplinkos ministerija</v>
      </c>
      <c r="F176" s="255" t="str">
        <f>CONCATENATE('3 pr-2'!G177)</f>
        <v>Alytaus miestas</v>
      </c>
      <c r="G176" s="255" t="str">
        <f>CONCATENATE('3 pr-2'!H177)</f>
        <v>05.5.1-APVA-R-019</v>
      </c>
      <c r="H176" s="255" t="str">
        <f>CONCATENATE('3 pr-2'!I177)</f>
        <v>R</v>
      </c>
      <c r="I176" s="255" t="str">
        <f>CONCATENATE('3 pr-2'!J177)</f>
        <v/>
      </c>
      <c r="J176" s="474">
        <f>IF(Q176&gt;0,'3 pr-2'!L177,0)</f>
        <v>3993</v>
      </c>
      <c r="K176" s="474">
        <f>IF(Q176&gt;0,'3 pr-2'!O177,0)</f>
        <v>598.95000000000005</v>
      </c>
      <c r="L176" s="474">
        <f>IF(Q176&gt;0,'3 pr-2'!R177,0)</f>
        <v>0</v>
      </c>
      <c r="M176" s="474">
        <f>IF(Q176&gt;0,'3 pr-2'!U177,0)</f>
        <v>0</v>
      </c>
      <c r="N176" s="474">
        <f>IF(Q176&gt;0,'3 pr-2'!X177,0)</f>
        <v>0</v>
      </c>
      <c r="O176" s="474">
        <f>IF(Q176&gt;0,'3 pr-2'!AA177,0)</f>
        <v>3394.05</v>
      </c>
      <c r="P176" s="290">
        <f>SUM('3 pr-2'!AG177)</f>
        <v>42874</v>
      </c>
      <c r="Q176" s="604">
        <v>42867</v>
      </c>
      <c r="R176" s="291">
        <f>IF((YEAR(P176)-YEAR(Q176))=0,0,YEAR(P176)-YEAR(Q176))</f>
        <v>0</v>
      </c>
      <c r="S176" s="998" t="str">
        <f t="shared" si="54"/>
        <v>–</v>
      </c>
    </row>
    <row r="177" spans="1:19" ht="48.75" x14ac:dyDescent="0.25">
      <c r="A177" s="255" t="str">
        <f>CONCATENATE('3 pr-2'!A178)</f>
        <v>3.1.2.1.5</v>
      </c>
      <c r="B177" s="473" t="str">
        <f>CONCATENATE('ketv. 2lent'!B176)</f>
        <v>05.5.1-APVA-R-019-11-0005</v>
      </c>
      <c r="C177" s="255" t="str">
        <f>CONCATENATE('3 pr-2'!D178)</f>
        <v>Bešeimininkių apleistų pastatų Druskininkų savivaldybės teritorijoje likvidavimas</v>
      </c>
      <c r="D177" s="255" t="str">
        <f>CONCATENATE('3 pr-2'!E178)</f>
        <v>Druskininkų savivaldybės administracija</v>
      </c>
      <c r="E177" s="255" t="str">
        <f>CONCATENATE('3 pr-2'!F178)</f>
        <v>Lietuvos Respublikos aplinkos ministerija</v>
      </c>
      <c r="F177" s="255" t="str">
        <f>CONCATENATE('3 pr-2'!G178)</f>
        <v>Druskininkų savivaldybė</v>
      </c>
      <c r="G177" s="255" t="str">
        <f>CONCATENATE('3 pr-2'!H178)</f>
        <v>05.5.1-APVA-R-019</v>
      </c>
      <c r="H177" s="255" t="str">
        <f>CONCATENATE('3 pr-2'!I178)</f>
        <v>R</v>
      </c>
      <c r="I177" s="255" t="str">
        <f>CONCATENATE('3 pr-2'!J178)</f>
        <v>-</v>
      </c>
      <c r="J177" s="474">
        <f>IF(Q177&gt;0,'3 pr-2'!L178,0)</f>
        <v>121153.55</v>
      </c>
      <c r="K177" s="474">
        <f>IF(Q177&gt;0,'3 pr-2'!O178,0)</f>
        <v>18173.03</v>
      </c>
      <c r="L177" s="474">
        <f>IF(Q177&gt;0,'3 pr-2'!R178,0)</f>
        <v>0</v>
      </c>
      <c r="M177" s="474">
        <f>IF(Q177&gt;0,'3 pr-2'!U178,0)</f>
        <v>0</v>
      </c>
      <c r="N177" s="474">
        <f>IF(Q177&gt;0,'3 pr-2'!X178,0)</f>
        <v>0</v>
      </c>
      <c r="O177" s="474">
        <f>IF(Q177&gt;0,'3 pr-2'!AA178,0)</f>
        <v>102980.52</v>
      </c>
      <c r="P177" s="290">
        <f>SUM('3 pr-2'!AG178)</f>
        <v>42884</v>
      </c>
      <c r="Q177" s="604">
        <v>42887</v>
      </c>
      <c r="R177" s="291">
        <f>IF((YEAR(P177)-YEAR(Q177))=0,0,YEAR(P177)-YEAR(Q177))</f>
        <v>0</v>
      </c>
      <c r="S177" s="998">
        <f t="shared" si="54"/>
        <v>-9.8630136986301256E-2</v>
      </c>
    </row>
    <row r="178" spans="1:19" ht="48.75" x14ac:dyDescent="0.25">
      <c r="A178" s="255" t="str">
        <f>CONCATENATE('3 pr-2'!A179)</f>
        <v>3.1.2.1.6</v>
      </c>
      <c r="B178" s="473" t="str">
        <f>CONCATENATE('ketv. 2lent'!B177)</f>
        <v>05.5.1-APVA-R-019-11-0003</v>
      </c>
      <c r="C178" s="255" t="str">
        <f>CONCATENATE('3 pr-2'!D179)</f>
        <v>Kraštovaizdžio formavimas Lazdijų rajono savivaldybėje</v>
      </c>
      <c r="D178" s="255" t="str">
        <f>CONCATENATE('3 pr-2'!E179)</f>
        <v>Lazdijų rajono savivaldybės administracija</v>
      </c>
      <c r="E178" s="255" t="str">
        <f>CONCATENATE('3 pr-2'!F179)</f>
        <v>Lietuvos Respublikos aplinkos ministerija</v>
      </c>
      <c r="F178" s="255" t="str">
        <f>CONCATENATE('3 pr-2'!G179)</f>
        <v>Lazdijų rajono savivaldybė</v>
      </c>
      <c r="G178" s="255" t="str">
        <f>CONCATENATE('3 pr-2'!H179)</f>
        <v>05.5.1-APVA-R-019</v>
      </c>
      <c r="H178" s="255" t="str">
        <f>CONCATENATE('3 pr-2'!I179)</f>
        <v>R</v>
      </c>
      <c r="I178" s="255" t="str">
        <f>CONCATENATE('3 pr-2'!J179)</f>
        <v>-</v>
      </c>
      <c r="J178" s="474">
        <f>IF(Q178&gt;0,'3 pr-2'!L179,0)</f>
        <v>442298.58999999997</v>
      </c>
      <c r="K178" s="474">
        <f>IF(Q178&gt;0,'3 pr-2'!O179,0)</f>
        <v>66344.78</v>
      </c>
      <c r="L178" s="474">
        <f>IF(Q178&gt;0,'3 pr-2'!R179,0)</f>
        <v>0</v>
      </c>
      <c r="M178" s="474">
        <f>IF(Q178&gt;0,'3 pr-2'!U179,0)</f>
        <v>0</v>
      </c>
      <c r="N178" s="474">
        <f>IF(Q178&gt;0,'3 pr-2'!X179,0)</f>
        <v>0</v>
      </c>
      <c r="O178" s="474">
        <f>IF(Q178&gt;0,'3 pr-2'!AA179,0)</f>
        <v>375953.81</v>
      </c>
      <c r="P178" s="290">
        <f>SUM('3 pr-2'!AG179)</f>
        <v>42825</v>
      </c>
      <c r="Q178" s="604">
        <v>42825</v>
      </c>
      <c r="R178" s="291">
        <f>IF((YEAR(P178)-YEAR(Q178))=0,0,YEAR(P178)-YEAR(Q178))</f>
        <v>0</v>
      </c>
      <c r="S178" s="998" t="str">
        <f t="shared" si="54"/>
        <v>–</v>
      </c>
    </row>
    <row r="179" spans="1:19" ht="48.75" x14ac:dyDescent="0.25">
      <c r="A179" s="255" t="str">
        <f>CONCATENATE('3 pr-2'!A180)</f>
        <v>3.1.2.1.7</v>
      </c>
      <c r="B179" s="473" t="str">
        <f>CONCATENATE('ketv. 2lent'!B178)</f>
        <v/>
      </c>
      <c r="C179" s="255" t="str">
        <f>CONCATENATE('3 pr-2'!D180)</f>
        <v>Kraštovaizdžio formavimas Lazdijų rajono savivaldybėje (II etapas)</v>
      </c>
      <c r="D179" s="255" t="str">
        <f>CONCATENATE('3 pr-2'!E180)</f>
        <v>Lazdijų rajono savivaldybės administracija</v>
      </c>
      <c r="E179" s="255" t="str">
        <f>CONCATENATE('3 pr-2'!F180)</f>
        <v>Lietuvos Respublikos aplinkos ministerija</v>
      </c>
      <c r="F179" s="255" t="str">
        <f>CONCATENATE('3 pr-2'!G180)</f>
        <v>Lazdijų rajono savivaldybė</v>
      </c>
      <c r="G179" s="255" t="str">
        <f>CONCATENATE('3 pr-2'!H180)</f>
        <v>05.5.1-APVA-R-019</v>
      </c>
      <c r="H179" s="255" t="str">
        <f>CONCATENATE('3 pr-2'!I180)</f>
        <v>R</v>
      </c>
      <c r="I179" s="255" t="str">
        <f>CONCATENATE('3 pr-2'!J180)</f>
        <v>-</v>
      </c>
      <c r="J179" s="474">
        <f>IF(Q179&gt;0,'3 pr-2'!L180,0)</f>
        <v>0</v>
      </c>
      <c r="K179" s="474">
        <f>IF(Q179&gt;0,'3 pr-2'!O180,0)</f>
        <v>0</v>
      </c>
      <c r="L179" s="474">
        <f>IF(Q179&gt;0,'3 pr-2'!R180,0)</f>
        <v>0</v>
      </c>
      <c r="M179" s="474">
        <f>IF(Q179&gt;0,'3 pr-2'!U180,0)</f>
        <v>0</v>
      </c>
      <c r="N179" s="474">
        <f>IF(Q179&gt;0,'3 pr-2'!X180,0)</f>
        <v>0</v>
      </c>
      <c r="O179" s="474">
        <f>IF(Q179&gt;0,'3 pr-2'!AA180,0)</f>
        <v>0</v>
      </c>
      <c r="P179" s="290">
        <f>SUM('3 pr-2'!AG180)</f>
        <v>43434</v>
      </c>
      <c r="Q179" s="604"/>
      <c r="R179" s="291"/>
      <c r="S179" s="998" t="str">
        <f t="shared" si="54"/>
        <v>–</v>
      </c>
    </row>
    <row r="180" spans="1:19" ht="48.75" x14ac:dyDescent="0.25">
      <c r="A180" s="255" t="str">
        <f>CONCATENATE('3 pr-2'!A181)</f>
        <v>3.1.2.1.8</v>
      </c>
      <c r="B180" s="473" t="str">
        <f>CONCATENATE('ketv. 2lent'!B179)</f>
        <v/>
      </c>
      <c r="C180" s="255" t="str">
        <f>CONCATENATE('3 pr-2'!D181)</f>
        <v>Bešeimininkių apleistų pastatų ir įrenginių tvarkymas Alytaus rajono savivaldybėje (II etapas)</v>
      </c>
      <c r="D180" s="255" t="str">
        <f>CONCATENATE('3 pr-2'!E181)</f>
        <v>Alytaus rajono savivaldybės administracija</v>
      </c>
      <c r="E180" s="255" t="str">
        <f>CONCATENATE('3 pr-2'!F181)</f>
        <v>Lietuvos Respublikos aplinkos ministerija</v>
      </c>
      <c r="F180" s="255" t="str">
        <f>CONCATENATE('3 pr-2'!G181)</f>
        <v>Alytaus rajono savivaldybė</v>
      </c>
      <c r="G180" s="255" t="str">
        <f>CONCATENATE('3 pr-2'!H181)</f>
        <v>05.5.1-APVA-R-019</v>
      </c>
      <c r="H180" s="255" t="str">
        <f>CONCATENATE('3 pr-2'!I181)</f>
        <v>R</v>
      </c>
      <c r="I180" s="255" t="str">
        <f>CONCATENATE('3 pr-2'!J181)</f>
        <v>-</v>
      </c>
      <c r="J180" s="474">
        <f>IF(Q180&gt;0,'3 pr-2'!L181,0)</f>
        <v>0</v>
      </c>
      <c r="K180" s="474">
        <f>IF(Q180&gt;0,'3 pr-2'!O181,0)</f>
        <v>0</v>
      </c>
      <c r="L180" s="474">
        <f>IF(Q180&gt;0,'3 pr-2'!R181,0)</f>
        <v>0</v>
      </c>
      <c r="M180" s="474">
        <f>IF(Q180&gt;0,'3 pr-2'!U181,0)</f>
        <v>0</v>
      </c>
      <c r="N180" s="474">
        <f>IF(Q180&gt;0,'3 pr-2'!X181,0)</f>
        <v>0</v>
      </c>
      <c r="O180" s="474">
        <f>IF(Q180&gt;0,'3 pr-2'!AA181,0)</f>
        <v>0</v>
      </c>
      <c r="P180" s="290">
        <f>SUM('3 pr-2'!AG181)</f>
        <v>43222</v>
      </c>
      <c r="Q180" s="605"/>
      <c r="R180" s="291" t="s">
        <v>725</v>
      </c>
      <c r="S180" s="998" t="str">
        <f t="shared" si="54"/>
        <v>–</v>
      </c>
    </row>
  </sheetData>
  <autoFilter ref="A5:S180"/>
  <mergeCells count="39">
    <mergeCell ref="C172:I172"/>
    <mergeCell ref="C120:I120"/>
    <mergeCell ref="C134:I134"/>
    <mergeCell ref="C146:I146"/>
    <mergeCell ref="C147:I147"/>
    <mergeCell ref="C153:I153"/>
    <mergeCell ref="C159:I159"/>
    <mergeCell ref="C160:I160"/>
    <mergeCell ref="C167:I167"/>
    <mergeCell ref="C168:I168"/>
    <mergeCell ref="C169:I169"/>
    <mergeCell ref="C171:I171"/>
    <mergeCell ref="C121:I121"/>
    <mergeCell ref="C140:I140"/>
    <mergeCell ref="C114:I114"/>
    <mergeCell ref="C61:I61"/>
    <mergeCell ref="C66:I66"/>
    <mergeCell ref="C72:I72"/>
    <mergeCell ref="C73:I73"/>
    <mergeCell ref="C79:I79"/>
    <mergeCell ref="C86:I86"/>
    <mergeCell ref="C92:I92"/>
    <mergeCell ref="C100:I100"/>
    <mergeCell ref="C101:I101"/>
    <mergeCell ref="C102:I102"/>
    <mergeCell ref="C108:I108"/>
    <mergeCell ref="C7:I7"/>
    <mergeCell ref="C6:I6"/>
    <mergeCell ref="P2:S2"/>
    <mergeCell ref="C57:I57"/>
    <mergeCell ref="A1:K1"/>
    <mergeCell ref="A2:I2"/>
    <mergeCell ref="J2:O2"/>
    <mergeCell ref="C32:I32"/>
    <mergeCell ref="C38:I38"/>
    <mergeCell ref="C45:I45"/>
    <mergeCell ref="C49:I49"/>
    <mergeCell ref="C55:I55"/>
    <mergeCell ref="C8:I8"/>
  </mergeCells>
  <pageMargins left="0.25" right="0.25" top="0.75" bottom="0.75" header="0.3" footer="0.3"/>
  <pageSetup paperSize="8" scale="90" fitToHeight="0"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80"/>
  <sheetViews>
    <sheetView workbookViewId="0">
      <pane ySplit="4275" topLeftCell="A118" activePane="bottomLeft"/>
      <selection activeCell="B1" sqref="B1:B1048576"/>
      <selection pane="bottomLeft" activeCell="G123" sqref="G123"/>
    </sheetView>
  </sheetViews>
  <sheetFormatPr defaultRowHeight="15" x14ac:dyDescent="0.25"/>
  <cols>
    <col min="1" max="1" width="7.85546875" customWidth="1"/>
    <col min="2" max="2" width="13" hidden="1" customWidth="1"/>
    <col min="3" max="3" width="44.28515625" customWidth="1"/>
    <col min="4" max="4" width="13.140625" customWidth="1"/>
    <col min="5" max="5" width="13" customWidth="1"/>
    <col min="6" max="6" width="11.28515625" customWidth="1"/>
    <col min="7" max="7" width="27.140625" customWidth="1"/>
    <col min="8" max="8" width="5.42578125" customWidth="1"/>
    <col min="9" max="9" width="5.5703125" customWidth="1"/>
    <col min="10" max="10" width="14.28515625" customWidth="1"/>
    <col min="11" max="11" width="12.85546875" customWidth="1"/>
    <col min="12" max="12" width="12.7109375" customWidth="1"/>
    <col min="13" max="13" width="12.7109375" bestFit="1" customWidth="1"/>
    <col min="15" max="15" width="14.28515625" customWidth="1"/>
    <col min="16" max="16" width="11.42578125" hidden="1" customWidth="1"/>
    <col min="17" max="17" width="10.140625" hidden="1" customWidth="1"/>
    <col min="18" max="18" width="9.5703125" hidden="1" customWidth="1"/>
    <col min="19" max="19" width="12.28515625" hidden="1" customWidth="1"/>
    <col min="20" max="20" width="12.5703125" hidden="1" customWidth="1"/>
    <col min="21" max="21" width="9" customWidth="1"/>
    <col min="22" max="22" width="9.5703125" customWidth="1"/>
    <col min="23" max="23" width="9.7109375" hidden="1" customWidth="1"/>
    <col min="24" max="24" width="9.7109375" customWidth="1"/>
  </cols>
  <sheetData>
    <row r="1" spans="1:24" ht="15.75" x14ac:dyDescent="0.25">
      <c r="B1" s="366"/>
      <c r="C1" s="367"/>
      <c r="D1" s="367"/>
      <c r="E1" s="367"/>
      <c r="F1" s="367"/>
      <c r="G1" s="367"/>
      <c r="H1" s="367"/>
      <c r="I1" s="367"/>
      <c r="J1" s="367"/>
      <c r="K1" s="367"/>
    </row>
    <row r="2" spans="1:24" ht="16.5" thickBot="1" x14ac:dyDescent="0.3">
      <c r="A2" s="1816" t="s">
        <v>1386</v>
      </c>
      <c r="B2" s="1816"/>
      <c r="C2" s="1816"/>
      <c r="D2" s="1816"/>
      <c r="E2" s="1816"/>
      <c r="F2" s="1816"/>
      <c r="G2" s="1816"/>
      <c r="H2" s="1816"/>
      <c r="I2" s="1816"/>
      <c r="J2" s="1816"/>
      <c r="K2" s="1816"/>
    </row>
    <row r="3" spans="1:24" ht="15.75" thickBot="1" x14ac:dyDescent="0.3">
      <c r="A3" s="1791" t="s">
        <v>46</v>
      </c>
      <c r="B3" s="1792"/>
      <c r="C3" s="1792"/>
      <c r="D3" s="1792"/>
      <c r="E3" s="1792"/>
      <c r="F3" s="1792"/>
      <c r="G3" s="1792"/>
      <c r="H3" s="1792"/>
      <c r="I3" s="1795"/>
      <c r="J3" s="1791" t="s">
        <v>47</v>
      </c>
      <c r="K3" s="1792"/>
      <c r="L3" s="1792"/>
      <c r="M3" s="1792"/>
      <c r="N3" s="1792"/>
      <c r="O3" s="1795"/>
      <c r="P3" s="1791" t="s">
        <v>811</v>
      </c>
      <c r="Q3" s="1792"/>
      <c r="R3" s="1792"/>
      <c r="S3" s="1795"/>
      <c r="T3" s="1791"/>
      <c r="U3" s="1792" t="s">
        <v>742</v>
      </c>
      <c r="V3" s="1792"/>
      <c r="W3" s="1792"/>
      <c r="X3" s="1795"/>
    </row>
    <row r="4" spans="1:24" ht="51.75" thickBot="1" x14ac:dyDescent="0.3">
      <c r="A4" s="325" t="s">
        <v>7</v>
      </c>
      <c r="B4" s="600" t="s">
        <v>739</v>
      </c>
      <c r="C4" s="325" t="s">
        <v>49</v>
      </c>
      <c r="D4" s="325" t="s">
        <v>50</v>
      </c>
      <c r="E4" s="325" t="s">
        <v>51</v>
      </c>
      <c r="F4" s="325" t="s">
        <v>52</v>
      </c>
      <c r="G4" s="325" t="s">
        <v>722</v>
      </c>
      <c r="H4" s="601" t="s">
        <v>723</v>
      </c>
      <c r="I4" s="599" t="s">
        <v>724</v>
      </c>
      <c r="J4" s="275" t="s">
        <v>57</v>
      </c>
      <c r="K4" s="276" t="s">
        <v>58</v>
      </c>
      <c r="L4" s="276" t="s">
        <v>59</v>
      </c>
      <c r="M4" s="276" t="s">
        <v>60</v>
      </c>
      <c r="N4" s="276" t="s">
        <v>61</v>
      </c>
      <c r="O4" s="277" t="s">
        <v>10</v>
      </c>
      <c r="P4" s="287"/>
      <c r="Q4" s="287"/>
      <c r="R4" s="286"/>
      <c r="S4" s="285"/>
      <c r="T4" s="325"/>
      <c r="U4" s="658" t="s">
        <v>736</v>
      </c>
      <c r="V4" s="325" t="s">
        <v>737</v>
      </c>
      <c r="W4" s="325" t="s">
        <v>732</v>
      </c>
      <c r="X4" s="325" t="s">
        <v>1537</v>
      </c>
    </row>
    <row r="5" spans="1:24" ht="15.75" thickBot="1" x14ac:dyDescent="0.3">
      <c r="A5" s="1791"/>
      <c r="B5" s="1792"/>
      <c r="C5" s="1792"/>
      <c r="D5" s="1792"/>
      <c r="E5" s="1792"/>
      <c r="F5" s="1792"/>
      <c r="G5" s="1792"/>
      <c r="H5" s="1792"/>
      <c r="I5" s="1795"/>
      <c r="J5" s="1791"/>
      <c r="K5" s="1792"/>
      <c r="L5" s="1792"/>
      <c r="M5" s="1792"/>
      <c r="N5" s="1792"/>
      <c r="O5" s="1795"/>
      <c r="P5" s="1791">
        <v>2016</v>
      </c>
      <c r="Q5" s="1792">
        <v>2017</v>
      </c>
      <c r="R5" s="1792">
        <v>2018</v>
      </c>
      <c r="S5" s="1795">
        <v>2019</v>
      </c>
      <c r="T5" s="1791">
        <v>2020</v>
      </c>
      <c r="U5" s="1792" t="s">
        <v>725</v>
      </c>
      <c r="V5" s="1792" t="s">
        <v>728</v>
      </c>
      <c r="W5" s="1792" t="s">
        <v>733</v>
      </c>
      <c r="X5" s="1792" t="s">
        <v>735</v>
      </c>
    </row>
    <row r="6" spans="1:24" ht="12.75" customHeight="1" thickBot="1" x14ac:dyDescent="0.3">
      <c r="A6" s="281"/>
      <c r="B6" s="320"/>
      <c r="C6" s="282"/>
      <c r="D6" s="282"/>
      <c r="E6" s="282"/>
      <c r="F6" s="282"/>
      <c r="G6" s="282"/>
      <c r="H6" s="282"/>
      <c r="I6" s="282"/>
      <c r="J6" s="258"/>
      <c r="K6" s="259"/>
      <c r="L6" s="259"/>
      <c r="M6" s="259"/>
      <c r="N6" s="259"/>
      <c r="O6" s="269"/>
      <c r="P6" s="878">
        <v>2016</v>
      </c>
      <c r="Q6" s="878">
        <v>2017</v>
      </c>
      <c r="R6" s="878">
        <v>2018</v>
      </c>
      <c r="S6" s="878">
        <v>2019</v>
      </c>
      <c r="T6" s="879">
        <v>2020</v>
      </c>
      <c r="U6" s="283"/>
      <c r="V6" s="284"/>
      <c r="W6" s="256"/>
      <c r="X6" s="256"/>
    </row>
    <row r="7" spans="1:24" ht="38.25" customHeight="1" thickBot="1" x14ac:dyDescent="0.35">
      <c r="A7" s="714" t="str">
        <f>CONCATENATE('3 pr-2'!A7)</f>
        <v>1.1.</v>
      </c>
      <c r="B7" s="715"/>
      <c r="C7" s="1813" t="str">
        <f>CONCATENATE('3 pr-2'!D7)</f>
        <v/>
      </c>
      <c r="D7" s="1814" t="str">
        <f>CONCATENATE('3 pr-2'!E7)</f>
        <v/>
      </c>
      <c r="E7" s="1814" t="str">
        <f>CONCATENATE('3 pr-2'!F7)</f>
        <v/>
      </c>
      <c r="F7" s="1814" t="str">
        <f>CONCATENATE('3 pr-2'!G7)</f>
        <v/>
      </c>
      <c r="G7" s="1814" t="str">
        <f>CONCATENATE('3 pr-2'!H7)</f>
        <v/>
      </c>
      <c r="H7" s="1814" t="str">
        <f>CONCATENATE('3 pr-2'!I7)</f>
        <v/>
      </c>
      <c r="I7" s="1815" t="str">
        <f>CONCATENATE('3 pr-2'!J7)</f>
        <v/>
      </c>
      <c r="J7" s="716">
        <f>SUM(J8+J73)</f>
        <v>30328733.721764706</v>
      </c>
      <c r="K7" s="716">
        <f t="shared" ref="K7:O7" si="0">SUM(K8+K73)</f>
        <v>1306353.7917647059</v>
      </c>
      <c r="L7" s="716">
        <f t="shared" si="0"/>
        <v>836154.92999999993</v>
      </c>
      <c r="M7" s="716">
        <f t="shared" si="0"/>
        <v>8216263.3399999999</v>
      </c>
      <c r="N7" s="716">
        <f t="shared" si="0"/>
        <v>62660</v>
      </c>
      <c r="O7" s="716">
        <f t="shared" si="0"/>
        <v>19907301.659999996</v>
      </c>
      <c r="P7" s="717"/>
      <c r="Q7" s="717"/>
      <c r="R7" s="717"/>
      <c r="S7" s="717"/>
      <c r="T7" s="718"/>
      <c r="U7" s="716" t="s">
        <v>725</v>
      </c>
      <c r="V7" s="716" t="s">
        <v>725</v>
      </c>
      <c r="W7" s="716" t="s">
        <v>725</v>
      </c>
      <c r="X7" s="716"/>
    </row>
    <row r="8" spans="1:24" ht="32.25" customHeight="1" thickBot="1" x14ac:dyDescent="0.3">
      <c r="A8" s="345" t="s">
        <v>726</v>
      </c>
      <c r="B8" s="648"/>
      <c r="C8" s="1668" t="s">
        <v>727</v>
      </c>
      <c r="D8" s="1669"/>
      <c r="E8" s="1669"/>
      <c r="F8" s="1669"/>
      <c r="G8" s="1669"/>
      <c r="H8" s="1669"/>
      <c r="I8" s="1670"/>
      <c r="J8" s="303">
        <f>SUM(J9+J33+J39+J46+J50+J56+J58+J62+J67)</f>
        <v>28328376.591764707</v>
      </c>
      <c r="K8" s="303">
        <f t="shared" ref="K8:O8" si="1">SUM(K9+K33+K39+K46+K50+K56+K58+K62+K67)</f>
        <v>1056901.5217647059</v>
      </c>
      <c r="L8" s="303">
        <f t="shared" si="1"/>
        <v>836154.92999999993</v>
      </c>
      <c r="M8" s="303">
        <f t="shared" si="1"/>
        <v>8216263.3399999999</v>
      </c>
      <c r="N8" s="303">
        <f t="shared" si="1"/>
        <v>0</v>
      </c>
      <c r="O8" s="303">
        <f t="shared" si="1"/>
        <v>18219056.799999997</v>
      </c>
      <c r="P8" s="311"/>
      <c r="Q8" s="650"/>
      <c r="R8" s="649"/>
      <c r="S8" s="314"/>
      <c r="T8" s="719"/>
      <c r="U8" s="303" t="s">
        <v>725</v>
      </c>
      <c r="V8" s="303" t="s">
        <v>725</v>
      </c>
      <c r="W8" s="303" t="s">
        <v>725</v>
      </c>
      <c r="X8" s="361"/>
    </row>
    <row r="9" spans="1:24" ht="61.5" customHeight="1" thickBot="1" x14ac:dyDescent="0.3">
      <c r="A9" s="497" t="s">
        <v>67</v>
      </c>
      <c r="B9" s="613"/>
      <c r="C9" s="1656" t="str">
        <f>CONCATENATE('3 pr-2'!D9)</f>
        <v/>
      </c>
      <c r="D9" s="1789"/>
      <c r="E9" s="1789"/>
      <c r="F9" s="1789"/>
      <c r="G9" s="1789"/>
      <c r="H9" s="1789"/>
      <c r="I9" s="1790"/>
      <c r="J9" s="629">
        <f>SUM(J10:J32)</f>
        <v>536133</v>
      </c>
      <c r="K9" s="629">
        <f t="shared" ref="K9:O9" si="2">SUM(K10:K32)</f>
        <v>107474</v>
      </c>
      <c r="L9" s="629">
        <f t="shared" si="2"/>
        <v>64299</v>
      </c>
      <c r="M9" s="629">
        <f t="shared" si="2"/>
        <v>0</v>
      </c>
      <c r="N9" s="629">
        <f t="shared" si="2"/>
        <v>0</v>
      </c>
      <c r="O9" s="629">
        <f t="shared" si="2"/>
        <v>364360</v>
      </c>
      <c r="P9" s="630">
        <f>SUM(P10:P32)</f>
        <v>0</v>
      </c>
      <c r="Q9" s="631">
        <f t="shared" ref="Q9:T9" si="3">SUM(Q10:Q32)</f>
        <v>364360</v>
      </c>
      <c r="R9" s="630">
        <f t="shared" si="3"/>
        <v>0</v>
      </c>
      <c r="S9" s="631">
        <f t="shared" si="3"/>
        <v>0</v>
      </c>
      <c r="T9" s="278">
        <f t="shared" si="3"/>
        <v>0</v>
      </c>
      <c r="U9" s="629"/>
      <c r="V9" s="629"/>
      <c r="W9" s="629"/>
      <c r="X9" s="629"/>
    </row>
    <row r="10" spans="1:24" ht="48.75" x14ac:dyDescent="0.25">
      <c r="A10" s="316" t="str">
        <f>CONCATENATE('3 pr-2'!A10)</f>
        <v>1.1.1.1.1</v>
      </c>
      <c r="B10" s="639" t="str">
        <f>CONCATENATE('ketv. 2lent'!B9)</f>
        <v>20KI-KA-17-1-02616-PR001</v>
      </c>
      <c r="C10" s="316" t="str">
        <f>CONCATENATE('3 pr-2'!D10)</f>
        <v xml:space="preserve">Druskininkų savivaldybės Viečiūnų seniūnijos Ilgio ir Raigardo seniūnaitijų kelių būklės gerinimas  </v>
      </c>
      <c r="D10" s="316" t="str">
        <f>CONCATENATE('3 pr-2'!E10)</f>
        <v xml:space="preserve">Druskininkų savivaldybės administracija  </v>
      </c>
      <c r="E10" s="316" t="str">
        <f>CONCATENATE('3 pr-2'!F10)</f>
        <v>Lietuvos Respublikos žemės ūkio ministerija</v>
      </c>
      <c r="F10" s="316" t="str">
        <f>CONCATENATE('3 pr-2'!G10)</f>
        <v>Druskininkų savivaldybė</v>
      </c>
      <c r="G10" s="316" t="str">
        <f>CONCATENATE('3 pr-2'!H10)</f>
        <v xml:space="preserve">Pagrindinės paslaugos ir kaimų atnaujinimas kaimo vietovėse </v>
      </c>
      <c r="H10" s="316" t="str">
        <f>CONCATENATE('3 pr-2'!I10)</f>
        <v>R</v>
      </c>
      <c r="I10" s="316" t="str">
        <f>CONCATENATE('3 pr-2'!J10)</f>
        <v>-</v>
      </c>
      <c r="J10" s="293">
        <f>IF(V10&gt;0,'3 pr-2'!L10,0)</f>
        <v>0</v>
      </c>
      <c r="K10" s="293">
        <f>IF(V10&gt;0,'3 pr-2'!O10,0)</f>
        <v>0</v>
      </c>
      <c r="L10" s="293">
        <f>IF(V10&gt;0,'3 pr-2'!R10,0)</f>
        <v>0</v>
      </c>
      <c r="M10" s="293">
        <f>IF(V10&gt;0,'3 pr-2'!U10,0)</f>
        <v>0</v>
      </c>
      <c r="N10" s="293">
        <f>IF(V10&gt;0,'3 pr-2'!X10,0)</f>
        <v>0</v>
      </c>
      <c r="O10" s="293">
        <f>IF(V10&gt;0,'3 pr-2'!AA10,0)</f>
        <v>0</v>
      </c>
      <c r="P10" s="293">
        <f>IF(YEAR(V10)=2016,O10,0)</f>
        <v>0</v>
      </c>
      <c r="Q10" s="293">
        <f>IF(YEAR(V10)=2017,O10,0)</f>
        <v>0</v>
      </c>
      <c r="R10" s="293">
        <f>IF(YEAR(V10)=2018,O10,0)</f>
        <v>0</v>
      </c>
      <c r="S10" s="293">
        <f>IF(YEAR(V10)=2019,O10,0)</f>
        <v>0</v>
      </c>
      <c r="T10" s="293">
        <f>IF(YEAR(V10)=2020,O10,0)</f>
        <v>0</v>
      </c>
      <c r="U10" s="640">
        <f>SUM('3 pr-2'!AH10)</f>
        <v>43102</v>
      </c>
      <c r="V10" s="640"/>
      <c r="W10" s="641"/>
      <c r="X10" s="720" t="str">
        <f>IF(U10-V10&lt;0,(U10-V10)/30.4166666666667,"–")</f>
        <v>–</v>
      </c>
    </row>
    <row r="11" spans="1:24" ht="48.75" x14ac:dyDescent="0.25">
      <c r="A11" s="255" t="str">
        <f>CONCATENATE('3 pr-2'!A11)</f>
        <v>1.1.1.1.2</v>
      </c>
      <c r="B11" s="639" t="str">
        <f>CONCATENATE('ketv. 2lent'!B10)</f>
        <v>20KI-KA-17-1-02617-PR001</v>
      </c>
      <c r="C11" s="255" t="str">
        <f>CONCATENATE('3 pr-2'!D11)</f>
        <v>Druskininkų savivaldybės Viečiūnų seniūnijos Ratnyčėlės seniūnaitijos kelių būklės gerinimas</v>
      </c>
      <c r="D11" s="255" t="str">
        <f>CONCATENATE('3 pr-2'!E11)</f>
        <v xml:space="preserve">Druskininkų savivaldybės administracija  </v>
      </c>
      <c r="E11" s="255" t="str">
        <f>CONCATENATE('3 pr-2'!F11)</f>
        <v>Lietuvos Respublikos žemės ūkio ministerija</v>
      </c>
      <c r="F11" s="255" t="str">
        <f>CONCATENATE('3 pr-2'!G11)</f>
        <v>Druskininkų savivaldybė</v>
      </c>
      <c r="G11" s="255" t="str">
        <f>CONCATENATE('3 pr-2'!H11)</f>
        <v xml:space="preserve">Pagrindinės paslaugos ir kaimų atnaujinimas kaimo vietovėse </v>
      </c>
      <c r="H11" s="255" t="str">
        <f>CONCATENATE('3 pr-2'!I11)</f>
        <v>R</v>
      </c>
      <c r="I11" s="255" t="str">
        <f>CONCATENATE('3 pr-2'!J11)</f>
        <v>-</v>
      </c>
      <c r="J11" s="474">
        <f>IF(V11&gt;0,'3 pr-2'!L11,0)</f>
        <v>0</v>
      </c>
      <c r="K11" s="474">
        <f>IF(V11&gt;0,'3 pr-2'!O11,0)</f>
        <v>0</v>
      </c>
      <c r="L11" s="474">
        <f>IF(V11&gt;0,'3 pr-2'!R11,0)</f>
        <v>0</v>
      </c>
      <c r="M11" s="474">
        <f>IF(V11&gt;0,'3 pr-2'!U11,0)</f>
        <v>0</v>
      </c>
      <c r="N11" s="474">
        <f>IF(V11&gt;0,'3 pr-2'!X11,0)</f>
        <v>0</v>
      </c>
      <c r="O11" s="474">
        <f>IF(V11&gt;0,'3 pr-2'!AA11,0)</f>
        <v>0</v>
      </c>
      <c r="P11" s="474">
        <f t="shared" ref="P11:P32" si="4">IF(YEAR(V11)=2016,O11,0)</f>
        <v>0</v>
      </c>
      <c r="Q11" s="474">
        <f t="shared" ref="Q11:Q32" si="5">IF(YEAR(V11)=2017,O11,0)</f>
        <v>0</v>
      </c>
      <c r="R11" s="474">
        <f t="shared" ref="R11:R32" si="6">IF(YEAR(V11)=2018,O11,0)</f>
        <v>0</v>
      </c>
      <c r="S11" s="474">
        <f t="shared" ref="S11:S32" si="7">IF(YEAR(V11)=2019,O11,0)</f>
        <v>0</v>
      </c>
      <c r="T11" s="474">
        <f t="shared" ref="T11:T32" si="8">IF(YEAR(V11)=2020,O11,0)</f>
        <v>0</v>
      </c>
      <c r="U11" s="290">
        <f>SUM('3 pr-2'!AH11)</f>
        <v>43102</v>
      </c>
      <c r="V11" s="290"/>
      <c r="W11" s="291"/>
      <c r="X11" s="720" t="str">
        <f t="shared" ref="X11:X32" si="9">IF(U11-V11&lt;0,(U11-V11)/30.4166666666667,"–")</f>
        <v>–</v>
      </c>
    </row>
    <row r="12" spans="1:24" ht="48.75" x14ac:dyDescent="0.25">
      <c r="A12" s="255" t="str">
        <f>CONCATENATE('3 pr-2'!A12)</f>
        <v>1.1.1.1.3</v>
      </c>
      <c r="B12" s="639" t="str">
        <f>CONCATENATE('ketv. 2lent'!B11)</f>
        <v>20KI-KA-17-1-02622-PR001</v>
      </c>
      <c r="C12" s="255" t="str">
        <f>CONCATENATE('3 pr-2'!D12)</f>
        <v>Druskininkų savivaldybės Leipalingio seniūnijos Klonio seniūnaitijos kelių būklės gerinimas</v>
      </c>
      <c r="D12" s="255" t="str">
        <f>CONCATENATE('3 pr-2'!E12)</f>
        <v xml:space="preserve">Druskininkų savivaldybės administracija  </v>
      </c>
      <c r="E12" s="255" t="str">
        <f>CONCATENATE('3 pr-2'!F12)</f>
        <v>Lietuvos Respublikos žemės ūkio ministerija</v>
      </c>
      <c r="F12" s="255" t="str">
        <f>CONCATENATE('3 pr-2'!G12)</f>
        <v>Druskininkų savivaldybė</v>
      </c>
      <c r="G12" s="255" t="str">
        <f>CONCATENATE('3 pr-2'!H12)</f>
        <v xml:space="preserve">Pagrindinės paslaugos ir kaimų atnaujinimas kaimo vietovėse </v>
      </c>
      <c r="H12" s="255" t="str">
        <f>CONCATENATE('3 pr-2'!I12)</f>
        <v>R</v>
      </c>
      <c r="I12" s="255" t="str">
        <f>CONCATENATE('3 pr-2'!J12)</f>
        <v>-</v>
      </c>
      <c r="J12" s="474">
        <f>IF(V12&gt;0,'3 pr-2'!L12,0)</f>
        <v>0</v>
      </c>
      <c r="K12" s="474">
        <f>IF(V12&gt;0,'3 pr-2'!O12,0)</f>
        <v>0</v>
      </c>
      <c r="L12" s="474">
        <f>IF(V12&gt;0,'3 pr-2'!R12,0)</f>
        <v>0</v>
      </c>
      <c r="M12" s="474">
        <f>IF(V12&gt;0,'3 pr-2'!U12,0)</f>
        <v>0</v>
      </c>
      <c r="N12" s="474">
        <f>IF(V12&gt;0,'3 pr-2'!X12,0)</f>
        <v>0</v>
      </c>
      <c r="O12" s="474">
        <f>IF(V12&gt;0,'3 pr-2'!AA12,0)</f>
        <v>0</v>
      </c>
      <c r="P12" s="474">
        <f t="shared" si="4"/>
        <v>0</v>
      </c>
      <c r="Q12" s="474">
        <f t="shared" si="5"/>
        <v>0</v>
      </c>
      <c r="R12" s="474">
        <f t="shared" si="6"/>
        <v>0</v>
      </c>
      <c r="S12" s="474">
        <f t="shared" si="7"/>
        <v>0</v>
      </c>
      <c r="T12" s="474">
        <f t="shared" si="8"/>
        <v>0</v>
      </c>
      <c r="U12" s="290">
        <f>SUM('3 pr-2'!AH12)</f>
        <v>43102</v>
      </c>
      <c r="V12" s="290"/>
      <c r="W12" s="291"/>
      <c r="X12" s="720" t="str">
        <f t="shared" si="9"/>
        <v>–</v>
      </c>
    </row>
    <row r="13" spans="1:24" ht="48.75" x14ac:dyDescent="0.25">
      <c r="A13" s="255" t="str">
        <f>CONCATENATE('3 pr-2'!A13)</f>
        <v>1.1.1.1.4</v>
      </c>
      <c r="B13" s="639" t="str">
        <f>CONCATENATE('ketv. 2lent'!B12)</f>
        <v>20KI-KA-17-1-02368-PR001</v>
      </c>
      <c r="C13" s="255" t="str">
        <f>CONCATENATE('3 pr-2'!D13)</f>
        <v>Rudaminos laisvalaikio salės pritaikymas bendruomenės poreikiams ir liaudies amatų plėtrai</v>
      </c>
      <c r="D13" s="255" t="str">
        <f>CONCATENATE('3 pr-2'!E13)</f>
        <v>Viešoji įstaiga Lazdijų kultūros centras</v>
      </c>
      <c r="E13" s="255" t="str">
        <f>CONCATENATE('3 pr-2'!F13)</f>
        <v>Lietuvos Respublikos žemės ūkio ministerija</v>
      </c>
      <c r="F13" s="255" t="str">
        <f>CONCATENATE('3 pr-2'!G13)</f>
        <v>Lazdijų rajono savivaldybė</v>
      </c>
      <c r="G13" s="255" t="str">
        <f>CONCATENATE('3 pr-2'!H13)</f>
        <v xml:space="preserve">Pagrindinės paslaugos ir kaimų atnaujinimas kaimo vietovėse </v>
      </c>
      <c r="H13" s="255" t="str">
        <f>CONCATENATE('3 pr-2'!I13)</f>
        <v>R</v>
      </c>
      <c r="I13" s="255" t="str">
        <f>CONCATENATE('3 pr-2'!J13)</f>
        <v>-</v>
      </c>
      <c r="J13" s="474">
        <f>IF(V13&gt;0,'3 pr-2'!L13,0)</f>
        <v>0</v>
      </c>
      <c r="K13" s="474">
        <f>IF(V13&gt;0,'3 pr-2'!O13,0)</f>
        <v>0</v>
      </c>
      <c r="L13" s="474">
        <f>IF(V13&gt;0,'3 pr-2'!R13,0)</f>
        <v>0</v>
      </c>
      <c r="M13" s="474">
        <f>IF(V13&gt;0,'3 pr-2'!U13,0)</f>
        <v>0</v>
      </c>
      <c r="N13" s="474">
        <f>IF(V13&gt;0,'3 pr-2'!X13,0)</f>
        <v>0</v>
      </c>
      <c r="O13" s="474">
        <f>IF(V13&gt;0,'3 pr-2'!AA13,0)</f>
        <v>0</v>
      </c>
      <c r="P13" s="474">
        <f t="shared" si="4"/>
        <v>0</v>
      </c>
      <c r="Q13" s="474">
        <f t="shared" si="5"/>
        <v>0</v>
      </c>
      <c r="R13" s="474">
        <f t="shared" si="6"/>
        <v>0</v>
      </c>
      <c r="S13" s="474">
        <f t="shared" si="7"/>
        <v>0</v>
      </c>
      <c r="T13" s="474">
        <f t="shared" si="8"/>
        <v>0</v>
      </c>
      <c r="U13" s="290">
        <f>SUM('3 pr-2'!AH13)</f>
        <v>43102</v>
      </c>
      <c r="V13" s="290"/>
      <c r="W13" s="291"/>
      <c r="X13" s="720" t="str">
        <f t="shared" si="9"/>
        <v>–</v>
      </c>
    </row>
    <row r="14" spans="1:24" ht="48.75" x14ac:dyDescent="0.25">
      <c r="A14" s="255" t="str">
        <f>CONCATENATE('3 pr-2'!A14)</f>
        <v>1.1.1.1.5</v>
      </c>
      <c r="B14" s="639" t="str">
        <f>CONCATENATE('ketv. 2lent'!B13)</f>
        <v>20KI-KA-17-1-02619-PR001</v>
      </c>
      <c r="C14" s="255" t="str">
        <f>CONCATENATE('3 pr-2'!D14)</f>
        <v>Druskininkų savivaldybės Leipalingio seniūnijos Bilso seniūnaitijos kelių būklės gerinimas</v>
      </c>
      <c r="D14" s="255" t="str">
        <f>CONCATENATE('3 pr-2'!E14)</f>
        <v xml:space="preserve">Druskininkų savivaldybės administracija  </v>
      </c>
      <c r="E14" s="255" t="str">
        <f>CONCATENATE('3 pr-2'!F14)</f>
        <v>Lietuvos Respublikos žemės ūkio ministerija</v>
      </c>
      <c r="F14" s="255" t="str">
        <f>CONCATENATE('3 pr-2'!G14)</f>
        <v>Druskininkų savivaldybė</v>
      </c>
      <c r="G14" s="255" t="str">
        <f>CONCATENATE('3 pr-2'!H14)</f>
        <v xml:space="preserve">Pagrindinės paslaugos ir kaimų atnaujinimas kaimo vietovėse </v>
      </c>
      <c r="H14" s="255" t="str">
        <f>CONCATENATE('3 pr-2'!I14)</f>
        <v>R</v>
      </c>
      <c r="I14" s="255" t="str">
        <f>CONCATENATE('3 pr-2'!J14)</f>
        <v>-</v>
      </c>
      <c r="J14" s="474">
        <f>IF(V14&gt;0,'3 pr-2'!L14,0)</f>
        <v>0</v>
      </c>
      <c r="K14" s="474">
        <f>IF(V14&gt;0,'3 pr-2'!O14,0)</f>
        <v>0</v>
      </c>
      <c r="L14" s="474">
        <f>IF(V14&gt;0,'3 pr-2'!R14,0)</f>
        <v>0</v>
      </c>
      <c r="M14" s="474">
        <f>IF(V14&gt;0,'3 pr-2'!U14,0)</f>
        <v>0</v>
      </c>
      <c r="N14" s="474">
        <f>IF(V14&gt;0,'3 pr-2'!X14,0)</f>
        <v>0</v>
      </c>
      <c r="O14" s="474">
        <f>IF(V14&gt;0,'3 pr-2'!AA14,0)</f>
        <v>0</v>
      </c>
      <c r="P14" s="474">
        <f t="shared" si="4"/>
        <v>0</v>
      </c>
      <c r="Q14" s="474">
        <f t="shared" si="5"/>
        <v>0</v>
      </c>
      <c r="R14" s="474">
        <f t="shared" si="6"/>
        <v>0</v>
      </c>
      <c r="S14" s="474">
        <f t="shared" si="7"/>
        <v>0</v>
      </c>
      <c r="T14" s="474">
        <f t="shared" si="8"/>
        <v>0</v>
      </c>
      <c r="U14" s="290">
        <f>SUM('3 pr-2'!AH14)</f>
        <v>43102</v>
      </c>
      <c r="V14" s="290"/>
      <c r="W14" s="291"/>
      <c r="X14" s="720" t="str">
        <f t="shared" si="9"/>
        <v>–</v>
      </c>
    </row>
    <row r="15" spans="1:24" ht="60.75" x14ac:dyDescent="0.25">
      <c r="A15" s="255" t="str">
        <f>CONCATENATE('3 pr-2'!A15)</f>
        <v>1.1.1.1.6</v>
      </c>
      <c r="B15" s="639" t="str">
        <f>CONCATENATE('ketv. 2lent'!B14)</f>
        <v>20KI-KA-17-1-02374-PR001</v>
      </c>
      <c r="C15" s="255" t="str">
        <f>CONCATENATE('3 pr-2'!D15)</f>
        <v>Lazdijų rajono kaimų patrauklumo didinimas atnaujinant bibliotekas</v>
      </c>
      <c r="D15" s="255" t="str">
        <f>CONCATENATE('3 pr-2'!E15)</f>
        <v xml:space="preserve">Biudžetinė įstaiga Lazdijų rajono savivaldybės viešoji biblioteka </v>
      </c>
      <c r="E15" s="255" t="str">
        <f>CONCATENATE('3 pr-2'!F15)</f>
        <v>Lietuvos Respublikos žemės ūkio ministerija</v>
      </c>
      <c r="F15" s="255" t="str">
        <f>CONCATENATE('3 pr-2'!G15)</f>
        <v>Lazdijų rajono savivaldybė</v>
      </c>
      <c r="G15" s="255" t="str">
        <f>CONCATENATE('3 pr-2'!H15)</f>
        <v xml:space="preserve">Pagrindinės paslaugos ir kaimų atnaujinimas kaimo vietovėse </v>
      </c>
      <c r="H15" s="255" t="str">
        <f>CONCATENATE('3 pr-2'!I15)</f>
        <v>R</v>
      </c>
      <c r="I15" s="255" t="str">
        <f>CONCATENATE('3 pr-2'!J15)</f>
        <v>-</v>
      </c>
      <c r="J15" s="474">
        <f>IF(V15&gt;0,'3 pr-2'!L15,0)</f>
        <v>0</v>
      </c>
      <c r="K15" s="474">
        <f>IF(V15&gt;0,'3 pr-2'!O15,0)</f>
        <v>0</v>
      </c>
      <c r="L15" s="474">
        <f>IF(V15&gt;0,'3 pr-2'!R15,0)</f>
        <v>0</v>
      </c>
      <c r="M15" s="474">
        <f>IF(V15&gt;0,'3 pr-2'!U15,0)</f>
        <v>0</v>
      </c>
      <c r="N15" s="474">
        <f>IF(V15&gt;0,'3 pr-2'!X15,0)</f>
        <v>0</v>
      </c>
      <c r="O15" s="474">
        <f>IF(V15&gt;0,'3 pr-2'!AA15,0)</f>
        <v>0</v>
      </c>
      <c r="P15" s="474">
        <f t="shared" si="4"/>
        <v>0</v>
      </c>
      <c r="Q15" s="474">
        <f t="shared" si="5"/>
        <v>0</v>
      </c>
      <c r="R15" s="474">
        <f t="shared" si="6"/>
        <v>0</v>
      </c>
      <c r="S15" s="474">
        <f t="shared" si="7"/>
        <v>0</v>
      </c>
      <c r="T15" s="474">
        <f t="shared" si="8"/>
        <v>0</v>
      </c>
      <c r="U15" s="290">
        <f>SUM('3 pr-2'!AH15)</f>
        <v>43102</v>
      </c>
      <c r="V15" s="290"/>
      <c r="W15" s="291"/>
      <c r="X15" s="720" t="str">
        <f t="shared" si="9"/>
        <v>–</v>
      </c>
    </row>
    <row r="16" spans="1:24" ht="48.75" x14ac:dyDescent="0.25">
      <c r="A16" s="255" t="str">
        <f>CONCATENATE('3 pr-2'!A16)</f>
        <v>1.1.1.1.7</v>
      </c>
      <c r="B16" s="639" t="str">
        <f>CONCATENATE('ketv. 2lent'!B15)</f>
        <v>20KI-KA-17-1-02437-PR001</v>
      </c>
      <c r="C16" s="255" t="str">
        <f>CONCATENATE('3 pr-2'!D16)</f>
        <v>Alytaus rajono Miroslavo kaimo multifunkcinės sporto aikštės įrengimas ir gatvių bei šaligatvių rekonstrukcija</v>
      </c>
      <c r="D16" s="255" t="str">
        <f>CONCATENATE('3 pr-2'!E16)</f>
        <v>Alytaus rajono savivaldybės administracija</v>
      </c>
      <c r="E16" s="255" t="str">
        <f>CONCATENATE('3 pr-2'!F16)</f>
        <v>Lietuvos Respublikos žemės ūkio ministerija</v>
      </c>
      <c r="F16" s="255" t="str">
        <f>CONCATENATE('3 pr-2'!G16)</f>
        <v>Alytaus rajono savivaldybė</v>
      </c>
      <c r="G16" s="255" t="str">
        <f>CONCATENATE('3 pr-2'!H16)</f>
        <v xml:space="preserve">Pagrindinės paslaugos ir kaimų atnaujinimas kaimo vietovėse </v>
      </c>
      <c r="H16" s="255" t="str">
        <f>CONCATENATE('3 pr-2'!I16)</f>
        <v>R</v>
      </c>
      <c r="I16" s="255" t="str">
        <f>CONCATENATE('3 pr-2'!J16)</f>
        <v>-</v>
      </c>
      <c r="J16" s="474">
        <f>IF(V16&gt;0,'3 pr-2'!L16,0)</f>
        <v>0</v>
      </c>
      <c r="K16" s="474">
        <f>IF(V16&gt;0,'3 pr-2'!O16,0)</f>
        <v>0</v>
      </c>
      <c r="L16" s="474">
        <f>IF(V16&gt;0,'3 pr-2'!R16,0)</f>
        <v>0</v>
      </c>
      <c r="M16" s="474">
        <f>IF(V16&gt;0,'3 pr-2'!U16,0)</f>
        <v>0</v>
      </c>
      <c r="N16" s="474">
        <f>IF(V16&gt;0,'3 pr-2'!X16,0)</f>
        <v>0</v>
      </c>
      <c r="O16" s="474">
        <f>IF(V16&gt;0,'3 pr-2'!AA16,0)</f>
        <v>0</v>
      </c>
      <c r="P16" s="474">
        <f t="shared" si="4"/>
        <v>0</v>
      </c>
      <c r="Q16" s="474">
        <f t="shared" si="5"/>
        <v>0</v>
      </c>
      <c r="R16" s="474">
        <f t="shared" si="6"/>
        <v>0</v>
      </c>
      <c r="S16" s="474">
        <f t="shared" si="7"/>
        <v>0</v>
      </c>
      <c r="T16" s="474">
        <f t="shared" si="8"/>
        <v>0</v>
      </c>
      <c r="U16" s="290">
        <f>SUM('3 pr-2'!AH16)</f>
        <v>43102</v>
      </c>
      <c r="V16" s="290"/>
      <c r="W16" s="291"/>
      <c r="X16" s="720" t="str">
        <f t="shared" si="9"/>
        <v>–</v>
      </c>
    </row>
    <row r="17" spans="1:26" ht="48.75" x14ac:dyDescent="0.25">
      <c r="A17" s="255" t="str">
        <f>CONCATENATE('3 pr-2'!A17)</f>
        <v>1.1.1.1.8</v>
      </c>
      <c r="B17" s="639" t="str">
        <f>CONCATENATE('ketv. 2lent'!B16)</f>
        <v>20KI-KA-17-1-02242-PR001</v>
      </c>
      <c r="C17" s="255" t="str">
        <f>CONCATENATE('3 pr-2'!D17)</f>
        <v>Alytaus rajono Luksnėnų kaimo multifunkcinės sporto aikštės įrengimas ir gatvių rekonstrukcija</v>
      </c>
      <c r="D17" s="255" t="str">
        <f>CONCATENATE('3 pr-2'!E17)</f>
        <v>Alytaus rajono savivaldybės administracija</v>
      </c>
      <c r="E17" s="255" t="str">
        <f>CONCATENATE('3 pr-2'!F17)</f>
        <v>Lietuvos Respublikos žemės ūkio ministerija</v>
      </c>
      <c r="F17" s="255" t="str">
        <f>CONCATENATE('3 pr-2'!G17)</f>
        <v>Alytaus rajono savivaldybė</v>
      </c>
      <c r="G17" s="255" t="str">
        <f>CONCATENATE('3 pr-2'!H17)</f>
        <v xml:space="preserve">Pagrindinės paslaugos ir kaimų atnaujinimas kaimo vietovėse </v>
      </c>
      <c r="H17" s="255" t="str">
        <f>CONCATENATE('3 pr-2'!I17)</f>
        <v>R</v>
      </c>
      <c r="I17" s="255" t="str">
        <f>CONCATENATE('3 pr-2'!J17)</f>
        <v>-</v>
      </c>
      <c r="J17" s="474">
        <f>IF(V17&gt;0,'3 pr-2'!L17,0)</f>
        <v>250309</v>
      </c>
      <c r="K17" s="474">
        <f>IF(V17&gt;0,'3 pr-2'!O17,0)</f>
        <v>50309</v>
      </c>
      <c r="L17" s="474">
        <f>IF(V17&gt;0,'3 pr-2'!R17,0)</f>
        <v>30000</v>
      </c>
      <c r="M17" s="474">
        <f>IF(V17&gt;0,'3 pr-2'!U17,0)</f>
        <v>0</v>
      </c>
      <c r="N17" s="474">
        <f>IF(V17&gt;0,'3 pr-2'!X17,0)</f>
        <v>0</v>
      </c>
      <c r="O17" s="474">
        <f>IF(V17&gt;0,'3 pr-2'!AA17,0)</f>
        <v>170000</v>
      </c>
      <c r="P17" s="474">
        <f t="shared" si="4"/>
        <v>0</v>
      </c>
      <c r="Q17" s="474">
        <f t="shared" si="5"/>
        <v>170000</v>
      </c>
      <c r="R17" s="474">
        <f t="shared" si="6"/>
        <v>0</v>
      </c>
      <c r="S17" s="474">
        <f t="shared" si="7"/>
        <v>0</v>
      </c>
      <c r="T17" s="474">
        <f t="shared" si="8"/>
        <v>0</v>
      </c>
      <c r="U17" s="290">
        <f>SUM('3 pr-2'!AH17)</f>
        <v>43102</v>
      </c>
      <c r="V17" s="290">
        <v>43084</v>
      </c>
      <c r="W17" s="291"/>
      <c r="X17" s="720" t="str">
        <f t="shared" si="9"/>
        <v>–</v>
      </c>
    </row>
    <row r="18" spans="1:26" ht="48.75" x14ac:dyDescent="0.25">
      <c r="A18" s="255" t="str">
        <f>CONCATENATE('3 pr-2'!A18)</f>
        <v>1.1.1.1.9</v>
      </c>
      <c r="B18" s="639" t="str">
        <f>CONCATENATE('ketv. 2lent'!B17)</f>
        <v>20KI-KA-17-1-02372-PR001</v>
      </c>
      <c r="C18" s="255" t="str">
        <f>CONCATENATE('3 pr-2'!D18)</f>
        <v>Krikštonių laisvalaikio salės pritaikymas bendruomenės poreikiams</v>
      </c>
      <c r="D18" s="255" t="str">
        <f>CONCATENATE('3 pr-2'!E18)</f>
        <v xml:space="preserve">Viešoji įstaiga Lazdijų kultūros centras </v>
      </c>
      <c r="E18" s="255" t="str">
        <f>CONCATENATE('3 pr-2'!F18)</f>
        <v>Lietuvos Respublikos žemės ūkio ministerija</v>
      </c>
      <c r="F18" s="255" t="str">
        <f>CONCATENATE('3 pr-2'!G18)</f>
        <v>Lazdijų rajono savivaldybė</v>
      </c>
      <c r="G18" s="255" t="str">
        <f>CONCATENATE('3 pr-2'!H18)</f>
        <v xml:space="preserve">Pagrindinės paslaugos ir kaimų atnaujinimas kaimo vietovėse </v>
      </c>
      <c r="H18" s="255" t="str">
        <f>CONCATENATE('3 pr-2'!I18)</f>
        <v>R</v>
      </c>
      <c r="I18" s="255" t="str">
        <f>CONCATENATE('3 pr-2'!J18)</f>
        <v>-</v>
      </c>
      <c r="J18" s="474">
        <f>IF(V18&gt;0,'3 pr-2'!L18,0)</f>
        <v>0</v>
      </c>
      <c r="K18" s="474">
        <f>IF(V18&gt;0,'3 pr-2'!O18,0)</f>
        <v>0</v>
      </c>
      <c r="L18" s="474">
        <f>IF(V18&gt;0,'3 pr-2'!R18,0)</f>
        <v>0</v>
      </c>
      <c r="M18" s="474">
        <f>IF(V18&gt;0,'3 pr-2'!U18,0)</f>
        <v>0</v>
      </c>
      <c r="N18" s="474">
        <f>IF(V18&gt;0,'3 pr-2'!X18,0)</f>
        <v>0</v>
      </c>
      <c r="O18" s="474">
        <f>IF(V18&gt;0,'3 pr-2'!AA18,0)</f>
        <v>0</v>
      </c>
      <c r="P18" s="474">
        <f t="shared" si="4"/>
        <v>0</v>
      </c>
      <c r="Q18" s="474">
        <f t="shared" si="5"/>
        <v>0</v>
      </c>
      <c r="R18" s="474">
        <f t="shared" si="6"/>
        <v>0</v>
      </c>
      <c r="S18" s="474">
        <f t="shared" si="7"/>
        <v>0</v>
      </c>
      <c r="T18" s="474">
        <f t="shared" si="8"/>
        <v>0</v>
      </c>
      <c r="U18" s="290">
        <f>SUM('3 pr-2'!AH18)</f>
        <v>43102</v>
      </c>
      <c r="V18" s="290"/>
      <c r="W18" s="291"/>
      <c r="X18" s="720" t="str">
        <f t="shared" si="9"/>
        <v>–</v>
      </c>
    </row>
    <row r="19" spans="1:26" ht="48.75" x14ac:dyDescent="0.25">
      <c r="A19" s="255" t="str">
        <f>CONCATENATE('3 pr-2'!A19)</f>
        <v>1.1.1.1.10</v>
      </c>
      <c r="B19" s="639" t="str">
        <f>CONCATENATE('ketv. 2lent'!B18)</f>
        <v>20KI-KA-17-1-02370-PR001</v>
      </c>
      <c r="C19" s="255" t="str">
        <f>CONCATENATE('3 pr-2'!D19)</f>
        <v>Kučiūnų laisvalaikio salės pritaikymas bendruomenės poreikiams</v>
      </c>
      <c r="D19" s="255" t="str">
        <f>CONCATENATE('3 pr-2'!E19)</f>
        <v xml:space="preserve">Viešoji įstaiga Lazdijų kultūros centras </v>
      </c>
      <c r="E19" s="255" t="str">
        <f>CONCATENATE('3 pr-2'!F19)</f>
        <v>Lietuvos Respublikos žemės ūkio ministerija</v>
      </c>
      <c r="F19" s="255" t="str">
        <f>CONCATENATE('3 pr-2'!G19)</f>
        <v>Lazdijų rajono savivaldybė</v>
      </c>
      <c r="G19" s="255" t="str">
        <f>CONCATENATE('3 pr-2'!H19)</f>
        <v xml:space="preserve">Pagrindinės paslaugos ir kaimų atnaujinimas kaimo vietovėse </v>
      </c>
      <c r="H19" s="255" t="str">
        <f>CONCATENATE('3 pr-2'!I19)</f>
        <v>R</v>
      </c>
      <c r="I19" s="255" t="str">
        <f>CONCATENATE('3 pr-2'!J19)</f>
        <v>-</v>
      </c>
      <c r="J19" s="474">
        <f>IF(V19&gt;0,'3 pr-2'!L19,0)</f>
        <v>0</v>
      </c>
      <c r="K19" s="474">
        <f>IF(V19&gt;0,'3 pr-2'!O19,0)</f>
        <v>0</v>
      </c>
      <c r="L19" s="474">
        <f>IF(V19&gt;0,'3 pr-2'!R19,0)</f>
        <v>0</v>
      </c>
      <c r="M19" s="474">
        <f>IF(V19&gt;0,'3 pr-2'!U19,0)</f>
        <v>0</v>
      </c>
      <c r="N19" s="474">
        <f>IF(V19&gt;0,'3 pr-2'!X19,0)</f>
        <v>0</v>
      </c>
      <c r="O19" s="474">
        <f>IF(V19&gt;0,'3 pr-2'!AA19,0)</f>
        <v>0</v>
      </c>
      <c r="P19" s="474">
        <f t="shared" si="4"/>
        <v>0</v>
      </c>
      <c r="Q19" s="474">
        <f t="shared" si="5"/>
        <v>0</v>
      </c>
      <c r="R19" s="474">
        <f t="shared" si="6"/>
        <v>0</v>
      </c>
      <c r="S19" s="474">
        <f t="shared" si="7"/>
        <v>0</v>
      </c>
      <c r="T19" s="474">
        <f t="shared" si="8"/>
        <v>0</v>
      </c>
      <c r="U19" s="290">
        <f>SUM('3 pr-2'!AH19)</f>
        <v>43102</v>
      </c>
      <c r="V19" s="290"/>
      <c r="W19" s="291"/>
      <c r="X19" s="720" t="str">
        <f t="shared" si="9"/>
        <v>–</v>
      </c>
    </row>
    <row r="20" spans="1:26" ht="48.75" x14ac:dyDescent="0.25">
      <c r="A20" s="255" t="str">
        <f>CONCATENATE('3 pr-2'!A20)</f>
        <v>1.1.1.1.11</v>
      </c>
      <c r="B20" s="639" t="str">
        <f>CONCATENATE('ketv. 2lent'!B19)</f>
        <v>20KI-KA-17-1-02354-PR001</v>
      </c>
      <c r="C20" s="255" t="str">
        <f>CONCATENATE('3 pr-2'!D20)</f>
        <v>Laisvalaikio infrastruktūros sukūrimas Lazdijų rajono kaimo gyvenamosiose vietovėse</v>
      </c>
      <c r="D20" s="255" t="str">
        <f>CONCATENATE('3 pr-2'!E20)</f>
        <v>Lazdijų rajono savivaldybės administracija</v>
      </c>
      <c r="E20" s="255" t="str">
        <f>CONCATENATE('3 pr-2'!F20)</f>
        <v>Lietuvos Respublikos žemės ūkio ministerija</v>
      </c>
      <c r="F20" s="255" t="str">
        <f>CONCATENATE('3 pr-2'!G20)</f>
        <v>Lazdijų rajono savivaldybė</v>
      </c>
      <c r="G20" s="255" t="str">
        <f>CONCATENATE('3 pr-2'!H20)</f>
        <v xml:space="preserve">Pagrindinės paslaugos ir kaimų atnaujinimas kaimo vietovėse </v>
      </c>
      <c r="H20" s="255" t="str">
        <f>CONCATENATE('3 pr-2'!I20)</f>
        <v>R</v>
      </c>
      <c r="I20" s="255" t="str">
        <f>CONCATENATE('3 pr-2'!J20)</f>
        <v>-</v>
      </c>
      <c r="J20" s="474">
        <f>IF(V20&gt;0,'3 pr-2'!L20,0)</f>
        <v>0</v>
      </c>
      <c r="K20" s="474">
        <f>IF(V20&gt;0,'3 pr-2'!O20,0)</f>
        <v>0</v>
      </c>
      <c r="L20" s="474">
        <f>IF(V20&gt;0,'3 pr-2'!R20,0)</f>
        <v>0</v>
      </c>
      <c r="M20" s="474">
        <f>IF(V20&gt;0,'3 pr-2'!U20,0)</f>
        <v>0</v>
      </c>
      <c r="N20" s="474">
        <f>IF(V20&gt;0,'3 pr-2'!X20,0)</f>
        <v>0</v>
      </c>
      <c r="O20" s="474">
        <f>IF(V20&gt;0,'3 pr-2'!AA20,0)</f>
        <v>0</v>
      </c>
      <c r="P20" s="474">
        <f t="shared" si="4"/>
        <v>0</v>
      </c>
      <c r="Q20" s="474">
        <f t="shared" si="5"/>
        <v>0</v>
      </c>
      <c r="R20" s="474">
        <f t="shared" si="6"/>
        <v>0</v>
      </c>
      <c r="S20" s="474">
        <f t="shared" si="7"/>
        <v>0</v>
      </c>
      <c r="T20" s="474">
        <f t="shared" si="8"/>
        <v>0</v>
      </c>
      <c r="U20" s="290">
        <f>SUM('3 pr-2'!AH20)</f>
        <v>43102</v>
      </c>
      <c r="V20" s="290"/>
      <c r="W20" s="291"/>
      <c r="X20" s="720" t="str">
        <f t="shared" si="9"/>
        <v>–</v>
      </c>
    </row>
    <row r="21" spans="1:26" ht="48.75" x14ac:dyDescent="0.25">
      <c r="A21" s="255" t="str">
        <f>CONCATENATE('3 pr-2'!A21)</f>
        <v>1.1.1.1.12</v>
      </c>
      <c r="B21" s="639" t="str">
        <f>CONCATENATE('ketv. 2lent'!B20)</f>
        <v>20KI-KA-17-1-02470-PR001</v>
      </c>
      <c r="C21" s="255" t="str">
        <f>CONCATENATE('3 pr-2'!D21)</f>
        <v>Alytaus rajono Butrimonių miestelio šaligatvių kapitalinis remontas ir gyvenvietės apšvietimo įrengimas</v>
      </c>
      <c r="D21" s="255" t="str">
        <f>CONCATENATE('3 pr-2'!E21)</f>
        <v>Alytaus rajono savivaldybės administracija</v>
      </c>
      <c r="E21" s="255" t="str">
        <f>CONCATENATE('3 pr-2'!F21)</f>
        <v>Lietuvos Respublikos žemės ūkio ministerija</v>
      </c>
      <c r="F21" s="255" t="str">
        <f>CONCATENATE('3 pr-2'!G21)</f>
        <v>Alytaus rajono savivaldybė</v>
      </c>
      <c r="G21" s="255" t="str">
        <f>CONCATENATE('3 pr-2'!H21)</f>
        <v xml:space="preserve">Pagrindinės paslaugos ir kaimų atnaujinimas kaimo vietovėse </v>
      </c>
      <c r="H21" s="255" t="str">
        <f>CONCATENATE('3 pr-2'!I21)</f>
        <v>R</v>
      </c>
      <c r="I21" s="255" t="str">
        <f>CONCATENATE('3 pr-2'!J21)</f>
        <v>-</v>
      </c>
      <c r="J21" s="474">
        <f>IF(V21&gt;0,'3 pr-2'!L21,0)</f>
        <v>0</v>
      </c>
      <c r="K21" s="474">
        <f>IF(V21&gt;0,'3 pr-2'!O21,0)</f>
        <v>0</v>
      </c>
      <c r="L21" s="474">
        <f>IF(V21&gt;0,'3 pr-2'!R21,0)</f>
        <v>0</v>
      </c>
      <c r="M21" s="474">
        <f>IF(V21&gt;0,'3 pr-2'!U21,0)</f>
        <v>0</v>
      </c>
      <c r="N21" s="474">
        <f>IF(V21&gt;0,'3 pr-2'!X21,0)</f>
        <v>0</v>
      </c>
      <c r="O21" s="474">
        <f>IF(V21&gt;0,'3 pr-2'!AA21,0)</f>
        <v>0</v>
      </c>
      <c r="P21" s="474">
        <f t="shared" si="4"/>
        <v>0</v>
      </c>
      <c r="Q21" s="474">
        <f t="shared" si="5"/>
        <v>0</v>
      </c>
      <c r="R21" s="474">
        <f t="shared" si="6"/>
        <v>0</v>
      </c>
      <c r="S21" s="474">
        <f t="shared" si="7"/>
        <v>0</v>
      </c>
      <c r="T21" s="474">
        <f t="shared" si="8"/>
        <v>0</v>
      </c>
      <c r="U21" s="290">
        <f>SUM('3 pr-2'!AH21)</f>
        <v>43102</v>
      </c>
      <c r="V21" s="290"/>
      <c r="W21" s="291"/>
      <c r="X21" s="720" t="str">
        <f t="shared" si="9"/>
        <v>–</v>
      </c>
    </row>
    <row r="22" spans="1:26" ht="48.75" x14ac:dyDescent="0.25">
      <c r="A22" s="255" t="str">
        <f>CONCATENATE('3 pr-2'!A22)</f>
        <v>1.1.1.1.13</v>
      </c>
      <c r="B22" s="639" t="str">
        <f>CONCATENATE('ketv. 2lent'!B21)</f>
        <v>20KI-KA-17-1-02438-PR001</v>
      </c>
      <c r="C22" s="255" t="str">
        <f>CONCATENATE('3 pr-2'!D22)</f>
        <v>Alytaus rajono Genių kaimo sporto aikštės įrengimas ir gatvių rekonstrukcija</v>
      </c>
      <c r="D22" s="255" t="str">
        <f>CONCATENATE('3 pr-2'!E22)</f>
        <v>Alytaus rajono savivaldybės administracija</v>
      </c>
      <c r="E22" s="255" t="str">
        <f>CONCATENATE('3 pr-2'!F22)</f>
        <v>Lietuvos Respublikos žemės ūkio ministerija</v>
      </c>
      <c r="F22" s="255" t="str">
        <f>CONCATENATE('3 pr-2'!G22)</f>
        <v>Alytaus rajono savivaldybė</v>
      </c>
      <c r="G22" s="255" t="str">
        <f>CONCATENATE('3 pr-2'!H22)</f>
        <v xml:space="preserve">Pagrindinės paslaugos ir kaimų atnaujinimas kaimo vietovėse </v>
      </c>
      <c r="H22" s="255" t="str">
        <f>CONCATENATE('3 pr-2'!I22)</f>
        <v>R</v>
      </c>
      <c r="I22" s="255" t="str">
        <f>CONCATENATE('3 pr-2'!J22)</f>
        <v>-</v>
      </c>
      <c r="J22" s="474">
        <f>IF(V22&gt;0,'3 pr-2'!L22,0)</f>
        <v>0</v>
      </c>
      <c r="K22" s="474">
        <f>IF(V22&gt;0,'3 pr-2'!O22,0)</f>
        <v>0</v>
      </c>
      <c r="L22" s="474">
        <f>IF(V22&gt;0,'3 pr-2'!R22,0)</f>
        <v>0</v>
      </c>
      <c r="M22" s="474">
        <f>IF(V22&gt;0,'3 pr-2'!U22,0)</f>
        <v>0</v>
      </c>
      <c r="N22" s="474">
        <f>IF(V22&gt;0,'3 pr-2'!X22,0)</f>
        <v>0</v>
      </c>
      <c r="O22" s="474">
        <f>IF(V22&gt;0,'3 pr-2'!AA22,0)</f>
        <v>0</v>
      </c>
      <c r="P22" s="474">
        <f t="shared" si="4"/>
        <v>0</v>
      </c>
      <c r="Q22" s="474">
        <f t="shared" si="5"/>
        <v>0</v>
      </c>
      <c r="R22" s="474">
        <f t="shared" si="6"/>
        <v>0</v>
      </c>
      <c r="S22" s="474">
        <f t="shared" si="7"/>
        <v>0</v>
      </c>
      <c r="T22" s="474">
        <f t="shared" si="8"/>
        <v>0</v>
      </c>
      <c r="U22" s="290">
        <f>SUM('3 pr-2'!AH22)</f>
        <v>43102</v>
      </c>
      <c r="V22" s="290"/>
      <c r="W22" s="291"/>
      <c r="X22" s="720" t="str">
        <f t="shared" si="9"/>
        <v>–</v>
      </c>
    </row>
    <row r="23" spans="1:26" ht="48.75" x14ac:dyDescent="0.25">
      <c r="A23" s="255" t="str">
        <f>CONCATENATE('3 pr-2'!A23)</f>
        <v>1.1.1.1.14</v>
      </c>
      <c r="B23" s="639" t="str">
        <f>CONCATENATE('ketv. 2lent'!B22)</f>
        <v>20KI-KA-17-1-01647-PR001</v>
      </c>
      <c r="C23" s="255" t="str">
        <f>CONCATENATE('3 pr-2'!D23)</f>
        <v>Varėnos r. Dargužių kaimo Liepų gatvės ir viešosios erdvės įrengimas</v>
      </c>
      <c r="D23" s="255" t="str">
        <f>CONCATENATE('3 pr-2'!E23)</f>
        <v xml:space="preserve">Varėnos rajono savivaldybės administracija </v>
      </c>
      <c r="E23" s="255" t="str">
        <f>CONCATENATE('3 pr-2'!F23)</f>
        <v>Lietuvos Respublikos žemės ūkio ministerija</v>
      </c>
      <c r="F23" s="255" t="str">
        <f>CONCATENATE('3 pr-2'!G23)</f>
        <v>Varėnos rajono savivaldybė</v>
      </c>
      <c r="G23" s="255" t="str">
        <f>CONCATENATE('3 pr-2'!H23)</f>
        <v xml:space="preserve">Pagrindinės paslaugos ir kaimų atnaujinimas kaimo vietovėse </v>
      </c>
      <c r="H23" s="255" t="str">
        <f>CONCATENATE('3 pr-2'!I23)</f>
        <v>R</v>
      </c>
      <c r="I23" s="255" t="str">
        <f>CONCATENATE('3 pr-2'!J23)</f>
        <v>-</v>
      </c>
      <c r="J23" s="474">
        <f>IF(V23&gt;0,'3 pr-2'!L23,0)</f>
        <v>0</v>
      </c>
      <c r="K23" s="474">
        <f>IF(V23&gt;0,'3 pr-2'!O23,0)</f>
        <v>0</v>
      </c>
      <c r="L23" s="474">
        <f>IF(V23&gt;0,'3 pr-2'!R23,0)</f>
        <v>0</v>
      </c>
      <c r="M23" s="474">
        <f>IF(V23&gt;0,'3 pr-2'!U23,0)</f>
        <v>0</v>
      </c>
      <c r="N23" s="474">
        <f>IF(V23&gt;0,'3 pr-2'!X23,0)</f>
        <v>0</v>
      </c>
      <c r="O23" s="474">
        <f>IF(V23&gt;0,'3 pr-2'!AA23,0)</f>
        <v>0</v>
      </c>
      <c r="P23" s="474">
        <f t="shared" si="4"/>
        <v>0</v>
      </c>
      <c r="Q23" s="474">
        <f t="shared" si="5"/>
        <v>0</v>
      </c>
      <c r="R23" s="474">
        <f t="shared" si="6"/>
        <v>0</v>
      </c>
      <c r="S23" s="474">
        <f t="shared" si="7"/>
        <v>0</v>
      </c>
      <c r="T23" s="474">
        <f t="shared" si="8"/>
        <v>0</v>
      </c>
      <c r="U23" s="290">
        <f>SUM('3 pr-2'!AH23)</f>
        <v>43102</v>
      </c>
      <c r="V23" s="290"/>
      <c r="W23" s="291"/>
      <c r="X23" s="720" t="str">
        <f t="shared" si="9"/>
        <v>–</v>
      </c>
    </row>
    <row r="24" spans="1:26" ht="48.75" x14ac:dyDescent="0.25">
      <c r="A24" s="255" t="str">
        <f>CONCATENATE('3 pr-2'!A24)</f>
        <v>1.1.1.1.15</v>
      </c>
      <c r="B24" s="639" t="str">
        <f>CONCATENATE('ketv. 2lent'!B23)</f>
        <v>20KI-KA-17-1-02469-PR001</v>
      </c>
      <c r="C24" s="255" t="str">
        <f>CONCATENATE('3 pr-2'!D24)</f>
        <v>Alytaus rajono Vaisodžių kaimo sporto aikštės įrengimas ir gatvių apšvietimo atnaujinimas bei plėtra</v>
      </c>
      <c r="D24" s="255" t="str">
        <f>CONCATENATE('3 pr-2'!E24)</f>
        <v>Alytaus rajono savivaldybės administracija</v>
      </c>
      <c r="E24" s="255" t="str">
        <f>CONCATENATE('3 pr-2'!F24)</f>
        <v>Lietuvos Respublikos žemės ūkio ministerija</v>
      </c>
      <c r="F24" s="255" t="str">
        <f>CONCATENATE('3 pr-2'!G24)</f>
        <v>Alytaus rajono savivaldybė</v>
      </c>
      <c r="G24" s="255" t="str">
        <f>CONCATENATE('3 pr-2'!H24)</f>
        <v xml:space="preserve">Pagrindinės paslaugos ir kaimų atnaujinimas kaimo vietovėse </v>
      </c>
      <c r="H24" s="255" t="str">
        <f>CONCATENATE('3 pr-2'!I24)</f>
        <v>R</v>
      </c>
      <c r="I24" s="255" t="str">
        <f>CONCATENATE('3 pr-2'!J24)</f>
        <v>-</v>
      </c>
      <c r="J24" s="474">
        <f>IF(V24&gt;0,'3 pr-2'!L24,0)</f>
        <v>0</v>
      </c>
      <c r="K24" s="474">
        <f>IF(V24&gt;0,'3 pr-2'!O24,0)</f>
        <v>0</v>
      </c>
      <c r="L24" s="474">
        <f>IF(V24&gt;0,'3 pr-2'!R24,0)</f>
        <v>0</v>
      </c>
      <c r="M24" s="474">
        <f>IF(V24&gt;0,'3 pr-2'!U24,0)</f>
        <v>0</v>
      </c>
      <c r="N24" s="474">
        <f>IF(V24&gt;0,'3 pr-2'!X24,0)</f>
        <v>0</v>
      </c>
      <c r="O24" s="474">
        <f>IF(V24&gt;0,'3 pr-2'!AA24,0)</f>
        <v>0</v>
      </c>
      <c r="P24" s="474">
        <f t="shared" si="4"/>
        <v>0</v>
      </c>
      <c r="Q24" s="474">
        <f t="shared" si="5"/>
        <v>0</v>
      </c>
      <c r="R24" s="474">
        <f t="shared" si="6"/>
        <v>0</v>
      </c>
      <c r="S24" s="474">
        <f t="shared" si="7"/>
        <v>0</v>
      </c>
      <c r="T24" s="474">
        <f t="shared" si="8"/>
        <v>0</v>
      </c>
      <c r="U24" s="290">
        <f>SUM('3 pr-2'!AH24)</f>
        <v>43102</v>
      </c>
      <c r="V24" s="290"/>
      <c r="W24" s="291"/>
      <c r="X24" s="720" t="str">
        <f t="shared" si="9"/>
        <v>–</v>
      </c>
    </row>
    <row r="25" spans="1:26" ht="48.75" x14ac:dyDescent="0.25">
      <c r="A25" s="255" t="str">
        <f>CONCATENATE('3 pr-2'!A25)</f>
        <v>1.1.1.1.16</v>
      </c>
      <c r="B25" s="639" t="str">
        <f>CONCATENATE('ketv. 2lent'!B24)</f>
        <v>20KI-KA-17-1-02240-PR001</v>
      </c>
      <c r="C25" s="255" t="str">
        <f>CONCATENATE('3 pr-2'!D25)</f>
        <v>Alytaus rajono Talokių kaimo sporto aikštės įrengimas ir Plytinės gatvės apšvietimas</v>
      </c>
      <c r="D25" s="255" t="str">
        <f>CONCATENATE('3 pr-2'!E25)</f>
        <v>Alytaus rajono savivaldybės administracija</v>
      </c>
      <c r="E25" s="255" t="str">
        <f>CONCATENATE('3 pr-2'!F25)</f>
        <v>Lietuvos Respublikos žemės ūkio ministerija</v>
      </c>
      <c r="F25" s="255" t="str">
        <f>CONCATENATE('3 pr-2'!G25)</f>
        <v>Alytaus rajono savivaldybė</v>
      </c>
      <c r="G25" s="255" t="str">
        <f>CONCATENATE('3 pr-2'!H25)</f>
        <v xml:space="preserve">Pagrindinės paslaugos ir kaimų atnaujinimas kaimo vietovėse </v>
      </c>
      <c r="H25" s="255" t="str">
        <f>CONCATENATE('3 pr-2'!I25)</f>
        <v>R</v>
      </c>
      <c r="I25" s="255" t="str">
        <f>CONCATENATE('3 pr-2'!J25)</f>
        <v>-</v>
      </c>
      <c r="J25" s="474">
        <f>IF(V25&gt;0,'3 pr-2'!L25,0)</f>
        <v>0</v>
      </c>
      <c r="K25" s="474">
        <f>IF(V25&gt;0,'3 pr-2'!O25,0)</f>
        <v>0</v>
      </c>
      <c r="L25" s="474">
        <f>IF(V25&gt;0,'3 pr-2'!R25,0)</f>
        <v>0</v>
      </c>
      <c r="M25" s="474">
        <f>IF(V25&gt;0,'3 pr-2'!U25,0)</f>
        <v>0</v>
      </c>
      <c r="N25" s="474">
        <f>IF(V25&gt;0,'3 pr-2'!X25,0)</f>
        <v>0</v>
      </c>
      <c r="O25" s="474">
        <f>IF(V25&gt;0,'3 pr-2'!AA25,0)</f>
        <v>0</v>
      </c>
      <c r="P25" s="474">
        <f t="shared" si="4"/>
        <v>0</v>
      </c>
      <c r="Q25" s="474">
        <f t="shared" si="5"/>
        <v>0</v>
      </c>
      <c r="R25" s="474">
        <f t="shared" si="6"/>
        <v>0</v>
      </c>
      <c r="S25" s="474">
        <f t="shared" si="7"/>
        <v>0</v>
      </c>
      <c r="T25" s="474">
        <f t="shared" si="8"/>
        <v>0</v>
      </c>
      <c r="U25" s="290">
        <f>SUM('3 pr-2'!AH25)</f>
        <v>43102</v>
      </c>
      <c r="V25" s="290"/>
      <c r="W25" s="291"/>
      <c r="X25" s="720" t="str">
        <f t="shared" si="9"/>
        <v>–</v>
      </c>
    </row>
    <row r="26" spans="1:26" ht="48.75" x14ac:dyDescent="0.25">
      <c r="A26" s="255" t="str">
        <f>CONCATENATE('3 pr-2'!A26)</f>
        <v>1.1.1.1.17</v>
      </c>
      <c r="B26" s="639" t="str">
        <f>CONCATENATE('ketv. 2lent'!B25)</f>
        <v>20KI-KA-17-1-01639-PR001</v>
      </c>
      <c r="C26" s="255" t="str">
        <f>CONCATENATE('3 pr-2'!D26)</f>
        <v>Varėnos r. Rudnios kaimo Pušyno gatvės įrengimas</v>
      </c>
      <c r="D26" s="255" t="str">
        <f>CONCATENATE('3 pr-2'!E26)</f>
        <v xml:space="preserve">Varėnos rajono savivaldybės administracija </v>
      </c>
      <c r="E26" s="255" t="str">
        <f>CONCATENATE('3 pr-2'!F26)</f>
        <v>Lietuvos Respublikos žemės ūkio ministerija</v>
      </c>
      <c r="F26" s="255" t="str">
        <f>CONCATENATE('3 pr-2'!G26)</f>
        <v>Varėnos rajono savivaldybė</v>
      </c>
      <c r="G26" s="255" t="str">
        <f>CONCATENATE('3 pr-2'!H26)</f>
        <v xml:space="preserve">Pagrindinės paslaugos ir kaimų atnaujinimas kaimo vietovėse </v>
      </c>
      <c r="H26" s="255" t="str">
        <f>CONCATENATE('3 pr-2'!I26)</f>
        <v>R</v>
      </c>
      <c r="I26" s="255" t="str">
        <f>CONCATENATE('3 pr-2'!J26)</f>
        <v>-</v>
      </c>
      <c r="J26" s="474">
        <f>IF(V26&gt;0,'3 pr-2'!L26,0)</f>
        <v>115824</v>
      </c>
      <c r="K26" s="474">
        <f>IF(V26&gt;0,'3 pr-2'!O26,0)</f>
        <v>23165</v>
      </c>
      <c r="L26" s="474">
        <f>IF(V26&gt;0,'3 pr-2'!R26,0)</f>
        <v>13899</v>
      </c>
      <c r="M26" s="474">
        <f>IF(V26&gt;0,'3 pr-2'!U26,0)</f>
        <v>0</v>
      </c>
      <c r="N26" s="474">
        <f>IF(V26&gt;0,'3 pr-2'!X26,0)</f>
        <v>0</v>
      </c>
      <c r="O26" s="474">
        <f>IF(V26&gt;0,'3 pr-2'!AA26,0)</f>
        <v>78760</v>
      </c>
      <c r="P26" s="474">
        <f t="shared" si="4"/>
        <v>0</v>
      </c>
      <c r="Q26" s="474">
        <f t="shared" si="5"/>
        <v>78760</v>
      </c>
      <c r="R26" s="474">
        <f t="shared" si="6"/>
        <v>0</v>
      </c>
      <c r="S26" s="474">
        <f t="shared" si="7"/>
        <v>0</v>
      </c>
      <c r="T26" s="474">
        <f t="shared" si="8"/>
        <v>0</v>
      </c>
      <c r="U26" s="290">
        <f>SUM('3 pr-2'!AH26)</f>
        <v>43102</v>
      </c>
      <c r="V26" s="290">
        <v>43084</v>
      </c>
      <c r="W26" s="291"/>
      <c r="X26" s="720" t="str">
        <f t="shared" si="9"/>
        <v>–</v>
      </c>
    </row>
    <row r="27" spans="1:26" ht="48.75" x14ac:dyDescent="0.25">
      <c r="A27" s="255" t="str">
        <f>CONCATENATE('3 pr-2'!A27)</f>
        <v>1.1.1.1.18</v>
      </c>
      <c r="B27" s="639" t="str">
        <f>CONCATENATE('ketv. 2lent'!B26)</f>
        <v>20KI-KA-17-1-01666-PR001</v>
      </c>
      <c r="C27" s="255" t="str">
        <f>CONCATENATE('3 pr-2'!D27)</f>
        <v>Varėnos kultūros centro Žilinų filialo pastato atnaujinimas ir pritaikymas bendruomenės poreikiams</v>
      </c>
      <c r="D27" s="255" t="str">
        <f>CONCATENATE('3 pr-2'!E27)</f>
        <v xml:space="preserve">Varėnos rajono savivaldybės administracija </v>
      </c>
      <c r="E27" s="255" t="str">
        <f>CONCATENATE('3 pr-2'!F27)</f>
        <v>Lietuvos Respublikos žemės ūkio ministerija</v>
      </c>
      <c r="F27" s="255" t="str">
        <f>CONCATENATE('3 pr-2'!G27)</f>
        <v>Varėnos rajono savivaldybė</v>
      </c>
      <c r="G27" s="255" t="str">
        <f>CONCATENATE('3 pr-2'!H27)</f>
        <v xml:space="preserve">Pagrindinės paslaugos ir kaimų atnaujinimas kaimo vietovėse </v>
      </c>
      <c r="H27" s="255" t="str">
        <f>CONCATENATE('3 pr-2'!I27)</f>
        <v>R</v>
      </c>
      <c r="I27" s="255" t="str">
        <f>CONCATENATE('3 pr-2'!J27)</f>
        <v>-</v>
      </c>
      <c r="J27" s="474">
        <f>IF(V27&gt;0,'3 pr-2'!L27,0)</f>
        <v>0</v>
      </c>
      <c r="K27" s="474">
        <f>IF(V27&gt;0,'3 pr-2'!O27,0)</f>
        <v>0</v>
      </c>
      <c r="L27" s="474">
        <f>IF(V27&gt;0,'3 pr-2'!R27,0)</f>
        <v>0</v>
      </c>
      <c r="M27" s="474">
        <f>IF(V27&gt;0,'3 pr-2'!U27,0)</f>
        <v>0</v>
      </c>
      <c r="N27" s="474">
        <f>IF(V27&gt;0,'3 pr-2'!X27,0)</f>
        <v>0</v>
      </c>
      <c r="O27" s="474">
        <f>IF(V27&gt;0,'3 pr-2'!AA27,0)</f>
        <v>0</v>
      </c>
      <c r="P27" s="474">
        <f t="shared" si="4"/>
        <v>0</v>
      </c>
      <c r="Q27" s="474">
        <f t="shared" si="5"/>
        <v>0</v>
      </c>
      <c r="R27" s="474">
        <f t="shared" si="6"/>
        <v>0</v>
      </c>
      <c r="S27" s="474">
        <f t="shared" si="7"/>
        <v>0</v>
      </c>
      <c r="T27" s="474">
        <f t="shared" si="8"/>
        <v>0</v>
      </c>
      <c r="U27" s="290">
        <f>SUM('3 pr-2'!AH27)</f>
        <v>43102</v>
      </c>
      <c r="V27" s="290"/>
      <c r="W27" s="291"/>
      <c r="X27" s="720" t="str">
        <f t="shared" si="9"/>
        <v>–</v>
      </c>
    </row>
    <row r="28" spans="1:26" ht="48.75" x14ac:dyDescent="0.25">
      <c r="A28" s="255" t="str">
        <f>CONCATENATE('3 pr-2'!A28)</f>
        <v>1.1.1.1.19</v>
      </c>
      <c r="B28" s="639" t="str">
        <f>CONCATENATE('ketv. 2lent'!B27)</f>
        <v>20KI-KA-17-1-02648-PR001</v>
      </c>
      <c r="C28" s="255" t="str">
        <f>CONCATENATE('3 pr-2'!D28)</f>
        <v>Alytaus rajono Pivašiūnų kaimo šaligatvių, laiptų kapitalinis remontas ir gyvenvietės apšvietimo įrengimas</v>
      </c>
      <c r="D28" s="255" t="str">
        <f>CONCATENATE('3 pr-2'!E28)</f>
        <v>Alytaus rajono savivaldybės administracija</v>
      </c>
      <c r="E28" s="255" t="str">
        <f>CONCATENATE('3 pr-2'!F28)</f>
        <v>Lietuvos Respublikos žemės ūkio ministerija</v>
      </c>
      <c r="F28" s="255" t="str">
        <f>CONCATENATE('3 pr-2'!G28)</f>
        <v>Alytaus rajono savivaldybė</v>
      </c>
      <c r="G28" s="255" t="str">
        <f>CONCATENATE('3 pr-2'!H28)</f>
        <v xml:space="preserve">Pagrindinės paslaugos ir kaimų atnaujinimas kaimo vietovėse </v>
      </c>
      <c r="H28" s="255" t="str">
        <f>CONCATENATE('3 pr-2'!I28)</f>
        <v>R</v>
      </c>
      <c r="I28" s="255" t="str">
        <f>CONCATENATE('3 pr-2'!J28)</f>
        <v>-</v>
      </c>
      <c r="J28" s="474">
        <f>IF(V28&gt;0,'3 pr-2'!L28,0)</f>
        <v>0</v>
      </c>
      <c r="K28" s="474">
        <f>IF(V28&gt;0,'3 pr-2'!O28,0)</f>
        <v>0</v>
      </c>
      <c r="L28" s="474">
        <f>IF(V28&gt;0,'3 pr-2'!R28,0)</f>
        <v>0</v>
      </c>
      <c r="M28" s="474">
        <f>IF(V28&gt;0,'3 pr-2'!U28,0)</f>
        <v>0</v>
      </c>
      <c r="N28" s="474">
        <f>IF(V28&gt;0,'3 pr-2'!X28,0)</f>
        <v>0</v>
      </c>
      <c r="O28" s="474">
        <f>IF(V28&gt;0,'3 pr-2'!AA28,0)</f>
        <v>0</v>
      </c>
      <c r="P28" s="474">
        <f t="shared" si="4"/>
        <v>0</v>
      </c>
      <c r="Q28" s="474">
        <f t="shared" si="5"/>
        <v>0</v>
      </c>
      <c r="R28" s="474">
        <f t="shared" si="6"/>
        <v>0</v>
      </c>
      <c r="S28" s="474">
        <f t="shared" si="7"/>
        <v>0</v>
      </c>
      <c r="T28" s="474">
        <f t="shared" si="8"/>
        <v>0</v>
      </c>
      <c r="U28" s="290">
        <f>SUM('3 pr-2'!AH28)</f>
        <v>43102</v>
      </c>
      <c r="V28" s="290"/>
      <c r="W28" s="291"/>
      <c r="X28" s="720" t="str">
        <f t="shared" si="9"/>
        <v>–</v>
      </c>
    </row>
    <row r="29" spans="1:26" ht="48.75" x14ac:dyDescent="0.25">
      <c r="A29" s="255" t="str">
        <f>CONCATENATE('3 pr-2'!A29)</f>
        <v>1.1.1.1.20</v>
      </c>
      <c r="B29" s="639" t="str">
        <f>CONCATENATE('ketv. 2lent'!B28)</f>
        <v>20KI-KA-17-1-01736-PR001</v>
      </c>
      <c r="C29" s="255" t="str">
        <f>CONCATENATE('3 pr-2'!D29)</f>
        <v>Pastato, esančio Pušelės g. 11, Naujųjų Valkininkų k., Varėnos r., atnaujinimas ir pritaikymas bendruomenės poreikiams</v>
      </c>
      <c r="D29" s="255" t="str">
        <f>CONCATENATE('3 pr-2'!E29)</f>
        <v xml:space="preserve">Varėnos rajono savivaldybės administracija </v>
      </c>
      <c r="E29" s="255" t="str">
        <f>CONCATENATE('3 pr-2'!F29)</f>
        <v>Lietuvos Respublikos žemės ūkio ministerija</v>
      </c>
      <c r="F29" s="255" t="str">
        <f>CONCATENATE('3 pr-2'!G29)</f>
        <v>Varėnos rajono savivaldybė</v>
      </c>
      <c r="G29" s="255" t="str">
        <f>CONCATENATE('3 pr-2'!H29)</f>
        <v xml:space="preserve">Pagrindinės paslaugos ir kaimų atnaujinimas kaimo vietovėse </v>
      </c>
      <c r="H29" s="255" t="str">
        <f>CONCATENATE('3 pr-2'!I29)</f>
        <v>R</v>
      </c>
      <c r="I29" s="255" t="str">
        <f>CONCATENATE('3 pr-2'!J29)</f>
        <v>-</v>
      </c>
      <c r="J29" s="474">
        <f>IF(V29&gt;0,'3 pr-2'!L29,0)</f>
        <v>0</v>
      </c>
      <c r="K29" s="474">
        <f>IF(V29&gt;0,'3 pr-2'!O29,0)</f>
        <v>0</v>
      </c>
      <c r="L29" s="474">
        <f>IF(V29&gt;0,'3 pr-2'!R29,0)</f>
        <v>0</v>
      </c>
      <c r="M29" s="474">
        <f>IF(V29&gt;0,'3 pr-2'!U29,0)</f>
        <v>0</v>
      </c>
      <c r="N29" s="474">
        <f>IF(V29&gt;0,'3 pr-2'!X29,0)</f>
        <v>0</v>
      </c>
      <c r="O29" s="474">
        <f>IF(V29&gt;0,'3 pr-2'!AA29,0)</f>
        <v>0</v>
      </c>
      <c r="P29" s="474">
        <f t="shared" si="4"/>
        <v>0</v>
      </c>
      <c r="Q29" s="474">
        <f t="shared" si="5"/>
        <v>0</v>
      </c>
      <c r="R29" s="474">
        <f t="shared" si="6"/>
        <v>0</v>
      </c>
      <c r="S29" s="474">
        <f t="shared" si="7"/>
        <v>0</v>
      </c>
      <c r="T29" s="474">
        <f t="shared" si="8"/>
        <v>0</v>
      </c>
      <c r="U29" s="290">
        <f>SUM('3 pr-2'!AH29)</f>
        <v>43102</v>
      </c>
      <c r="V29" s="290"/>
      <c r="W29" s="291"/>
      <c r="X29" s="720" t="str">
        <f t="shared" si="9"/>
        <v>–</v>
      </c>
    </row>
    <row r="30" spans="1:26" ht="48.75" x14ac:dyDescent="0.25">
      <c r="A30" s="255" t="str">
        <f>CONCATENATE('3 pr-2'!A30)</f>
        <v>1.1.1.1.21</v>
      </c>
      <c r="B30" s="639" t="str">
        <f>CONCATENATE('ketv. 2lent'!B29)</f>
        <v>20KI-KA-17-1-02364-PR001</v>
      </c>
      <c r="C30" s="255" t="str">
        <f>CONCATENATE('3 pr-2'!D30)</f>
        <v>Kaimo gyvenamųjų vietovių Lazdijų rajono savivaldybėje patrauklumo gerinimas</v>
      </c>
      <c r="D30" s="255" t="str">
        <f>CONCATENATE('3 pr-2'!E30)</f>
        <v>Lazdijų rajono savivaldybės administracija</v>
      </c>
      <c r="E30" s="255" t="str">
        <f>CONCATENATE('3 pr-2'!F30)</f>
        <v>Lietuvos Respublikos žemės ūkio ministerija</v>
      </c>
      <c r="F30" s="255" t="str">
        <f>CONCATENATE('3 pr-2'!G30)</f>
        <v>Lazdijų rajono savivaldybė</v>
      </c>
      <c r="G30" s="255" t="str">
        <f>CONCATENATE('3 pr-2'!H30)</f>
        <v xml:space="preserve">Pagrindinės paslaugos ir kaimų atnaujinimas kaimo vietovėse </v>
      </c>
      <c r="H30" s="255" t="str">
        <f>CONCATENATE('3 pr-2'!I30)</f>
        <v>R</v>
      </c>
      <c r="I30" s="255" t="str">
        <f>CONCATENATE('3 pr-2'!J30)</f>
        <v>-</v>
      </c>
      <c r="J30" s="474">
        <f>IF(V30&gt;0,'3 pr-2'!L30,0)</f>
        <v>170000</v>
      </c>
      <c r="K30" s="474">
        <f>IF(V30&gt;0,'3 pr-2'!O30,0)</f>
        <v>34000</v>
      </c>
      <c r="L30" s="474">
        <f>IF(V30&gt;0,'3 pr-2'!R30,0)</f>
        <v>20400</v>
      </c>
      <c r="M30" s="474">
        <f>IF(V30&gt;0,'3 pr-2'!U30,0)</f>
        <v>0</v>
      </c>
      <c r="N30" s="474">
        <f>IF(V30&gt;0,'3 pr-2'!X30,0)</f>
        <v>0</v>
      </c>
      <c r="O30" s="474">
        <f>IF(V30&gt;0,'3 pr-2'!AA30,0)</f>
        <v>115600</v>
      </c>
      <c r="P30" s="474">
        <f t="shared" si="4"/>
        <v>0</v>
      </c>
      <c r="Q30" s="474">
        <f t="shared" si="5"/>
        <v>115600</v>
      </c>
      <c r="R30" s="474">
        <f t="shared" si="6"/>
        <v>0</v>
      </c>
      <c r="S30" s="474">
        <f t="shared" si="7"/>
        <v>0</v>
      </c>
      <c r="T30" s="474">
        <f t="shared" si="8"/>
        <v>0</v>
      </c>
      <c r="U30" s="290">
        <f>SUM('3 pr-2'!AH30)</f>
        <v>43102</v>
      </c>
      <c r="V30" s="290">
        <v>43084</v>
      </c>
      <c r="W30" s="291"/>
      <c r="X30" s="720" t="str">
        <f t="shared" si="9"/>
        <v>–</v>
      </c>
    </row>
    <row r="31" spans="1:26" ht="48.75" x14ac:dyDescent="0.25">
      <c r="A31" s="255" t="str">
        <f>CONCATENATE('3 pr-2'!A31)</f>
        <v>1.1.1.1.22</v>
      </c>
      <c r="B31" s="639" t="str">
        <f>CONCATENATE('ketv. 2lent'!B30)</f>
        <v>20KI-KA-17-1-02241-PR001</v>
      </c>
      <c r="C31" s="255" t="str">
        <f>CONCATENATE('3 pr-2'!D31)</f>
        <v>Alytaus rajono Makniūnų kaimo šaligatvių atnaujinimas ir plėtra</v>
      </c>
      <c r="D31" s="255" t="str">
        <f>CONCATENATE('3 pr-2'!E31)</f>
        <v>Alytaus rajono savivaldybės administracija</v>
      </c>
      <c r="E31" s="255" t="str">
        <f>CONCATENATE('3 pr-2'!F31)</f>
        <v>Lietuvos Respublikos žemės ūkio ministerija</v>
      </c>
      <c r="F31" s="255" t="str">
        <f>CONCATENATE('3 pr-2'!G31)</f>
        <v>Alytaus rajono savivaldybė</v>
      </c>
      <c r="G31" s="255" t="str">
        <f>CONCATENATE('3 pr-2'!H31)</f>
        <v xml:space="preserve">Pagrindinės paslaugos ir kaimų atnaujinimas kaimo vietovėse </v>
      </c>
      <c r="H31" s="255" t="str">
        <f>CONCATENATE('3 pr-2'!I31)</f>
        <v>R</v>
      </c>
      <c r="I31" s="255" t="str">
        <f>CONCATENATE('3 pr-2'!J31)</f>
        <v>-</v>
      </c>
      <c r="J31" s="474">
        <f>IF(V31&gt;0,'3 pr-2'!L31,0)</f>
        <v>0</v>
      </c>
      <c r="K31" s="474">
        <f>IF(V31&gt;0,'3 pr-2'!O31,0)</f>
        <v>0</v>
      </c>
      <c r="L31" s="474">
        <f>IF(V31&gt;0,'3 pr-2'!R31,0)</f>
        <v>0</v>
      </c>
      <c r="M31" s="474">
        <f>IF(V31&gt;0,'3 pr-2'!U31,0)</f>
        <v>0</v>
      </c>
      <c r="N31" s="474">
        <f>IF(V31&gt;0,'3 pr-2'!X31,0)</f>
        <v>0</v>
      </c>
      <c r="O31" s="474">
        <f>IF(V31&gt;0,'3 pr-2'!AA31,0)</f>
        <v>0</v>
      </c>
      <c r="P31" s="474">
        <f t="shared" si="4"/>
        <v>0</v>
      </c>
      <c r="Q31" s="474">
        <f t="shared" si="5"/>
        <v>0</v>
      </c>
      <c r="R31" s="474">
        <f t="shared" si="6"/>
        <v>0</v>
      </c>
      <c r="S31" s="474">
        <f t="shared" si="7"/>
        <v>0</v>
      </c>
      <c r="T31" s="474">
        <f t="shared" si="8"/>
        <v>0</v>
      </c>
      <c r="U31" s="290">
        <f>SUM('3 pr-2'!AH31)</f>
        <v>43102</v>
      </c>
      <c r="V31" s="290"/>
      <c r="W31" s="291"/>
      <c r="X31" s="720" t="str">
        <f t="shared" si="9"/>
        <v>–</v>
      </c>
      <c r="Z31" s="1095"/>
    </row>
    <row r="32" spans="1:26" ht="49.5" thickBot="1" x14ac:dyDescent="0.3">
      <c r="A32" s="343" t="str">
        <f>CONCATENATE('3 pr-2'!A32)</f>
        <v>1.1.1.1.23</v>
      </c>
      <c r="B32" s="639" t="str">
        <f>CONCATENATE('ketv. 2lent'!B31)</f>
        <v/>
      </c>
      <c r="C32" s="343" t="str">
        <f>CONCATENATE('3 pr-2'!D32)</f>
        <v>Varėnos r. Vazgirdonių kaimo Klevų gatvės įrengimas</v>
      </c>
      <c r="D32" s="343" t="str">
        <f>CONCATENATE('3 pr-2'!E32)</f>
        <v xml:space="preserve">Varėnos rajono savivaldybės administracija </v>
      </c>
      <c r="E32" s="343" t="str">
        <f>CONCATENATE('3 pr-2'!F32)</f>
        <v>Lietuvos Respublikos žemės ūkio ministerija</v>
      </c>
      <c r="F32" s="343" t="str">
        <f>CONCATENATE('3 pr-2'!G32)</f>
        <v>Varėnos rajono savivaldybė</v>
      </c>
      <c r="G32" s="343" t="str">
        <f>CONCATENATE('3 pr-2'!H32)</f>
        <v xml:space="preserve">Pagrindinės paslaugos ir kaimų atnaujinimas kaimo vietovėse </v>
      </c>
      <c r="H32" s="343" t="str">
        <f>CONCATENATE('3 pr-2'!I32)</f>
        <v>R</v>
      </c>
      <c r="I32" s="343" t="str">
        <f>CONCATENATE('3 pr-2'!J32)</f>
        <v>-</v>
      </c>
      <c r="J32" s="633">
        <f>IF(V32&gt;0,'3 pr-2'!L32,0)</f>
        <v>0</v>
      </c>
      <c r="K32" s="633">
        <f>IF(V32&gt;0,'3 pr-2'!O32,0)</f>
        <v>0</v>
      </c>
      <c r="L32" s="633">
        <f>IF(V32&gt;0,'3 pr-2'!R32,0)</f>
        <v>0</v>
      </c>
      <c r="M32" s="633">
        <f>IF(V32&gt;0,'3 pr-2'!U32,0)</f>
        <v>0</v>
      </c>
      <c r="N32" s="633">
        <f>IF(V32&gt;0,'3 pr-2'!X32,0)</f>
        <v>0</v>
      </c>
      <c r="O32" s="633">
        <f>IF(V32&gt;0,'3 pr-2'!AA32,0)</f>
        <v>0</v>
      </c>
      <c r="P32" s="633">
        <f t="shared" si="4"/>
        <v>0</v>
      </c>
      <c r="Q32" s="633">
        <f t="shared" si="5"/>
        <v>0</v>
      </c>
      <c r="R32" s="633">
        <f t="shared" si="6"/>
        <v>0</v>
      </c>
      <c r="S32" s="633">
        <f t="shared" si="7"/>
        <v>0</v>
      </c>
      <c r="T32" s="633">
        <f t="shared" si="8"/>
        <v>0</v>
      </c>
      <c r="U32" s="634">
        <f>SUM('3 pr-2'!AH32)</f>
        <v>43102</v>
      </c>
      <c r="V32" s="634"/>
      <c r="W32" s="638"/>
      <c r="X32" s="720" t="str">
        <f t="shared" si="9"/>
        <v>–</v>
      </c>
    </row>
    <row r="33" spans="1:25" ht="39" customHeight="1" thickBot="1" x14ac:dyDescent="0.3">
      <c r="A33" s="497" t="str">
        <f>CONCATENATE('3 pr-2'!A33)</f>
        <v>1.1.1.2</v>
      </c>
      <c r="B33" s="613"/>
      <c r="C33" s="1656" t="str">
        <f>CONCATENATE('3 pr-2'!D33)</f>
        <v/>
      </c>
      <c r="D33" s="1789"/>
      <c r="E33" s="1789"/>
      <c r="F33" s="1789"/>
      <c r="G33" s="1789"/>
      <c r="H33" s="1789"/>
      <c r="I33" s="1790"/>
      <c r="J33" s="629">
        <f>SUM(J34:J38)</f>
        <v>0</v>
      </c>
      <c r="K33" s="629">
        <f t="shared" ref="K33:O33" si="10">SUM(K34:K38)</f>
        <v>0</v>
      </c>
      <c r="L33" s="629">
        <f t="shared" si="10"/>
        <v>0</v>
      </c>
      <c r="M33" s="629">
        <f t="shared" si="10"/>
        <v>0</v>
      </c>
      <c r="N33" s="629">
        <f t="shared" si="10"/>
        <v>0</v>
      </c>
      <c r="O33" s="629">
        <f t="shared" si="10"/>
        <v>0</v>
      </c>
      <c r="P33" s="630">
        <f>SUM(P34:P38)</f>
        <v>0</v>
      </c>
      <c r="Q33" s="631">
        <f t="shared" ref="Q33:T33" si="11">SUM(Q34:Q38)</f>
        <v>0</v>
      </c>
      <c r="R33" s="630">
        <f t="shared" si="11"/>
        <v>0</v>
      </c>
      <c r="S33" s="631">
        <f t="shared" si="11"/>
        <v>0</v>
      </c>
      <c r="T33" s="278">
        <f t="shared" si="11"/>
        <v>0</v>
      </c>
      <c r="U33" s="629" t="s">
        <v>725</v>
      </c>
      <c r="V33" s="629" t="s">
        <v>725</v>
      </c>
      <c r="W33" s="629" t="s">
        <v>725</v>
      </c>
      <c r="X33" s="629"/>
    </row>
    <row r="34" spans="1:25" ht="48.75" x14ac:dyDescent="0.25">
      <c r="A34" s="316" t="str">
        <f>CONCATENATE('3 pr-2'!A34)</f>
        <v>1.1.1.2.1</v>
      </c>
      <c r="B34" s="639" t="str">
        <f>CONCATENATE('ketv. 2lent'!B33)</f>
        <v/>
      </c>
      <c r="C34" s="316" t="str">
        <f>CONCATENATE('3 pr-2'!D34)</f>
        <v>Matuizų kaimo viešosios infrastruktūros atnaujinimas ir pritaikymas bendruomenės poreikiams</v>
      </c>
      <c r="D34" s="316" t="str">
        <f>CONCATENATE('3 pr-2'!E34)</f>
        <v>Varėnos rajono savivaldybės administracija</v>
      </c>
      <c r="E34" s="316" t="str">
        <f>CONCATENATE('3 pr-2'!F34)</f>
        <v>Lietuvos Respublikos vidaus reikalų ministerija</v>
      </c>
      <c r="F34" s="316" t="str">
        <f>CONCATENATE('3 pr-2'!G34)</f>
        <v>Varėnos rajono savivaldybė</v>
      </c>
      <c r="G34" s="316" t="str">
        <f>CONCATENATE('3 pr-2'!H34)</f>
        <v>8.2.1-CPVA-R-908</v>
      </c>
      <c r="H34" s="316" t="str">
        <f>CONCATENATE('3 pr-2'!I34)</f>
        <v>R</v>
      </c>
      <c r="I34" s="316" t="str">
        <f>CONCATENATE('3 pr-2'!J34)</f>
        <v>-</v>
      </c>
      <c r="J34" s="293">
        <f>IF(V34&gt;0,'3 pr-2'!L34,0)</f>
        <v>0</v>
      </c>
      <c r="K34" s="293">
        <f>IF(V34&gt;0,'3 pr-2'!O34,0)</f>
        <v>0</v>
      </c>
      <c r="L34" s="293">
        <f>IF(V34&gt;0,'3 pr-2'!R34,0)</f>
        <v>0</v>
      </c>
      <c r="M34" s="293">
        <f>IF(V34&gt;0,'3 pr-2'!U34,0)</f>
        <v>0</v>
      </c>
      <c r="N34" s="293">
        <f>IF(V34&gt;0,'3 pr-2'!X34,0)</f>
        <v>0</v>
      </c>
      <c r="O34" s="293">
        <f>IF(V34&gt;0,'3 pr-2'!AA34,0)</f>
        <v>0</v>
      </c>
      <c r="P34" s="293">
        <f t="shared" ref="P34:P38" si="12">IF(YEAR(V34)=2016,O34,0)</f>
        <v>0</v>
      </c>
      <c r="Q34" s="293">
        <f t="shared" ref="Q34:Q38" si="13">IF(YEAR(V34)=2017,O34,0)</f>
        <v>0</v>
      </c>
      <c r="R34" s="293">
        <f t="shared" ref="R34:R38" si="14">IF(YEAR(V34)=2018,O34,0)</f>
        <v>0</v>
      </c>
      <c r="S34" s="293">
        <f t="shared" ref="S34:S38" si="15">IF(YEAR(V34)=2019,O34,0)</f>
        <v>0</v>
      </c>
      <c r="T34" s="293">
        <f t="shared" ref="T34:T38" si="16">IF(YEAR(V34)=2020,O34,0)</f>
        <v>0</v>
      </c>
      <c r="U34" s="640">
        <f>SUM('3 pr-2'!AH34)</f>
        <v>43281</v>
      </c>
      <c r="V34" s="640"/>
      <c r="W34" s="641"/>
      <c r="X34" s="720" t="str">
        <f t="shared" ref="X34:X38" si="17">IF(U34-V34&lt;0,(U34-V34)/30.4166666666667,"–")</f>
        <v>–</v>
      </c>
    </row>
    <row r="35" spans="1:25" ht="48.75" x14ac:dyDescent="0.25">
      <c r="A35" s="255" t="str">
        <f>CONCATENATE('3 pr-2'!A35)</f>
        <v>1.1.1.2.2</v>
      </c>
      <c r="B35" s="639" t="str">
        <f>CONCATENATE('ketv. 2lent'!B34)</f>
        <v>08.2.1-CPVA-R-908-11-0001</v>
      </c>
      <c r="C35" s="255" t="str">
        <f>CONCATENATE('3 pr-2'!D35)</f>
        <v>Senosios Varėnos kaimo viešosios infrastruktūros atnaujinimas ir pritaikymas bendruomenės poreikiams</v>
      </c>
      <c r="D35" s="255" t="str">
        <f>CONCATENATE('3 pr-2'!E35)</f>
        <v>Varėnos rajono savivaldybės administracija</v>
      </c>
      <c r="E35" s="255" t="str">
        <f>CONCATENATE('3 pr-2'!F35)</f>
        <v>Lietuvos Respublikos vidaus reikalų ministerija</v>
      </c>
      <c r="F35" s="255" t="str">
        <f>CONCATENATE('3 pr-2'!G35)</f>
        <v>Varėnos rajono savivaldybė</v>
      </c>
      <c r="G35" s="255" t="str">
        <f>CONCATENATE('3 pr-2'!H35)</f>
        <v>8.2.1-CPVA-R-908</v>
      </c>
      <c r="H35" s="255" t="str">
        <f>CONCATENATE('3 pr-2'!I35)</f>
        <v>R</v>
      </c>
      <c r="I35" s="255" t="str">
        <f>CONCATENATE('3 pr-2'!J35)</f>
        <v>-</v>
      </c>
      <c r="J35" s="474">
        <f>IF(V35&gt;0,'3 pr-2'!L35,0)</f>
        <v>0</v>
      </c>
      <c r="K35" s="474">
        <f>IF(V35&gt;0,'3 pr-2'!O35,0)</f>
        <v>0</v>
      </c>
      <c r="L35" s="474">
        <f>IF(V35&gt;0,'3 pr-2'!R35,0)</f>
        <v>0</v>
      </c>
      <c r="M35" s="474">
        <f>IF(V35&gt;0,'3 pr-2'!U35,0)</f>
        <v>0</v>
      </c>
      <c r="N35" s="474">
        <f>IF(V35&gt;0,'3 pr-2'!X35,0)</f>
        <v>0</v>
      </c>
      <c r="O35" s="474">
        <f>IF(V35&gt;0,'3 pr-2'!AA35,0)</f>
        <v>0</v>
      </c>
      <c r="P35" s="474">
        <f t="shared" si="12"/>
        <v>0</v>
      </c>
      <c r="Q35" s="474">
        <f t="shared" si="13"/>
        <v>0</v>
      </c>
      <c r="R35" s="474">
        <f t="shared" si="14"/>
        <v>0</v>
      </c>
      <c r="S35" s="474">
        <f t="shared" si="15"/>
        <v>0</v>
      </c>
      <c r="T35" s="474">
        <f t="shared" si="16"/>
        <v>0</v>
      </c>
      <c r="U35" s="290">
        <f>SUM('3 pr-2'!AH35)</f>
        <v>43131</v>
      </c>
      <c r="V35" s="290"/>
      <c r="W35" s="291"/>
      <c r="X35" s="720" t="str">
        <f t="shared" si="17"/>
        <v>–</v>
      </c>
    </row>
    <row r="36" spans="1:25" ht="48.75" x14ac:dyDescent="0.25">
      <c r="A36" s="255" t="str">
        <f>CONCATENATE('3 pr-2'!A36)</f>
        <v>1.1.1.2.3</v>
      </c>
      <c r="B36" s="639" t="str">
        <f>CONCATENATE('ketv. 2lent'!B35)</f>
        <v/>
      </c>
      <c r="C36" s="255" t="str">
        <f>CONCATENATE('3 pr-2'!D36)</f>
        <v>Kompleksinė Miklusėnų gyvenvietės plėtra</v>
      </c>
      <c r="D36" s="255" t="str">
        <f>CONCATENATE('3 pr-2'!E36)</f>
        <v>Alytaus rajono savivaldybės administracija</v>
      </c>
      <c r="E36" s="255" t="str">
        <f>CONCATENATE('3 pr-2'!F36)</f>
        <v>Lietuvos Respublikos vidaus reikalų ministerija</v>
      </c>
      <c r="F36" s="255" t="str">
        <f>CONCATENATE('3 pr-2'!G36)</f>
        <v>Alytaus rajono  savivaldybė</v>
      </c>
      <c r="G36" s="255" t="str">
        <f>CONCATENATE('3 pr-2'!H36)</f>
        <v>8.2.1-CPVA-R-908</v>
      </c>
      <c r="H36" s="255" t="str">
        <f>CONCATENATE('3 pr-2'!I36)</f>
        <v>R</v>
      </c>
      <c r="I36" s="255" t="str">
        <f>CONCATENATE('3 pr-2'!J36)</f>
        <v>-</v>
      </c>
      <c r="J36" s="474">
        <f>IF(V36&gt;0,'3 pr-2'!L36,0)</f>
        <v>0</v>
      </c>
      <c r="K36" s="474">
        <f>IF(V36&gt;0,'3 pr-2'!O36,0)</f>
        <v>0</v>
      </c>
      <c r="L36" s="474">
        <f>IF(V36&gt;0,'3 pr-2'!R36,0)</f>
        <v>0</v>
      </c>
      <c r="M36" s="474">
        <f>IF(V36&gt;0,'3 pr-2'!U36,0)</f>
        <v>0</v>
      </c>
      <c r="N36" s="474">
        <f>IF(V36&gt;0,'3 pr-2'!X36,0)</f>
        <v>0</v>
      </c>
      <c r="O36" s="474">
        <f>IF(V36&gt;0,'3 pr-2'!AA36,0)</f>
        <v>0</v>
      </c>
      <c r="P36" s="474">
        <f t="shared" si="12"/>
        <v>0</v>
      </c>
      <c r="Q36" s="474">
        <f t="shared" si="13"/>
        <v>0</v>
      </c>
      <c r="R36" s="474">
        <f t="shared" si="14"/>
        <v>0</v>
      </c>
      <c r="S36" s="474">
        <f t="shared" si="15"/>
        <v>0</v>
      </c>
      <c r="T36" s="474">
        <f t="shared" si="16"/>
        <v>0</v>
      </c>
      <c r="U36" s="290">
        <f>SUM('3 pr-2'!AH36)</f>
        <v>43373</v>
      </c>
      <c r="V36" s="290"/>
      <c r="W36" s="291"/>
      <c r="X36" s="720" t="str">
        <f t="shared" si="17"/>
        <v>–</v>
      </c>
    </row>
    <row r="37" spans="1:25" ht="48.75" x14ac:dyDescent="0.25">
      <c r="A37" s="255" t="str">
        <f>CONCATENATE('3 pr-2'!A37)</f>
        <v>1.1.1.2.4</v>
      </c>
      <c r="B37" s="639" t="str">
        <f>CONCATENATE('ketv. 2lent'!B36)</f>
        <v/>
      </c>
      <c r="C37" s="255" t="str">
        <f>CONCATENATE('3 pr-2'!D37)</f>
        <v>Leipalingio viešosios erdvės pritaikymas bendruomenės poreikiams</v>
      </c>
      <c r="D37" s="255" t="str">
        <f>CONCATENATE('3 pr-2'!E37)</f>
        <v xml:space="preserve">Druskininkų savivaldybės administracija  </v>
      </c>
      <c r="E37" s="255" t="str">
        <f>CONCATENATE('3 pr-2'!F37)</f>
        <v>Lietuvos Respublikos vidaus reikalų ministerija</v>
      </c>
      <c r="F37" s="255" t="str">
        <f>CONCATENATE('3 pr-2'!G37)</f>
        <v>Druskininkų savivaldybė, Leipalingio seniūnija</v>
      </c>
      <c r="G37" s="255" t="str">
        <f>CONCATENATE('3 pr-2'!H37)</f>
        <v>8.2.1-CPVA-R-908</v>
      </c>
      <c r="H37" s="255" t="str">
        <f>CONCATENATE('3 pr-2'!I37)</f>
        <v>R</v>
      </c>
      <c r="I37" s="255" t="str">
        <f>CONCATENATE('3 pr-2'!J37)</f>
        <v>-</v>
      </c>
      <c r="J37" s="474">
        <f>IF(V37&gt;0,'3 pr-2'!L37,0)</f>
        <v>0</v>
      </c>
      <c r="K37" s="474">
        <f>IF(V37&gt;0,'3 pr-2'!O37,0)</f>
        <v>0</v>
      </c>
      <c r="L37" s="474">
        <f>IF(V37&gt;0,'3 pr-2'!R37,0)</f>
        <v>0</v>
      </c>
      <c r="M37" s="474">
        <f>IF(V37&gt;0,'3 pr-2'!U37,0)</f>
        <v>0</v>
      </c>
      <c r="N37" s="474">
        <f>IF(V37&gt;0,'3 pr-2'!X37,0)</f>
        <v>0</v>
      </c>
      <c r="O37" s="474">
        <f>IF(V37&gt;0,'3 pr-2'!AA37,0)</f>
        <v>0</v>
      </c>
      <c r="P37" s="474">
        <f t="shared" si="12"/>
        <v>0</v>
      </c>
      <c r="Q37" s="474">
        <f t="shared" si="13"/>
        <v>0</v>
      </c>
      <c r="R37" s="474">
        <f t="shared" si="14"/>
        <v>0</v>
      </c>
      <c r="S37" s="474">
        <f t="shared" si="15"/>
        <v>0</v>
      </c>
      <c r="T37" s="474">
        <f t="shared" si="16"/>
        <v>0</v>
      </c>
      <c r="U37" s="290">
        <f>SUM('3 pr-2'!AH37)</f>
        <v>43343</v>
      </c>
      <c r="V37" s="290"/>
      <c r="W37" s="291"/>
      <c r="X37" s="720" t="str">
        <f t="shared" si="17"/>
        <v>–</v>
      </c>
    </row>
    <row r="38" spans="1:25" ht="49.5" thickBot="1" x14ac:dyDescent="0.3">
      <c r="A38" s="343" t="str">
        <f>CONCATENATE('3 pr-2'!A38)</f>
        <v>1.1.1.2.5</v>
      </c>
      <c r="B38" s="639" t="str">
        <f>CONCATENATE('ketv. 2lent'!B37)</f>
        <v/>
      </c>
      <c r="C38" s="343" t="str">
        <f>CONCATENATE('3 pr-2'!D38)</f>
        <v>Viečiūnų viešosios erdvės pritaikymas bendruomenės poreikiams</v>
      </c>
      <c r="D38" s="343" t="str">
        <f>CONCATENATE('3 pr-2'!E38)</f>
        <v xml:space="preserve">Druskininkų savivaldybės administracija  </v>
      </c>
      <c r="E38" s="343" t="str">
        <f>CONCATENATE('3 pr-2'!F38)</f>
        <v>Lietuvos Respublikos vidaus reikalų ministerija</v>
      </c>
      <c r="F38" s="343" t="str">
        <f>CONCATENATE('3 pr-2'!G38)</f>
        <v>Druskininkų savivaldybė, Viečiūnų seniūnija</v>
      </c>
      <c r="G38" s="343" t="str">
        <f>CONCATENATE('3 pr-2'!H38)</f>
        <v>8.2.1-CPVA-R-908</v>
      </c>
      <c r="H38" s="343" t="str">
        <f>CONCATENATE('3 pr-2'!I38)</f>
        <v>R</v>
      </c>
      <c r="I38" s="343" t="str">
        <f>CONCATENATE('3 pr-2'!J38)</f>
        <v>-</v>
      </c>
      <c r="J38" s="633">
        <f>IF(V38&gt;0,'3 pr-2'!L38,0)</f>
        <v>0</v>
      </c>
      <c r="K38" s="633">
        <f>IF(V38&gt;0,'3 pr-2'!O38,0)</f>
        <v>0</v>
      </c>
      <c r="L38" s="633">
        <f>IF(V38&gt;0,'3 pr-2'!R38,0)</f>
        <v>0</v>
      </c>
      <c r="M38" s="633">
        <f>IF(V38&gt;0,'3 pr-2'!U38,0)</f>
        <v>0</v>
      </c>
      <c r="N38" s="633">
        <f>IF(V38&gt;0,'3 pr-2'!X38,0)</f>
        <v>0</v>
      </c>
      <c r="O38" s="633">
        <f>IF(V38&gt;0,'3 pr-2'!AA38,0)</f>
        <v>0</v>
      </c>
      <c r="P38" s="633">
        <f t="shared" si="12"/>
        <v>0</v>
      </c>
      <c r="Q38" s="633">
        <f t="shared" si="13"/>
        <v>0</v>
      </c>
      <c r="R38" s="633">
        <f t="shared" si="14"/>
        <v>0</v>
      </c>
      <c r="S38" s="633">
        <f t="shared" si="15"/>
        <v>0</v>
      </c>
      <c r="T38" s="633">
        <f t="shared" si="16"/>
        <v>0</v>
      </c>
      <c r="U38" s="634">
        <f>SUM('3 pr-2'!AH38)</f>
        <v>43312</v>
      </c>
      <c r="V38" s="634"/>
      <c r="W38" s="638"/>
      <c r="X38" s="720" t="str">
        <f t="shared" si="17"/>
        <v>–</v>
      </c>
    </row>
    <row r="39" spans="1:25" ht="57" customHeight="1" thickBot="1" x14ac:dyDescent="0.3">
      <c r="A39" s="497" t="str">
        <f>CONCATENATE('3 pr-2'!A39)</f>
        <v>1.1.1.3</v>
      </c>
      <c r="B39" s="613"/>
      <c r="C39" s="1656" t="str">
        <f>CONCATENATE('3 pr-2'!D39)</f>
        <v/>
      </c>
      <c r="D39" s="1789"/>
      <c r="E39" s="1789"/>
      <c r="F39" s="1789"/>
      <c r="G39" s="1789"/>
      <c r="H39" s="1789"/>
      <c r="I39" s="1790"/>
      <c r="J39" s="629">
        <f>SUM(J40:J45)</f>
        <v>3269394.13</v>
      </c>
      <c r="K39" s="629">
        <f t="shared" ref="K39:O39" si="18">SUM(K40:K45)</f>
        <v>348877.5</v>
      </c>
      <c r="L39" s="629">
        <f t="shared" si="18"/>
        <v>271647.09000000003</v>
      </c>
      <c r="M39" s="629">
        <f t="shared" si="18"/>
        <v>0</v>
      </c>
      <c r="N39" s="629">
        <f t="shared" si="18"/>
        <v>0</v>
      </c>
      <c r="O39" s="629">
        <f t="shared" si="18"/>
        <v>2648869.5399999996</v>
      </c>
      <c r="P39" s="630">
        <f>SUM(P40:P44)</f>
        <v>1289392.2</v>
      </c>
      <c r="Q39" s="631">
        <f t="shared" ref="Q39:T39" si="19">SUM(Q40:Q44)</f>
        <v>845933.69</v>
      </c>
      <c r="R39" s="630">
        <f t="shared" si="19"/>
        <v>513543.65</v>
      </c>
      <c r="S39" s="631">
        <f t="shared" si="19"/>
        <v>0</v>
      </c>
      <c r="T39" s="278">
        <f t="shared" si="19"/>
        <v>0</v>
      </c>
      <c r="U39" s="629" t="s">
        <v>725</v>
      </c>
      <c r="V39" s="629" t="s">
        <v>725</v>
      </c>
      <c r="W39" s="629" t="s">
        <v>725</v>
      </c>
      <c r="X39" s="629"/>
    </row>
    <row r="40" spans="1:25" ht="48.75" x14ac:dyDescent="0.25">
      <c r="A40" s="316" t="str">
        <f>CONCATENATE('3 pr-2'!A40)</f>
        <v>1.1.1.3.1</v>
      </c>
      <c r="B40" s="639" t="str">
        <f>CONCATENATE('ketv. 2lent'!B39)</f>
        <v>07.1.1-CPVA-R-905-11-0001</v>
      </c>
      <c r="C40" s="316" t="str">
        <f>CONCATENATE('3 pr-2'!D40)</f>
        <v>Varėnos miesto centrinės dalies modernizavimas ir pritaikymas visuomenės poreikiams (I etapas)</v>
      </c>
      <c r="D40" s="316" t="str">
        <f>CONCATENATE('3 pr-2'!E40)</f>
        <v>Varėnos rajono savivaldybės administracija</v>
      </c>
      <c r="E40" s="316" t="str">
        <f>CONCATENATE('3 pr-2'!F40)</f>
        <v>Lietuvos Respublikos vidaus reikalų ministerija</v>
      </c>
      <c r="F40" s="316" t="str">
        <f>CONCATENATE('3 pr-2'!G40)</f>
        <v>Varėnos miestas</v>
      </c>
      <c r="G40" s="316" t="str">
        <f>CONCATENATE('3 pr-2'!H40)</f>
        <v xml:space="preserve">07.1.1-CPVA-R-905 </v>
      </c>
      <c r="H40" s="316" t="str">
        <f>CONCATENATE('3 pr-2'!I40)</f>
        <v>R</v>
      </c>
      <c r="I40" s="316" t="str">
        <f>CONCATENATE('3 pr-2'!J40)</f>
        <v>ITI</v>
      </c>
      <c r="J40" s="293">
        <f>IF(V40&gt;0,'3 pr-2'!L40,0)</f>
        <v>1516932.01</v>
      </c>
      <c r="K40" s="293">
        <f>IF(V40&gt;0,'3 pr-2'!O40,0)</f>
        <v>75846.61</v>
      </c>
      <c r="L40" s="293">
        <f>IF(V40&gt;0,'3 pr-2'!R40,0)</f>
        <v>151693.20000000001</v>
      </c>
      <c r="M40" s="293">
        <f>IF(V40&gt;0,'3 pr-2'!U40,0)</f>
        <v>0</v>
      </c>
      <c r="N40" s="293">
        <f>IF(V40&gt;0,'3 pr-2'!X40,0)</f>
        <v>0</v>
      </c>
      <c r="O40" s="293">
        <f>IF(V40&gt;0,'3 pr-2'!AA40,0)</f>
        <v>1289392.2</v>
      </c>
      <c r="P40" s="293">
        <f t="shared" ref="P40:P44" si="20">IF(YEAR(V40)=2016,O40,0)</f>
        <v>1289392.2</v>
      </c>
      <c r="Q40" s="293">
        <f t="shared" ref="Q40:Q44" si="21">IF(YEAR(V40)=2017,O40,0)</f>
        <v>0</v>
      </c>
      <c r="R40" s="293">
        <f t="shared" ref="R40:R44" si="22">IF(YEAR(V40)=2018,O40,0)</f>
        <v>0</v>
      </c>
      <c r="S40" s="293">
        <f t="shared" ref="S40:S44" si="23">IF(YEAR(V40)=2019,O40,0)</f>
        <v>0</v>
      </c>
      <c r="T40" s="293">
        <f t="shared" ref="T40:T44" si="24">IF(YEAR(V40)=2020,O40,0)</f>
        <v>0</v>
      </c>
      <c r="U40" s="640">
        <f>SUM('3 pr-2'!AH40)</f>
        <v>42735</v>
      </c>
      <c r="V40" s="666">
        <v>42733</v>
      </c>
      <c r="W40" s="641">
        <f t="shared" ref="W40:W41" si="25">IF((YEAR(U40)-YEAR(V40))=0,0,YEAR(U40)-YEAR(V40))</f>
        <v>0</v>
      </c>
      <c r="X40" s="720" t="str">
        <f t="shared" ref="X40:X45" si="26">IF(U40-V40&lt;0,(U40-V40)/30.4166666666667,"–")</f>
        <v>–</v>
      </c>
      <c r="Y40" s="366"/>
    </row>
    <row r="41" spans="1:25" ht="48.75" x14ac:dyDescent="0.25">
      <c r="A41" s="255" t="str">
        <f>CONCATENATE('3 pr-2'!A41)</f>
        <v>1.1.1.3.2</v>
      </c>
      <c r="B41" s="473" t="str">
        <f>CONCATENATE('ketv. 2lent'!B40)</f>
        <v>07.1.1-CPVA-R-905-11-0002</v>
      </c>
      <c r="C41" s="255" t="str">
        <f>CONCATENATE('3 pr-2'!D41)</f>
        <v>Varėnos miesto centrinės dalies modernizavimas ir pritaikymas visuomenės poreikiams (II etapas)</v>
      </c>
      <c r="D41" s="255" t="str">
        <f>CONCATENATE('3 pr-2'!E41)</f>
        <v>Varėnos rajono savivaldybės administracija</v>
      </c>
      <c r="E41" s="255" t="str">
        <f>CONCATENATE('3 pr-2'!F41)</f>
        <v>Lietuvos Respublikos vidaus reikalų ministerija</v>
      </c>
      <c r="F41" s="255" t="str">
        <f>CONCATENATE('3 pr-2'!G41)</f>
        <v>Varėnos miestas</v>
      </c>
      <c r="G41" s="255" t="str">
        <f>CONCATENATE('3 pr-2'!H41)</f>
        <v xml:space="preserve">07.1.1-CPVA-R-905 </v>
      </c>
      <c r="H41" s="255" t="str">
        <f>CONCATENATE('3 pr-2'!I41)</f>
        <v>R</v>
      </c>
      <c r="I41" s="255" t="str">
        <f>CONCATENATE('3 pr-2'!J41)</f>
        <v>ITI</v>
      </c>
      <c r="J41" s="474">
        <f>IF(V41&gt;0,'3 pr-2'!L41,0)</f>
        <v>995216.11</v>
      </c>
      <c r="K41" s="474">
        <f>IF(V41&gt;0,'3 pr-2'!O41,0)</f>
        <v>74641.210000000006</v>
      </c>
      <c r="L41" s="474">
        <f>IF(V41&gt;0,'3 pr-2'!R41,0)</f>
        <v>74641.210000000006</v>
      </c>
      <c r="M41" s="474">
        <f>IF(V41&gt;0,'3 pr-2'!U41,0)</f>
        <v>0</v>
      </c>
      <c r="N41" s="474">
        <f>IF(V41&gt;0,'3 pr-2'!X41,0)</f>
        <v>0</v>
      </c>
      <c r="O41" s="474">
        <f>IF(V41&gt;0,'3 pr-2'!AA41,0)</f>
        <v>845933.69</v>
      </c>
      <c r="P41" s="474">
        <f t="shared" si="20"/>
        <v>0</v>
      </c>
      <c r="Q41" s="474">
        <f t="shared" si="21"/>
        <v>845933.69</v>
      </c>
      <c r="R41" s="474">
        <f t="shared" si="22"/>
        <v>0</v>
      </c>
      <c r="S41" s="474">
        <f t="shared" si="23"/>
        <v>0</v>
      </c>
      <c r="T41" s="474">
        <f t="shared" si="24"/>
        <v>0</v>
      </c>
      <c r="U41" s="290">
        <f>SUM('3 pr-2'!AH41)</f>
        <v>42978</v>
      </c>
      <c r="V41" s="659">
        <v>42984</v>
      </c>
      <c r="W41" s="291">
        <f t="shared" si="25"/>
        <v>0</v>
      </c>
      <c r="X41" s="720">
        <f t="shared" si="26"/>
        <v>-0.19726027397260251</v>
      </c>
    </row>
    <row r="42" spans="1:25" ht="48.75" x14ac:dyDescent="0.25">
      <c r="A42" s="255" t="str">
        <f>CONCATENATE('3 pr-2'!A42)</f>
        <v>1.1.1.3.3</v>
      </c>
      <c r="B42" s="473" t="str">
        <f>CONCATENATE('ketv. 2lent'!B41)</f>
        <v/>
      </c>
      <c r="C42" s="255" t="str">
        <f>CONCATENATE('3 pr-2'!D42)</f>
        <v xml:space="preserve">Varėnos miesto Dainų slėnio infrastruktūros atnaujinimas ir pritaikymas visuomenės poreikiams </v>
      </c>
      <c r="D42" s="255" t="str">
        <f>CONCATENATE('3 pr-2'!E42)</f>
        <v>Varėnos rajono savivaldybės administracija</v>
      </c>
      <c r="E42" s="255" t="str">
        <f>CONCATENATE('3 pr-2'!F42)</f>
        <v>Lietuvos Respublikos vidaus reikalų ministerija</v>
      </c>
      <c r="F42" s="255" t="str">
        <f>CONCATENATE('3 pr-2'!G42)</f>
        <v>Varėnos miestas</v>
      </c>
      <c r="G42" s="255" t="str">
        <f>CONCATENATE('3 pr-2'!H42)</f>
        <v xml:space="preserve">07.1.1-CPVA-R-905 </v>
      </c>
      <c r="H42" s="255" t="str">
        <f>CONCATENATE('3 pr-2'!I42)</f>
        <v>R</v>
      </c>
      <c r="I42" s="255" t="str">
        <f>CONCATENATE('3 pr-2'!J42)</f>
        <v>ITI</v>
      </c>
      <c r="J42" s="474">
        <f>IF(V42&gt;0,'3 pr-2'!L42,0)</f>
        <v>0</v>
      </c>
      <c r="K42" s="474">
        <f>IF(V42&gt;0,'3 pr-2'!O42,0)</f>
        <v>0</v>
      </c>
      <c r="L42" s="474">
        <f>IF(V42&gt;0,'3 pr-2'!R42,0)</f>
        <v>0</v>
      </c>
      <c r="M42" s="474">
        <f>IF(V42&gt;0,'3 pr-2'!U42,0)</f>
        <v>0</v>
      </c>
      <c r="N42" s="474">
        <f>IF(V42&gt;0,'3 pr-2'!X42,0)</f>
        <v>0</v>
      </c>
      <c r="O42" s="474">
        <f>IF(V42&gt;0,'3 pr-2'!AA42,0)</f>
        <v>0</v>
      </c>
      <c r="P42" s="474">
        <f t="shared" si="20"/>
        <v>0</v>
      </c>
      <c r="Q42" s="474">
        <f t="shared" si="21"/>
        <v>0</v>
      </c>
      <c r="R42" s="474">
        <f t="shared" si="22"/>
        <v>0</v>
      </c>
      <c r="S42" s="474">
        <f t="shared" si="23"/>
        <v>0</v>
      </c>
      <c r="T42" s="474">
        <f t="shared" si="24"/>
        <v>0</v>
      </c>
      <c r="U42" s="290">
        <f>SUM('3 pr-2'!AH42)</f>
        <v>43343</v>
      </c>
      <c r="V42" s="660"/>
      <c r="W42" s="291"/>
      <c r="X42" s="720" t="str">
        <f t="shared" si="26"/>
        <v>–</v>
      </c>
    </row>
    <row r="43" spans="1:25" ht="48.75" x14ac:dyDescent="0.25">
      <c r="A43" s="255" t="str">
        <f>CONCATENATE('3 pr-2'!A43)</f>
        <v>1.1.1.3.4</v>
      </c>
      <c r="B43" s="473" t="str">
        <f>CONCATENATE('ketv. 2lent'!B42)</f>
        <v>07.1.1-CPVA-R-905-11-0003</v>
      </c>
      <c r="C43" s="255" t="str">
        <f>CONCATENATE('3 pr-2'!D43)</f>
        <v>Karloniškės ežero ir jo prieigų sutvarkymas ir pritaikymas aktyviam poilsiui</v>
      </c>
      <c r="D43" s="255" t="str">
        <f>CONCATENATE('3 pr-2'!E43)</f>
        <v>Varėnos rajono savivaldybės administracija</v>
      </c>
      <c r="E43" s="255" t="str">
        <f>CONCATENATE('3 pr-2'!F43)</f>
        <v>Lietuvos Respublikos vidaus reikalų ministerija</v>
      </c>
      <c r="F43" s="255" t="str">
        <f>CONCATENATE('3 pr-2'!G43)</f>
        <v>Varėnos miestas</v>
      </c>
      <c r="G43" s="255" t="str">
        <f>CONCATENATE('3 pr-2'!H43)</f>
        <v xml:space="preserve">07.1.1-CPVA-R-905 </v>
      </c>
      <c r="H43" s="255" t="str">
        <f>CONCATENATE('3 pr-2'!I43)</f>
        <v>R</v>
      </c>
      <c r="I43" s="255" t="str">
        <f>CONCATENATE('3 pr-2'!J43)</f>
        <v>ITI</v>
      </c>
      <c r="J43" s="474">
        <f>IF(V43&gt;0,'3 pr-2'!L43,0)</f>
        <v>757246.01</v>
      </c>
      <c r="K43" s="474">
        <f>IF(V43&gt;0,'3 pr-2'!O43,0)</f>
        <v>198389.68</v>
      </c>
      <c r="L43" s="474">
        <f>IF(V43&gt;0,'3 pr-2'!R43,0)</f>
        <v>45312.68</v>
      </c>
      <c r="M43" s="474">
        <f>IF(V43&gt;0,'3 pr-2'!U43,0)</f>
        <v>0</v>
      </c>
      <c r="N43" s="474">
        <f>IF(V43&gt;0,'3 pr-2'!X43,0)</f>
        <v>0</v>
      </c>
      <c r="O43" s="474">
        <f>IF(V43&gt;0,'3 pr-2'!AA43,0)</f>
        <v>513543.65</v>
      </c>
      <c r="P43" s="474">
        <f t="shared" si="20"/>
        <v>0</v>
      </c>
      <c r="Q43" s="474">
        <f t="shared" si="21"/>
        <v>0</v>
      </c>
      <c r="R43" s="474">
        <f t="shared" si="22"/>
        <v>513543.65</v>
      </c>
      <c r="S43" s="474">
        <f t="shared" si="23"/>
        <v>0</v>
      </c>
      <c r="T43" s="474">
        <f t="shared" si="24"/>
        <v>0</v>
      </c>
      <c r="U43" s="290">
        <f>SUM('3 pr-2'!AH43)</f>
        <v>43100</v>
      </c>
      <c r="V43" s="659">
        <v>43105</v>
      </c>
      <c r="W43" s="291"/>
      <c r="X43" s="720">
        <f t="shared" si="26"/>
        <v>-0.16438356164383544</v>
      </c>
    </row>
    <row r="44" spans="1:25" ht="48.75" x14ac:dyDescent="0.25">
      <c r="A44" s="255" t="str">
        <f>CONCATENATE('3 pr-2'!A44)</f>
        <v>1.1.1.3.5</v>
      </c>
      <c r="B44" s="473" t="str">
        <f>CONCATENATE('ketv. 2lent'!B43)</f>
        <v/>
      </c>
      <c r="C44" s="255" t="str">
        <f>CONCATENATE('3 pr-2'!D44)</f>
        <v xml:space="preserve">Nenaudojamų teritorijų Varėnos mieste sutvarkymas ir pritaikymas verslui </v>
      </c>
      <c r="D44" s="255" t="str">
        <f>CONCATENATE('3 pr-2'!E44)</f>
        <v>Varėnos rajono savivaldybės administracija</v>
      </c>
      <c r="E44" s="255" t="str">
        <f>CONCATENATE('3 pr-2'!F44)</f>
        <v>Lietuvos Respublikos vidaus reikalų ministerija</v>
      </c>
      <c r="F44" s="255" t="str">
        <f>CONCATENATE('3 pr-2'!G44)</f>
        <v>Varėnos miestas</v>
      </c>
      <c r="G44" s="255" t="str">
        <f>CONCATENATE('3 pr-2'!H44)</f>
        <v xml:space="preserve">07.1.1-CPVA-R-905 </v>
      </c>
      <c r="H44" s="255" t="str">
        <f>CONCATENATE('3 pr-2'!I44)</f>
        <v>R</v>
      </c>
      <c r="I44" s="255" t="str">
        <f>CONCATENATE('3 pr-2'!J44)</f>
        <v>ITI</v>
      </c>
      <c r="J44" s="474">
        <f>IF(V44&gt;0,'3 pr-2'!L44,0)</f>
        <v>0</v>
      </c>
      <c r="K44" s="474">
        <f>IF(V44&gt;0,'3 pr-2'!O44,0)</f>
        <v>0</v>
      </c>
      <c r="L44" s="474">
        <f>IF(V44&gt;0,'3 pr-2'!R44,0)</f>
        <v>0</v>
      </c>
      <c r="M44" s="474">
        <f>IF(V44&gt;0,'3 pr-2'!U44,0)</f>
        <v>0</v>
      </c>
      <c r="N44" s="474">
        <f>IF(V44&gt;0,'3 pr-2'!X44,0)</f>
        <v>0</v>
      </c>
      <c r="O44" s="474">
        <f>IF(V44&gt;0,'3 pr-2'!AA44,0)</f>
        <v>0</v>
      </c>
      <c r="P44" s="474">
        <f t="shared" si="20"/>
        <v>0</v>
      </c>
      <c r="Q44" s="474">
        <f t="shared" si="21"/>
        <v>0</v>
      </c>
      <c r="R44" s="474">
        <f t="shared" si="22"/>
        <v>0</v>
      </c>
      <c r="S44" s="474">
        <f t="shared" si="23"/>
        <v>0</v>
      </c>
      <c r="T44" s="474">
        <f t="shared" si="24"/>
        <v>0</v>
      </c>
      <c r="U44" s="290">
        <f>SUM('3 pr-2'!AH44)</f>
        <v>43343</v>
      </c>
      <c r="V44" s="660"/>
      <c r="W44" s="291"/>
      <c r="X44" s="720" t="str">
        <f t="shared" si="26"/>
        <v>–</v>
      </c>
    </row>
    <row r="45" spans="1:25" ht="49.5" thickBot="1" x14ac:dyDescent="0.3">
      <c r="A45" s="343" t="str">
        <f>CONCATENATE('3 pr-2'!A45)</f>
        <v>1.1.1.3.6</v>
      </c>
      <c r="B45" s="632" t="str">
        <f>CONCATENATE('ketv. 2lent'!B44)</f>
        <v/>
      </c>
      <c r="C45" s="343" t="str">
        <f>CONCATENATE('3 pr-2'!D45)</f>
        <v xml:space="preserve">Teritorijų prie daugiabučių gyvenamųjų pastatų Varėnos mieste sutvarkymas ir pritaikymas visuomenės poreikiams  </v>
      </c>
      <c r="D45" s="343" t="str">
        <f>CONCATENATE('3 pr-2'!E45)</f>
        <v>Varėnos rajono savivaldybės administracija</v>
      </c>
      <c r="E45" s="343" t="str">
        <f>CONCATENATE('3 pr-2'!F45)</f>
        <v>Lietuvos Respublikos vidaus reikalų ministerija</v>
      </c>
      <c r="F45" s="343" t="str">
        <f>CONCATENATE('3 pr-2'!G45)</f>
        <v>Varėnos miestas</v>
      </c>
      <c r="G45" s="343" t="str">
        <f>CONCATENATE('3 pr-2'!H45)</f>
        <v xml:space="preserve">07.1.1-CPVA-R-905 </v>
      </c>
      <c r="H45" s="343" t="str">
        <f>CONCATENATE('3 pr-2'!I45)</f>
        <v>R</v>
      </c>
      <c r="I45" s="343" t="str">
        <f>CONCATENATE('3 pr-2'!J45)</f>
        <v>ITI</v>
      </c>
      <c r="J45" s="633">
        <f>IF(V45&gt;0,'3 pr-2'!L45,0)</f>
        <v>0</v>
      </c>
      <c r="K45" s="633">
        <f>IF(V45&gt;0,'3 pr-2'!O45,0)</f>
        <v>0</v>
      </c>
      <c r="L45" s="633">
        <f>IF(V45&gt;0,'3 pr-2'!R45,0)</f>
        <v>0</v>
      </c>
      <c r="M45" s="633">
        <f>IF(V45&gt;0,'3 pr-2'!U45,0)</f>
        <v>0</v>
      </c>
      <c r="N45" s="633">
        <f>IF(V45&gt;0,'3 pr-2'!X45,0)</f>
        <v>0</v>
      </c>
      <c r="O45" s="633">
        <f>IF(V45&gt;0,'3 pr-2'!AA45,0)</f>
        <v>0</v>
      </c>
      <c r="P45" s="633">
        <f t="shared" ref="P45" si="27">IF(YEAR(V45)=2016,O45,0)</f>
        <v>0</v>
      </c>
      <c r="Q45" s="633">
        <f t="shared" ref="Q45" si="28">IF(YEAR(V45)=2017,O45,0)</f>
        <v>0</v>
      </c>
      <c r="R45" s="633">
        <f t="shared" ref="R45" si="29">IF(YEAR(V45)=2018,O45,0)</f>
        <v>0</v>
      </c>
      <c r="S45" s="633">
        <f t="shared" ref="S45" si="30">IF(YEAR(V45)=2019,O45,0)</f>
        <v>0</v>
      </c>
      <c r="T45" s="633">
        <f t="shared" ref="T45" si="31">IF(YEAR(V45)=2020,O45,0)</f>
        <v>0</v>
      </c>
      <c r="U45" s="634">
        <f>SUM('3 pr-2'!AH45)</f>
        <v>43309</v>
      </c>
      <c r="V45" s="695"/>
      <c r="W45" s="638"/>
      <c r="X45" s="720" t="str">
        <f t="shared" si="26"/>
        <v>–</v>
      </c>
    </row>
    <row r="46" spans="1:25" ht="38.25" customHeight="1" thickBot="1" x14ac:dyDescent="0.3">
      <c r="A46" s="497" t="str">
        <f>CONCATENATE('3 pr-2'!A46)</f>
        <v>1.1.1.4</v>
      </c>
      <c r="B46" s="613"/>
      <c r="C46" s="1656" t="str">
        <f>CONCATENATE('3 pr-2'!D46)</f>
        <v/>
      </c>
      <c r="D46" s="1789"/>
      <c r="E46" s="1789"/>
      <c r="F46" s="1789"/>
      <c r="G46" s="1789"/>
      <c r="H46" s="1789"/>
      <c r="I46" s="1790"/>
      <c r="J46" s="629">
        <f>SUM(J47:J49)</f>
        <v>2112023.5599999996</v>
      </c>
      <c r="K46" s="629">
        <f t="shared" ref="K46:O46" si="32">SUM(K47:K49)</f>
        <v>289057.97000000003</v>
      </c>
      <c r="L46" s="629">
        <f t="shared" si="32"/>
        <v>147808.01999999999</v>
      </c>
      <c r="M46" s="629">
        <f t="shared" si="32"/>
        <v>0</v>
      </c>
      <c r="N46" s="629">
        <f t="shared" si="32"/>
        <v>0</v>
      </c>
      <c r="O46" s="629">
        <f t="shared" si="32"/>
        <v>1675157.5699999998</v>
      </c>
      <c r="P46" s="630">
        <f>SUM(P47:P49)</f>
        <v>575484.89</v>
      </c>
      <c r="Q46" s="631">
        <f t="shared" ref="Q46:T46" si="33">SUM(Q47:Q49)</f>
        <v>1099672.68</v>
      </c>
      <c r="R46" s="630">
        <f t="shared" si="33"/>
        <v>0</v>
      </c>
      <c r="S46" s="631">
        <f t="shared" si="33"/>
        <v>0</v>
      </c>
      <c r="T46" s="278">
        <f t="shared" si="33"/>
        <v>0</v>
      </c>
      <c r="U46" s="629" t="s">
        <v>725</v>
      </c>
      <c r="V46" s="629" t="s">
        <v>725</v>
      </c>
      <c r="W46" s="629" t="s">
        <v>725</v>
      </c>
      <c r="X46" s="629"/>
    </row>
    <row r="47" spans="1:25" ht="48.75" x14ac:dyDescent="0.25">
      <c r="A47" s="664" t="str">
        <f>CONCATENATE('3 pr-2'!A47)</f>
        <v>1.1.1.4.1</v>
      </c>
      <c r="B47" s="639" t="str">
        <f>CONCATENATE('ketv. 2lent'!B46)</f>
        <v>07.1.1-CPVA-V-902-01-0008</v>
      </c>
      <c r="C47" s="664" t="str">
        <f>CONCATENATE('3 pr-2'!D47)</f>
        <v>Buvusios pramoninės teritorijos Pramonės g. 1 Alytuje, pritaikymas verslo vystymui ir plėtrai.</v>
      </c>
      <c r="D47" s="664" t="str">
        <f>CONCATENATE('3 pr-2'!E47)</f>
        <v>Alytaus miesto savivaldybės administracija</v>
      </c>
      <c r="E47" s="664" t="str">
        <f>CONCATENATE('3 pr-2'!F47)</f>
        <v>Lietuvos Respublikos vidaus reikalų ministerija</v>
      </c>
      <c r="F47" s="664" t="str">
        <f>CONCATENATE('3 pr-2'!G47)</f>
        <v>Alytaus m.</v>
      </c>
      <c r="G47" s="664" t="str">
        <f>CONCATENATE('3 pr-2'!H47)</f>
        <v>07.1.1-CPVA-V-902</v>
      </c>
      <c r="H47" s="664" t="str">
        <f>CONCATENATE('3 pr-2'!I47)</f>
        <v>V</v>
      </c>
      <c r="I47" s="664" t="str">
        <f>CONCATENATE('3 pr-2'!J47)</f>
        <v>ITI</v>
      </c>
      <c r="J47" s="293">
        <f>IF(V47&gt;0,'3 pr-2'!L47,0)</f>
        <v>1293732.5699999998</v>
      </c>
      <c r="K47" s="293">
        <f>IF(V47&gt;0,'3 pr-2'!O47,0)</f>
        <v>97029.95</v>
      </c>
      <c r="L47" s="293">
        <f>IF(V47&gt;0,'3 pr-2'!R47,0)</f>
        <v>97029.94</v>
      </c>
      <c r="M47" s="293">
        <f>IF(V47&gt;0,'3 pr-2'!U47,0)</f>
        <v>0</v>
      </c>
      <c r="N47" s="293">
        <f>IF(V47&gt;0,'3 pr-2'!X47,0)</f>
        <v>0</v>
      </c>
      <c r="O47" s="293">
        <f>IF(V47&gt;0,'3 pr-2'!AA47,0)</f>
        <v>1099672.68</v>
      </c>
      <c r="P47" s="665">
        <f t="shared" ref="P47:P49" si="34">IF(YEAR(V47)=2016,O47,0)</f>
        <v>0</v>
      </c>
      <c r="Q47" s="665">
        <f t="shared" ref="Q47:Q49" si="35">IF(YEAR(V47)=2017,O47,0)</f>
        <v>1099672.68</v>
      </c>
      <c r="R47" s="665">
        <f t="shared" ref="R47:R49" si="36">IF(YEAR(V47)=2018,O47,0)</f>
        <v>0</v>
      </c>
      <c r="S47" s="665">
        <f t="shared" ref="S47:S49" si="37">IF(YEAR(V47)=2019,O47,0)</f>
        <v>0</v>
      </c>
      <c r="T47" s="665">
        <f t="shared" ref="T47:T49" si="38">IF(YEAR(V47)=2020,O47,0)</f>
        <v>0</v>
      </c>
      <c r="U47" s="666">
        <f>SUM('3 pr-2'!AH47)</f>
        <v>42735</v>
      </c>
      <c r="V47" s="667">
        <v>42795</v>
      </c>
      <c r="W47" s="668">
        <f t="shared" ref="W47:W49" si="39">IF((YEAR(U47)-YEAR(V47))=0,0,YEAR(U47)-YEAR(V47))</f>
        <v>-1</v>
      </c>
      <c r="X47" s="720">
        <f t="shared" ref="X47:X49" si="40">IF(U47-V47&lt;0,(U47-V47)/30.4166666666667,"–")</f>
        <v>-1.9726027397260253</v>
      </c>
    </row>
    <row r="48" spans="1:25" ht="48.75" x14ac:dyDescent="0.25">
      <c r="A48" s="661" t="str">
        <f>CONCATENATE('3 pr-2'!A48)</f>
        <v>1.1.1.4.2</v>
      </c>
      <c r="B48" s="473" t="str">
        <f>CONCATENATE('ketv. 2lent'!B47)</f>
        <v>07.1.1-CPVA-R-903-11-0001</v>
      </c>
      <c r="C48" s="661" t="str">
        <f>CONCATENATE('3 pr-2'!D48)</f>
        <v>Amatų centro „Menų kalvė“ Druskininkuose įkūrimas</v>
      </c>
      <c r="D48" s="661" t="str">
        <f>CONCATENATE('3 pr-2'!E48)</f>
        <v xml:space="preserve">Druskininkų savivaldybės administracija  </v>
      </c>
      <c r="E48" s="661" t="str">
        <f>CONCATENATE('3 pr-2'!F48)</f>
        <v>Lietuvos Respublikos vidaus reikalų ministerija</v>
      </c>
      <c r="F48" s="661" t="str">
        <f>CONCATENATE('3 pr-2'!G48)</f>
        <v>Druskininkų miestas</v>
      </c>
      <c r="G48" s="661" t="str">
        <f>CONCATENATE('3 pr-2'!H48)</f>
        <v>07.1.1-CPVA-R-903</v>
      </c>
      <c r="H48" s="661" t="str">
        <f>CONCATENATE('3 pr-2'!I48)</f>
        <v>R</v>
      </c>
      <c r="I48" s="661" t="str">
        <f>CONCATENATE('3 pr-2'!J48)</f>
        <v>ITI</v>
      </c>
      <c r="J48" s="474">
        <f>IF(V48&gt;0,'3 pr-2'!L48,0)</f>
        <v>474784</v>
      </c>
      <c r="K48" s="474">
        <f>IF(V48&gt;0,'3 pr-2'!O48,0)</f>
        <v>166265</v>
      </c>
      <c r="L48" s="474">
        <f>IF(V48&gt;0,'3 pr-2'!R48,0)</f>
        <v>25015.06</v>
      </c>
      <c r="M48" s="474">
        <f>IF(V48&gt;0,'3 pr-2'!U48,0)</f>
        <v>0</v>
      </c>
      <c r="N48" s="474">
        <f>IF(V48&gt;0,'3 pr-2'!X48,0)</f>
        <v>0</v>
      </c>
      <c r="O48" s="474">
        <f>IF(V48&gt;0,'3 pr-2'!AA48,0)</f>
        <v>283503.94</v>
      </c>
      <c r="P48" s="662">
        <f t="shared" si="34"/>
        <v>283503.94</v>
      </c>
      <c r="Q48" s="662">
        <f t="shared" si="35"/>
        <v>0</v>
      </c>
      <c r="R48" s="662">
        <f t="shared" si="36"/>
        <v>0</v>
      </c>
      <c r="S48" s="662">
        <f t="shared" si="37"/>
        <v>0</v>
      </c>
      <c r="T48" s="662">
        <f t="shared" si="38"/>
        <v>0</v>
      </c>
      <c r="U48" s="659">
        <f>SUM('3 pr-2'!AH48)</f>
        <v>42675</v>
      </c>
      <c r="V48" s="663">
        <v>42699</v>
      </c>
      <c r="W48" s="660">
        <f t="shared" si="39"/>
        <v>0</v>
      </c>
      <c r="X48" s="720">
        <f t="shared" si="40"/>
        <v>-0.78904109589041005</v>
      </c>
    </row>
    <row r="49" spans="1:24" ht="49.5" thickBot="1" x14ac:dyDescent="0.3">
      <c r="A49" s="696" t="str">
        <f>CONCATENATE('3 pr-2'!A49)</f>
        <v>1.1.1.4.3</v>
      </c>
      <c r="B49" s="632" t="str">
        <f>CONCATENATE('ketv. 2lent'!B48)</f>
        <v>07.1.1-CPVA-R-903-11-0002</v>
      </c>
      <c r="C49" s="696" t="str">
        <f>CONCATENATE('3 pr-2'!D49)</f>
        <v>Lazdijų miesto kompleksinė infrastruktūros plėtra, III etapas</v>
      </c>
      <c r="D49" s="696" t="str">
        <f>CONCATENATE('3 pr-2'!E49)</f>
        <v>Lazdijų rajono savivaldybės administracija</v>
      </c>
      <c r="E49" s="696" t="str">
        <f>CONCATENATE('3 pr-2'!F49)</f>
        <v>Lietuvos Respublikos vidaus reikalų ministerija</v>
      </c>
      <c r="F49" s="696" t="str">
        <f>CONCATENATE('3 pr-2'!G49)</f>
        <v>Lazdijų miestas</v>
      </c>
      <c r="G49" s="696" t="str">
        <f>CONCATENATE('3 pr-2'!H49)</f>
        <v>07.1.1-CPVA-R-903</v>
      </c>
      <c r="H49" s="696" t="str">
        <f>CONCATENATE('3 pr-2'!I49)</f>
        <v>R</v>
      </c>
      <c r="I49" s="696" t="str">
        <f>CONCATENATE('3 pr-2'!J49)</f>
        <v>ITI</v>
      </c>
      <c r="J49" s="633">
        <f>IF(V49&gt;0,'3 pr-2'!L49,0)</f>
        <v>343506.99</v>
      </c>
      <c r="K49" s="633">
        <f>IF(V49&gt;0,'3 pr-2'!O49,0)</f>
        <v>25763.02</v>
      </c>
      <c r="L49" s="633">
        <f>IF(V49&gt;0,'3 pr-2'!R49,0)</f>
        <v>25763.02</v>
      </c>
      <c r="M49" s="633">
        <f>IF(V49&gt;0,'3 pr-2'!U49,0)</f>
        <v>0</v>
      </c>
      <c r="N49" s="633">
        <f>IF(V49&gt;0,'3 pr-2'!X49,0)</f>
        <v>0</v>
      </c>
      <c r="O49" s="633">
        <f>IF(V49&gt;0,'3 pr-2'!AA49,0)</f>
        <v>291980.95</v>
      </c>
      <c r="P49" s="697">
        <f t="shared" si="34"/>
        <v>291980.95</v>
      </c>
      <c r="Q49" s="697">
        <f t="shared" si="35"/>
        <v>0</v>
      </c>
      <c r="R49" s="697">
        <f t="shared" si="36"/>
        <v>0</v>
      </c>
      <c r="S49" s="697">
        <f t="shared" si="37"/>
        <v>0</v>
      </c>
      <c r="T49" s="697">
        <f t="shared" si="38"/>
        <v>0</v>
      </c>
      <c r="U49" s="698">
        <f>SUM('3 pr-2'!AH49)</f>
        <v>42674</v>
      </c>
      <c r="V49" s="699">
        <v>42709</v>
      </c>
      <c r="W49" s="695">
        <f t="shared" si="39"/>
        <v>0</v>
      </c>
      <c r="X49" s="720">
        <f t="shared" si="40"/>
        <v>-1.1506849315068481</v>
      </c>
    </row>
    <row r="50" spans="1:24" ht="33.75" customHeight="1" thickBot="1" x14ac:dyDescent="0.3">
      <c r="A50" s="497" t="str">
        <f>CONCATENATE('3 pr-2'!A50)</f>
        <v>1.1.1.5</v>
      </c>
      <c r="B50" s="613"/>
      <c r="C50" s="1656" t="str">
        <f>CONCATENATE('3 pr-2'!D50)</f>
        <v/>
      </c>
      <c r="D50" s="1789"/>
      <c r="E50" s="1789"/>
      <c r="F50" s="1789"/>
      <c r="G50" s="1789"/>
      <c r="H50" s="1789"/>
      <c r="I50" s="1790"/>
      <c r="J50" s="629">
        <f>SUM(J51:J55)</f>
        <v>16427026.24</v>
      </c>
      <c r="K50" s="629">
        <f t="shared" ref="K50:O50" si="41">SUM(K51:K55)</f>
        <v>0</v>
      </c>
      <c r="L50" s="629">
        <f t="shared" si="41"/>
        <v>0</v>
      </c>
      <c r="M50" s="629">
        <f t="shared" si="41"/>
        <v>7616352.7299999995</v>
      </c>
      <c r="N50" s="629">
        <f t="shared" si="41"/>
        <v>0</v>
      </c>
      <c r="O50" s="629">
        <f t="shared" si="41"/>
        <v>8810673.5099999998</v>
      </c>
      <c r="P50" s="630">
        <f>SUM(P51:P55)</f>
        <v>2645996.25</v>
      </c>
      <c r="Q50" s="631">
        <f t="shared" ref="Q50:T50" si="42">SUM(Q51:Q55)</f>
        <v>5296933.26</v>
      </c>
      <c r="R50" s="630">
        <f t="shared" si="42"/>
        <v>867744</v>
      </c>
      <c r="S50" s="631">
        <f t="shared" si="42"/>
        <v>0</v>
      </c>
      <c r="T50" s="278">
        <f t="shared" si="42"/>
        <v>0</v>
      </c>
      <c r="U50" s="629"/>
      <c r="V50" s="629"/>
      <c r="W50" s="629"/>
      <c r="X50" s="629"/>
    </row>
    <row r="51" spans="1:24" ht="48.75" x14ac:dyDescent="0.25">
      <c r="A51" s="700" t="str">
        <f>CONCATENATE('3 pr-2'!A51)</f>
        <v>1.1.1.5.1</v>
      </c>
      <c r="B51" s="701" t="str">
        <f>CONCATENATE('ketv. 2lent'!B50)</f>
        <v>05.3.2-APVA-R-014-11-0001</v>
      </c>
      <c r="C51" s="700" t="str">
        <f>CONCATENATE('3 pr-2'!D51)</f>
        <v>Geriamojo vandens tiekimo ir nuotekų tvarkymo sistemų renovavimas ir plėtra Varėnos rajone</v>
      </c>
      <c r="D51" s="700" t="str">
        <f>CONCATENATE('3 pr-2'!E51)</f>
        <v>UAB „Varėnos vandenys“</v>
      </c>
      <c r="E51" s="700" t="str">
        <f>CONCATENATE('3 pr-2'!F51)</f>
        <v>Lietuvos Respublikos aplinkos ministerija</v>
      </c>
      <c r="F51" s="700" t="str">
        <f>CONCATENATE('3 pr-2'!G51)</f>
        <v>Varėnos rajono savivaldybė</v>
      </c>
      <c r="G51" s="700" t="str">
        <f>CONCATENATE('3 pr-2'!H51)</f>
        <v>05.3.2-APVA-R-014</v>
      </c>
      <c r="H51" s="700" t="str">
        <f>CONCATENATE('3 pr-2'!I51)</f>
        <v>R</v>
      </c>
      <c r="I51" s="700" t="str">
        <f>CONCATENATE('3 pr-2'!J51)</f>
        <v>ITI</v>
      </c>
      <c r="J51" s="293">
        <f>IF(V51&gt;0,'3 pr-2'!L51,0)</f>
        <v>2477103.23</v>
      </c>
      <c r="K51" s="293">
        <f>IF(V51&gt;0,'3 pr-2'!O51,0)</f>
        <v>0</v>
      </c>
      <c r="L51" s="293">
        <f>IF(V51&gt;0,'3 pr-2'!R51,0)</f>
        <v>0</v>
      </c>
      <c r="M51" s="293">
        <f>IF(V51&gt;0,'3 pr-2'!U51,0)</f>
        <v>862874.97</v>
      </c>
      <c r="N51" s="293">
        <f>IF(V51&gt;0,'3 pr-2'!X51,0)</f>
        <v>0</v>
      </c>
      <c r="O51" s="293">
        <f>IF(V51&gt;0,'3 pr-2'!AA51,0)</f>
        <v>1614228.26</v>
      </c>
      <c r="P51" s="702">
        <f t="shared" ref="P51:P55" si="43">IF(YEAR(V51)=2016,O51,0)</f>
        <v>0</v>
      </c>
      <c r="Q51" s="702">
        <f t="shared" ref="Q51:Q55" si="44">IF(YEAR(V51)=2017,O51,0)</f>
        <v>1614228.26</v>
      </c>
      <c r="R51" s="702">
        <f t="shared" ref="R51:R55" si="45">IF(YEAR(V51)=2018,O51,0)</f>
        <v>0</v>
      </c>
      <c r="S51" s="702">
        <f t="shared" ref="S51:S55" si="46">IF(YEAR(V51)=2019,O51,0)</f>
        <v>0</v>
      </c>
      <c r="T51" s="702">
        <f t="shared" ref="T51:T55" si="47">IF(YEAR(V51)=2020,O51,0)</f>
        <v>0</v>
      </c>
      <c r="U51" s="703">
        <f>SUM('3 pr-2'!AH51)</f>
        <v>42766</v>
      </c>
      <c r="V51" s="704">
        <v>42766</v>
      </c>
      <c r="W51" s="705">
        <f t="shared" ref="W51:W55" si="48">IF((YEAR(U51)-YEAR(V51))=0,0,YEAR(U51)-YEAR(V51))</f>
        <v>0</v>
      </c>
      <c r="X51" s="720" t="str">
        <f t="shared" ref="X51:X55" si="49">IF(U51-V51&lt;0,(U51-V51)/30.4166666666667,"–")</f>
        <v>–</v>
      </c>
    </row>
    <row r="52" spans="1:24" ht="48.75" x14ac:dyDescent="0.25">
      <c r="A52" s="669" t="str">
        <f>CONCATENATE('3 pr-2'!A52)</f>
        <v>1.1.1.5.2.</v>
      </c>
      <c r="B52" s="674" t="str">
        <f>CONCATENATE('ketv. 2lent'!B51)</f>
        <v>05.3.2-APVA-R-014-11-0002</v>
      </c>
      <c r="C52" s="669" t="str">
        <f>CONCATENATE('3 pr-2'!D52)</f>
        <v>Geriamojo vandens ir nuotekų tvarkymo sistemų renovavimas Alytaus mieste</v>
      </c>
      <c r="D52" s="669" t="str">
        <f>CONCATENATE('3 pr-2'!E52)</f>
        <v>UAB “Dzūkijos vandenys“</v>
      </c>
      <c r="E52" s="669" t="str">
        <f>CONCATENATE('3 pr-2'!F52)</f>
        <v>Lietuvos Respublikos aplinkos ministerija</v>
      </c>
      <c r="F52" s="669" t="str">
        <f>CONCATENATE('3 pr-2'!G52)</f>
        <v>Alytaus miestas</v>
      </c>
      <c r="G52" s="669" t="str">
        <f>CONCATENATE('3 pr-2'!H52)</f>
        <v xml:space="preserve">05.3.2-APVA-R-014 </v>
      </c>
      <c r="H52" s="669" t="str">
        <f>CONCATENATE('3 pr-2'!I52)</f>
        <v>R</v>
      </c>
      <c r="I52" s="669" t="str">
        <f>CONCATENATE('3 pr-2'!J52)</f>
        <v>ITI</v>
      </c>
      <c r="J52" s="474">
        <f>IF(V52&gt;0,'3 pr-2'!L52,0)</f>
        <v>5993883</v>
      </c>
      <c r="K52" s="474">
        <f>IF(V52&gt;0,'3 pr-2'!O52,0)</f>
        <v>0</v>
      </c>
      <c r="L52" s="474">
        <f>IF(V52&gt;0,'3 pr-2'!R52,0)</f>
        <v>0</v>
      </c>
      <c r="M52" s="474">
        <f>IF(V52&gt;0,'3 pr-2'!U52,0)</f>
        <v>3347886.75</v>
      </c>
      <c r="N52" s="474">
        <f>IF(V52&gt;0,'3 pr-2'!X52,0)</f>
        <v>0</v>
      </c>
      <c r="O52" s="474">
        <f>IF(V52&gt;0,'3 pr-2'!AA52,0)</f>
        <v>2645996.25</v>
      </c>
      <c r="P52" s="671">
        <f t="shared" si="43"/>
        <v>2645996.25</v>
      </c>
      <c r="Q52" s="671">
        <f t="shared" si="44"/>
        <v>0</v>
      </c>
      <c r="R52" s="671">
        <f t="shared" si="45"/>
        <v>0</v>
      </c>
      <c r="S52" s="671">
        <f t="shared" si="46"/>
        <v>0</v>
      </c>
      <c r="T52" s="671">
        <f t="shared" si="47"/>
        <v>0</v>
      </c>
      <c r="U52" s="672">
        <f>SUM('3 pr-2'!AH52)</f>
        <v>42736</v>
      </c>
      <c r="V52" s="670">
        <v>42726</v>
      </c>
      <c r="W52" s="673">
        <f t="shared" si="48"/>
        <v>1</v>
      </c>
      <c r="X52" s="720" t="str">
        <f t="shared" si="49"/>
        <v>–</v>
      </c>
    </row>
    <row r="53" spans="1:24" ht="48.75" x14ac:dyDescent="0.25">
      <c r="A53" s="669" t="str">
        <f>CONCATENATE('3 pr-2'!A53)</f>
        <v>1.1.1.5.3</v>
      </c>
      <c r="B53" s="674" t="str">
        <f>CONCATENATE('ketv. 2lent'!B52)</f>
        <v>05.3.2-APVA-R-014-11-0004</v>
      </c>
      <c r="C53" s="669" t="str">
        <f>CONCATENATE('3 pr-2'!D53)</f>
        <v>Geriamojo vandens tiekimo ir nuotekų tvarkymo sistemų renovavimas ir plėtra Lazdijų rajono savivaldybėje</v>
      </c>
      <c r="D53" s="669" t="str">
        <f>CONCATENATE('3 pr-2'!E53)</f>
        <v>UAB „Lazdijų vanduo“</v>
      </c>
      <c r="E53" s="669" t="str">
        <f>CONCATENATE('3 pr-2'!F53)</f>
        <v>Lietuvos Respublikos aplinkos ministerija</v>
      </c>
      <c r="F53" s="669" t="str">
        <f>CONCATENATE('3 pr-2'!G53)</f>
        <v>Lazdijų rajono savivaldybė</v>
      </c>
      <c r="G53" s="669" t="str">
        <f>CONCATENATE('3 pr-2'!H53)</f>
        <v>05.3.2-APVA-R-014</v>
      </c>
      <c r="H53" s="669" t="str">
        <f>CONCATENATE('3 pr-2'!I53)</f>
        <v>R</v>
      </c>
      <c r="I53" s="669" t="str">
        <f>CONCATENATE('3 pr-2'!J53)</f>
        <v>-</v>
      </c>
      <c r="J53" s="474">
        <f>IF(V53&gt;0,'3 pr-2'!L53,0)</f>
        <v>1288228.01</v>
      </c>
      <c r="K53" s="474">
        <f>IF(V53&gt;0,'3 pr-2'!O53,0)</f>
        <v>0</v>
      </c>
      <c r="L53" s="474">
        <f>IF(V53&gt;0,'3 pr-2'!R53,0)</f>
        <v>0</v>
      </c>
      <c r="M53" s="474">
        <f>IF(V53&gt;0,'3 pr-2'!U53,0)</f>
        <v>498126.01</v>
      </c>
      <c r="N53" s="474">
        <f>IF(V53&gt;0,'3 pr-2'!X53,0)</f>
        <v>0</v>
      </c>
      <c r="O53" s="474">
        <f>IF(V53&gt;0,'3 pr-2'!AA53,0)</f>
        <v>790102</v>
      </c>
      <c r="P53" s="671">
        <f t="shared" si="43"/>
        <v>0</v>
      </c>
      <c r="Q53" s="671">
        <f t="shared" si="44"/>
        <v>790102</v>
      </c>
      <c r="R53" s="671">
        <f t="shared" si="45"/>
        <v>0</v>
      </c>
      <c r="S53" s="671">
        <f t="shared" si="46"/>
        <v>0</v>
      </c>
      <c r="T53" s="671">
        <f t="shared" si="47"/>
        <v>0</v>
      </c>
      <c r="U53" s="672">
        <f>SUM('3 pr-2'!AH53)</f>
        <v>42825</v>
      </c>
      <c r="V53" s="670">
        <v>42818</v>
      </c>
      <c r="W53" s="673">
        <f t="shared" si="48"/>
        <v>0</v>
      </c>
      <c r="X53" s="720" t="str">
        <f t="shared" si="49"/>
        <v>–</v>
      </c>
    </row>
    <row r="54" spans="1:24" ht="48.75" x14ac:dyDescent="0.25">
      <c r="A54" s="669" t="str">
        <f>CONCATENATE('3 pr-2'!A54)</f>
        <v>1.1.1.5.4.</v>
      </c>
      <c r="B54" s="674" t="str">
        <f>CONCATENATE('ketv. 2lent'!B53)</f>
        <v>05.3.2-APVA-R-014-11-0003</v>
      </c>
      <c r="C54" s="669" t="str">
        <f>CONCATENATE('3 pr-2'!D54)</f>
        <v>Vandens tiekimo ir nuotekų šalinimo infrastruktūros renovavimas ir plėtra Druskininkų savivaldybėje</v>
      </c>
      <c r="D54" s="669" t="str">
        <f>CONCATENATE('3 pr-2'!E54)</f>
        <v>UAB "Druskininkų vandenys"</v>
      </c>
      <c r="E54" s="669" t="str">
        <f>CONCATENATE('3 pr-2'!F54)</f>
        <v>Lietuvos Respublikos aplinkos ministerija</v>
      </c>
      <c r="F54" s="669" t="str">
        <f>CONCATENATE('3 pr-2'!G54)</f>
        <v>Druskininkų miestas</v>
      </c>
      <c r="G54" s="669" t="str">
        <f>CONCATENATE('3 pr-2'!H54)</f>
        <v>05.3.2-APVA-R-014</v>
      </c>
      <c r="H54" s="669" t="str">
        <f>CONCATENATE('3 pr-2'!I54)</f>
        <v>R</v>
      </c>
      <c r="I54" s="669" t="str">
        <f>CONCATENATE('3 pr-2'!J54)</f>
        <v>-</v>
      </c>
      <c r="J54" s="474">
        <f>IF(V54&gt;0,'3 pr-2'!L54,0)</f>
        <v>5186812</v>
      </c>
      <c r="K54" s="474">
        <f>IF(V54&gt;0,'3 pr-2'!O54,0)</f>
        <v>0</v>
      </c>
      <c r="L54" s="474">
        <f>IF(V54&gt;0,'3 pr-2'!R54,0)</f>
        <v>0</v>
      </c>
      <c r="M54" s="474">
        <f>IF(V54&gt;0,'3 pr-2'!U54,0)</f>
        <v>2294209</v>
      </c>
      <c r="N54" s="474">
        <f>IF(V54&gt;0,'3 pr-2'!X54,0)</f>
        <v>0</v>
      </c>
      <c r="O54" s="474">
        <f>IF(V54&gt;0,'3 pr-2'!AA54,0)</f>
        <v>2892603</v>
      </c>
      <c r="P54" s="671">
        <f t="shared" si="43"/>
        <v>0</v>
      </c>
      <c r="Q54" s="671">
        <f t="shared" si="44"/>
        <v>2892603</v>
      </c>
      <c r="R54" s="671">
        <f t="shared" si="45"/>
        <v>0</v>
      </c>
      <c r="S54" s="671">
        <f t="shared" si="46"/>
        <v>0</v>
      </c>
      <c r="T54" s="671">
        <f t="shared" si="47"/>
        <v>0</v>
      </c>
      <c r="U54" s="672">
        <f>SUM('3 pr-2'!AH54)</f>
        <v>42795</v>
      </c>
      <c r="V54" s="670">
        <v>42810</v>
      </c>
      <c r="W54" s="673">
        <f t="shared" si="48"/>
        <v>0</v>
      </c>
      <c r="X54" s="720">
        <f t="shared" si="49"/>
        <v>-0.49315068493150632</v>
      </c>
    </row>
    <row r="55" spans="1:24" ht="49.5" thickBot="1" x14ac:dyDescent="0.3">
      <c r="A55" s="706" t="str">
        <f>CONCATENATE('3 pr-2'!A55)</f>
        <v>1.1.1.5.5.</v>
      </c>
      <c r="B55" s="707" t="str">
        <f>CONCATENATE('ketv. 2lent'!B54)</f>
        <v>05.3.2-APVA-R-014-11-0005</v>
      </c>
      <c r="C55" s="706" t="str">
        <f>CONCATENATE('3 pr-2'!D55)</f>
        <v>Vandens tiekimo ir nuotekų tvarkymo infrastruktūros plėtra Alytaus rajone (Krokialaukyje)</v>
      </c>
      <c r="D55" s="706" t="str">
        <f>CONCATENATE('3 pr-2'!E55)</f>
        <v>SĮ „Simno komunalininkas“</v>
      </c>
      <c r="E55" s="706" t="str">
        <f>CONCATENATE('3 pr-2'!F55)</f>
        <v>Lietuvos Respublikos aplinkos ministerija</v>
      </c>
      <c r="F55" s="706" t="str">
        <f>CONCATENATE('3 pr-2'!G55)</f>
        <v>Alytaus  rajono savivaldybė</v>
      </c>
      <c r="G55" s="706" t="str">
        <f>CONCATENATE('3 pr-2'!H55)</f>
        <v>05.3.2-APVA-R-014</v>
      </c>
      <c r="H55" s="706" t="str">
        <f>CONCATENATE('3 pr-2'!I55)</f>
        <v>R</v>
      </c>
      <c r="I55" s="706" t="str">
        <f>CONCATENATE('3 pr-2'!J55)</f>
        <v>-</v>
      </c>
      <c r="J55" s="633">
        <f>IF(V55&gt;0,'3 pr-2'!L55,0)</f>
        <v>1481000</v>
      </c>
      <c r="K55" s="633">
        <f>IF(V55&gt;0,'3 pr-2'!O55,0)</f>
        <v>0</v>
      </c>
      <c r="L55" s="633">
        <f>IF(V55&gt;0,'3 pr-2'!R55,0)</f>
        <v>0</v>
      </c>
      <c r="M55" s="633">
        <f>IF(V55&gt;0,'3 pr-2'!U55,0)</f>
        <v>613256</v>
      </c>
      <c r="N55" s="633">
        <f>IF(V55&gt;0,'3 pr-2'!X55,0)</f>
        <v>0</v>
      </c>
      <c r="O55" s="633">
        <f>IF(V55&gt;0,'3 pr-2'!AA55,0)</f>
        <v>867744</v>
      </c>
      <c r="P55" s="708">
        <f t="shared" si="43"/>
        <v>0</v>
      </c>
      <c r="Q55" s="708">
        <f t="shared" si="44"/>
        <v>0</v>
      </c>
      <c r="R55" s="708">
        <f t="shared" si="45"/>
        <v>867744</v>
      </c>
      <c r="S55" s="708">
        <f t="shared" si="46"/>
        <v>0</v>
      </c>
      <c r="T55" s="708">
        <f t="shared" si="47"/>
        <v>0</v>
      </c>
      <c r="U55" s="709">
        <f>SUM('3 pr-2'!AH55)</f>
        <v>43039</v>
      </c>
      <c r="V55" s="659">
        <v>43124</v>
      </c>
      <c r="W55" s="710">
        <f t="shared" si="48"/>
        <v>-1</v>
      </c>
      <c r="X55" s="720">
        <f t="shared" si="49"/>
        <v>-2.7945205479452024</v>
      </c>
    </row>
    <row r="56" spans="1:24" ht="44.25" customHeight="1" thickBot="1" x14ac:dyDescent="0.3">
      <c r="A56" s="497" t="str">
        <f>CONCATENATE('3 pr-2'!A56)</f>
        <v>1.1.1.6</v>
      </c>
      <c r="B56" s="613"/>
      <c r="C56" s="1656" t="str">
        <f>CONCATENATE('3 pr-2'!D56)</f>
        <v/>
      </c>
      <c r="D56" s="1789"/>
      <c r="E56" s="1789"/>
      <c r="F56" s="1789"/>
      <c r="G56" s="1789"/>
      <c r="H56" s="1789"/>
      <c r="I56" s="1790"/>
      <c r="J56" s="629">
        <f>SUM(J57)</f>
        <v>3999404.09</v>
      </c>
      <c r="K56" s="629">
        <f t="shared" ref="K56:O56" si="50">SUM(K57)</f>
        <v>0</v>
      </c>
      <c r="L56" s="629">
        <f t="shared" si="50"/>
        <v>0</v>
      </c>
      <c r="M56" s="629">
        <f t="shared" si="50"/>
        <v>599910.61</v>
      </c>
      <c r="N56" s="629">
        <f t="shared" si="50"/>
        <v>0</v>
      </c>
      <c r="O56" s="629">
        <f t="shared" si="50"/>
        <v>3399493.48</v>
      </c>
      <c r="P56" s="630">
        <f>SUM(P57)</f>
        <v>0</v>
      </c>
      <c r="Q56" s="631">
        <f t="shared" ref="Q56:T56" si="51">SUM(Q57)</f>
        <v>3399493.48</v>
      </c>
      <c r="R56" s="630">
        <f t="shared" si="51"/>
        <v>0</v>
      </c>
      <c r="S56" s="631">
        <f t="shared" si="51"/>
        <v>0</v>
      </c>
      <c r="T56" s="278">
        <f t="shared" si="51"/>
        <v>0</v>
      </c>
      <c r="U56" s="629"/>
      <c r="V56" s="629"/>
      <c r="W56" s="629"/>
      <c r="X56" s="629"/>
    </row>
    <row r="57" spans="1:24" ht="49.5" thickBot="1" x14ac:dyDescent="0.3">
      <c r="A57" s="580" t="str">
        <f>CONCATENATE('3 pr-2'!A57)</f>
        <v>1.1.1.6.1</v>
      </c>
      <c r="B57" s="473" t="str">
        <f>CONCATENATE('ketv. 2lent'!B56)</f>
        <v>05.1.1-APVA-R-007-11-0001</v>
      </c>
      <c r="C57" s="580" t="str">
        <f>CONCATENATE('3 pr-2'!D57)</f>
        <v>Paviršinių nuotekų sistemų tvarkymas Alytaus mieste</v>
      </c>
      <c r="D57" s="580" t="str">
        <f>CONCATENATE('3 pr-2'!E57)</f>
        <v>UAB “Dzūkijos vandenys“</v>
      </c>
      <c r="E57" s="580" t="str">
        <f>CONCATENATE('3 pr-2'!F57)</f>
        <v>Lietuvos Respublikos aplinkos ministerija</v>
      </c>
      <c r="F57" s="580" t="str">
        <f>CONCATENATE('3 pr-2'!G57)</f>
        <v>Alytaus  miestas</v>
      </c>
      <c r="G57" s="580" t="str">
        <f>CONCATENATE('3 pr-2'!H57)</f>
        <v>05.1.1-APVA-R-007</v>
      </c>
      <c r="H57" s="580" t="str">
        <f>CONCATENATE('3 pr-2'!I57)</f>
        <v>R</v>
      </c>
      <c r="I57" s="580" t="str">
        <f>CONCATENATE('3 pr-2'!J57)</f>
        <v>-</v>
      </c>
      <c r="J57" s="476">
        <f>IF(V57&gt;0,'3 pr-2'!L57,0)</f>
        <v>3999404.09</v>
      </c>
      <c r="K57" s="476">
        <f>IF(V57&gt;0,'3 pr-2'!O57,0)</f>
        <v>0</v>
      </c>
      <c r="L57" s="476">
        <f>IF(V57&gt;0,'3 pr-2'!R57,0)</f>
        <v>0</v>
      </c>
      <c r="M57" s="476">
        <f>IF(V57&gt;0,'3 pr-2'!U57,0)</f>
        <v>599910.61</v>
      </c>
      <c r="N57" s="476">
        <f>IF(V57&gt;0,'3 pr-2'!X57,0)</f>
        <v>0</v>
      </c>
      <c r="O57" s="476">
        <f>IF(V57&gt;0,'3 pr-2'!AA57,0)</f>
        <v>3399493.48</v>
      </c>
      <c r="P57" s="476">
        <f t="shared" ref="P57" si="52">IF(YEAR(V57)=2016,O57,0)</f>
        <v>0</v>
      </c>
      <c r="Q57" s="476">
        <f t="shared" ref="Q57" si="53">IF(YEAR(V57)=2017,O57,0)</f>
        <v>3399493.48</v>
      </c>
      <c r="R57" s="476">
        <f t="shared" ref="R57" si="54">IF(YEAR(V57)=2018,O57,0)</f>
        <v>0</v>
      </c>
      <c r="S57" s="476">
        <f t="shared" ref="S57" si="55">IF(YEAR(V57)=2019,O57,0)</f>
        <v>0</v>
      </c>
      <c r="T57" s="476">
        <f t="shared" ref="T57" si="56">IF(YEAR(V57)=2020,O57,0)</f>
        <v>0</v>
      </c>
      <c r="U57" s="675">
        <f>SUM('3 pr-2'!AH57)</f>
        <v>42825</v>
      </c>
      <c r="V57" s="675">
        <v>42815</v>
      </c>
      <c r="W57" s="676">
        <f t="shared" ref="W57" si="57">IF((YEAR(U57)-YEAR(V57))=0,0,YEAR(U57)-YEAR(V57))</f>
        <v>0</v>
      </c>
      <c r="X57" s="720" t="str">
        <f>IF(U57-V57&lt;0,(U57-V57)/30.4166666666667,"–")</f>
        <v>–</v>
      </c>
    </row>
    <row r="58" spans="1:24" ht="39" customHeight="1" thickBot="1" x14ac:dyDescent="0.3">
      <c r="A58" s="497" t="str">
        <f>CONCATENATE('3 pr-2'!A58)</f>
        <v>1.1.1.7</v>
      </c>
      <c r="B58" s="613"/>
      <c r="C58" s="1656" t="str">
        <f>CONCATENATE('3 pr-2'!D58)</f>
        <v>Priemonė:
Savivaldybes jungiančių turizmo trasų ir turizmo maršrutų informacinės infrastruktūros plėtra</v>
      </c>
      <c r="D58" s="1789"/>
      <c r="E58" s="1789"/>
      <c r="F58" s="1789"/>
      <c r="G58" s="1789"/>
      <c r="H58" s="1789"/>
      <c r="I58" s="1790"/>
      <c r="J58" s="629">
        <f>SUM(J59:J61)</f>
        <v>496329.4117647059</v>
      </c>
      <c r="K58" s="629">
        <f t="shared" ref="K58:O58" si="58">SUM(K59:K61)</f>
        <v>74449.411764705874</v>
      </c>
      <c r="L58" s="629">
        <f t="shared" si="58"/>
        <v>0</v>
      </c>
      <c r="M58" s="629">
        <f t="shared" si="58"/>
        <v>0</v>
      </c>
      <c r="N58" s="629">
        <f t="shared" si="58"/>
        <v>0</v>
      </c>
      <c r="O58" s="629">
        <f t="shared" si="58"/>
        <v>421880</v>
      </c>
      <c r="P58" s="630">
        <f>SUM(P59:P61)</f>
        <v>0</v>
      </c>
      <c r="Q58" s="631">
        <f t="shared" ref="Q58:T58" si="59">SUM(Q59:Q61)</f>
        <v>421880</v>
      </c>
      <c r="R58" s="630">
        <f t="shared" si="59"/>
        <v>0</v>
      </c>
      <c r="S58" s="631">
        <f t="shared" si="59"/>
        <v>0</v>
      </c>
      <c r="T58" s="278">
        <f t="shared" si="59"/>
        <v>0</v>
      </c>
      <c r="U58" s="629"/>
      <c r="V58" s="629"/>
      <c r="W58" s="629"/>
      <c r="X58" s="629"/>
    </row>
    <row r="59" spans="1:24" ht="36.75" x14ac:dyDescent="0.25">
      <c r="A59" s="255" t="str">
        <f>CONCATENATE('3 pr-2'!A59)</f>
        <v>1.1.1.7.1</v>
      </c>
      <c r="B59" s="473" t="str">
        <f>CONCATENATE('ketv. 2lent'!B58)</f>
        <v>05.4.1-LVPA-R-821-11-0002</v>
      </c>
      <c r="C59" s="255" t="str">
        <f>CONCATENATE('3 pr-2'!D59)</f>
        <v>Alytaus regiono turizmo informacinės infrastruktūros plėtra</v>
      </c>
      <c r="D59" s="255" t="str">
        <f>CONCATENATE('3 pr-2'!E59)</f>
        <v>Alytaus miesto savivaldybės administracija</v>
      </c>
      <c r="E59" s="255" t="str">
        <f>CONCATENATE('3 pr-2'!F59)</f>
        <v>Lietuvos Respublikos ūkio ministerija</v>
      </c>
      <c r="F59" s="255" t="str">
        <f>CONCATENATE('3 pr-2'!G59)</f>
        <v>Alytaus regionas</v>
      </c>
      <c r="G59" s="255" t="str">
        <f>CONCATENATE('3 pr-2'!H59)</f>
        <v>05.4.1-LVPA-R-821</v>
      </c>
      <c r="H59" s="255" t="str">
        <f>CONCATENATE('3 pr-2'!I59)</f>
        <v>R</v>
      </c>
      <c r="I59" s="255" t="str">
        <f>CONCATENATE('3 pr-2'!J59)</f>
        <v>-</v>
      </c>
      <c r="J59" s="476">
        <f>IF(V59&gt;0,'3 pr-2'!L59,0)</f>
        <v>208223.52941176473</v>
      </c>
      <c r="K59" s="476">
        <f>IF(V59&gt;0,'3 pr-2'!O59,0)</f>
        <v>31233.529411764706</v>
      </c>
      <c r="L59" s="476">
        <f>IF(V59&gt;0,'3 pr-2'!R59,0)</f>
        <v>0</v>
      </c>
      <c r="M59" s="476">
        <f>IF(V59&gt;0,'3 pr-2'!U59,0)</f>
        <v>0</v>
      </c>
      <c r="N59" s="476">
        <f>IF(V59&gt;0,'3 pr-2'!X59,0)</f>
        <v>0</v>
      </c>
      <c r="O59" s="476">
        <f>IF(V59&gt;0,'3 pr-2'!AA59,0)</f>
        <v>176990</v>
      </c>
      <c r="P59" s="474">
        <f t="shared" ref="P59:P61" si="60">IF(YEAR(V59)=2016,O59,0)</f>
        <v>0</v>
      </c>
      <c r="Q59" s="474">
        <f t="shared" ref="Q59:Q61" si="61">IF(YEAR(V59)=2017,O59,0)</f>
        <v>176990</v>
      </c>
      <c r="R59" s="474">
        <f t="shared" ref="R59:R61" si="62">IF(YEAR(V59)=2018,O59,0)</f>
        <v>0</v>
      </c>
      <c r="S59" s="474">
        <f t="shared" ref="S59:S61" si="63">IF(YEAR(V59)=2019,O59,0)</f>
        <v>0</v>
      </c>
      <c r="T59" s="474">
        <f t="shared" ref="T59:T61" si="64">IF(YEAR(V59)=2020,O59,0)</f>
        <v>0</v>
      </c>
      <c r="U59" s="290">
        <f>SUM('3 pr-2'!AH59)</f>
        <v>42855</v>
      </c>
      <c r="V59" s="675">
        <v>42835</v>
      </c>
      <c r="W59" s="291">
        <f t="shared" ref="W59:W60" si="65">IF((YEAR(U59)-YEAR(V59))=0,0,YEAR(U59)-YEAR(V59))</f>
        <v>0</v>
      </c>
      <c r="X59" s="720" t="str">
        <f t="shared" ref="X59:X61" si="66">IF(U59-V59&lt;0,(U59-V59)/30.4166666666667,"–")</f>
        <v>–</v>
      </c>
    </row>
    <row r="60" spans="1:24" ht="48.75" x14ac:dyDescent="0.25">
      <c r="A60" s="255" t="str">
        <f>CONCATENATE('3 pr-2'!A60)</f>
        <v>1.1.1.7.2</v>
      </c>
      <c r="B60" s="473" t="str">
        <f>CONCATENATE('ketv. 2lent'!B59)</f>
        <v>05.4.1-LVPA-R-821-11-0001</v>
      </c>
      <c r="C60" s="255" t="str">
        <f>CONCATENATE('3 pr-2'!D60)</f>
        <v>„Turizmo trasų ir maršrutų informacinės infrastruktūros plėtra  Lazdijų, Varėnos rajonų ir Druskininkų savivaldybėse“</v>
      </c>
      <c r="D60" s="255" t="str">
        <f>CONCATENATE('3 pr-2'!E60)</f>
        <v>Lazdijų rajono savivaldybės administracija</v>
      </c>
      <c r="E60" s="255" t="str">
        <f>CONCATENATE('3 pr-2'!F60)</f>
        <v>Lietuvos Respublikos ūkio ministerija</v>
      </c>
      <c r="F60" s="255" t="str">
        <f>CONCATENATE('3 pr-2'!G60)</f>
        <v xml:space="preserve">Lazdijų, Varėnos rajonų ir Druskininkų savivaldybės </v>
      </c>
      <c r="G60" s="255" t="str">
        <f>CONCATENATE('3 pr-2'!H60)</f>
        <v>05.4.1-LVPA-R-821</v>
      </c>
      <c r="H60" s="255" t="str">
        <f>CONCATENATE('3 pr-2'!I60)</f>
        <v>R</v>
      </c>
      <c r="I60" s="255" t="str">
        <f>CONCATENATE('3 pr-2'!J60)</f>
        <v>-</v>
      </c>
      <c r="J60" s="476">
        <f>IF(V60&gt;0,'3 pr-2'!L60,0)</f>
        <v>288105.8823529412</v>
      </c>
      <c r="K60" s="476">
        <f>IF(V60&gt;0,'3 pr-2'!O60,0)</f>
        <v>43215.882352941175</v>
      </c>
      <c r="L60" s="476">
        <f>IF(V60&gt;0,'3 pr-2'!R60,0)</f>
        <v>0</v>
      </c>
      <c r="M60" s="476">
        <f>IF(V60&gt;0,'3 pr-2'!U60,0)</f>
        <v>0</v>
      </c>
      <c r="N60" s="476">
        <f>IF(V60&gt;0,'3 pr-2'!X60,0)</f>
        <v>0</v>
      </c>
      <c r="O60" s="476">
        <f>IF(V60&gt;0,'3 pr-2'!AA60,0)</f>
        <v>244890</v>
      </c>
      <c r="P60" s="474">
        <f t="shared" si="60"/>
        <v>0</v>
      </c>
      <c r="Q60" s="474">
        <f t="shared" si="61"/>
        <v>244890</v>
      </c>
      <c r="R60" s="474">
        <f t="shared" si="62"/>
        <v>0</v>
      </c>
      <c r="S60" s="474">
        <f t="shared" si="63"/>
        <v>0</v>
      </c>
      <c r="T60" s="474">
        <f t="shared" si="64"/>
        <v>0</v>
      </c>
      <c r="U60" s="290">
        <f>SUM('3 pr-2'!AH60)</f>
        <v>42825</v>
      </c>
      <c r="V60" s="675">
        <v>42811</v>
      </c>
      <c r="W60" s="291">
        <f t="shared" si="65"/>
        <v>0</v>
      </c>
      <c r="X60" s="720" t="str">
        <f t="shared" si="66"/>
        <v>–</v>
      </c>
    </row>
    <row r="61" spans="1:24" ht="49.5" thickBot="1" x14ac:dyDescent="0.3">
      <c r="A61" s="255" t="str">
        <f>CONCATENATE('3 pr-2'!A61)</f>
        <v>1.1.1.7.3</v>
      </c>
      <c r="B61" s="473" t="str">
        <f>CONCATENATE('ketv. 2lent'!B60)</f>
        <v/>
      </c>
      <c r="C61" s="255" t="str">
        <f>CONCATENATE('3 pr-2'!D61)</f>
        <v>„Turizmo trasų ir maršrutų informacinės infrastruktūros plėtra  Lazdijų, Varėnos rajonų ir Druskininkų savivaldybėse II etapas“</v>
      </c>
      <c r="D61" s="255" t="str">
        <f>CONCATENATE('3 pr-2'!E61)</f>
        <v>Lazdijų rajono savivaldybės administracija</v>
      </c>
      <c r="E61" s="255" t="str">
        <f>CONCATENATE('3 pr-2'!F61)</f>
        <v>Lietuvos Respublikos ūkio ministerija</v>
      </c>
      <c r="F61" s="255" t="str">
        <f>CONCATENATE('3 pr-2'!G61)</f>
        <v xml:space="preserve">Lazdijų, Varėnos rajonų ir Druskininkų savivaldybės </v>
      </c>
      <c r="G61" s="255" t="str">
        <f>CONCATENATE('3 pr-2'!H61)</f>
        <v>05.4.1-LVPA-R-821</v>
      </c>
      <c r="H61" s="255" t="str">
        <f>CONCATENATE('3 pr-2'!I61)</f>
        <v>R</v>
      </c>
      <c r="I61" s="255" t="str">
        <f>CONCATENATE('3 pr-2'!J61)</f>
        <v>-</v>
      </c>
      <c r="J61" s="476">
        <f>IF(V61&gt;0,'3 pr-2'!L61,0)</f>
        <v>0</v>
      </c>
      <c r="K61" s="476">
        <f>IF(V61&gt;0,'3 pr-2'!O61,0)</f>
        <v>0</v>
      </c>
      <c r="L61" s="476">
        <f>IF(V61&gt;0,'3 pr-2'!R61,0)</f>
        <v>0</v>
      </c>
      <c r="M61" s="476">
        <f>IF(V61&gt;0,'3 pr-2'!U61,0)</f>
        <v>0</v>
      </c>
      <c r="N61" s="476">
        <f>IF(V61&gt;0,'3 pr-2'!X61,0)</f>
        <v>0</v>
      </c>
      <c r="O61" s="476">
        <f>IF(V61&gt;0,'3 pr-2'!AA61,0)</f>
        <v>0</v>
      </c>
      <c r="P61" s="474">
        <f t="shared" si="60"/>
        <v>0</v>
      </c>
      <c r="Q61" s="474">
        <f t="shared" si="61"/>
        <v>0</v>
      </c>
      <c r="R61" s="474">
        <f t="shared" si="62"/>
        <v>0</v>
      </c>
      <c r="S61" s="474">
        <f t="shared" si="63"/>
        <v>0</v>
      </c>
      <c r="T61" s="474">
        <f t="shared" si="64"/>
        <v>0</v>
      </c>
      <c r="U61" s="290">
        <f>SUM('3 pr-2'!AH61)</f>
        <v>43586</v>
      </c>
      <c r="V61" s="291"/>
      <c r="W61" s="291"/>
      <c r="X61" s="720" t="str">
        <f t="shared" si="66"/>
        <v>–</v>
      </c>
    </row>
    <row r="62" spans="1:24" ht="36.75" customHeight="1" thickBot="1" x14ac:dyDescent="0.3">
      <c r="A62" s="497" t="str">
        <f>CONCATENATE('3 pr-2'!A62)</f>
        <v>1.1.1.8</v>
      </c>
      <c r="B62" s="613"/>
      <c r="C62" s="1656" t="str">
        <f>CONCATENATE('3 pr-2'!D62)</f>
        <v/>
      </c>
      <c r="D62" s="1789"/>
      <c r="E62" s="1789"/>
      <c r="F62" s="1789"/>
      <c r="G62" s="1789"/>
      <c r="H62" s="1789"/>
      <c r="I62" s="1790"/>
      <c r="J62" s="629">
        <f>SUM(J63:J66)</f>
        <v>1488066.1600000001</v>
      </c>
      <c r="K62" s="629">
        <f t="shared" ref="K62:O62" si="67">SUM(K63:K66)</f>
        <v>237042.63999999998</v>
      </c>
      <c r="L62" s="629">
        <f t="shared" si="67"/>
        <v>352400.82</v>
      </c>
      <c r="M62" s="629">
        <f t="shared" si="67"/>
        <v>0</v>
      </c>
      <c r="N62" s="629">
        <f t="shared" si="67"/>
        <v>0</v>
      </c>
      <c r="O62" s="629">
        <f t="shared" si="67"/>
        <v>898622.7</v>
      </c>
      <c r="P62" s="630">
        <f>SUM(P63:P66)</f>
        <v>0</v>
      </c>
      <c r="Q62" s="631">
        <f t="shared" ref="Q62:T62" si="68">SUM(Q63:Q66)</f>
        <v>898622.7</v>
      </c>
      <c r="R62" s="630">
        <f t="shared" si="68"/>
        <v>0</v>
      </c>
      <c r="S62" s="631">
        <f t="shared" si="68"/>
        <v>0</v>
      </c>
      <c r="T62" s="278">
        <f t="shared" si="68"/>
        <v>0</v>
      </c>
      <c r="U62" s="629"/>
      <c r="V62" s="629"/>
      <c r="W62" s="629"/>
      <c r="X62" s="629"/>
    </row>
    <row r="63" spans="1:24" ht="48.75" x14ac:dyDescent="0.25">
      <c r="A63" s="255" t="str">
        <f>CONCATENATE('3 pr-2'!A63)</f>
        <v>1.1.1.8.1</v>
      </c>
      <c r="B63" s="473" t="str">
        <f>CONCATENATE('ketv. 2lent'!B62)</f>
        <v>07.1.1-CPVA-R-305-11-0001</v>
      </c>
      <c r="C63" s="255" t="str">
        <f>CONCATENATE('3 pr-2'!D63)</f>
        <v>Kultūros įstaigų infrastruktūros modernizavimas Varėnos mieste</v>
      </c>
      <c r="D63" s="255" t="str">
        <f>CONCATENATE('3 pr-2'!E63)</f>
        <v>Varėnos rajono savivaldybės administracija</v>
      </c>
      <c r="E63" s="255" t="str">
        <f>CONCATENATE('3 pr-2'!F63)</f>
        <v>Lietuvos Respublikos kultūros ministerija</v>
      </c>
      <c r="F63" s="255" t="str">
        <f>CONCATENATE('3 pr-2'!G63)</f>
        <v>Varėnos miestas</v>
      </c>
      <c r="G63" s="255" t="str">
        <f>CONCATENATE('3 pr-2'!H63)</f>
        <v>07.1.1-CPVA-R-305</v>
      </c>
      <c r="H63" s="255" t="str">
        <f>CONCATENATE('3 pr-2'!I63)</f>
        <v>R</v>
      </c>
      <c r="I63" s="255" t="str">
        <f>CONCATENATE('3 pr-2'!J63)</f>
        <v>ITI</v>
      </c>
      <c r="J63" s="476">
        <f>IF(V63&gt;0,'3 pr-2'!L63,0)</f>
        <v>352401</v>
      </c>
      <c r="K63" s="476">
        <f>IF(V63&gt;0,'3 pr-2'!O63,0)</f>
        <v>52860.15</v>
      </c>
      <c r="L63" s="476">
        <f>IF(V63&gt;0,'3 pr-2'!R63,0)</f>
        <v>0</v>
      </c>
      <c r="M63" s="476">
        <f>IF(V63&gt;0,'3 pr-2'!U63,0)</f>
        <v>0</v>
      </c>
      <c r="N63" s="476">
        <f>IF(V63&gt;0,'3 pr-2'!X63,0)</f>
        <v>0</v>
      </c>
      <c r="O63" s="476">
        <f>IF(V63&gt;0,'3 pr-2'!AA63,0)</f>
        <v>299540.84999999998</v>
      </c>
      <c r="P63" s="474">
        <f t="shared" ref="P63:P66" si="69">IF(YEAR(V63)=2016,O63,0)</f>
        <v>0</v>
      </c>
      <c r="Q63" s="474">
        <f t="shared" ref="Q63:Q66" si="70">IF(YEAR(V63)=2017,O63,0)</f>
        <v>299540.84999999998</v>
      </c>
      <c r="R63" s="474">
        <f t="shared" ref="R63:R66" si="71">IF(YEAR(V63)=2018,O63,0)</f>
        <v>0</v>
      </c>
      <c r="S63" s="474">
        <f t="shared" ref="S63:S66" si="72">IF(YEAR(V63)=2019,O63,0)</f>
        <v>0</v>
      </c>
      <c r="T63" s="474">
        <f t="shared" ref="T63:T66" si="73">IF(YEAR(V63)=2020,O63,0)</f>
        <v>0</v>
      </c>
      <c r="U63" s="290">
        <f>SUM('3 pr-2'!AH63)</f>
        <v>42855</v>
      </c>
      <c r="V63" s="678">
        <v>42860</v>
      </c>
      <c r="W63" s="291">
        <f t="shared" ref="W63:W65" si="74">IF((YEAR(U63)-YEAR(V63))=0,0,YEAR(U63)-YEAR(V63))</f>
        <v>0</v>
      </c>
      <c r="X63" s="720">
        <f t="shared" ref="X63:X66" si="75">IF(U63-V63&lt;0,(U63-V63)/30.4166666666667,"–")</f>
        <v>-0.16438356164383544</v>
      </c>
    </row>
    <row r="64" spans="1:24" ht="48.75" x14ac:dyDescent="0.25">
      <c r="A64" s="255" t="str">
        <f>CONCATENATE('3 pr-2'!A64)</f>
        <v>1.1.1.8.2</v>
      </c>
      <c r="B64" s="473" t="str">
        <f>CONCATENATE('ketv. 2lent'!B63)</f>
        <v>07.1.1-CPVA-R-305-11-0002</v>
      </c>
      <c r="C64" s="255" t="str">
        <f>CONCATENATE('3 pr-2'!D64)</f>
        <v>VšĮ Alytaus kultūros ir komunikacijos centro pastato Alytuje, Pramonės g. 1B, rekonstravimas</v>
      </c>
      <c r="D64" s="255" t="str">
        <f>CONCATENATE('3 pr-2'!E64)</f>
        <v>Alytaus miesto savivaldybės administracija</v>
      </c>
      <c r="E64" s="255" t="str">
        <f>CONCATENATE('3 pr-2'!F64)</f>
        <v>Lietuvos Respublikos kultūros ministerija</v>
      </c>
      <c r="F64" s="255" t="str">
        <f>CONCATENATE('3 pr-2'!G64)</f>
        <v>Alytaus miestas</v>
      </c>
      <c r="G64" s="255" t="str">
        <f>CONCATENATE('3 pr-2'!H64)</f>
        <v>07.1.1-CPVA-R-305</v>
      </c>
      <c r="H64" s="255" t="str">
        <f>CONCATENATE('3 pr-2'!I64)</f>
        <v>R</v>
      </c>
      <c r="I64" s="255" t="str">
        <f>CONCATENATE('3 pr-2'!J64)</f>
        <v>ITI</v>
      </c>
      <c r="J64" s="476">
        <f>IF(V64&gt;0,'3 pr-2'!L64,0)</f>
        <v>783264.16</v>
      </c>
      <c r="K64" s="476">
        <f>IF(V64&gt;0,'3 pr-2'!O64,0)</f>
        <v>131322.34</v>
      </c>
      <c r="L64" s="476">
        <f>IF(V64&gt;0,'3 pr-2'!R64,0)</f>
        <v>352400.82</v>
      </c>
      <c r="M64" s="476">
        <f>IF(V64&gt;0,'3 pr-2'!U64,0)</f>
        <v>0</v>
      </c>
      <c r="N64" s="476">
        <f>IF(V64&gt;0,'3 pr-2'!X64,0)</f>
        <v>0</v>
      </c>
      <c r="O64" s="476">
        <f>IF(V64&gt;0,'3 pr-2'!AA64,0)</f>
        <v>299541</v>
      </c>
      <c r="P64" s="474">
        <f t="shared" si="69"/>
        <v>0</v>
      </c>
      <c r="Q64" s="474">
        <f t="shared" si="70"/>
        <v>299541</v>
      </c>
      <c r="R64" s="474">
        <f t="shared" si="71"/>
        <v>0</v>
      </c>
      <c r="S64" s="474">
        <f t="shared" si="72"/>
        <v>0</v>
      </c>
      <c r="T64" s="474">
        <f t="shared" si="73"/>
        <v>0</v>
      </c>
      <c r="U64" s="290">
        <f>SUM('3 pr-2'!AH64)</f>
        <v>42855</v>
      </c>
      <c r="V64" s="678">
        <v>42886</v>
      </c>
      <c r="W64" s="291">
        <f t="shared" si="74"/>
        <v>0</v>
      </c>
      <c r="X64" s="720">
        <f t="shared" si="75"/>
        <v>-1.0191780821917797</v>
      </c>
    </row>
    <row r="65" spans="1:24" ht="48.75" x14ac:dyDescent="0.25">
      <c r="A65" s="255" t="str">
        <f>CONCATENATE('3 pr-2'!A65)</f>
        <v>1.1.1.8.3</v>
      </c>
      <c r="B65" s="473" t="str">
        <f>CONCATENATE('ketv. 2lent'!B64)</f>
        <v>07.1.1-CPVA-R-305-11-0003</v>
      </c>
      <c r="C65" s="255" t="str">
        <f>CONCATENATE('3 pr-2'!D65)</f>
        <v>Druskininkų kultūros centro lauko scenos, Vilniaus al. 24, Druskininkai, modernizavimas ir pritaikymas kultūros  poreikiams</v>
      </c>
      <c r="D65" s="255" t="str">
        <f>CONCATENATE('3 pr-2'!E65)</f>
        <v xml:space="preserve">Druskininkų savivaldybės administracija  </v>
      </c>
      <c r="E65" s="255" t="str">
        <f>CONCATENATE('3 pr-2'!F65)</f>
        <v>Lietuvos Respublikos kultūros ministerija</v>
      </c>
      <c r="F65" s="255" t="str">
        <f>CONCATENATE('3 pr-2'!G65)</f>
        <v>Druskininkų  miestas</v>
      </c>
      <c r="G65" s="255" t="str">
        <f>CONCATENATE('3 pr-2'!H65)</f>
        <v>07.1.1-CPVA-R-305</v>
      </c>
      <c r="H65" s="255" t="str">
        <f>CONCATENATE('3 pr-2'!I65)</f>
        <v>R</v>
      </c>
      <c r="I65" s="255" t="str">
        <f>CONCATENATE('3 pr-2'!J65)</f>
        <v>ITI</v>
      </c>
      <c r="J65" s="476">
        <f>IF(V65&gt;0,'3 pr-2'!L65,0)</f>
        <v>352401</v>
      </c>
      <c r="K65" s="476">
        <f>IF(V65&gt;0,'3 pr-2'!O65,0)</f>
        <v>52860.15</v>
      </c>
      <c r="L65" s="476">
        <f>IF(V65&gt;0,'3 pr-2'!R65,0)</f>
        <v>0</v>
      </c>
      <c r="M65" s="476">
        <f>IF(V65&gt;0,'3 pr-2'!U65,0)</f>
        <v>0</v>
      </c>
      <c r="N65" s="476">
        <f>IF(V65&gt;0,'3 pr-2'!X65,0)</f>
        <v>0</v>
      </c>
      <c r="O65" s="476">
        <f>IF(V65&gt;0,'3 pr-2'!AA65,0)</f>
        <v>299540.84999999998</v>
      </c>
      <c r="P65" s="474">
        <f t="shared" si="69"/>
        <v>0</v>
      </c>
      <c r="Q65" s="474">
        <f t="shared" si="70"/>
        <v>299540.84999999998</v>
      </c>
      <c r="R65" s="474">
        <f t="shared" si="71"/>
        <v>0</v>
      </c>
      <c r="S65" s="474">
        <f t="shared" si="72"/>
        <v>0</v>
      </c>
      <c r="T65" s="474">
        <f t="shared" si="73"/>
        <v>0</v>
      </c>
      <c r="U65" s="290">
        <f>SUM('3 pr-2'!AH65)</f>
        <v>42886</v>
      </c>
      <c r="V65" s="678">
        <v>42857</v>
      </c>
      <c r="W65" s="291">
        <f t="shared" si="74"/>
        <v>0</v>
      </c>
      <c r="X65" s="720" t="str">
        <f t="shared" si="75"/>
        <v>–</v>
      </c>
    </row>
    <row r="66" spans="1:24" ht="49.5" thickBot="1" x14ac:dyDescent="0.3">
      <c r="A66" s="255" t="str">
        <f>CONCATENATE('3 pr-2'!A66)</f>
        <v>1.1.1.8.4</v>
      </c>
      <c r="B66" s="473" t="str">
        <f>CONCATENATE('ketv. 2lent'!B65)</f>
        <v>07.1.1-CPVA-R-305-11-0004</v>
      </c>
      <c r="C66" s="255" t="str">
        <f>CONCATENATE('3 pr-2'!D66)</f>
        <v>Pastato rekonstrukcija ir pritaikymas kultūrinėms, muziejinėms ir edukacinėms reikmėms</v>
      </c>
      <c r="D66" s="255" t="str">
        <f>CONCATENATE('3 pr-2'!E66)</f>
        <v>Lazdijų rajono savivaldybės administracija</v>
      </c>
      <c r="E66" s="255" t="str">
        <f>CONCATENATE('3 pr-2'!F66)</f>
        <v>Lietuvos Respublikos kultūros ministerija</v>
      </c>
      <c r="F66" s="255" t="str">
        <f>CONCATENATE('3 pr-2'!G66)</f>
        <v>Lazdijų miestas</v>
      </c>
      <c r="G66" s="255" t="str">
        <f>CONCATENATE('3 pr-2'!H66)</f>
        <v>07.1.1-CPVA-R-305</v>
      </c>
      <c r="H66" s="255" t="str">
        <f>CONCATENATE('3 pr-2'!I66)</f>
        <v>R</v>
      </c>
      <c r="I66" s="255" t="str">
        <f>CONCATENATE('3 pr-2'!J66)</f>
        <v>ITI</v>
      </c>
      <c r="J66" s="476">
        <f>IF(V66&gt;0,'3 pr-2'!L66,0)</f>
        <v>0</v>
      </c>
      <c r="K66" s="476">
        <f>IF(V66&gt;0,'3 pr-2'!O66,0)</f>
        <v>0</v>
      </c>
      <c r="L66" s="476">
        <f>IF(V66&gt;0,'3 pr-2'!R66,0)</f>
        <v>0</v>
      </c>
      <c r="M66" s="476">
        <f>IF(V66&gt;0,'3 pr-2'!U66,0)</f>
        <v>0</v>
      </c>
      <c r="N66" s="476">
        <f>IF(V66&gt;0,'3 pr-2'!X66,0)</f>
        <v>0</v>
      </c>
      <c r="O66" s="476">
        <f>IF(V66&gt;0,'3 pr-2'!AA66,0)</f>
        <v>0</v>
      </c>
      <c r="P66" s="474">
        <f t="shared" si="69"/>
        <v>0</v>
      </c>
      <c r="Q66" s="474">
        <f t="shared" si="70"/>
        <v>0</v>
      </c>
      <c r="R66" s="474">
        <f t="shared" si="71"/>
        <v>0</v>
      </c>
      <c r="S66" s="474">
        <f t="shared" si="72"/>
        <v>0</v>
      </c>
      <c r="T66" s="474">
        <f t="shared" si="73"/>
        <v>0</v>
      </c>
      <c r="U66" s="290">
        <f>SUM('3 pr-2'!AH66)</f>
        <v>43190</v>
      </c>
      <c r="V66" s="308"/>
      <c r="W66" s="291"/>
      <c r="X66" s="720" t="str">
        <f t="shared" si="75"/>
        <v>–</v>
      </c>
    </row>
    <row r="67" spans="1:24" ht="39" customHeight="1" thickBot="1" x14ac:dyDescent="0.3">
      <c r="A67" s="497" t="str">
        <f>CONCATENATE('3 pr-2'!A67)</f>
        <v>1.1.1.9</v>
      </c>
      <c r="B67" s="613"/>
      <c r="C67" s="1656" t="str">
        <f>CONCATENATE('3 pr-2'!D67)</f>
        <v/>
      </c>
      <c r="D67" s="1789"/>
      <c r="E67" s="1789"/>
      <c r="F67" s="1789"/>
      <c r="G67" s="1789"/>
      <c r="H67" s="1789"/>
      <c r="I67" s="1790"/>
      <c r="J67" s="629">
        <f>SUM(J68:J72)</f>
        <v>0</v>
      </c>
      <c r="K67" s="629">
        <f t="shared" ref="K67:O67" si="76">SUM(K68:K72)</f>
        <v>0</v>
      </c>
      <c r="L67" s="629">
        <f t="shared" si="76"/>
        <v>0</v>
      </c>
      <c r="M67" s="629">
        <f t="shared" si="76"/>
        <v>0</v>
      </c>
      <c r="N67" s="629">
        <f t="shared" si="76"/>
        <v>0</v>
      </c>
      <c r="O67" s="629">
        <f t="shared" si="76"/>
        <v>0</v>
      </c>
      <c r="P67" s="630">
        <f>SUM(P68:P72)</f>
        <v>0</v>
      </c>
      <c r="Q67" s="631">
        <f t="shared" ref="Q67:T67" si="77">SUM(Q68:Q72)</f>
        <v>0</v>
      </c>
      <c r="R67" s="630">
        <f t="shared" si="77"/>
        <v>0</v>
      </c>
      <c r="S67" s="631">
        <f t="shared" si="77"/>
        <v>0</v>
      </c>
      <c r="T67" s="278">
        <f t="shared" si="77"/>
        <v>0</v>
      </c>
      <c r="U67" s="629"/>
      <c r="V67" s="629"/>
      <c r="W67" s="629"/>
      <c r="X67" s="629"/>
    </row>
    <row r="68" spans="1:24" ht="48.75" x14ac:dyDescent="0.25">
      <c r="A68" s="255" t="str">
        <f>CONCATENATE('3 pr-2'!A68)</f>
        <v>1.1.1.9.1</v>
      </c>
      <c r="B68" s="473" t="str">
        <f>CONCATENATE('ketv. 2lent'!B67)</f>
        <v/>
      </c>
      <c r="C68" s="255" t="str">
        <f>CONCATENATE('3 pr-2'!D68)</f>
        <v>Buvusios sinagogos pastato Kauno g. 9A Alytuje rekonstravimas ir aplinkinės teritorijos sutvarkymas</v>
      </c>
      <c r="D68" s="255" t="str">
        <f>CONCATENATE('3 pr-2'!E68)</f>
        <v>Alytaus miesto savivaldybės administracija</v>
      </c>
      <c r="E68" s="255" t="str">
        <f>CONCATENATE('3 pr-2'!F68)</f>
        <v>Lietuvos Respublikos kultūros ministerija</v>
      </c>
      <c r="F68" s="255" t="str">
        <f>CONCATENATE('3 pr-2'!G68)</f>
        <v>Alytaus  miestas</v>
      </c>
      <c r="G68" s="255" t="str">
        <f>CONCATENATE('3 pr-2'!H68)</f>
        <v>05.4.1-CPVA-R-302</v>
      </c>
      <c r="H68" s="255" t="str">
        <f>CONCATENATE('3 pr-2'!I68)</f>
        <v>R</v>
      </c>
      <c r="I68" s="255" t="str">
        <f>CONCATENATE('3 pr-2'!J68)</f>
        <v>ITI</v>
      </c>
      <c r="J68" s="476">
        <f>IF(V68&gt;0,'3 pr-2'!L68,0)</f>
        <v>0</v>
      </c>
      <c r="K68" s="476">
        <f>IF(V68&gt;0,'3 pr-2'!O68,0)</f>
        <v>0</v>
      </c>
      <c r="L68" s="476">
        <f>IF(V68&gt;0,'3 pr-2'!R68,0)</f>
        <v>0</v>
      </c>
      <c r="M68" s="476">
        <f>IF(V68&gt;0,'3 pr-2'!U68,0)</f>
        <v>0</v>
      </c>
      <c r="N68" s="476">
        <f>IF(V68&gt;0,'3 pr-2'!X68,0)</f>
        <v>0</v>
      </c>
      <c r="O68" s="476">
        <f>IF(V68&gt;0,'3 pr-2'!AA68,0)</f>
        <v>0</v>
      </c>
      <c r="P68" s="474">
        <f t="shared" ref="P68:P72" si="78">IF(YEAR(V68)=2016,O68,0)</f>
        <v>0</v>
      </c>
      <c r="Q68" s="474">
        <f t="shared" ref="Q68:Q72" si="79">IF(YEAR(V68)=2017,O68,0)</f>
        <v>0</v>
      </c>
      <c r="R68" s="474">
        <f t="shared" ref="R68:R72" si="80">IF(YEAR(V68)=2018,O68,0)</f>
        <v>0</v>
      </c>
      <c r="S68" s="474">
        <f t="shared" ref="S68:S72" si="81">IF(YEAR(V68)=2019,O68,0)</f>
        <v>0</v>
      </c>
      <c r="T68" s="474">
        <f t="shared" ref="T68:T72" si="82">IF(YEAR(V68)=2020,O68,0)</f>
        <v>0</v>
      </c>
      <c r="U68" s="290">
        <f>SUM('3 pr-2'!AH68)</f>
        <v>43281</v>
      </c>
      <c r="V68" s="290"/>
      <c r="W68" s="291"/>
      <c r="X68" s="720" t="str">
        <f t="shared" ref="X68:X72" si="83">IF(U68-V68&lt;0,(U68-V68)/30.4166666666667,"–")</f>
        <v>–</v>
      </c>
    </row>
    <row r="69" spans="1:24" ht="48.75" x14ac:dyDescent="0.25">
      <c r="A69" s="255" t="str">
        <f>CONCATENATE('3 pr-2'!A69)</f>
        <v>1.1.1.9.2</v>
      </c>
      <c r="B69" s="473" t="str">
        <f>CONCATENATE('ketv. 2lent'!B68)</f>
        <v/>
      </c>
      <c r="C69" s="255" t="str">
        <f>CONCATENATE('3 pr-2'!D69)</f>
        <v>Mažosios dailės galerijos, M.K.Čiurlionio g. 37, Druskininkai, modernizavimas ir pritaikymas kultūros poreikiams</v>
      </c>
      <c r="D69" s="255" t="str">
        <f>CONCATENATE('3 pr-2'!E69)</f>
        <v xml:space="preserve">Druskininkų savivaldybės administracija  </v>
      </c>
      <c r="E69" s="255" t="str">
        <f>CONCATENATE('3 pr-2'!F69)</f>
        <v>Lietuvos Respublikos kultūros ministerija</v>
      </c>
      <c r="F69" s="255" t="str">
        <f>CONCATENATE('3 pr-2'!G69)</f>
        <v>Druskininkų  miestas</v>
      </c>
      <c r="G69" s="255" t="str">
        <f>CONCATENATE('3 pr-2'!H69)</f>
        <v>05.4.1-CPVA-R-302</v>
      </c>
      <c r="H69" s="255" t="str">
        <f>CONCATENATE('3 pr-2'!I69)</f>
        <v>R</v>
      </c>
      <c r="I69" s="255" t="str">
        <f>CONCATENATE('3 pr-2'!J69)</f>
        <v>ITI</v>
      </c>
      <c r="J69" s="476">
        <f>IF(V69&gt;0,'3 pr-2'!L69,0)</f>
        <v>0</v>
      </c>
      <c r="K69" s="476">
        <f>IF(V69&gt;0,'3 pr-2'!O69,0)</f>
        <v>0</v>
      </c>
      <c r="L69" s="476">
        <f>IF(V69&gt;0,'3 pr-2'!R69,0)</f>
        <v>0</v>
      </c>
      <c r="M69" s="476">
        <f>IF(V69&gt;0,'3 pr-2'!U69,0)</f>
        <v>0</v>
      </c>
      <c r="N69" s="476">
        <f>IF(V69&gt;0,'3 pr-2'!X69,0)</f>
        <v>0</v>
      </c>
      <c r="O69" s="476">
        <f>IF(V69&gt;0,'3 pr-2'!AA69,0)</f>
        <v>0</v>
      </c>
      <c r="P69" s="474">
        <f t="shared" si="78"/>
        <v>0</v>
      </c>
      <c r="Q69" s="474">
        <f t="shared" si="79"/>
        <v>0</v>
      </c>
      <c r="R69" s="474">
        <f t="shared" si="80"/>
        <v>0</v>
      </c>
      <c r="S69" s="474">
        <f t="shared" si="81"/>
        <v>0</v>
      </c>
      <c r="T69" s="474">
        <f t="shared" si="82"/>
        <v>0</v>
      </c>
      <c r="U69" s="290">
        <f>SUM('3 pr-2'!AH69)</f>
        <v>43281</v>
      </c>
      <c r="V69" s="290"/>
      <c r="W69" s="291"/>
      <c r="X69" s="720" t="str">
        <f t="shared" si="83"/>
        <v>–</v>
      </c>
    </row>
    <row r="70" spans="1:24" ht="48.75" x14ac:dyDescent="0.25">
      <c r="A70" s="255" t="str">
        <f>CONCATENATE('3 pr-2'!A70)</f>
        <v>1.1.1.9.3</v>
      </c>
      <c r="B70" s="473" t="str">
        <f>CONCATENATE('ketv. 2lent'!B69)</f>
        <v/>
      </c>
      <c r="C70" s="255" t="str">
        <f>CONCATENATE('3 pr-2'!D70)</f>
        <v>Motiejaus  Gustaičio  memorialinio  namo  kompleksinis sutvarkymas</v>
      </c>
      <c r="D70" s="255" t="str">
        <f>CONCATENATE('3 pr-2'!E70)</f>
        <v>Lazdijų rajono savivaldybės administracija</v>
      </c>
      <c r="E70" s="255" t="str">
        <f>CONCATENATE('3 pr-2'!F70)</f>
        <v>Lietuvos Respublikos kultūros ministerija</v>
      </c>
      <c r="F70" s="255" t="str">
        <f>CONCATENATE('3 pr-2'!G70)</f>
        <v>Lazdijų miestas</v>
      </c>
      <c r="G70" s="255" t="str">
        <f>CONCATENATE('3 pr-2'!H70)</f>
        <v>05.4.1-CPVA-R-302</v>
      </c>
      <c r="H70" s="255" t="str">
        <f>CONCATENATE('3 pr-2'!I70)</f>
        <v>R</v>
      </c>
      <c r="I70" s="255" t="str">
        <f>CONCATENATE('3 pr-2'!J70)</f>
        <v>ITI</v>
      </c>
      <c r="J70" s="476">
        <f>IF(V70&gt;0,'3 pr-2'!L70,0)</f>
        <v>0</v>
      </c>
      <c r="K70" s="476">
        <f>IF(V70&gt;0,'3 pr-2'!O70,0)</f>
        <v>0</v>
      </c>
      <c r="L70" s="476">
        <f>IF(V70&gt;0,'3 pr-2'!R70,0)</f>
        <v>0</v>
      </c>
      <c r="M70" s="476">
        <f>IF(V70&gt;0,'3 pr-2'!U70,0)</f>
        <v>0</v>
      </c>
      <c r="N70" s="476">
        <f>IF(V70&gt;0,'3 pr-2'!X70,0)</f>
        <v>0</v>
      </c>
      <c r="O70" s="476">
        <f>IF(V70&gt;0,'3 pr-2'!AA70,0)</f>
        <v>0</v>
      </c>
      <c r="P70" s="474">
        <f t="shared" si="78"/>
        <v>0</v>
      </c>
      <c r="Q70" s="474">
        <f t="shared" si="79"/>
        <v>0</v>
      </c>
      <c r="R70" s="474">
        <f t="shared" si="80"/>
        <v>0</v>
      </c>
      <c r="S70" s="474">
        <f t="shared" si="81"/>
        <v>0</v>
      </c>
      <c r="T70" s="474">
        <f t="shared" si="82"/>
        <v>0</v>
      </c>
      <c r="U70" s="290">
        <f>SUM('3 pr-2'!AH70)</f>
        <v>43249</v>
      </c>
      <c r="V70" s="290"/>
      <c r="W70" s="291"/>
      <c r="X70" s="720" t="str">
        <f t="shared" si="83"/>
        <v>–</v>
      </c>
    </row>
    <row r="71" spans="1:24" ht="48.75" x14ac:dyDescent="0.25">
      <c r="A71" s="255" t="str">
        <f>CONCATENATE('3 pr-2'!A71)</f>
        <v>1.1.1.9.4</v>
      </c>
      <c r="B71" s="473" t="str">
        <f>CONCATENATE('ketv. 2lent'!B70)</f>
        <v/>
      </c>
      <c r="C71" s="255" t="str">
        <f>CONCATENATE('3 pr-2'!D71)</f>
        <v>Kurnėnų Lauryno Radziukyno mokyklos pritaikymas kultūrinėms ir turistinėms reikmėms</v>
      </c>
      <c r="D71" s="255" t="str">
        <f>CONCATENATE('3 pr-2'!E71)</f>
        <v>Alytaus rajono savivaldybės administracija</v>
      </c>
      <c r="E71" s="255" t="str">
        <f>CONCATENATE('3 pr-2'!F71)</f>
        <v>Lietuvos Respublikos kultūros ministerija</v>
      </c>
      <c r="F71" s="255" t="str">
        <f>CONCATENATE('3 pr-2'!G71)</f>
        <v>Alytaus  rajono savivaldybė</v>
      </c>
      <c r="G71" s="255" t="str">
        <f>CONCATENATE('3 pr-2'!H71)</f>
        <v>05.4.1-CPVA-R-302</v>
      </c>
      <c r="H71" s="255" t="str">
        <f>CONCATENATE('3 pr-2'!I71)</f>
        <v>R</v>
      </c>
      <c r="I71" s="255" t="str">
        <f>CONCATENATE('3 pr-2'!J71)</f>
        <v>-</v>
      </c>
      <c r="J71" s="476">
        <f>IF(V71&gt;0,'3 pr-2'!L71,0)</f>
        <v>0</v>
      </c>
      <c r="K71" s="476">
        <f>IF(V71&gt;0,'3 pr-2'!O71,0)</f>
        <v>0</v>
      </c>
      <c r="L71" s="476">
        <f>IF(V71&gt;0,'3 pr-2'!R71,0)</f>
        <v>0</v>
      </c>
      <c r="M71" s="476">
        <f>IF(V71&gt;0,'3 pr-2'!U71,0)</f>
        <v>0</v>
      </c>
      <c r="N71" s="476">
        <f>IF(V71&gt;0,'3 pr-2'!X71,0)</f>
        <v>0</v>
      </c>
      <c r="O71" s="476">
        <f>IF(V71&gt;0,'3 pr-2'!AA71,0)</f>
        <v>0</v>
      </c>
      <c r="P71" s="474">
        <f t="shared" si="78"/>
        <v>0</v>
      </c>
      <c r="Q71" s="474">
        <f t="shared" si="79"/>
        <v>0</v>
      </c>
      <c r="R71" s="474">
        <f t="shared" si="80"/>
        <v>0</v>
      </c>
      <c r="S71" s="474">
        <f t="shared" si="81"/>
        <v>0</v>
      </c>
      <c r="T71" s="474">
        <f t="shared" si="82"/>
        <v>0</v>
      </c>
      <c r="U71" s="290">
        <f>SUM('3 pr-2'!AH71)</f>
        <v>43281</v>
      </c>
      <c r="V71" s="290"/>
      <c r="W71" s="291"/>
      <c r="X71" s="720" t="str">
        <f t="shared" si="83"/>
        <v>–</v>
      </c>
    </row>
    <row r="72" spans="1:24" ht="49.5" thickBot="1" x14ac:dyDescent="0.3">
      <c r="A72" s="343" t="str">
        <f>CONCATENATE('3 pr-2'!A72)</f>
        <v>1.1.1.9.5</v>
      </c>
      <c r="B72" s="632" t="str">
        <f>CONCATENATE('ketv. 2lent'!B71)</f>
        <v/>
      </c>
      <c r="C72" s="343" t="str">
        <f>CONCATENATE('3 pr-2'!D72)</f>
        <v>Vinco Krėvės-Mickevičiaus memorialinio muziejaus atnaujinimas</v>
      </c>
      <c r="D72" s="343" t="str">
        <f>CONCATENATE('3 pr-2'!E72)</f>
        <v>Varėnos rajono savivaldybės administracija</v>
      </c>
      <c r="E72" s="343" t="str">
        <f>CONCATENATE('3 pr-2'!F72)</f>
        <v>Lietuvos Respublikos kultūros ministerija</v>
      </c>
      <c r="F72" s="343" t="str">
        <f>CONCATENATE('3 pr-2'!G72)</f>
        <v>Varėnos rajono savivaldybė</v>
      </c>
      <c r="G72" s="343" t="str">
        <f>CONCATENATE('3 pr-2'!H72)</f>
        <v>05.4.1-CPVA-R-302</v>
      </c>
      <c r="H72" s="343" t="str">
        <f>CONCATENATE('3 pr-2'!I72)</f>
        <v>R</v>
      </c>
      <c r="I72" s="343" t="str">
        <f>CONCATENATE('3 pr-2'!J72)</f>
        <v>-</v>
      </c>
      <c r="J72" s="691">
        <f>IF(V72&gt;0,'3 pr-2'!L72,0)</f>
        <v>0</v>
      </c>
      <c r="K72" s="691">
        <f>IF(V72&gt;0,'3 pr-2'!O72,0)</f>
        <v>0</v>
      </c>
      <c r="L72" s="691">
        <f>IF(V72&gt;0,'3 pr-2'!R72,0)</f>
        <v>0</v>
      </c>
      <c r="M72" s="691">
        <f>IF(V72&gt;0,'3 pr-2'!U72,0)</f>
        <v>0</v>
      </c>
      <c r="N72" s="691">
        <f>IF(V72&gt;0,'3 pr-2'!X72,0)</f>
        <v>0</v>
      </c>
      <c r="O72" s="691">
        <f>IF(V72&gt;0,'3 pr-2'!AA72,0)</f>
        <v>0</v>
      </c>
      <c r="P72" s="633">
        <f t="shared" si="78"/>
        <v>0</v>
      </c>
      <c r="Q72" s="633">
        <f t="shared" si="79"/>
        <v>0</v>
      </c>
      <c r="R72" s="633">
        <f t="shared" si="80"/>
        <v>0</v>
      </c>
      <c r="S72" s="633">
        <f t="shared" si="81"/>
        <v>0</v>
      </c>
      <c r="T72" s="633">
        <f t="shared" si="82"/>
        <v>0</v>
      </c>
      <c r="U72" s="634">
        <f>SUM('3 pr-2'!AH72)</f>
        <v>43342</v>
      </c>
      <c r="V72" s="634"/>
      <c r="W72" s="638"/>
      <c r="X72" s="720" t="str">
        <f t="shared" si="83"/>
        <v>–</v>
      </c>
    </row>
    <row r="73" spans="1:24" ht="33.75" customHeight="1" thickBot="1" x14ac:dyDescent="0.3">
      <c r="A73" s="345" t="str">
        <f>CONCATENATE('3 pr-2'!A73)</f>
        <v>1.1.2.</v>
      </c>
      <c r="B73" s="712"/>
      <c r="C73" s="1668" t="str">
        <f>CONCATENATE('3 pr-2'!D73)</f>
        <v/>
      </c>
      <c r="D73" s="1595"/>
      <c r="E73" s="1595"/>
      <c r="F73" s="1595"/>
      <c r="G73" s="1595"/>
      <c r="H73" s="1595"/>
      <c r="I73" s="1595"/>
      <c r="J73" s="303">
        <f t="shared" ref="J73:O73" si="84">SUM(J74+J79+J86+J92)</f>
        <v>2000357.1300000001</v>
      </c>
      <c r="K73" s="303">
        <f t="shared" si="84"/>
        <v>249452.27</v>
      </c>
      <c r="L73" s="303">
        <f t="shared" si="84"/>
        <v>0</v>
      </c>
      <c r="M73" s="303">
        <f t="shared" si="84"/>
        <v>0</v>
      </c>
      <c r="N73" s="303">
        <f t="shared" si="84"/>
        <v>62660</v>
      </c>
      <c r="O73" s="303">
        <f t="shared" si="84"/>
        <v>1688244.8599999999</v>
      </c>
      <c r="P73" s="303"/>
      <c r="Q73" s="304"/>
      <c r="R73" s="304"/>
      <c r="S73" s="304"/>
      <c r="T73" s="713"/>
      <c r="U73" s="650"/>
      <c r="V73" s="650"/>
      <c r="W73" s="649"/>
      <c r="X73" s="314"/>
    </row>
    <row r="74" spans="1:24" ht="28.5" customHeight="1" thickBot="1" x14ac:dyDescent="0.3">
      <c r="A74" s="497" t="str">
        <f>CONCATENATE('3 pr-2'!A74)</f>
        <v>1.1.2.1</v>
      </c>
      <c r="B74" s="613"/>
      <c r="C74" s="1656" t="str">
        <f>CONCATENATE('3 pr-2'!D74)</f>
        <v/>
      </c>
      <c r="D74" s="1789"/>
      <c r="E74" s="1789"/>
      <c r="F74" s="1789"/>
      <c r="G74" s="1789"/>
      <c r="H74" s="1789"/>
      <c r="I74" s="1790"/>
      <c r="J74" s="629">
        <f>SUM(J75:J78)</f>
        <v>0</v>
      </c>
      <c r="K74" s="629">
        <f t="shared" ref="K74:O74" si="85">SUM(K75:K78)</f>
        <v>0</v>
      </c>
      <c r="L74" s="629">
        <f t="shared" si="85"/>
        <v>0</v>
      </c>
      <c r="M74" s="629">
        <f t="shared" si="85"/>
        <v>0</v>
      </c>
      <c r="N74" s="629">
        <f t="shared" si="85"/>
        <v>0</v>
      </c>
      <c r="O74" s="629">
        <f t="shared" si="85"/>
        <v>0</v>
      </c>
      <c r="P74" s="630">
        <f>SUM(P75:P78)</f>
        <v>0</v>
      </c>
      <c r="Q74" s="631">
        <f>SUM(Q75:Q78)</f>
        <v>0</v>
      </c>
      <c r="R74" s="630">
        <f>SUM(R75:R78)</f>
        <v>0</v>
      </c>
      <c r="S74" s="631">
        <f>SUM(S75:S78)</f>
        <v>0</v>
      </c>
      <c r="T74" s="278">
        <f>SUM(T75:T78)</f>
        <v>0</v>
      </c>
      <c r="U74" s="629"/>
      <c r="V74" s="629"/>
      <c r="W74" s="629"/>
      <c r="X74" s="629"/>
    </row>
    <row r="75" spans="1:24" ht="48.75" x14ac:dyDescent="0.25">
      <c r="A75" s="255" t="str">
        <f>CONCATENATE('3 pr-2'!A75)</f>
        <v>1.1.2.1.1</v>
      </c>
      <c r="B75" s="473" t="str">
        <f>CONCATENATE('ketv. 2lent'!B74)</f>
        <v/>
      </c>
      <c r="C75" s="255" t="str">
        <f>CONCATENATE('3 pr-2'!D75)</f>
        <v xml:space="preserve">Nekenksmingų aplinkai viešojo transporto priemonių įsigijimas Alytaus mieste </v>
      </c>
      <c r="D75" s="255" t="str">
        <f>CONCATENATE('3 pr-2'!E75)</f>
        <v>Alytaus miesto savivaldybės administracija</v>
      </c>
      <c r="E75" s="255" t="str">
        <f>CONCATENATE('3 pr-2'!F75)</f>
        <v>Lietuvos Respublikos susisiekimo ministerija</v>
      </c>
      <c r="F75" s="255" t="str">
        <f>CONCATENATE('3 pr-2'!G75)</f>
        <v>Alytaus  miestas</v>
      </c>
      <c r="G75" s="255" t="str">
        <f>CONCATENATE('3 pr-2'!H75)</f>
        <v>04.5.1-TID-R-518</v>
      </c>
      <c r="H75" s="255" t="str">
        <f>CONCATENATE('3 pr-2'!I75)</f>
        <v>R</v>
      </c>
      <c r="I75" s="255" t="str">
        <f>CONCATENATE('3 pr-2'!J75)</f>
        <v>ITI</v>
      </c>
      <c r="J75" s="476">
        <f>IF(V75&gt;0,'3 pr-2'!L75,0)</f>
        <v>0</v>
      </c>
      <c r="K75" s="476">
        <f>IF(V75&gt;0,'3 pr-2'!O75,0)</f>
        <v>0</v>
      </c>
      <c r="L75" s="476">
        <f>IF(V75&gt;0,'3 pr-2'!R75,0)</f>
        <v>0</v>
      </c>
      <c r="M75" s="476">
        <f>IF(V75&gt;0,'3 pr-2'!U75,0)</f>
        <v>0</v>
      </c>
      <c r="N75" s="476">
        <f>IF(V75&gt;0,'3 pr-2'!X75,0)</f>
        <v>0</v>
      </c>
      <c r="O75" s="476">
        <f>IF(V75&gt;0,'3 pr-2'!AA75,0)</f>
        <v>0</v>
      </c>
      <c r="P75" s="474">
        <f t="shared" ref="P75:P78" si="86">IF(YEAR(V75)=2016,O75,0)</f>
        <v>0</v>
      </c>
      <c r="Q75" s="474">
        <f t="shared" ref="Q75:Q78" si="87">IF(YEAR(V75)=2017,O75,0)</f>
        <v>0</v>
      </c>
      <c r="R75" s="474">
        <f t="shared" ref="R75:R78" si="88">IF(YEAR(V75)=2018,O75,0)</f>
        <v>0</v>
      </c>
      <c r="S75" s="474">
        <f t="shared" ref="S75:S78" si="89">IF(YEAR(V75)=2019,O75,0)</f>
        <v>0</v>
      </c>
      <c r="T75" s="474">
        <f t="shared" ref="T75:T78" si="90">IF(YEAR(V75)=2020,O75,0)</f>
        <v>0</v>
      </c>
      <c r="U75" s="290">
        <f>SUM('3 pr-2'!AH75)</f>
        <v>43554</v>
      </c>
      <c r="V75" s="255"/>
      <c r="W75" s="255"/>
      <c r="X75" s="720" t="str">
        <f t="shared" ref="X75:X78" si="91">IF(U75-V75&lt;0,(U75-V75)/30.4166666666667,"–")</f>
        <v>–</v>
      </c>
    </row>
    <row r="76" spans="1:24" ht="48.75" x14ac:dyDescent="0.25">
      <c r="A76" s="255" t="str">
        <f>CONCATENATE('3 pr-2'!A76)</f>
        <v>1.1.2.1.2</v>
      </c>
      <c r="B76" s="473" t="str">
        <f>CONCATENATE('ketv. 2lent'!B75)</f>
        <v/>
      </c>
      <c r="C76" s="255" t="str">
        <f>CONCATENATE('3 pr-2'!D76)</f>
        <v>Nekenksmingų aplinkai viešojo transporto priemonių įsigijimas Alytaus rajone</v>
      </c>
      <c r="D76" s="255" t="str">
        <f>CONCATENATE('3 pr-2'!E76)</f>
        <v>Alytaus rajono savivaldybės administracija</v>
      </c>
      <c r="E76" s="255" t="str">
        <f>CONCATENATE('3 pr-2'!F76)</f>
        <v>Lietuvos Respublikos susisiekimo ministerija</v>
      </c>
      <c r="F76" s="255" t="str">
        <f>CONCATENATE('3 pr-2'!G76)</f>
        <v>Alytaus  rajono savivaldybė</v>
      </c>
      <c r="G76" s="255" t="str">
        <f>CONCATENATE('3 pr-2'!H76)</f>
        <v>04.5.1-TID-R-518</v>
      </c>
      <c r="H76" s="255" t="str">
        <f>CONCATENATE('3 pr-2'!I76)</f>
        <v>R</v>
      </c>
      <c r="I76" s="255" t="str">
        <f>CONCATENATE('3 pr-2'!J76)</f>
        <v>-</v>
      </c>
      <c r="J76" s="476">
        <f>IF(V76&gt;0,'3 pr-2'!L76,0)</f>
        <v>0</v>
      </c>
      <c r="K76" s="476">
        <f>IF(V76&gt;0,'3 pr-2'!O76,0)</f>
        <v>0</v>
      </c>
      <c r="L76" s="476">
        <f>IF(V76&gt;0,'3 pr-2'!R76,0)</f>
        <v>0</v>
      </c>
      <c r="M76" s="476">
        <f>IF(V76&gt;0,'3 pr-2'!U76,0)</f>
        <v>0</v>
      </c>
      <c r="N76" s="476">
        <f>IF(V76&gt;0,'3 pr-2'!X76,0)</f>
        <v>0</v>
      </c>
      <c r="O76" s="476">
        <f>IF(V76&gt;0,'3 pr-2'!AA76,0)</f>
        <v>0</v>
      </c>
      <c r="P76" s="474">
        <f t="shared" si="86"/>
        <v>0</v>
      </c>
      <c r="Q76" s="474">
        <f t="shared" si="87"/>
        <v>0</v>
      </c>
      <c r="R76" s="474">
        <f t="shared" si="88"/>
        <v>0</v>
      </c>
      <c r="S76" s="474">
        <f t="shared" si="89"/>
        <v>0</v>
      </c>
      <c r="T76" s="474">
        <f t="shared" si="90"/>
        <v>0</v>
      </c>
      <c r="U76" s="290">
        <f>SUM('3 pr-2'!AH76)</f>
        <v>43554</v>
      </c>
      <c r="V76" s="255"/>
      <c r="W76" s="255"/>
      <c r="X76" s="720" t="str">
        <f t="shared" si="91"/>
        <v>–</v>
      </c>
    </row>
    <row r="77" spans="1:24" ht="48.75" x14ac:dyDescent="0.25">
      <c r="A77" s="255" t="str">
        <f>CONCATENATE('3 pr-2'!A77)</f>
        <v>1.1.2.1.3</v>
      </c>
      <c r="B77" s="473" t="str">
        <f>CONCATENATE('ketv. 2lent'!B76)</f>
        <v/>
      </c>
      <c r="C77" s="255" t="str">
        <f>CONCATENATE('3 pr-2'!D77)</f>
        <v>Ekologiškų transporto priemonių įsigijimas Druskininkų savivaldybėje</v>
      </c>
      <c r="D77" s="255" t="str">
        <f>CONCATENATE('3 pr-2'!E77)</f>
        <v xml:space="preserve">Druskininkų savivaldybės administracija  </v>
      </c>
      <c r="E77" s="255" t="str">
        <f>CONCATENATE('3 pr-2'!F77)</f>
        <v>Lietuvos Respublikos susisiekimo ministerija</v>
      </c>
      <c r="F77" s="255" t="str">
        <f>CONCATENATE('3 pr-2'!G77)</f>
        <v>Druskininkų  miestas</v>
      </c>
      <c r="G77" s="255" t="str">
        <f>CONCATENATE('3 pr-2'!H77)</f>
        <v>04.5.1-TID-R-518</v>
      </c>
      <c r="H77" s="255" t="str">
        <f>CONCATENATE('3 pr-2'!I77)</f>
        <v>R</v>
      </c>
      <c r="I77" s="255" t="str">
        <f>CONCATENATE('3 pr-2'!J77)</f>
        <v>-</v>
      </c>
      <c r="J77" s="476">
        <f>IF(V77&gt;0,'3 pr-2'!L77,0)</f>
        <v>0</v>
      </c>
      <c r="K77" s="476">
        <f>IF(V77&gt;0,'3 pr-2'!O77,0)</f>
        <v>0</v>
      </c>
      <c r="L77" s="476">
        <f>IF(V77&gt;0,'3 pr-2'!R77,0)</f>
        <v>0</v>
      </c>
      <c r="M77" s="476">
        <f>IF(V77&gt;0,'3 pr-2'!U77,0)</f>
        <v>0</v>
      </c>
      <c r="N77" s="476">
        <f>IF(V77&gt;0,'3 pr-2'!X77,0)</f>
        <v>0</v>
      </c>
      <c r="O77" s="476">
        <f>IF(V77&gt;0,'3 pr-2'!AA77,0)</f>
        <v>0</v>
      </c>
      <c r="P77" s="474">
        <f t="shared" si="86"/>
        <v>0</v>
      </c>
      <c r="Q77" s="474">
        <f t="shared" si="87"/>
        <v>0</v>
      </c>
      <c r="R77" s="474">
        <f t="shared" si="88"/>
        <v>0</v>
      </c>
      <c r="S77" s="474">
        <f t="shared" si="89"/>
        <v>0</v>
      </c>
      <c r="T77" s="474">
        <f t="shared" si="90"/>
        <v>0</v>
      </c>
      <c r="U77" s="290">
        <f>SUM('3 pr-2'!AH77)</f>
        <v>43434</v>
      </c>
      <c r="V77" s="255"/>
      <c r="W77" s="255"/>
      <c r="X77" s="720" t="str">
        <f t="shared" si="91"/>
        <v>–</v>
      </c>
    </row>
    <row r="78" spans="1:24" ht="49.5" thickBot="1" x14ac:dyDescent="0.3">
      <c r="A78" s="255" t="str">
        <f>CONCATENATE('3 pr-2'!A78)</f>
        <v>1.1.2.1.4</v>
      </c>
      <c r="B78" s="473" t="str">
        <f>CONCATENATE('ketv. 2lent'!B77)</f>
        <v/>
      </c>
      <c r="C78" s="255" t="str">
        <f>CONCATENATE('3 pr-2'!D78)</f>
        <v>Ekologiškų transporto priemonių įsigijimas  Lazdijų rajono savivaldybėje</v>
      </c>
      <c r="D78" s="255" t="str">
        <f>CONCATENATE('3 pr-2'!E78)</f>
        <v>Lazdijų rajono savivaldybės administracija</v>
      </c>
      <c r="E78" s="255" t="str">
        <f>CONCATENATE('3 pr-2'!F78)</f>
        <v>Lietuvos Respublikos susisiekimo ministerija</v>
      </c>
      <c r="F78" s="255" t="str">
        <f>CONCATENATE('3 pr-2'!G78)</f>
        <v>Lazdijų rajono savivaldybė</v>
      </c>
      <c r="G78" s="255" t="str">
        <f>CONCATENATE('3 pr-2'!H78)</f>
        <v>04.5.1-TID-R-518</v>
      </c>
      <c r="H78" s="255" t="str">
        <f>CONCATENATE('3 pr-2'!I78)</f>
        <v>R</v>
      </c>
      <c r="I78" s="255" t="str">
        <f>CONCATENATE('3 pr-2'!J78)</f>
        <v>-</v>
      </c>
      <c r="J78" s="476">
        <f>IF(V78&gt;0,'3 pr-2'!L78,0)</f>
        <v>0</v>
      </c>
      <c r="K78" s="476">
        <f>IF(V78&gt;0,'3 pr-2'!O78,0)</f>
        <v>0</v>
      </c>
      <c r="L78" s="476">
        <f>IF(V78&gt;0,'3 pr-2'!R78,0)</f>
        <v>0</v>
      </c>
      <c r="M78" s="476">
        <f>IF(V78&gt;0,'3 pr-2'!U78,0)</f>
        <v>0</v>
      </c>
      <c r="N78" s="476">
        <f>IF(V78&gt;0,'3 pr-2'!X78,0)</f>
        <v>0</v>
      </c>
      <c r="O78" s="476">
        <f>IF(V78&gt;0,'3 pr-2'!AA78,0)</f>
        <v>0</v>
      </c>
      <c r="P78" s="474">
        <f t="shared" si="86"/>
        <v>0</v>
      </c>
      <c r="Q78" s="474">
        <f t="shared" si="87"/>
        <v>0</v>
      </c>
      <c r="R78" s="474">
        <f t="shared" si="88"/>
        <v>0</v>
      </c>
      <c r="S78" s="474">
        <f t="shared" si="89"/>
        <v>0</v>
      </c>
      <c r="T78" s="474">
        <f t="shared" si="90"/>
        <v>0</v>
      </c>
      <c r="U78" s="290">
        <f>SUM('3 pr-2'!AH78)</f>
        <v>43434</v>
      </c>
      <c r="V78" s="255"/>
      <c r="W78" s="255"/>
      <c r="X78" s="720" t="str">
        <f t="shared" si="91"/>
        <v>–</v>
      </c>
    </row>
    <row r="79" spans="1:24" ht="35.25" customHeight="1" thickBot="1" x14ac:dyDescent="0.3">
      <c r="A79" s="497" t="str">
        <f>CONCATENATE('3 pr-2'!A79)</f>
        <v>1.1.2.2</v>
      </c>
      <c r="B79" s="613"/>
      <c r="C79" s="1656" t="str">
        <f>CONCATENATE('3 pr-2'!D79)</f>
        <v/>
      </c>
      <c r="D79" s="1789"/>
      <c r="E79" s="1789"/>
      <c r="F79" s="1789"/>
      <c r="G79" s="1789"/>
      <c r="H79" s="1789"/>
      <c r="I79" s="1790"/>
      <c r="J79" s="629">
        <f t="shared" ref="J79:N79" si="92">SUM(J80:J85)</f>
        <v>50638</v>
      </c>
      <c r="K79" s="629">
        <f t="shared" si="92"/>
        <v>7595.7</v>
      </c>
      <c r="L79" s="629">
        <f t="shared" si="92"/>
        <v>0</v>
      </c>
      <c r="M79" s="629">
        <f t="shared" si="92"/>
        <v>0</v>
      </c>
      <c r="N79" s="629">
        <f t="shared" si="92"/>
        <v>0</v>
      </c>
      <c r="O79" s="629">
        <f>SUM(O80:O85)</f>
        <v>43042.3</v>
      </c>
      <c r="P79" s="630"/>
      <c r="Q79" s="631"/>
      <c r="R79" s="630"/>
      <c r="S79" s="631"/>
      <c r="T79" s="278"/>
      <c r="U79" s="629"/>
      <c r="V79" s="629"/>
      <c r="W79" s="629"/>
      <c r="X79" s="629"/>
    </row>
    <row r="80" spans="1:24" ht="48.75" x14ac:dyDescent="0.25">
      <c r="A80" s="580" t="str">
        <f>CONCATENATE('3 pr-2'!A80)</f>
        <v>1.1.2.2.1</v>
      </c>
      <c r="B80" s="580" t="str">
        <f>CONCATENATE('ketv. 2lent'!B79)</f>
        <v/>
      </c>
      <c r="C80" s="580" t="str">
        <f>CONCATENATE('3 pr-2'!D80)</f>
        <v>Darnaus judumo priemonių diegimas Alytaus mieste</v>
      </c>
      <c r="D80" s="580" t="str">
        <f>CONCATENATE('3 pr-2'!E80)</f>
        <v>Alytaus miesto savivaldybės administracija</v>
      </c>
      <c r="E80" s="580" t="str">
        <f>CONCATENATE('3 pr-2'!F80)</f>
        <v>Lietuvos Respublikos susisiekimo ministerija</v>
      </c>
      <c r="F80" s="580" t="str">
        <f>CONCATENATE('3 pr-2'!G80)</f>
        <v>Alytaus  miestas</v>
      </c>
      <c r="G80" s="580" t="str">
        <f>CONCATENATE('3 pr-2'!H80)</f>
        <v>04.5.1.-TID-R-514</v>
      </c>
      <c r="H80" s="580" t="str">
        <f>CONCATENATE('3 pr-2'!I80)</f>
        <v>R</v>
      </c>
      <c r="I80" s="580" t="str">
        <f>CONCATENATE('3 pr-2'!J80)</f>
        <v>-</v>
      </c>
      <c r="J80" s="476">
        <f>IF(V80&gt;0,'3 pr-2'!L80,0)</f>
        <v>0</v>
      </c>
      <c r="K80" s="476">
        <f>IF(V80&gt;0,'3 pr-2'!O80,0)</f>
        <v>0</v>
      </c>
      <c r="L80" s="476">
        <f>IF(V80&gt;0,'3 pr-2'!R80,0)</f>
        <v>0</v>
      </c>
      <c r="M80" s="476">
        <f>IF(V80&gt;0,'3 pr-2'!U80,0)</f>
        <v>0</v>
      </c>
      <c r="N80" s="476">
        <f>IF(V80&gt;0,'3 pr-2'!X80,0)</f>
        <v>0</v>
      </c>
      <c r="O80" s="476">
        <f>IF(V80&gt;0,'3 pr-2'!AA80,0)</f>
        <v>0</v>
      </c>
      <c r="P80" s="476">
        <f t="shared" ref="P80:P83" si="93">IF(YEAR(V80)=2016,O80,0)</f>
        <v>0</v>
      </c>
      <c r="Q80" s="476">
        <f t="shared" ref="Q80:Q83" si="94">IF(YEAR(V80)=2017,O80,0)</f>
        <v>0</v>
      </c>
      <c r="R80" s="476">
        <f t="shared" ref="R80:R83" si="95">IF(YEAR(V80)=2018,O80,0)</f>
        <v>0</v>
      </c>
      <c r="S80" s="476">
        <f t="shared" ref="S80:S83" si="96">IF(YEAR(V80)=2019,O80,0)</f>
        <v>0</v>
      </c>
      <c r="T80" s="476">
        <f t="shared" ref="T80:T83" si="97">IF(YEAR(V80)=2020,O80,0)</f>
        <v>0</v>
      </c>
      <c r="U80" s="675">
        <f>SUM('3 pr-2'!AH80)</f>
        <v>43539</v>
      </c>
      <c r="V80" s="679"/>
      <c r="W80" s="679"/>
      <c r="X80" s="720" t="str">
        <f t="shared" ref="X80:X83" si="98">IF(U80-V80&lt;0,(U80-V80)/30.4166666666667,"–")</f>
        <v>–</v>
      </c>
    </row>
    <row r="81" spans="1:24" ht="48.75" x14ac:dyDescent="0.25">
      <c r="A81" s="580" t="str">
        <f>CONCATENATE('3 pr-2'!A81)</f>
        <v>1.1.2.2.2</v>
      </c>
      <c r="B81" s="580" t="str">
        <f>CONCATENATE('ketv. 2lent'!B80)</f>
        <v>04.5.1-TID-V-513-01-0015</v>
      </c>
      <c r="C81" s="580" t="str">
        <f>CONCATENATE('3 pr-2'!D81)</f>
        <v>Alytaus miesto darnaus judumo plano parengimas</v>
      </c>
      <c r="D81" s="580" t="str">
        <f>CONCATENATE('3 pr-2'!E81)</f>
        <v>Alytaus miesto savivaldybės administracija</v>
      </c>
      <c r="E81" s="580" t="str">
        <f>CONCATENATE('3 pr-2'!F81)</f>
        <v>Lietuvos Respublikos susisiekimo ministerija</v>
      </c>
      <c r="F81" s="580" t="str">
        <f>CONCATENATE('3 pr-2'!G81)</f>
        <v>Alytaus  miestas</v>
      </c>
      <c r="G81" s="580" t="str">
        <f>CONCATENATE('3 pr-2'!H81)</f>
        <v>04.5.1-TID-V-513</v>
      </c>
      <c r="H81" s="580" t="str">
        <f>CONCATENATE('3 pr-2'!I81)</f>
        <v>V</v>
      </c>
      <c r="I81" s="580" t="str">
        <f>CONCATENATE('3 pr-2'!J81)</f>
        <v>ITI</v>
      </c>
      <c r="J81" s="476">
        <f>IF(V81&gt;0,'3 pr-2'!L81,0)</f>
        <v>33638</v>
      </c>
      <c r="K81" s="476">
        <f>IF(V81&gt;0,'3 pr-2'!O81,0)</f>
        <v>5045.7</v>
      </c>
      <c r="L81" s="476">
        <f>IF(V81&gt;0,'3 pr-2'!R81,0)</f>
        <v>0</v>
      </c>
      <c r="M81" s="476">
        <f>IF(V81&gt;0,'3 pr-2'!U81,0)</f>
        <v>0</v>
      </c>
      <c r="N81" s="476">
        <f>IF(V81&gt;0,'3 pr-2'!X81,0)</f>
        <v>0</v>
      </c>
      <c r="O81" s="476">
        <f>IF(V81&gt;0,'3 pr-2'!AA81,0)</f>
        <v>28592.3</v>
      </c>
      <c r="P81" s="476">
        <f t="shared" si="93"/>
        <v>0</v>
      </c>
      <c r="Q81" s="476">
        <f t="shared" si="94"/>
        <v>28592.3</v>
      </c>
      <c r="R81" s="476">
        <f t="shared" si="95"/>
        <v>0</v>
      </c>
      <c r="S81" s="476">
        <f t="shared" si="96"/>
        <v>0</v>
      </c>
      <c r="T81" s="476">
        <f t="shared" si="97"/>
        <v>0</v>
      </c>
      <c r="U81" s="675">
        <f>SUM('3 pr-2'!AH81)</f>
        <v>42947</v>
      </c>
      <c r="V81" s="678">
        <v>42954</v>
      </c>
      <c r="W81" s="676">
        <f t="shared" ref="W81" si="99">IF((YEAR(U81)-YEAR(V81))=0,0,YEAR(U81)-YEAR(V81))</f>
        <v>0</v>
      </c>
      <c r="X81" s="720">
        <f t="shared" si="98"/>
        <v>-0.23013698630136961</v>
      </c>
    </row>
    <row r="82" spans="1:24" ht="48.75" x14ac:dyDescent="0.25">
      <c r="A82" s="580" t="str">
        <f>CONCATENATE('3 pr-2'!A82)</f>
        <v>1.1.2.2.3</v>
      </c>
      <c r="B82" s="580" t="str">
        <f>CONCATENATE('ketv. 2lent'!B81)</f>
        <v/>
      </c>
      <c r="C82" s="580" t="str">
        <f>CONCATENATE('3 pr-2'!D82)</f>
        <v>Intelektinių transporto sistemų diegimas Druskininkuose</v>
      </c>
      <c r="D82" s="580" t="str">
        <f>CONCATENATE('3 pr-2'!E82)</f>
        <v>Druskininkų savivaldybės administracija</v>
      </c>
      <c r="E82" s="580" t="str">
        <f>CONCATENATE('3 pr-2'!F82)</f>
        <v>Lietuvos Respublikos susisiekimo ministerija</v>
      </c>
      <c r="F82" s="580" t="str">
        <f>CONCATENATE('3 pr-2'!G82)</f>
        <v>Druskininkų  miestas</v>
      </c>
      <c r="G82" s="580" t="str">
        <f>CONCATENATE('3 pr-2'!H82)</f>
        <v>04.5.1.-TID-R-514</v>
      </c>
      <c r="H82" s="580" t="str">
        <f>CONCATENATE('3 pr-2'!I82)</f>
        <v>R</v>
      </c>
      <c r="I82" s="580" t="str">
        <f>CONCATENATE('3 pr-2'!J82)</f>
        <v>-</v>
      </c>
      <c r="J82" s="476">
        <f>IF(V82&gt;0,'3 pr-2'!L82,0)</f>
        <v>0</v>
      </c>
      <c r="K82" s="476">
        <f>IF(V82&gt;0,'3 pr-2'!O82,0)</f>
        <v>0</v>
      </c>
      <c r="L82" s="476">
        <f>IF(V82&gt;0,'3 pr-2'!R82,0)</f>
        <v>0</v>
      </c>
      <c r="M82" s="476">
        <f>IF(V82&gt;0,'3 pr-2'!U82,0)</f>
        <v>0</v>
      </c>
      <c r="N82" s="476">
        <f>IF(V82&gt;0,'3 pr-2'!X82,0)</f>
        <v>0</v>
      </c>
      <c r="O82" s="476">
        <f>IF(V82&gt;0,'3 pr-2'!AA82,0)</f>
        <v>0</v>
      </c>
      <c r="P82" s="476">
        <f t="shared" si="93"/>
        <v>0</v>
      </c>
      <c r="Q82" s="476">
        <f t="shared" si="94"/>
        <v>0</v>
      </c>
      <c r="R82" s="476">
        <f t="shared" si="95"/>
        <v>0</v>
      </c>
      <c r="S82" s="476">
        <f t="shared" si="96"/>
        <v>0</v>
      </c>
      <c r="T82" s="476">
        <f t="shared" si="97"/>
        <v>0</v>
      </c>
      <c r="U82" s="675">
        <f>SUM('3 pr-2'!AH82)</f>
        <v>43611</v>
      </c>
      <c r="V82" s="679"/>
      <c r="W82" s="679"/>
      <c r="X82" s="720" t="str">
        <f t="shared" si="98"/>
        <v>–</v>
      </c>
    </row>
    <row r="83" spans="1:24" ht="48.75" x14ac:dyDescent="0.25">
      <c r="A83" s="580" t="str">
        <f>CONCATENATE('3 pr-2'!A83)</f>
        <v>1.1.2.2.4</v>
      </c>
      <c r="B83" s="580" t="str">
        <f>CONCATENATE('ketv. 2lent'!B82)</f>
        <v>04.5.1-TID-V-513-01-0006</v>
      </c>
      <c r="C83" s="580" t="str">
        <f>CONCATENATE('3 pr-2'!D83)</f>
        <v>Darnaus judumo plano Druskininkuose parengimas</v>
      </c>
      <c r="D83" s="580" t="str">
        <f>CONCATENATE('3 pr-2'!E83)</f>
        <v>Druskininkų savivaldybės administracija</v>
      </c>
      <c r="E83" s="580" t="str">
        <f>CONCATENATE('3 pr-2'!F83)</f>
        <v>Lietuvos Respublikos susisiekimo ministerija</v>
      </c>
      <c r="F83" s="580" t="str">
        <f>CONCATENATE('3 pr-2'!G83)</f>
        <v>Druskininkų  miestas</v>
      </c>
      <c r="G83" s="580" t="str">
        <f>CONCATENATE('3 pr-2'!H83)</f>
        <v>04.5.1-TID-V-513</v>
      </c>
      <c r="H83" s="580" t="str">
        <f>CONCATENATE('3 pr-2'!I83)</f>
        <v>V</v>
      </c>
      <c r="I83" s="580" t="str">
        <f>CONCATENATE('3 pr-2'!J83)</f>
        <v>ITI</v>
      </c>
      <c r="J83" s="476">
        <f>IF(V83&gt;0,'3 pr-2'!L83,0)</f>
        <v>17000</v>
      </c>
      <c r="K83" s="476">
        <f>IF(V83&gt;0,'3 pr-2'!O83,0)</f>
        <v>2550</v>
      </c>
      <c r="L83" s="476">
        <f>IF(V83&gt;0,'3 pr-2'!R83,0)</f>
        <v>0</v>
      </c>
      <c r="M83" s="476">
        <f>IF(V83&gt;0,'3 pr-2'!U83,0)</f>
        <v>0</v>
      </c>
      <c r="N83" s="476">
        <f>IF(V83&gt;0,'3 pr-2'!X83,0)</f>
        <v>0</v>
      </c>
      <c r="O83" s="476">
        <f>IF(V83&gt;0,'3 pr-2'!AA83,0)</f>
        <v>14450</v>
      </c>
      <c r="P83" s="476">
        <f t="shared" si="93"/>
        <v>0</v>
      </c>
      <c r="Q83" s="476">
        <f t="shared" si="94"/>
        <v>14450</v>
      </c>
      <c r="R83" s="476">
        <f t="shared" si="95"/>
        <v>0</v>
      </c>
      <c r="S83" s="476">
        <f t="shared" si="96"/>
        <v>0</v>
      </c>
      <c r="T83" s="476">
        <f t="shared" si="97"/>
        <v>0</v>
      </c>
      <c r="U83" s="675">
        <f>SUM('3 pr-2'!AH83)</f>
        <v>42825</v>
      </c>
      <c r="V83" s="678">
        <v>42821</v>
      </c>
      <c r="W83" s="676">
        <f t="shared" ref="W83" si="100">IF((YEAR(U83)-YEAR(V83))=0,0,YEAR(U83)-YEAR(V83))</f>
        <v>0</v>
      </c>
      <c r="X83" s="720" t="str">
        <f t="shared" si="98"/>
        <v>–</v>
      </c>
    </row>
    <row r="84" spans="1:24" ht="48.75" x14ac:dyDescent="0.25">
      <c r="A84" s="580" t="str">
        <f>CONCATENATE('3 pr-2'!A84)</f>
        <v>1.1.2.2.5</v>
      </c>
      <c r="B84" s="580" t="str">
        <f>CONCATENATE('ketv. 2lent'!B83)</f>
        <v>04.5.1-TID-V-513-01-0006</v>
      </c>
      <c r="C84" s="580" t="str">
        <f>CONCATENATE('3 pr-2'!D84)</f>
        <v>Viešojo transporto organizavimo tobulinimas rekonstruojant Druskininkų miesto gatvių infrastruktūrą</v>
      </c>
      <c r="D84" s="580" t="str">
        <f>CONCATENATE('3 pr-2'!E84)</f>
        <v>Druskininkų savivaldybės administracija</v>
      </c>
      <c r="E84" s="580" t="str">
        <f>CONCATENATE('3 pr-2'!F84)</f>
        <v>Lietuvos Respublikos susisiekimo ministerija</v>
      </c>
      <c r="F84" s="580" t="str">
        <f>CONCATENATE('3 pr-2'!G84)</f>
        <v>Druskininkų  miestas</v>
      </c>
      <c r="G84" s="580" t="str">
        <f>CONCATENATE('3 pr-2'!H84)</f>
        <v>04.5.1.-TID-R-514</v>
      </c>
      <c r="H84" s="580" t="str">
        <f>CONCATENATE('3 pr-2'!I84)</f>
        <v>R</v>
      </c>
      <c r="I84" s="580" t="str">
        <f>CONCATENATE('3 pr-2'!J84)</f>
        <v>-</v>
      </c>
      <c r="J84" s="476">
        <f>IF(V84&gt;0,'3 pr-2'!L84,0)</f>
        <v>0</v>
      </c>
      <c r="K84" s="476">
        <f>IF(V84&gt;0,'3 pr-2'!O84,0)</f>
        <v>0</v>
      </c>
      <c r="L84" s="476">
        <f>IF(V84&gt;0,'3 pr-2'!R84,0)</f>
        <v>0</v>
      </c>
      <c r="M84" s="476">
        <f>IF(V84&gt;0,'3 pr-2'!U84,0)</f>
        <v>0</v>
      </c>
      <c r="N84" s="476">
        <f>IF(V84&gt;0,'3 pr-2'!X84,0)</f>
        <v>0</v>
      </c>
      <c r="O84" s="476">
        <f>IF(V84&gt;0,'3 pr-2'!AA84,0)</f>
        <v>0</v>
      </c>
      <c r="P84" s="476">
        <f t="shared" ref="P84:P85" si="101">IF(YEAR(V84)=2016,O84,0)</f>
        <v>0</v>
      </c>
      <c r="Q84" s="476">
        <f t="shared" ref="Q84:Q85" si="102">IF(YEAR(V84)=2017,O84,0)</f>
        <v>0</v>
      </c>
      <c r="R84" s="476">
        <f t="shared" ref="R84:R85" si="103">IF(YEAR(V84)=2018,O84,0)</f>
        <v>0</v>
      </c>
      <c r="S84" s="476">
        <f t="shared" ref="S84:S85" si="104">IF(YEAR(V84)=2019,O84,0)</f>
        <v>0</v>
      </c>
      <c r="T84" s="476">
        <f t="shared" ref="T84:T85" si="105">IF(YEAR(V84)=2020,O84,0)</f>
        <v>0</v>
      </c>
      <c r="U84" s="675">
        <f>SUM('3 pr-2'!AH84)</f>
        <v>43524</v>
      </c>
      <c r="V84" s="678"/>
      <c r="W84" s="676">
        <f t="shared" ref="W84:W85" si="106">IF((YEAR(U84)-YEAR(V84))=0,0,YEAR(U84)-YEAR(V84))</f>
        <v>119</v>
      </c>
      <c r="X84" s="720" t="str">
        <f t="shared" ref="X84:X85" si="107">IF(U84-V84&lt;0,(U84-V84)/30.4166666666667,"–")</f>
        <v>–</v>
      </c>
    </row>
    <row r="85" spans="1:24" ht="49.5" thickBot="1" x14ac:dyDescent="0.3">
      <c r="A85" s="580" t="str">
        <f>CONCATENATE('3 pr-2'!A85)</f>
        <v>1.1.2.2.6</v>
      </c>
      <c r="B85" s="580" t="str">
        <f>CONCATENATE('ketv. 2lent'!B84)</f>
        <v>04.5.1-TID-V-513-01-0006</v>
      </c>
      <c r="C85" s="580" t="str">
        <f>CONCATENATE('3 pr-2'!D85)</f>
        <v>Vandens transporto infrastruktūros įrengimas skatinant kitų rūšių transportą</v>
      </c>
      <c r="D85" s="580" t="str">
        <f>CONCATENATE('3 pr-2'!E85)</f>
        <v>Druskininkų savivaldybės administracija</v>
      </c>
      <c r="E85" s="580" t="str">
        <f>CONCATENATE('3 pr-2'!F85)</f>
        <v>Lietuvos Respublikos susisiekimo ministerija</v>
      </c>
      <c r="F85" s="580" t="str">
        <f>CONCATENATE('3 pr-2'!G85)</f>
        <v>Druskininkų  miestas</v>
      </c>
      <c r="G85" s="580" t="str">
        <f>CONCATENATE('3 pr-2'!H85)</f>
        <v>04.5.1.-TID-R-514</v>
      </c>
      <c r="H85" s="580" t="str">
        <f>CONCATENATE('3 pr-2'!I85)</f>
        <v>R</v>
      </c>
      <c r="I85" s="580" t="str">
        <f>CONCATENATE('3 pr-2'!J85)</f>
        <v>-</v>
      </c>
      <c r="J85" s="476">
        <f>IF(V85&gt;0,'3 pr-2'!L85,0)</f>
        <v>0</v>
      </c>
      <c r="K85" s="476">
        <f>IF(V85&gt;0,'3 pr-2'!O85,0)</f>
        <v>0</v>
      </c>
      <c r="L85" s="476">
        <f>IF(V85&gt;0,'3 pr-2'!R85,0)</f>
        <v>0</v>
      </c>
      <c r="M85" s="476">
        <f>IF(V85&gt;0,'3 pr-2'!U85,0)</f>
        <v>0</v>
      </c>
      <c r="N85" s="476">
        <f>IF(V85&gt;0,'3 pr-2'!X85,0)</f>
        <v>0</v>
      </c>
      <c r="O85" s="476">
        <f>IF(V85&gt;0,'3 pr-2'!AA85,0)</f>
        <v>0</v>
      </c>
      <c r="P85" s="476">
        <f t="shared" si="101"/>
        <v>0</v>
      </c>
      <c r="Q85" s="476">
        <f t="shared" si="102"/>
        <v>0</v>
      </c>
      <c r="R85" s="476">
        <f t="shared" si="103"/>
        <v>0</v>
      </c>
      <c r="S85" s="476">
        <f t="shared" si="104"/>
        <v>0</v>
      </c>
      <c r="T85" s="476">
        <f t="shared" si="105"/>
        <v>0</v>
      </c>
      <c r="U85" s="675">
        <f>SUM('3 pr-2'!AH85)</f>
        <v>43797</v>
      </c>
      <c r="V85" s="678"/>
      <c r="W85" s="676">
        <f t="shared" si="106"/>
        <v>119</v>
      </c>
      <c r="X85" s="720" t="str">
        <f t="shared" si="107"/>
        <v>–</v>
      </c>
    </row>
    <row r="86" spans="1:24" ht="33.75" customHeight="1" thickBot="1" x14ac:dyDescent="0.3">
      <c r="A86" s="497" t="str">
        <f>CONCATENATE('3 pr-2'!A86)</f>
        <v>1.1.2.3</v>
      </c>
      <c r="B86" s="613"/>
      <c r="C86" s="1656" t="str">
        <f>CONCATENATE('3 pr-2'!D86)</f>
        <v/>
      </c>
      <c r="D86" s="1789"/>
      <c r="E86" s="1789"/>
      <c r="F86" s="1789"/>
      <c r="G86" s="1789"/>
      <c r="H86" s="1789"/>
      <c r="I86" s="1790"/>
      <c r="J86" s="629">
        <f>SUM(J87:J91)</f>
        <v>234328.07</v>
      </c>
      <c r="K86" s="629">
        <f t="shared" ref="K86:O86" si="108">SUM(K87:K91)</f>
        <v>47207.509999999995</v>
      </c>
      <c r="L86" s="629">
        <f t="shared" si="108"/>
        <v>0</v>
      </c>
      <c r="M86" s="629">
        <f t="shared" si="108"/>
        <v>0</v>
      </c>
      <c r="N86" s="629">
        <f t="shared" si="108"/>
        <v>0</v>
      </c>
      <c r="O86" s="629">
        <f t="shared" si="108"/>
        <v>187120.56</v>
      </c>
      <c r="P86" s="630">
        <f>SUM(P87:P91)</f>
        <v>0</v>
      </c>
      <c r="Q86" s="631">
        <f t="shared" ref="Q86:T86" si="109">SUM(Q87:Q91)</f>
        <v>113619.56</v>
      </c>
      <c r="R86" s="630">
        <f t="shared" si="109"/>
        <v>73501</v>
      </c>
      <c r="S86" s="631">
        <f t="shared" si="109"/>
        <v>0</v>
      </c>
      <c r="T86" s="278">
        <f t="shared" si="109"/>
        <v>0</v>
      </c>
      <c r="U86" s="629"/>
      <c r="V86" s="629"/>
      <c r="W86" s="629"/>
      <c r="X86" s="629"/>
    </row>
    <row r="87" spans="1:24" ht="48.75" x14ac:dyDescent="0.25">
      <c r="A87" s="580" t="str">
        <f>CONCATENATE('3 pr-2'!A87)</f>
        <v>1.1.2.3.1</v>
      </c>
      <c r="B87" s="580" t="str">
        <f>CONCATENATE('ketv. 2lent'!B86)</f>
        <v>04.5.1-TID-R-516-11-0004</v>
      </c>
      <c r="C87" s="580" t="str">
        <f>CONCATENATE('3 pr-2'!D87)</f>
        <v>Dviračių ir pėsčiųjų takų įrengimas Varėnos miesto J. Basanavičiaus ir Žiedo gatvėse</v>
      </c>
      <c r="D87" s="580" t="str">
        <f>CONCATENATE('3 pr-2'!E87)</f>
        <v>Varėnos rajono savivaldybės administracija</v>
      </c>
      <c r="E87" s="580" t="str">
        <f>CONCATENATE('3 pr-2'!F87)</f>
        <v>Lietuvos Respublikos susisiekimo ministerija</v>
      </c>
      <c r="F87" s="580" t="str">
        <f>CONCATENATE('3 pr-2'!G87)</f>
        <v>Varėnos miestas</v>
      </c>
      <c r="G87" s="580" t="str">
        <f>CONCATENATE('3 pr-2'!H87)</f>
        <v>04.5.1-TID-R-516</v>
      </c>
      <c r="H87" s="580" t="str">
        <f>CONCATENATE('3 pr-2'!I87)</f>
        <v>R</v>
      </c>
      <c r="I87" s="580" t="str">
        <f>CONCATENATE('3 pr-2'!J87)</f>
        <v>ITI</v>
      </c>
      <c r="J87" s="476">
        <f>IF(V87&gt;0,'3 pr-2'!L87,0)</f>
        <v>0</v>
      </c>
      <c r="K87" s="476">
        <f>IF(V87&gt;0,'3 pr-2'!O87,0)</f>
        <v>0</v>
      </c>
      <c r="L87" s="476">
        <f>IF(V87&gt;0,'3 pr-2'!R87,0)</f>
        <v>0</v>
      </c>
      <c r="M87" s="476">
        <f>IF(V87&gt;0,'3 pr-2'!U87,0)</f>
        <v>0</v>
      </c>
      <c r="N87" s="476">
        <f>IF(V87&gt;0,'3 pr-2'!X87,0)</f>
        <v>0</v>
      </c>
      <c r="O87" s="476">
        <f>IF(V87&gt;0,'3 pr-2'!AA87,0)</f>
        <v>0</v>
      </c>
      <c r="P87" s="476">
        <f t="shared" ref="P87:P91" si="110">IF(YEAR(V87)=2016,O87,0)</f>
        <v>0</v>
      </c>
      <c r="Q87" s="476">
        <f t="shared" ref="Q87:Q91" si="111">IF(YEAR(V87)=2017,O87,0)</f>
        <v>0</v>
      </c>
      <c r="R87" s="476">
        <f t="shared" ref="R87:R91" si="112">IF(YEAR(V87)=2018,O87,0)</f>
        <v>0</v>
      </c>
      <c r="S87" s="476">
        <f t="shared" ref="S87:S91" si="113">IF(YEAR(V87)=2019,O87,0)</f>
        <v>0</v>
      </c>
      <c r="T87" s="476">
        <f t="shared" ref="T87:T91" si="114">IF(YEAR(V87)=2020,O87,0)</f>
        <v>0</v>
      </c>
      <c r="U87" s="675">
        <f>SUM('3 pr-2'!AH87)</f>
        <v>43190</v>
      </c>
      <c r="V87" s="675"/>
      <c r="W87" s="676"/>
      <c r="X87" s="720" t="str">
        <f t="shared" ref="X87:X91" si="115">IF(U87-V87&lt;0,(U87-V87)/30.4166666666667,"–")</f>
        <v>–</v>
      </c>
    </row>
    <row r="88" spans="1:24" ht="48.75" x14ac:dyDescent="0.25">
      <c r="A88" s="580" t="str">
        <f>CONCATENATE('3 pr-2'!A88)</f>
        <v>1.1.2.3.2</v>
      </c>
      <c r="B88" s="580" t="str">
        <f>CONCATENATE('ketv. 2lent'!B87)</f>
        <v>04.5.1-TID-R-516-11-0001</v>
      </c>
      <c r="C88" s="580" t="str">
        <f>CONCATENATE('3 pr-2'!D88)</f>
        <v>Dviračių trasų infrastruktūros įrengimas nuo Putinų g. žiedo Pramonės gatvėje, Alytaus mieste</v>
      </c>
      <c r="D88" s="580" t="str">
        <f>CONCATENATE('3 pr-2'!E88)</f>
        <v>Alytaus miesto savivaldybės administracija</v>
      </c>
      <c r="E88" s="580" t="str">
        <f>CONCATENATE('3 pr-2'!F88)</f>
        <v>Lietuvos Respublikos susisiekimo ministerija</v>
      </c>
      <c r="F88" s="580" t="str">
        <f>CONCATENATE('3 pr-2'!G88)</f>
        <v>Alytaus  miestas</v>
      </c>
      <c r="G88" s="580" t="str">
        <f>CONCATENATE('3 pr-2'!H88)</f>
        <v>04.5.1-TID-R-516</v>
      </c>
      <c r="H88" s="580" t="str">
        <f>CONCATENATE('3 pr-2'!I88)</f>
        <v>R</v>
      </c>
      <c r="I88" s="580" t="str">
        <f>CONCATENATE('3 pr-2'!J88)</f>
        <v>ITI</v>
      </c>
      <c r="J88" s="476">
        <f>IF(V88&gt;0,'3 pr-2'!L88,0)</f>
        <v>133670.07</v>
      </c>
      <c r="K88" s="476">
        <f>IF(V88&gt;0,'3 pr-2'!O88,0)</f>
        <v>20050.509999999998</v>
      </c>
      <c r="L88" s="476">
        <f>IF(V88&gt;0,'3 pr-2'!R88,0)</f>
        <v>0</v>
      </c>
      <c r="M88" s="476">
        <f>IF(V88&gt;0,'3 pr-2'!U88,0)</f>
        <v>0</v>
      </c>
      <c r="N88" s="476">
        <f>IF(V88&gt;0,'3 pr-2'!X88,0)</f>
        <v>0</v>
      </c>
      <c r="O88" s="476">
        <f>IF(V88&gt;0,'3 pr-2'!AA88,0)</f>
        <v>113619.56</v>
      </c>
      <c r="P88" s="476">
        <f t="shared" si="110"/>
        <v>0</v>
      </c>
      <c r="Q88" s="476">
        <f t="shared" si="111"/>
        <v>113619.56</v>
      </c>
      <c r="R88" s="476">
        <f t="shared" si="112"/>
        <v>0</v>
      </c>
      <c r="S88" s="476">
        <f t="shared" si="113"/>
        <v>0</v>
      </c>
      <c r="T88" s="476">
        <f t="shared" si="114"/>
        <v>0</v>
      </c>
      <c r="U88" s="675">
        <f>SUM('3 pr-2'!AH88)</f>
        <v>42978</v>
      </c>
      <c r="V88" s="675">
        <v>42991</v>
      </c>
      <c r="W88" s="676">
        <f t="shared" ref="W88" si="116">IF((YEAR(U88)-YEAR(V88))=0,0,YEAR(U88)-YEAR(V88))</f>
        <v>0</v>
      </c>
      <c r="X88" s="720">
        <f t="shared" si="115"/>
        <v>-0.42739726027397212</v>
      </c>
    </row>
    <row r="89" spans="1:24" ht="48.75" x14ac:dyDescent="0.25">
      <c r="A89" s="580" t="str">
        <f>CONCATENATE('3 pr-2'!A89)</f>
        <v>1.1.2.3.3</v>
      </c>
      <c r="B89" s="580" t="str">
        <f>CONCATENATE('ketv. 2lent'!B88)</f>
        <v>04.5.1-TID-R-516-11-0002</v>
      </c>
      <c r="C89" s="580" t="str">
        <f>CONCATENATE('3 pr-2'!D89)</f>
        <v>Dviračių ir pėsčiųjų takų plėtra Lazdijų miesto Turistų gatvėje iki sodų bendrijos „Baltasis“ Lazdijų seniūnijoje</v>
      </c>
      <c r="D89" s="580" t="str">
        <f>CONCATENATE('3 pr-2'!E89)</f>
        <v>Lazdijų rajono savivaldybės administracija</v>
      </c>
      <c r="E89" s="580" t="str">
        <f>CONCATENATE('3 pr-2'!F89)</f>
        <v>Lietuvos Respublikos susisiekimo ministerija</v>
      </c>
      <c r="F89" s="580" t="str">
        <f>CONCATENATE('3 pr-2'!G89)</f>
        <v>Lazdijų miestas</v>
      </c>
      <c r="G89" s="580" t="str">
        <f>CONCATENATE('3 pr-2'!H89)</f>
        <v>04.5.1-TID-R-516</v>
      </c>
      <c r="H89" s="580" t="str">
        <f>CONCATENATE('3 pr-2'!I89)</f>
        <v>R</v>
      </c>
      <c r="I89" s="580" t="str">
        <f>CONCATENATE('3 pr-2'!J89)</f>
        <v>ITI</v>
      </c>
      <c r="J89" s="476">
        <f>IF(V89&gt;0,'3 pr-2'!L89,0)</f>
        <v>100658</v>
      </c>
      <c r="K89" s="476">
        <f>IF(V89&gt;0,'3 pr-2'!O89,0)</f>
        <v>27157</v>
      </c>
      <c r="L89" s="476">
        <f>IF(V89&gt;0,'3 pr-2'!R89,0)</f>
        <v>0</v>
      </c>
      <c r="M89" s="476">
        <f>IF(V89&gt;0,'3 pr-2'!U89,0)</f>
        <v>0</v>
      </c>
      <c r="N89" s="476">
        <f>IF(V89&gt;0,'3 pr-2'!X89,0)</f>
        <v>0</v>
      </c>
      <c r="O89" s="476">
        <f>IF(V89&gt;0,'3 pr-2'!AA89,0)</f>
        <v>73501</v>
      </c>
      <c r="P89" s="476">
        <f t="shared" si="110"/>
        <v>0</v>
      </c>
      <c r="Q89" s="476">
        <f t="shared" si="111"/>
        <v>0</v>
      </c>
      <c r="R89" s="476">
        <f t="shared" si="112"/>
        <v>73501</v>
      </c>
      <c r="S89" s="476">
        <f t="shared" si="113"/>
        <v>0</v>
      </c>
      <c r="T89" s="476">
        <f t="shared" si="114"/>
        <v>0</v>
      </c>
      <c r="U89" s="675">
        <f>SUM('3 pr-2'!AH89)</f>
        <v>43100</v>
      </c>
      <c r="V89" s="659">
        <v>43119</v>
      </c>
      <c r="W89" s="676"/>
      <c r="X89" s="720">
        <f t="shared" si="115"/>
        <v>-0.62465753424657466</v>
      </c>
    </row>
    <row r="90" spans="1:24" ht="48.75" x14ac:dyDescent="0.25">
      <c r="A90" s="580" t="str">
        <f>CONCATENATE('3 pr-2'!A90)</f>
        <v>1.1.2.3.4</v>
      </c>
      <c r="B90" s="580" t="str">
        <f>CONCATENATE('ketv. 2lent'!B89)</f>
        <v/>
      </c>
      <c r="C90" s="580" t="str">
        <f>CONCATENATE('3 pr-2'!D90)</f>
        <v>Pėsčiųjų ir dviračių takų plėtra Simno seniūnijoje</v>
      </c>
      <c r="D90" s="580" t="str">
        <f>CONCATENATE('3 pr-2'!E90)</f>
        <v>Alytaus rajono savivaldybės administracija</v>
      </c>
      <c r="E90" s="580" t="str">
        <f>CONCATENATE('3 pr-2'!F90)</f>
        <v>Lietuvos Respublikos susisiekimo ministerija</v>
      </c>
      <c r="F90" s="580" t="str">
        <f>CONCATENATE('3 pr-2'!G90)</f>
        <v>Alytaus rajonas</v>
      </c>
      <c r="G90" s="580" t="str">
        <f>CONCATENATE('3 pr-2'!H90)</f>
        <v>04.5.1-TID-R-516</v>
      </c>
      <c r="H90" s="580" t="str">
        <f>CONCATENATE('3 pr-2'!I90)</f>
        <v>R</v>
      </c>
      <c r="I90" s="580" t="str">
        <f>CONCATENATE('3 pr-2'!J90)</f>
        <v>-</v>
      </c>
      <c r="J90" s="476">
        <f>IF(V90&gt;0,'3 pr-2'!L90,0)</f>
        <v>0</v>
      </c>
      <c r="K90" s="476">
        <f>IF(V90&gt;0,'3 pr-2'!O90,0)</f>
        <v>0</v>
      </c>
      <c r="L90" s="476">
        <f>IF(V90&gt;0,'3 pr-2'!R90,0)</f>
        <v>0</v>
      </c>
      <c r="M90" s="476">
        <f>IF(V90&gt;0,'3 pr-2'!U90,0)</f>
        <v>0</v>
      </c>
      <c r="N90" s="476">
        <f>IF(V90&gt;0,'3 pr-2'!X90,0)</f>
        <v>0</v>
      </c>
      <c r="O90" s="476">
        <f>IF(V90&gt;0,'3 pr-2'!AA90,0)</f>
        <v>0</v>
      </c>
      <c r="P90" s="476">
        <f t="shared" si="110"/>
        <v>0</v>
      </c>
      <c r="Q90" s="476">
        <f t="shared" si="111"/>
        <v>0</v>
      </c>
      <c r="R90" s="476">
        <f t="shared" si="112"/>
        <v>0</v>
      </c>
      <c r="S90" s="476">
        <f t="shared" si="113"/>
        <v>0</v>
      </c>
      <c r="T90" s="476">
        <f t="shared" si="114"/>
        <v>0</v>
      </c>
      <c r="U90" s="675">
        <f>SUM('3 pr-2'!AH90)</f>
        <v>43220</v>
      </c>
      <c r="V90" s="675"/>
      <c r="W90" s="676"/>
      <c r="X90" s="720" t="str">
        <f t="shared" si="115"/>
        <v>–</v>
      </c>
    </row>
    <row r="91" spans="1:24" ht="49.5" thickBot="1" x14ac:dyDescent="0.3">
      <c r="A91" s="580" t="str">
        <f>CONCATENATE('3 pr-2'!A91)</f>
        <v>1.1.2.3.5</v>
      </c>
      <c r="B91" s="580" t="str">
        <f>CONCATENATE('ketv. 2lent'!B90)</f>
        <v/>
      </c>
      <c r="C91" s="580" t="str">
        <f>CONCATENATE('3 pr-2'!D91)</f>
        <v>Dviračių ir pėsčiųjų tako, esančio šalia Ratnyčios upelio, Druskininkų mieste, rekonstrukcija</v>
      </c>
      <c r="D91" s="580" t="str">
        <f>CONCATENATE('3 pr-2'!E91)</f>
        <v xml:space="preserve">Druskininkų savivaldybės administracija  </v>
      </c>
      <c r="E91" s="580" t="str">
        <f>CONCATENATE('3 pr-2'!F91)</f>
        <v>Lietuvos Respublikos susisiekimo ministerija</v>
      </c>
      <c r="F91" s="580" t="str">
        <f>CONCATENATE('3 pr-2'!G91)</f>
        <v>Druskininkų miestas</v>
      </c>
      <c r="G91" s="580" t="str">
        <f>CONCATENATE('3 pr-2'!H91)</f>
        <v>04.5.1-TID-R-516</v>
      </c>
      <c r="H91" s="580" t="str">
        <f>CONCATENATE('3 pr-2'!I91)</f>
        <v>R</v>
      </c>
      <c r="I91" s="580" t="str">
        <f>CONCATENATE('3 pr-2'!J91)</f>
        <v>-</v>
      </c>
      <c r="J91" s="476">
        <f>IF(V91&gt;0,'3 pr-2'!L91,0)</f>
        <v>0</v>
      </c>
      <c r="K91" s="476">
        <f>IF(V91&gt;0,'3 pr-2'!O91,0)</f>
        <v>0</v>
      </c>
      <c r="L91" s="476">
        <f>IF(V91&gt;0,'3 pr-2'!R91,0)</f>
        <v>0</v>
      </c>
      <c r="M91" s="476">
        <f>IF(V91&gt;0,'3 pr-2'!U91,0)</f>
        <v>0</v>
      </c>
      <c r="N91" s="476">
        <f>IF(V91&gt;0,'3 pr-2'!X91,0)</f>
        <v>0</v>
      </c>
      <c r="O91" s="476">
        <f>IF(V91&gt;0,'3 pr-2'!AA91,0)</f>
        <v>0</v>
      </c>
      <c r="P91" s="476">
        <f t="shared" si="110"/>
        <v>0</v>
      </c>
      <c r="Q91" s="476">
        <f t="shared" si="111"/>
        <v>0</v>
      </c>
      <c r="R91" s="476">
        <f t="shared" si="112"/>
        <v>0</v>
      </c>
      <c r="S91" s="476">
        <f t="shared" si="113"/>
        <v>0</v>
      </c>
      <c r="T91" s="476">
        <f t="shared" si="114"/>
        <v>0</v>
      </c>
      <c r="U91" s="675">
        <f>SUM('3 pr-2'!AH91)</f>
        <v>43418</v>
      </c>
      <c r="V91" s="675"/>
      <c r="W91" s="676"/>
      <c r="X91" s="720" t="str">
        <f t="shared" si="115"/>
        <v>–</v>
      </c>
    </row>
    <row r="92" spans="1:24" ht="29.25" customHeight="1" thickBot="1" x14ac:dyDescent="0.3">
      <c r="A92" s="497" t="str">
        <f>CONCATENATE('3 pr-2'!A92)</f>
        <v>1.1.2.4</v>
      </c>
      <c r="B92" s="613" t="str">
        <f>CONCATENATE('ketv. 2lent'!B91)</f>
        <v/>
      </c>
      <c r="C92" s="1656" t="str">
        <f>CONCATENATE('3 pr-2'!D92)</f>
        <v/>
      </c>
      <c r="D92" s="1789"/>
      <c r="E92" s="1789"/>
      <c r="F92" s="1789"/>
      <c r="G92" s="1789"/>
      <c r="H92" s="1789"/>
      <c r="I92" s="1790"/>
      <c r="J92" s="629">
        <f>SUM(J93:J99)</f>
        <v>1715391.06</v>
      </c>
      <c r="K92" s="629">
        <f t="shared" ref="K92:O92" si="117">SUM(K93:K99)</f>
        <v>194649.06</v>
      </c>
      <c r="L92" s="629">
        <f t="shared" si="117"/>
        <v>0</v>
      </c>
      <c r="M92" s="629">
        <f t="shared" si="117"/>
        <v>0</v>
      </c>
      <c r="N92" s="629">
        <f t="shared" si="117"/>
        <v>62660</v>
      </c>
      <c r="O92" s="629">
        <f t="shared" si="117"/>
        <v>1458082</v>
      </c>
      <c r="P92" s="630">
        <f>SUM(P93:P98)</f>
        <v>0</v>
      </c>
      <c r="Q92" s="631">
        <f t="shared" ref="Q92:T92" si="118">SUM(Q93:Q98)</f>
        <v>1458082</v>
      </c>
      <c r="R92" s="630">
        <f t="shared" si="118"/>
        <v>0</v>
      </c>
      <c r="S92" s="631">
        <f t="shared" si="118"/>
        <v>0</v>
      </c>
      <c r="T92" s="278">
        <f t="shared" si="118"/>
        <v>0</v>
      </c>
      <c r="U92" s="629"/>
      <c r="V92" s="629"/>
      <c r="W92" s="629"/>
      <c r="X92" s="629"/>
    </row>
    <row r="93" spans="1:24" ht="48.75" x14ac:dyDescent="0.25">
      <c r="A93" s="580" t="str">
        <f>CONCATENATE('3 pr-2'!A93)</f>
        <v>1.1.2.4.1</v>
      </c>
      <c r="B93" s="580" t="str">
        <f>CONCATENATE('ketv. 2lent'!B92)</f>
        <v>06.2.1-TID-R-511-11-0002</v>
      </c>
      <c r="C93" s="580" t="str">
        <f>CONCATENATE('3 pr-2'!D93)</f>
        <v>Varėnos miesto J. Basanavičiaus, Savanorių ir M. K. Čiurlionio gatvių rekonstrukcija</v>
      </c>
      <c r="D93" s="580" t="str">
        <f>CONCATENATE('3 pr-2'!E93)</f>
        <v>Varėnos rajono savivaldybės administracija</v>
      </c>
      <c r="E93" s="580" t="str">
        <f>CONCATENATE('3 pr-2'!F93)</f>
        <v>Lietuvos Respublikos susisiekimo ministerija</v>
      </c>
      <c r="F93" s="580" t="str">
        <f>CONCATENATE('3 pr-2'!G93)</f>
        <v>Varėnos miestas</v>
      </c>
      <c r="G93" s="580" t="str">
        <f>CONCATENATE('3 pr-2'!H93)</f>
        <v>06.2.1-TID-R-511</v>
      </c>
      <c r="H93" s="580" t="str">
        <f>CONCATENATE('3 pr-2'!I93)</f>
        <v>R</v>
      </c>
      <c r="I93" s="580" t="str">
        <f>CONCATENATE('3 pr-2'!J93)</f>
        <v>ITI</v>
      </c>
      <c r="J93" s="476">
        <f>IF(V93&gt;0,'3 pr-2'!L93,0)</f>
        <v>835464</v>
      </c>
      <c r="K93" s="476">
        <f>IF(V93&gt;0,'3 pr-2'!O93,0)</f>
        <v>62660</v>
      </c>
      <c r="L93" s="476">
        <f>IF(V93&gt;0,'3 pr-2'!R93,0)</f>
        <v>0</v>
      </c>
      <c r="M93" s="476">
        <f>IF(V93&gt;0,'3 pr-2'!U93,0)</f>
        <v>0</v>
      </c>
      <c r="N93" s="476">
        <f>IF(V93&gt;0,'3 pr-2'!X93,0)</f>
        <v>62660</v>
      </c>
      <c r="O93" s="476">
        <f>IF(V93&gt;0,'3 pr-2'!AA93,0)</f>
        <v>710144</v>
      </c>
      <c r="P93" s="476">
        <f t="shared" ref="P93:P98" si="119">IF(YEAR(V93)=2016,O93,0)</f>
        <v>0</v>
      </c>
      <c r="Q93" s="476">
        <f t="shared" ref="Q93:Q98" si="120">IF(YEAR(V93)=2017,O93,0)</f>
        <v>710144</v>
      </c>
      <c r="R93" s="476">
        <f t="shared" ref="R93:R98" si="121">IF(YEAR(V93)=2018,O93,0)</f>
        <v>0</v>
      </c>
      <c r="S93" s="476">
        <f t="shared" ref="S93:S98" si="122">IF(YEAR(V93)=2019,O93,0)</f>
        <v>0</v>
      </c>
      <c r="T93" s="476">
        <f t="shared" ref="T93:T98" si="123">IF(YEAR(V93)=2020,O93,0)</f>
        <v>0</v>
      </c>
      <c r="U93" s="675">
        <f>SUM('3 pr-2'!AH93)</f>
        <v>43008</v>
      </c>
      <c r="V93" s="675">
        <v>42992</v>
      </c>
      <c r="W93" s="676">
        <f t="shared" ref="W93" si="124">IF((YEAR(U93)-YEAR(V93))=0,0,YEAR(U93)-YEAR(V93))</f>
        <v>0</v>
      </c>
      <c r="X93" s="720" t="str">
        <f t="shared" ref="X93:X98" si="125">IF(U93-V93&lt;0,(U93-V93)/30.4166666666667,"–")</f>
        <v>–</v>
      </c>
    </row>
    <row r="94" spans="1:24" ht="48.75" x14ac:dyDescent="0.25">
      <c r="A94" s="580" t="str">
        <f>CONCATENATE('3 pr-2'!A94)</f>
        <v>1.1.2.4.2</v>
      </c>
      <c r="B94" s="580" t="str">
        <f>CONCATENATE('ketv. 2lent'!B93)</f>
        <v>06.2.1-TID-R-511-11-0001</v>
      </c>
      <c r="C94" s="580" t="str">
        <f>CONCATENATE('3 pr-2'!D94)</f>
        <v>Perspektyvinės gatvės nuo Pramonės  g. iki Naujosios g. Alytuje įrengimas</v>
      </c>
      <c r="D94" s="580" t="str">
        <f>CONCATENATE('3 pr-2'!E94)</f>
        <v>Alytaus miesto savivaldybės administracija</v>
      </c>
      <c r="E94" s="580" t="str">
        <f>CONCATENATE('3 pr-2'!F94)</f>
        <v>Lietuvos Respublikos susisiekimo ministerija</v>
      </c>
      <c r="F94" s="580" t="str">
        <f>CONCATENATE('3 pr-2'!G94)</f>
        <v>Alytaus  miestas</v>
      </c>
      <c r="G94" s="580" t="str">
        <f>CONCATENATE('3 pr-2'!H94)</f>
        <v>06.2.1-TID-R-511</v>
      </c>
      <c r="H94" s="580" t="str">
        <f>CONCATENATE('3 pr-2'!I94)</f>
        <v>R</v>
      </c>
      <c r="I94" s="580" t="str">
        <f>CONCATENATE('3 pr-2'!J94)</f>
        <v>ITI</v>
      </c>
      <c r="J94" s="476">
        <f>IF(V94&gt;0,'3 pr-2'!L94,0)</f>
        <v>879927.06</v>
      </c>
      <c r="K94" s="476">
        <f>IF(V94&gt;0,'3 pr-2'!O94,0)</f>
        <v>131989.06</v>
      </c>
      <c r="L94" s="476">
        <f>IF(V94&gt;0,'3 pr-2'!R94,0)</f>
        <v>0</v>
      </c>
      <c r="M94" s="476">
        <f>IF(V94&gt;0,'3 pr-2'!U94,0)</f>
        <v>0</v>
      </c>
      <c r="N94" s="476">
        <f>IF(V94&gt;0,'3 pr-2'!X94,0)</f>
        <v>0</v>
      </c>
      <c r="O94" s="476">
        <f>IF(V94&gt;0,'3 pr-2'!AA94,0)</f>
        <v>747938</v>
      </c>
      <c r="P94" s="476">
        <f t="shared" si="119"/>
        <v>0</v>
      </c>
      <c r="Q94" s="476">
        <f t="shared" si="120"/>
        <v>747938</v>
      </c>
      <c r="R94" s="476">
        <f t="shared" si="121"/>
        <v>0</v>
      </c>
      <c r="S94" s="476">
        <f t="shared" si="122"/>
        <v>0</v>
      </c>
      <c r="T94" s="476">
        <f t="shared" si="123"/>
        <v>0</v>
      </c>
      <c r="U94" s="675">
        <f>SUM('3 pr-2'!AH94)</f>
        <v>42947</v>
      </c>
      <c r="V94" s="675">
        <v>42920</v>
      </c>
      <c r="W94" s="676">
        <f t="shared" ref="W94" si="126">IF((YEAR(U94)-YEAR(V94))=0,0,YEAR(U94)-YEAR(V94))</f>
        <v>0</v>
      </c>
      <c r="X94" s="720" t="str">
        <f t="shared" si="125"/>
        <v>–</v>
      </c>
    </row>
    <row r="95" spans="1:24" ht="48.75" x14ac:dyDescent="0.25">
      <c r="A95" s="580" t="str">
        <f>CONCATENATE('3 pr-2'!A95)</f>
        <v>1.1.2.4.3.</v>
      </c>
      <c r="B95" s="580" t="str">
        <f>CONCATENATE('ketv. 2lent'!B94)</f>
        <v/>
      </c>
      <c r="C95" s="580" t="str">
        <f>CONCATENATE('3 pr-2'!D95)</f>
        <v>Saugaus eismo priemonių diegimas, Alytuje</v>
      </c>
      <c r="D95" s="580" t="str">
        <f>CONCATENATE('3 pr-2'!E95)</f>
        <v>Alytaus miesto savivaldybės administracija</v>
      </c>
      <c r="E95" s="580" t="str">
        <f>CONCATENATE('3 pr-2'!F95)</f>
        <v>Lietuvos Respublikos susisiekimo ministerija</v>
      </c>
      <c r="F95" s="580" t="str">
        <f>CONCATENATE('3 pr-2'!G95)</f>
        <v>Alytaus  miestas</v>
      </c>
      <c r="G95" s="580" t="str">
        <f>CONCATENATE('3 pr-2'!H95)</f>
        <v>06.2.1-TID-R-511</v>
      </c>
      <c r="H95" s="580" t="str">
        <f>CONCATENATE('3 pr-2'!I95)</f>
        <v>R</v>
      </c>
      <c r="I95" s="580" t="str">
        <f>CONCATENATE('3 pr-2'!J95)</f>
        <v>-</v>
      </c>
      <c r="J95" s="476">
        <f>IF(V95&gt;0,'3 pr-2'!L95,0)</f>
        <v>0</v>
      </c>
      <c r="K95" s="476">
        <f>IF(V95&gt;0,'3 pr-2'!O95,0)</f>
        <v>0</v>
      </c>
      <c r="L95" s="476">
        <f>IF(V95&gt;0,'3 pr-2'!R95,0)</f>
        <v>0</v>
      </c>
      <c r="M95" s="476">
        <f>IF(V95&gt;0,'3 pr-2'!U95,0)</f>
        <v>0</v>
      </c>
      <c r="N95" s="476">
        <f>IF(V95&gt;0,'3 pr-2'!X95,0)</f>
        <v>0</v>
      </c>
      <c r="O95" s="476">
        <f>IF(V95&gt;0,'3 pr-2'!AA95,0)</f>
        <v>0</v>
      </c>
      <c r="P95" s="476">
        <f t="shared" si="119"/>
        <v>0</v>
      </c>
      <c r="Q95" s="476">
        <f t="shared" si="120"/>
        <v>0</v>
      </c>
      <c r="R95" s="476">
        <f t="shared" si="121"/>
        <v>0</v>
      </c>
      <c r="S95" s="476">
        <f t="shared" si="122"/>
        <v>0</v>
      </c>
      <c r="T95" s="476">
        <f t="shared" si="123"/>
        <v>0</v>
      </c>
      <c r="U95" s="675">
        <f>SUM('3 pr-2'!AH95)</f>
        <v>43434</v>
      </c>
      <c r="V95" s="675"/>
      <c r="W95" s="676"/>
      <c r="X95" s="720" t="str">
        <f t="shared" si="125"/>
        <v>–</v>
      </c>
    </row>
    <row r="96" spans="1:24" ht="48.75" x14ac:dyDescent="0.25">
      <c r="A96" s="580" t="str">
        <f>CONCATENATE('3 pr-2'!A96)</f>
        <v>1.1.2.4.4</v>
      </c>
      <c r="B96" s="580" t="str">
        <f>CONCATENATE('ketv. 2lent'!B95)</f>
        <v/>
      </c>
      <c r="C96" s="580" t="str">
        <f>CONCATENATE('3 pr-2'!D96)</f>
        <v>Eismo saugos priemonių diegimas Alytaus rajone</v>
      </c>
      <c r="D96" s="580" t="str">
        <f>CONCATENATE('3 pr-2'!E96)</f>
        <v>Alytaus rajono savivaldybės administracija</v>
      </c>
      <c r="E96" s="580" t="str">
        <f>CONCATENATE('3 pr-2'!F96)</f>
        <v>Lietuvos Respublikos susisiekimo ministerija</v>
      </c>
      <c r="F96" s="580" t="str">
        <f>CONCATENATE('3 pr-2'!G96)</f>
        <v>Alytaus  rajono savivaldybė</v>
      </c>
      <c r="G96" s="580" t="str">
        <f>CONCATENATE('3 pr-2'!H96)</f>
        <v>06.2.1-TID-R-511</v>
      </c>
      <c r="H96" s="580" t="str">
        <f>CONCATENATE('3 pr-2'!I96)</f>
        <v>R</v>
      </c>
      <c r="I96" s="580" t="str">
        <f>CONCATENATE('3 pr-2'!J96)</f>
        <v>-</v>
      </c>
      <c r="J96" s="476">
        <f>IF(V96&gt;0,'3 pr-2'!L96,0)</f>
        <v>0</v>
      </c>
      <c r="K96" s="476">
        <f>IF(V96&gt;0,'3 pr-2'!O96,0)</f>
        <v>0</v>
      </c>
      <c r="L96" s="476">
        <f>IF(V96&gt;0,'3 pr-2'!R96,0)</f>
        <v>0</v>
      </c>
      <c r="M96" s="476">
        <f>IF(V96&gt;0,'3 pr-2'!U96,0)</f>
        <v>0</v>
      </c>
      <c r="N96" s="476">
        <f>IF(V96&gt;0,'3 pr-2'!X96,0)</f>
        <v>0</v>
      </c>
      <c r="O96" s="476">
        <f>IF(V96&gt;0,'3 pr-2'!AA96,0)</f>
        <v>0</v>
      </c>
      <c r="P96" s="476">
        <f t="shared" si="119"/>
        <v>0</v>
      </c>
      <c r="Q96" s="476">
        <f t="shared" si="120"/>
        <v>0</v>
      </c>
      <c r="R96" s="476">
        <f t="shared" si="121"/>
        <v>0</v>
      </c>
      <c r="S96" s="476">
        <f t="shared" si="122"/>
        <v>0</v>
      </c>
      <c r="T96" s="476">
        <f t="shared" si="123"/>
        <v>0</v>
      </c>
      <c r="U96" s="675">
        <f>SUM('3 pr-2'!AH96)</f>
        <v>43344</v>
      </c>
      <c r="V96" s="675"/>
      <c r="W96" s="676"/>
      <c r="X96" s="720" t="str">
        <f t="shared" si="125"/>
        <v>–</v>
      </c>
    </row>
    <row r="97" spans="1:25" ht="48.75" x14ac:dyDescent="0.25">
      <c r="A97" s="580" t="str">
        <f>CONCATENATE('3 pr-2'!A97)</f>
        <v>1.1.2.4.5</v>
      </c>
      <c r="B97" s="580" t="str">
        <f>CONCATENATE('ketv. 2lent'!B96)</f>
        <v/>
      </c>
      <c r="C97" s="580" t="str">
        <f>CONCATENATE('3 pr-2'!D97)</f>
        <v>M. K. Čiurlionio gatvės atkarpos Druskininkų m. rekonstrukcija</v>
      </c>
      <c r="D97" s="580" t="str">
        <f>CONCATENATE('3 pr-2'!E97)</f>
        <v xml:space="preserve">Druskininkų savivaldybės administracija  </v>
      </c>
      <c r="E97" s="580" t="str">
        <f>CONCATENATE('3 pr-2'!F97)</f>
        <v>Lietuvos Respublikos susisiekimo ministerija</v>
      </c>
      <c r="F97" s="580" t="str">
        <f>CONCATENATE('3 pr-2'!G97)</f>
        <v>Druskininkų miestas</v>
      </c>
      <c r="G97" s="580" t="str">
        <f>CONCATENATE('3 pr-2'!H97)</f>
        <v>06.2.1-TID-R-511</v>
      </c>
      <c r="H97" s="580" t="str">
        <f>CONCATENATE('3 pr-2'!I97)</f>
        <v>R</v>
      </c>
      <c r="I97" s="580" t="str">
        <f>CONCATENATE('3 pr-2'!J97)</f>
        <v>-</v>
      </c>
      <c r="J97" s="476">
        <f>IF(V97&gt;0,'3 pr-2'!L97,0)</f>
        <v>0</v>
      </c>
      <c r="K97" s="476">
        <f>IF(V97&gt;0,'3 pr-2'!O97,0)</f>
        <v>0</v>
      </c>
      <c r="L97" s="476">
        <f>IF(V97&gt;0,'3 pr-2'!R97,0)</f>
        <v>0</v>
      </c>
      <c r="M97" s="476">
        <f>IF(V97&gt;0,'3 pr-2'!U97,0)</f>
        <v>0</v>
      </c>
      <c r="N97" s="476">
        <f>IF(V97&gt;0,'3 pr-2'!X97,0)</f>
        <v>0</v>
      </c>
      <c r="O97" s="476">
        <f>IF(V97&gt;0,'3 pr-2'!AA97,0)</f>
        <v>0</v>
      </c>
      <c r="P97" s="476">
        <f t="shared" si="119"/>
        <v>0</v>
      </c>
      <c r="Q97" s="476">
        <f t="shared" si="120"/>
        <v>0</v>
      </c>
      <c r="R97" s="476">
        <f t="shared" si="121"/>
        <v>0</v>
      </c>
      <c r="S97" s="476">
        <f t="shared" si="122"/>
        <v>0</v>
      </c>
      <c r="T97" s="476">
        <f t="shared" si="123"/>
        <v>0</v>
      </c>
      <c r="U97" s="675">
        <f>SUM('3 pr-2'!AH97)</f>
        <v>43419</v>
      </c>
      <c r="V97" s="675"/>
      <c r="W97" s="676"/>
      <c r="X97" s="720" t="str">
        <f t="shared" si="125"/>
        <v>–</v>
      </c>
    </row>
    <row r="98" spans="1:25" ht="48.75" x14ac:dyDescent="0.25">
      <c r="A98" s="580" t="str">
        <f>CONCATENATE('3 pr-2'!A98)</f>
        <v>1.1.2.4.6</v>
      </c>
      <c r="B98" s="580" t="str">
        <f>CONCATENATE('ketv. 2lent'!B97)</f>
        <v/>
      </c>
      <c r="C98" s="580" t="str">
        <f>CONCATENATE('3 pr-2'!D98)</f>
        <v>Lazdijų miesto Seinų ir Lazdijos gatvių bei vietinės reikšmės kelio nuo Janonio gatvės iki Lazdijų hipodromo rekonstravimas</v>
      </c>
      <c r="D98" s="580" t="str">
        <f>CONCATENATE('3 pr-2'!E98)</f>
        <v>Lazdijų rajono savivaldybės administracija</v>
      </c>
      <c r="E98" s="580" t="str">
        <f>CONCATENATE('3 pr-2'!F98)</f>
        <v>Lietuvos Respublikos susisiekimo ministerija</v>
      </c>
      <c r="F98" s="580" t="str">
        <f>CONCATENATE('3 pr-2'!G98)</f>
        <v>Lazdijų miestas</v>
      </c>
      <c r="G98" s="580" t="str">
        <f>CONCATENATE('3 pr-2'!H98)</f>
        <v>06.2.1-TID-R-511</v>
      </c>
      <c r="H98" s="580" t="str">
        <f>CONCATENATE('3 pr-2'!I98)</f>
        <v>R</v>
      </c>
      <c r="I98" s="580" t="str">
        <f>CONCATENATE('3 pr-2'!J98)</f>
        <v>ITI</v>
      </c>
      <c r="J98" s="476">
        <f>IF(V98&gt;0,'3 pr-2'!L98,0)</f>
        <v>0</v>
      </c>
      <c r="K98" s="476">
        <f>IF(V98&gt;0,'3 pr-2'!O98,0)</f>
        <v>0</v>
      </c>
      <c r="L98" s="476">
        <f>IF(V98&gt;0,'3 pr-2'!R98,0)</f>
        <v>0</v>
      </c>
      <c r="M98" s="476">
        <f>IF(V98&gt;0,'3 pr-2'!U98,0)</f>
        <v>0</v>
      </c>
      <c r="N98" s="476">
        <f>IF(V98&gt;0,'3 pr-2'!X98,0)</f>
        <v>0</v>
      </c>
      <c r="O98" s="476">
        <f>IF(V98&gt;0,'3 pr-2'!AA98,0)</f>
        <v>0</v>
      </c>
      <c r="P98" s="476">
        <f t="shared" si="119"/>
        <v>0</v>
      </c>
      <c r="Q98" s="476">
        <f t="shared" si="120"/>
        <v>0</v>
      </c>
      <c r="R98" s="476">
        <f t="shared" si="121"/>
        <v>0</v>
      </c>
      <c r="S98" s="476">
        <f t="shared" si="122"/>
        <v>0</v>
      </c>
      <c r="T98" s="476">
        <f t="shared" si="123"/>
        <v>0</v>
      </c>
      <c r="U98" s="688">
        <f>SUM('3 pr-2'!AH98)</f>
        <v>43217</v>
      </c>
      <c r="V98" s="688"/>
      <c r="W98" s="676"/>
      <c r="X98" s="720" t="str">
        <f t="shared" si="125"/>
        <v>–</v>
      </c>
    </row>
    <row r="99" spans="1:25" ht="49.5" thickBot="1" x14ac:dyDescent="0.3">
      <c r="A99" s="580" t="str">
        <f>CONCATENATE('3 pr-2'!A99)</f>
        <v>1.1.2.4.7</v>
      </c>
      <c r="B99" s="580" t="str">
        <f>CONCATENATE('ketv. 2lent'!B98)</f>
        <v/>
      </c>
      <c r="C99" s="580" t="str">
        <f>CONCATENATE('3 pr-2'!D99)</f>
        <v>Eismo saugumo priemonių diegimas Druskininkų savivaldybėje</v>
      </c>
      <c r="D99" s="580" t="str">
        <f>CONCATENATE('3 pr-2'!E99)</f>
        <v xml:space="preserve">Druskininkų savivaldybės administracija  </v>
      </c>
      <c r="E99" s="580" t="str">
        <f>CONCATENATE('3 pr-2'!F99)</f>
        <v>Lietuvos Respublikos susisiekimo ministerija</v>
      </c>
      <c r="F99" s="580" t="str">
        <f>CONCATENATE('3 pr-2'!G99)</f>
        <v>Druskininkų miestas</v>
      </c>
      <c r="G99" s="580" t="str">
        <f>CONCATENATE('3 pr-2'!H99)</f>
        <v>06.2.1-TID-R-511</v>
      </c>
      <c r="H99" s="580" t="str">
        <f>CONCATENATE('3 pr-2'!I99)</f>
        <v>R</v>
      </c>
      <c r="I99" s="580" t="str">
        <f>CONCATENATE('3 pr-2'!J99)</f>
        <v>-</v>
      </c>
      <c r="J99" s="476">
        <f>IF(V99&gt;0,'3 pr-2'!L99,0)</f>
        <v>0</v>
      </c>
      <c r="K99" s="476">
        <f>IF(V99&gt;0,'3 pr-2'!O99,0)</f>
        <v>0</v>
      </c>
      <c r="L99" s="476">
        <f>IF(V99&gt;0,'3 pr-2'!R99,0)</f>
        <v>0</v>
      </c>
      <c r="M99" s="476">
        <f>IF(V99&gt;0,'3 pr-2'!U99,0)</f>
        <v>0</v>
      </c>
      <c r="N99" s="476">
        <f>IF(V99&gt;0,'3 pr-2'!X99,0)</f>
        <v>0</v>
      </c>
      <c r="O99" s="476">
        <f>IF(V99&gt;0,'3 pr-2'!AA99,0)</f>
        <v>0</v>
      </c>
      <c r="P99" s="476">
        <f t="shared" ref="P99" si="127">IF(YEAR(V99)=2016,O99,0)</f>
        <v>0</v>
      </c>
      <c r="Q99" s="476">
        <f t="shared" ref="Q99" si="128">IF(YEAR(V99)=2017,O99,0)</f>
        <v>0</v>
      </c>
      <c r="R99" s="476">
        <f t="shared" ref="R99" si="129">IF(YEAR(V99)=2018,O99,0)</f>
        <v>0</v>
      </c>
      <c r="S99" s="476">
        <f t="shared" ref="S99" si="130">IF(YEAR(V99)=2019,O99,0)</f>
        <v>0</v>
      </c>
      <c r="T99" s="476">
        <f t="shared" ref="T99" si="131">IF(YEAR(V99)=2020,O99,0)</f>
        <v>0</v>
      </c>
      <c r="U99" s="688">
        <f>SUM('3 pr-2'!AH99)</f>
        <v>43585</v>
      </c>
      <c r="V99" s="688"/>
      <c r="W99" s="676"/>
      <c r="X99" s="720" t="str">
        <f t="shared" ref="X99" si="132">IF(U99-V99&lt;0,(U99-V99)/30.4166666666667,"–")</f>
        <v>–</v>
      </c>
    </row>
    <row r="100" spans="1:25" ht="42.75" customHeight="1" thickBot="1" x14ac:dyDescent="0.35">
      <c r="A100" s="655" t="str">
        <f>CONCATENATE('3 pr-2'!A100)</f>
        <v>2.1.</v>
      </c>
      <c r="B100" s="656" t="str">
        <f>CONCATENATE('ketv. 2lent'!B99)</f>
        <v/>
      </c>
      <c r="C100" s="1799" t="str">
        <f>CONCATENATE('3 pr-2'!D100)</f>
        <v/>
      </c>
      <c r="D100" s="1800" t="str">
        <f>CONCATENATE('3 pr-2'!E100)</f>
        <v/>
      </c>
      <c r="E100" s="1800" t="str">
        <f>CONCATENATE('3 pr-2'!F100)</f>
        <v/>
      </c>
      <c r="F100" s="1800" t="str">
        <f>CONCATENATE('3 pr-2'!G100)</f>
        <v/>
      </c>
      <c r="G100" s="1800" t="str">
        <f>CONCATENATE('3 pr-2'!H100)</f>
        <v/>
      </c>
      <c r="H100" s="1800" t="str">
        <f>CONCATENATE('3 pr-2'!I100)</f>
        <v/>
      </c>
      <c r="I100" s="1801" t="str">
        <f>CONCATENATE('3 pr-2'!J100)</f>
        <v/>
      </c>
      <c r="J100" s="657">
        <f t="shared" ref="J100:O100" si="133">SUM(J101+J120+J146+J159)</f>
        <v>7729300.1899999995</v>
      </c>
      <c r="K100" s="657">
        <f t="shared" si="133"/>
        <v>1424610.29</v>
      </c>
      <c r="L100" s="657">
        <f t="shared" si="133"/>
        <v>122746.41</v>
      </c>
      <c r="M100" s="657">
        <f t="shared" si="133"/>
        <v>0</v>
      </c>
      <c r="N100" s="657">
        <f t="shared" si="133"/>
        <v>0</v>
      </c>
      <c r="O100" s="657">
        <f t="shared" si="133"/>
        <v>6181943.4900000002</v>
      </c>
      <c r="P100" s="222"/>
      <c r="Q100" s="222"/>
      <c r="R100" s="222"/>
      <c r="S100" s="222"/>
      <c r="T100" s="370"/>
      <c r="U100" s="657" t="s">
        <v>725</v>
      </c>
      <c r="V100" s="657" t="s">
        <v>725</v>
      </c>
      <c r="W100" s="657" t="s">
        <v>725</v>
      </c>
      <c r="X100" s="657"/>
    </row>
    <row r="101" spans="1:25" ht="51.75" customHeight="1" thickBot="1" x14ac:dyDescent="0.3">
      <c r="A101" s="220" t="str">
        <f>CONCATENATE('3 pr-2'!A101)</f>
        <v>2.1.1.</v>
      </c>
      <c r="B101" s="323" t="str">
        <f>CONCATENATE('ketv. 2lent'!B100)</f>
        <v/>
      </c>
      <c r="C101" s="1668" t="str">
        <f>CONCATENATE('3 pr-2'!D101)</f>
        <v/>
      </c>
      <c r="D101" s="1595" t="str">
        <f>CONCATENATE('3 pr-2'!E101)</f>
        <v/>
      </c>
      <c r="E101" s="1595" t="str">
        <f>CONCATENATE('3 pr-2'!F101)</f>
        <v/>
      </c>
      <c r="F101" s="1595" t="str">
        <f>CONCATENATE('3 pr-2'!G101)</f>
        <v/>
      </c>
      <c r="G101" s="1595" t="str">
        <f>CONCATENATE('3 pr-2'!H101)</f>
        <v/>
      </c>
      <c r="H101" s="1595" t="str">
        <f>CONCATENATE('3 pr-2'!I101)</f>
        <v/>
      </c>
      <c r="I101" s="1595" t="str">
        <f>CONCATENATE('3 pr-2'!J101)</f>
        <v/>
      </c>
      <c r="J101" s="295">
        <f>SUM(J102+J108+J114)</f>
        <v>3317876.12</v>
      </c>
      <c r="K101" s="295">
        <f t="shared" ref="K101:O101" si="134">SUM(K102+K108+K114)</f>
        <v>588692.71</v>
      </c>
      <c r="L101" s="295">
        <f t="shared" si="134"/>
        <v>100798.41</v>
      </c>
      <c r="M101" s="295">
        <f t="shared" si="134"/>
        <v>0</v>
      </c>
      <c r="N101" s="295">
        <f t="shared" si="134"/>
        <v>0</v>
      </c>
      <c r="O101" s="295">
        <f t="shared" si="134"/>
        <v>2628385</v>
      </c>
      <c r="P101" s="295"/>
      <c r="Q101" s="295"/>
      <c r="R101" s="295"/>
      <c r="S101" s="295"/>
      <c r="T101" s="295"/>
      <c r="U101" s="650" t="s">
        <v>725</v>
      </c>
      <c r="V101" s="689" t="s">
        <v>725</v>
      </c>
      <c r="W101" s="687" t="s">
        <v>725</v>
      </c>
      <c r="X101" s="650"/>
    </row>
    <row r="102" spans="1:25" ht="37.5" customHeight="1" thickBot="1" x14ac:dyDescent="0.3">
      <c r="A102" s="497" t="str">
        <f>CONCATENATE('3 pr-2'!A102)</f>
        <v>2.1.1.1</v>
      </c>
      <c r="B102" s="613" t="str">
        <f>CONCATENATE('ketv. 2lent'!B101)</f>
        <v/>
      </c>
      <c r="C102" s="1656" t="str">
        <f>CONCATENATE('3 pr-2'!D102)</f>
        <v/>
      </c>
      <c r="D102" s="1789"/>
      <c r="E102" s="1789"/>
      <c r="F102" s="1789"/>
      <c r="G102" s="1789"/>
      <c r="H102" s="1789"/>
      <c r="I102" s="1790"/>
      <c r="J102" s="629">
        <f>SUM('3 pr-2'!L102)</f>
        <v>1343974.82</v>
      </c>
      <c r="K102" s="629">
        <f>SUM('3 pr-2'!O102)</f>
        <v>100799.41</v>
      </c>
      <c r="L102" s="629">
        <f>SUM('3 pr-2'!R102)</f>
        <v>100798.41</v>
      </c>
      <c r="M102" s="629">
        <f>SUM('3 pr-2'!U102)</f>
        <v>0</v>
      </c>
      <c r="N102" s="629">
        <f>SUM('3 pr-2'!X102)</f>
        <v>0</v>
      </c>
      <c r="O102" s="629">
        <f>SUM('3 pr-2'!AA102)</f>
        <v>1142377</v>
      </c>
      <c r="P102" s="630">
        <f>SUM(P103:P107)</f>
        <v>0</v>
      </c>
      <c r="Q102" s="631">
        <f t="shared" ref="Q102:T102" si="135">SUM(Q103:Q107)</f>
        <v>139295</v>
      </c>
      <c r="R102" s="630">
        <f t="shared" si="135"/>
        <v>278203</v>
      </c>
      <c r="S102" s="631">
        <f t="shared" si="135"/>
        <v>0</v>
      </c>
      <c r="T102" s="278">
        <f t="shared" si="135"/>
        <v>0</v>
      </c>
      <c r="U102" s="629"/>
      <c r="V102" s="629"/>
      <c r="W102" s="629"/>
      <c r="X102" s="629"/>
    </row>
    <row r="103" spans="1:25" ht="60.75" x14ac:dyDescent="0.25">
      <c r="A103" s="255" t="str">
        <f>CONCATENATE('3 pr-2'!A103)</f>
        <v>2.1.1.1.1</v>
      </c>
      <c r="B103" s="473" t="str">
        <f>CONCATENATE('ketv. 2lent'!B102)</f>
        <v xml:space="preserve">09.1.3-CPVA-R-724-11-0003 </v>
      </c>
      <c r="C103" s="255" t="str">
        <f>CONCATENATE('3 pr-2'!D103)</f>
        <v>Varėnos r. Merkinės Vinco Krėvės gimnazijos laisvų patalpų pritaikymas ikimokyklinio ir priešmokyklinio ugdymo grupėms įrengti</v>
      </c>
      <c r="D103" s="255" t="str">
        <f>CONCATENATE('3 pr-2'!E103)</f>
        <v>Varėnos rajono savivaldybės administracija</v>
      </c>
      <c r="E103" s="255" t="str">
        <f>CONCATENATE('3 pr-2'!F103)</f>
        <v>Lietuvos Respublikos švietimo ir mokslo ministerija</v>
      </c>
      <c r="F103" s="255" t="str">
        <f>CONCATENATE('3 pr-2'!G103)</f>
        <v>Varėnos miestas</v>
      </c>
      <c r="G103" s="255" t="str">
        <f>CONCATENATE('3 pr-2'!H103)</f>
        <v>09.1.3-CPVA-R-724</v>
      </c>
      <c r="H103" s="255" t="str">
        <f>CONCATENATE('3 pr-2'!I103)</f>
        <v>R</v>
      </c>
      <c r="I103" s="255" t="str">
        <f>CONCATENATE('3 pr-2'!J103)</f>
        <v>-</v>
      </c>
      <c r="J103" s="476">
        <f>IF(V103&gt;0,'3 pr-2'!L103,0)</f>
        <v>220453</v>
      </c>
      <c r="K103" s="476">
        <f>IF(V103&gt;0,'3 pr-2'!O103,0)</f>
        <v>16534</v>
      </c>
      <c r="L103" s="476">
        <f>IF(V103&gt;0,'3 pr-2'!R103,0)</f>
        <v>16534</v>
      </c>
      <c r="M103" s="476">
        <f>IF(V103&gt;0,'3 pr-2'!U103,0)</f>
        <v>0</v>
      </c>
      <c r="N103" s="476">
        <f>IF(V103&gt;0,'3 pr-2'!X103,0)</f>
        <v>0</v>
      </c>
      <c r="O103" s="476">
        <f>IF(V103&gt;0,'3 pr-2'!AA103,0)</f>
        <v>187385</v>
      </c>
      <c r="P103" s="474">
        <f t="shared" ref="P103:P107" si="136">IF(YEAR(V103)=2016,O103,0)</f>
        <v>0</v>
      </c>
      <c r="Q103" s="474">
        <f t="shared" ref="Q103:Q107" si="137">IF(YEAR(V103)=2017,O103,0)</f>
        <v>0</v>
      </c>
      <c r="R103" s="474">
        <f t="shared" ref="R103:R107" si="138">IF(YEAR(V103)=2018,O103,0)</f>
        <v>187385</v>
      </c>
      <c r="S103" s="474">
        <f t="shared" ref="S103:S107" si="139">IF(YEAR(V103)=2019,O103,0)</f>
        <v>0</v>
      </c>
      <c r="T103" s="474">
        <f t="shared" ref="T103:T107" si="140">IF(YEAR(V103)=2020,O103,0)</f>
        <v>0</v>
      </c>
      <c r="U103" s="290">
        <f>SUM('3 pr-2'!AH103)</f>
        <v>43099</v>
      </c>
      <c r="V103" s="659">
        <v>43117</v>
      </c>
      <c r="W103" s="291"/>
      <c r="X103" s="720">
        <f t="shared" ref="X103:X107" si="141">IF(U103-V103&lt;0,(U103-V103)/30.4166666666667,"–")</f>
        <v>-0.59178082191780756</v>
      </c>
    </row>
    <row r="104" spans="1:25" ht="60.75" x14ac:dyDescent="0.25">
      <c r="A104" s="255" t="str">
        <f>CONCATENATE('3 pr-2'!A104)</f>
        <v>2.1.1.1.2</v>
      </c>
      <c r="B104" s="473" t="str">
        <f>CONCATENATE('ketv. 2lent'!B103)</f>
        <v>09.1.3-CPVA-R-724-11-0005</v>
      </c>
      <c r="C104" s="255" t="str">
        <f>CONCATENATE('3 pr-2'!D104)</f>
        <v>Alytaus rajono bendrojo ugdymo įstaigų aprūpinimas gamtos, technologijų, menų ir kitų mokslų laboratorijų įranga</v>
      </c>
      <c r="D104" s="255" t="str">
        <f>CONCATENATE('3 pr-2'!E104)</f>
        <v>Alytaus rajono savivaldybės administracija</v>
      </c>
      <c r="E104" s="255" t="str">
        <f>CONCATENATE('3 pr-2'!F104)</f>
        <v>Lietuvos Respublikos švietimo ir mokslo ministerija</v>
      </c>
      <c r="F104" s="255" t="str">
        <f>CONCATENATE('3 pr-2'!G104)</f>
        <v>Alytaus  rajono savivaldybė</v>
      </c>
      <c r="G104" s="255" t="str">
        <f>CONCATENATE('3 pr-2'!H104)</f>
        <v>09.1.3-CPVA-R-724</v>
      </c>
      <c r="H104" s="255" t="str">
        <f>CONCATENATE('3 pr-2'!I104)</f>
        <v>R</v>
      </c>
      <c r="I104" s="255" t="str">
        <f>CONCATENATE('3 pr-2'!J104)</f>
        <v>-</v>
      </c>
      <c r="J104" s="476">
        <f>IF(V104&gt;0,'3 pr-2'!L104,0)</f>
        <v>106844.82</v>
      </c>
      <c r="K104" s="476">
        <f>IF(V104&gt;0,'3 pr-2'!O104,0)</f>
        <v>8013.41</v>
      </c>
      <c r="L104" s="476">
        <f>IF(V104&gt;0,'3 pr-2'!R104,0)</f>
        <v>8013.41</v>
      </c>
      <c r="M104" s="476">
        <f>IF(V104&gt;0,'3 pr-2'!U104,0)</f>
        <v>0</v>
      </c>
      <c r="N104" s="476">
        <f>IF(V104&gt;0,'3 pr-2'!X104,0)</f>
        <v>0</v>
      </c>
      <c r="O104" s="476">
        <f>IF(V104&gt;0,'3 pr-2'!AA104,0)</f>
        <v>90818</v>
      </c>
      <c r="P104" s="474">
        <f t="shared" si="136"/>
        <v>0</v>
      </c>
      <c r="Q104" s="474">
        <f t="shared" si="137"/>
        <v>0</v>
      </c>
      <c r="R104" s="474">
        <f t="shared" si="138"/>
        <v>90818</v>
      </c>
      <c r="S104" s="474">
        <f t="shared" si="139"/>
        <v>0</v>
      </c>
      <c r="T104" s="474">
        <f t="shared" si="140"/>
        <v>0</v>
      </c>
      <c r="U104" s="290">
        <f>SUM('3 pr-2'!AH104)</f>
        <v>43100</v>
      </c>
      <c r="V104" s="659">
        <v>43112</v>
      </c>
      <c r="W104" s="291"/>
      <c r="X104" s="720">
        <f t="shared" si="141"/>
        <v>-0.39452054794520502</v>
      </c>
    </row>
    <row r="105" spans="1:25" ht="60.75" x14ac:dyDescent="0.25">
      <c r="A105" s="255" t="str">
        <f>CONCATENATE('3 pr-2'!A105)</f>
        <v>2.1.1.1.3</v>
      </c>
      <c r="B105" s="473" t="str">
        <f>CONCATENATE('ketv. 2lent'!B104)</f>
        <v xml:space="preserve">09.1.3-CPVA-R-724-11-0002 </v>
      </c>
      <c r="C105" s="255" t="str">
        <f>CONCATENATE('3 pr-2'!D105)</f>
        <v>Modernių ir saugių erdvių kūrimas Dzūkijos pagrindinėje mokykloje, Alytuje</v>
      </c>
      <c r="D105" s="255" t="str">
        <f>CONCATENATE('3 pr-2'!E105)</f>
        <v>Alytaus miesto savivaldybės administracija</v>
      </c>
      <c r="E105" s="255" t="str">
        <f>CONCATENATE('3 pr-2'!F105)</f>
        <v>Lietuvos Respublikos švietimo ir mokslo ministerija</v>
      </c>
      <c r="F105" s="255" t="str">
        <f>CONCATENATE('3 pr-2'!G105)</f>
        <v>Alytaus  miestas</v>
      </c>
      <c r="G105" s="255" t="str">
        <f>CONCATENATE('3 pr-2'!H105)</f>
        <v>09.1.3-CPVA-R-724</v>
      </c>
      <c r="H105" s="255" t="str">
        <f>CONCATENATE('3 pr-2'!I105)</f>
        <v>R</v>
      </c>
      <c r="I105" s="255" t="str">
        <f>CONCATENATE('3 pr-2'!J105)</f>
        <v>-</v>
      </c>
      <c r="J105" s="476">
        <f>IF(V105&gt;0,'3 pr-2'!L105,0)</f>
        <v>0</v>
      </c>
      <c r="K105" s="476">
        <f>IF(V105&gt;0,'3 pr-2'!O105,0)</f>
        <v>0</v>
      </c>
      <c r="L105" s="476">
        <f>IF(V105&gt;0,'3 pr-2'!R105,0)</f>
        <v>0</v>
      </c>
      <c r="M105" s="476">
        <f>IF(V105&gt;0,'3 pr-2'!U105,0)</f>
        <v>0</v>
      </c>
      <c r="N105" s="476">
        <f>IF(V105&gt;0,'3 pr-2'!X105,0)</f>
        <v>0</v>
      </c>
      <c r="O105" s="476">
        <f>IF(V105&gt;0,'3 pr-2'!AA105,0)</f>
        <v>0</v>
      </c>
      <c r="P105" s="474">
        <f t="shared" si="136"/>
        <v>0</v>
      </c>
      <c r="Q105" s="474">
        <f t="shared" si="137"/>
        <v>0</v>
      </c>
      <c r="R105" s="474">
        <f t="shared" si="138"/>
        <v>0</v>
      </c>
      <c r="S105" s="474">
        <f t="shared" si="139"/>
        <v>0</v>
      </c>
      <c r="T105" s="474">
        <f t="shared" si="140"/>
        <v>0</v>
      </c>
      <c r="U105" s="290">
        <f>SUM('3 pr-2'!AH105)</f>
        <v>43100</v>
      </c>
      <c r="V105" s="660"/>
      <c r="W105" s="307"/>
      <c r="X105" s="720" t="str">
        <f t="shared" si="141"/>
        <v>–</v>
      </c>
    </row>
    <row r="106" spans="1:25" ht="60.75" x14ac:dyDescent="0.25">
      <c r="A106" s="255" t="str">
        <f>CONCATENATE('3 pr-2'!A106)</f>
        <v>2.1.1.1.4</v>
      </c>
      <c r="B106" s="473" t="str">
        <f>CONCATENATE('ketv. 2lent'!B105)</f>
        <v>09.1.3-CPVA-R-724-11-0004</v>
      </c>
      <c r="C106" s="255" t="str">
        <f>CONCATENATE('3 pr-2'!D106)</f>
        <v>Modernių ir saugių erdvių sukūrimas bendrojo ugdymo mokyklose Druskininkų sav.</v>
      </c>
      <c r="D106" s="255" t="str">
        <f>CONCATENATE('3 pr-2'!E106)</f>
        <v>Druskininkų savivaldybės administracija</v>
      </c>
      <c r="E106" s="255" t="str">
        <f>CONCATENATE('3 pr-2'!F106)</f>
        <v>Lietuvos Respublikos švietimo ir mokslo ministerija</v>
      </c>
      <c r="F106" s="255" t="str">
        <f>CONCATENATE('3 pr-2'!G106)</f>
        <v>Druskininkų savivaldybė</v>
      </c>
      <c r="G106" s="255" t="str">
        <f>CONCATENATE('3 pr-2'!H106)</f>
        <v>09.1.3-CPVA-R-724</v>
      </c>
      <c r="H106" s="255" t="str">
        <f>CONCATENATE('3 pr-2'!I106)</f>
        <v>R</v>
      </c>
      <c r="I106" s="255" t="str">
        <f>CONCATENATE('3 pr-2'!J106)</f>
        <v>-</v>
      </c>
      <c r="J106" s="476">
        <f>IF(V106&gt;0,'3 pr-2'!L106,0)</f>
        <v>163877</v>
      </c>
      <c r="K106" s="476">
        <f>IF(V106&gt;0,'3 pr-2'!O106,0)</f>
        <v>12291</v>
      </c>
      <c r="L106" s="476">
        <f>IF(V106&gt;0,'3 pr-2'!R106,0)</f>
        <v>12291</v>
      </c>
      <c r="M106" s="476">
        <f>IF(V106&gt;0,'3 pr-2'!U106,0)</f>
        <v>0</v>
      </c>
      <c r="N106" s="476">
        <f>IF(V106&gt;0,'3 pr-2'!X106,0)</f>
        <v>0</v>
      </c>
      <c r="O106" s="476">
        <f>IF(V106&gt;0,'3 pr-2'!AA106,0)</f>
        <v>139295</v>
      </c>
      <c r="P106" s="474">
        <f t="shared" si="136"/>
        <v>0</v>
      </c>
      <c r="Q106" s="474">
        <f t="shared" si="137"/>
        <v>139295</v>
      </c>
      <c r="R106" s="474">
        <f t="shared" si="138"/>
        <v>0</v>
      </c>
      <c r="S106" s="474">
        <f t="shared" si="139"/>
        <v>0</v>
      </c>
      <c r="T106" s="474">
        <f t="shared" si="140"/>
        <v>0</v>
      </c>
      <c r="U106" s="290">
        <f>SUM('3 pr-2'!AH106)</f>
        <v>43100</v>
      </c>
      <c r="V106" s="308">
        <v>43098</v>
      </c>
      <c r="W106" s="291"/>
      <c r="X106" s="720" t="str">
        <f t="shared" si="141"/>
        <v>–</v>
      </c>
    </row>
    <row r="107" spans="1:25" ht="61.5" thickBot="1" x14ac:dyDescent="0.3">
      <c r="A107" s="255" t="str">
        <f>CONCATENATE('3 pr-2'!A107)</f>
        <v>2.1.1.1.5</v>
      </c>
      <c r="B107" s="473" t="str">
        <f>CONCATENATE('ketv. 2lent'!B106)</f>
        <v xml:space="preserve">09.1.3-CPVA-R-724-11-0001 </v>
      </c>
      <c r="C107" s="255" t="str">
        <f>CONCATENATE('3 pr-2'!D107)</f>
        <v>Modernių ir saugių erdvių sukūrimas bendrojo ugdymo įstaigose Lazdijų rajono savivaldybėje</v>
      </c>
      <c r="D107" s="255" t="str">
        <f>CONCATENATE('3 pr-2'!E107)</f>
        <v>Lazdijų rajono savivaldybės administracija</v>
      </c>
      <c r="E107" s="255" t="str">
        <f>CONCATENATE('3 pr-2'!F107)</f>
        <v>Lietuvos Respublikos švietimo ir mokslo ministerija</v>
      </c>
      <c r="F107" s="255" t="str">
        <f>CONCATENATE('3 pr-2'!G107)</f>
        <v>Lazdijų rajono savivaldybė</v>
      </c>
      <c r="G107" s="255" t="str">
        <f>CONCATENATE('3 pr-2'!H107)</f>
        <v>09.1.3-CPVA-R-724</v>
      </c>
      <c r="H107" s="255" t="str">
        <f>CONCATENATE('3 pr-2'!I107)</f>
        <v>R</v>
      </c>
      <c r="I107" s="255" t="str">
        <f>CONCATENATE('3 pr-2'!J107)</f>
        <v>-</v>
      </c>
      <c r="J107" s="476">
        <f>IF(V107&gt;0,'3 pr-2'!L107,0)</f>
        <v>0</v>
      </c>
      <c r="K107" s="476">
        <f>IF(V107&gt;0,'3 pr-2'!O107,0)</f>
        <v>0</v>
      </c>
      <c r="L107" s="476">
        <f>IF(V107&gt;0,'3 pr-2'!R107,0)</f>
        <v>0</v>
      </c>
      <c r="M107" s="476">
        <f>IF(V107&gt;0,'3 pr-2'!U107,0)</f>
        <v>0</v>
      </c>
      <c r="N107" s="476">
        <f>IF(V107&gt;0,'3 pr-2'!X107,0)</f>
        <v>0</v>
      </c>
      <c r="O107" s="476">
        <f>IF(V107&gt;0,'3 pr-2'!AA107,0)</f>
        <v>0</v>
      </c>
      <c r="P107" s="474">
        <f t="shared" si="136"/>
        <v>0</v>
      </c>
      <c r="Q107" s="474">
        <f t="shared" si="137"/>
        <v>0</v>
      </c>
      <c r="R107" s="474">
        <f t="shared" si="138"/>
        <v>0</v>
      </c>
      <c r="S107" s="474">
        <f t="shared" si="139"/>
        <v>0</v>
      </c>
      <c r="T107" s="474">
        <f t="shared" si="140"/>
        <v>0</v>
      </c>
      <c r="U107" s="290">
        <f>SUM('3 pr-2'!AH107)</f>
        <v>43100</v>
      </c>
      <c r="V107" s="660"/>
      <c r="W107" s="291"/>
      <c r="X107" s="720" t="str">
        <f t="shared" si="141"/>
        <v>–</v>
      </c>
    </row>
    <row r="108" spans="1:25" ht="42.75" customHeight="1" thickBot="1" x14ac:dyDescent="0.3">
      <c r="A108" s="497" t="str">
        <f>CONCATENATE('3 pr-2'!A108)</f>
        <v>2.1.1.2</v>
      </c>
      <c r="B108" s="613" t="str">
        <f>CONCATENATE('ketv. 2lent'!B107)</f>
        <v/>
      </c>
      <c r="C108" s="1656" t="str">
        <f>CONCATENATE('3 pr-2'!D108)</f>
        <v/>
      </c>
      <c r="D108" s="1789"/>
      <c r="E108" s="1789"/>
      <c r="F108" s="1789"/>
      <c r="G108" s="1789"/>
      <c r="H108" s="1789"/>
      <c r="I108" s="1790"/>
      <c r="J108" s="629">
        <f>SUM(J109:J113)</f>
        <v>1973901.3</v>
      </c>
      <c r="K108" s="629">
        <f t="shared" ref="K108:O108" si="142">SUM(K109:K113)</f>
        <v>487893.3</v>
      </c>
      <c r="L108" s="629">
        <f t="shared" si="142"/>
        <v>0</v>
      </c>
      <c r="M108" s="629">
        <f t="shared" si="142"/>
        <v>0</v>
      </c>
      <c r="N108" s="629">
        <f t="shared" si="142"/>
        <v>0</v>
      </c>
      <c r="O108" s="629">
        <f t="shared" si="142"/>
        <v>1486008</v>
      </c>
      <c r="P108" s="630">
        <f>SUM(P109:P113)</f>
        <v>0</v>
      </c>
      <c r="Q108" s="631">
        <f t="shared" ref="Q108:T108" si="143">SUM(Q109:Q113)</f>
        <v>611626</v>
      </c>
      <c r="R108" s="630">
        <f t="shared" si="143"/>
        <v>874382</v>
      </c>
      <c r="S108" s="631">
        <f t="shared" si="143"/>
        <v>0</v>
      </c>
      <c r="T108" s="278">
        <f t="shared" si="143"/>
        <v>0</v>
      </c>
      <c r="U108" s="629"/>
      <c r="V108" s="629"/>
      <c r="W108" s="629"/>
      <c r="X108" s="629"/>
    </row>
    <row r="109" spans="1:25" ht="60.75" x14ac:dyDescent="0.25">
      <c r="A109" s="580" t="str">
        <f>CONCATENATE('3 pr-2'!A109)</f>
        <v>2.1.1.2.1</v>
      </c>
      <c r="B109" s="473" t="str">
        <f>CONCATENATE('ketv. 2lent'!B108)</f>
        <v>09.1.3-CPVA-R-725-11-0003</v>
      </c>
      <c r="C109" s="580" t="str">
        <f>CONCATENATE('3 pr-2'!D109)</f>
        <v>Varėnos moksleivių kūrybos centro pastato J. Basanavičiaus g. 38, Varėnoje, modernizavimas</v>
      </c>
      <c r="D109" s="580" t="str">
        <f>CONCATENATE('3 pr-2'!E109)</f>
        <v>Varėnos rajono savivaldybės administracija</v>
      </c>
      <c r="E109" s="580" t="str">
        <f>CONCATENATE('3 pr-2'!F109)</f>
        <v>Lietuvos Respublikos švietimo ir mokslo ministerija</v>
      </c>
      <c r="F109" s="580" t="str">
        <f>CONCATENATE('3 pr-2'!G109)</f>
        <v>Varėnos miestas</v>
      </c>
      <c r="G109" s="580" t="str">
        <f>CONCATENATE('3 pr-2'!H109)</f>
        <v>09.13.CPVA-R-725</v>
      </c>
      <c r="H109" s="580" t="str">
        <f>CONCATENATE('3 pr-2'!I109)</f>
        <v>R</v>
      </c>
      <c r="I109" s="580" t="str">
        <f>CONCATENATE('3 pr-2'!J109)</f>
        <v>-</v>
      </c>
      <c r="J109" s="476">
        <f>IF(V109&gt;0,'3 pr-2'!L109,0)</f>
        <v>437551</v>
      </c>
      <c r="K109" s="476">
        <f>IF(V109&gt;0,'3 pr-2'!O109,0)</f>
        <v>65633</v>
      </c>
      <c r="L109" s="476">
        <f>IF(V109&gt;0,'3 pr-2'!R109,0)</f>
        <v>0</v>
      </c>
      <c r="M109" s="476">
        <f>IF(V109&gt;0,'3 pr-2'!U109,0)</f>
        <v>0</v>
      </c>
      <c r="N109" s="476">
        <f>IF(V109&gt;0,'3 pr-2'!X109,0)</f>
        <v>0</v>
      </c>
      <c r="O109" s="476">
        <f>IF(V109&gt;0,'3 pr-2'!AA109,0)</f>
        <v>371918</v>
      </c>
      <c r="P109" s="476">
        <f t="shared" ref="P109:P113" si="144">IF(YEAR(V109)=2016,O109,0)</f>
        <v>0</v>
      </c>
      <c r="Q109" s="476">
        <f t="shared" ref="Q109:Q113" si="145">IF(YEAR(V109)=2017,O109,0)</f>
        <v>371918</v>
      </c>
      <c r="R109" s="476">
        <f t="shared" ref="R109:R113" si="146">IF(YEAR(V109)=2018,O109,0)</f>
        <v>0</v>
      </c>
      <c r="S109" s="476">
        <f t="shared" ref="S109:S113" si="147">IF(YEAR(V109)=2019,O109,0)</f>
        <v>0</v>
      </c>
      <c r="T109" s="476">
        <f t="shared" ref="T109:T113" si="148">IF(YEAR(V109)=2020,O109,0)</f>
        <v>0</v>
      </c>
      <c r="U109" s="675">
        <f>SUM('3 pr-2'!AH109)</f>
        <v>43100</v>
      </c>
      <c r="V109" s="678">
        <v>43097</v>
      </c>
      <c r="W109" s="676"/>
      <c r="X109" s="720" t="str">
        <f t="shared" ref="X109:X113" si="149">IF(U109-V109&lt;0,(U109-V109)/30.4166666666667,"–")</f>
        <v>–</v>
      </c>
      <c r="Y109" s="30"/>
    </row>
    <row r="110" spans="1:25" ht="60.75" x14ac:dyDescent="0.25">
      <c r="A110" s="580" t="str">
        <f>CONCATENATE('3 pr-2'!A110)</f>
        <v>2.1.1.2.2</v>
      </c>
      <c r="B110" s="473" t="str">
        <f>CONCATENATE('ketv. 2lent'!B109)</f>
        <v>09.1.3-CPVA-R-725-11-0005</v>
      </c>
      <c r="C110" s="580" t="str">
        <f>CONCATENATE('3 pr-2'!D110)</f>
        <v>Alytaus r. meno ir sporto mokyklos edukacinių erdvių įkūrimas ir atnaujinimas</v>
      </c>
      <c r="D110" s="580" t="str">
        <f>CONCATENATE('3 pr-2'!E110)</f>
        <v>Alytaus rajono savivaldybės administracija</v>
      </c>
      <c r="E110" s="580" t="str">
        <f>CONCATENATE('3 pr-2'!F110)</f>
        <v>Lietuvos Respublikos švietimo ir mokslo ministerija</v>
      </c>
      <c r="F110" s="580" t="str">
        <f>CONCATENATE('3 pr-2'!G110)</f>
        <v>Alytaus  rajono savivaldybė</v>
      </c>
      <c r="G110" s="580" t="str">
        <f>CONCATENATE('3 pr-2'!H110)</f>
        <v>09.13.CPVA-R-725</v>
      </c>
      <c r="H110" s="580" t="str">
        <f>CONCATENATE('3 pr-2'!I110)</f>
        <v>R</v>
      </c>
      <c r="I110" s="580" t="str">
        <f>CONCATENATE('3 pr-2'!J110)</f>
        <v>-</v>
      </c>
      <c r="J110" s="476">
        <f>IF(V110&gt;0,'3 pr-2'!L110,0)</f>
        <v>856456</v>
      </c>
      <c r="K110" s="476">
        <f>IF(V110&gt;0,'3 pr-2'!O110,0)</f>
        <v>319845</v>
      </c>
      <c r="L110" s="476">
        <f>IF(V110&gt;0,'3 pr-2'!R110,0)</f>
        <v>0</v>
      </c>
      <c r="M110" s="476">
        <f>IF(V110&gt;0,'3 pr-2'!U110,0)</f>
        <v>0</v>
      </c>
      <c r="N110" s="476">
        <f>IF(V110&gt;0,'3 pr-2'!X110,0)</f>
        <v>0</v>
      </c>
      <c r="O110" s="476">
        <f>IF(V110&gt;0,'3 pr-2'!AA110,0)</f>
        <v>536611</v>
      </c>
      <c r="P110" s="476">
        <f t="shared" si="144"/>
        <v>0</v>
      </c>
      <c r="Q110" s="476">
        <f t="shared" si="145"/>
        <v>0</v>
      </c>
      <c r="R110" s="476">
        <f t="shared" si="146"/>
        <v>536611</v>
      </c>
      <c r="S110" s="476">
        <f t="shared" si="147"/>
        <v>0</v>
      </c>
      <c r="T110" s="476">
        <f t="shared" si="148"/>
        <v>0</v>
      </c>
      <c r="U110" s="675">
        <f>SUM('3 pr-2'!AH110)</f>
        <v>43100</v>
      </c>
      <c r="V110" s="659">
        <v>43115</v>
      </c>
      <c r="W110" s="676"/>
      <c r="X110" s="720">
        <f t="shared" si="149"/>
        <v>-0.49315068493150632</v>
      </c>
    </row>
    <row r="111" spans="1:25" ht="60.75" x14ac:dyDescent="0.25">
      <c r="A111" s="580" t="str">
        <f>CONCATENATE('3 pr-2'!A111)</f>
        <v>2.1.1.2.3</v>
      </c>
      <c r="B111" s="473" t="str">
        <f>CONCATENATE('ketv. 2lent'!B110)</f>
        <v>09.1.3-CPVA-R-725-11-0004</v>
      </c>
      <c r="C111" s="580" t="str">
        <f>CONCATENATE('3 pr-2'!D111)</f>
        <v>Alytaus muzikos mokyklos pastato modernizavimas ir ugdymo aplinkos gerinimas</v>
      </c>
      <c r="D111" s="580" t="str">
        <f>CONCATENATE('3 pr-2'!E111)</f>
        <v>Alytaus miesto savivaldybės administracija</v>
      </c>
      <c r="E111" s="580" t="str">
        <f>CONCATENATE('3 pr-2'!F111)</f>
        <v>Lietuvos Respublikos švietimo ir mokslo ministerija</v>
      </c>
      <c r="F111" s="580" t="str">
        <f>CONCATENATE('3 pr-2'!G111)</f>
        <v>Alytaus  miestas</v>
      </c>
      <c r="G111" s="580" t="str">
        <f>CONCATENATE('3 pr-2'!H111)</f>
        <v>09.13.CPVA-R-725</v>
      </c>
      <c r="H111" s="580" t="str">
        <f>CONCATENATE('3 pr-2'!I111)</f>
        <v>R</v>
      </c>
      <c r="I111" s="580" t="str">
        <f>CONCATENATE('3 pr-2'!J111)</f>
        <v>-</v>
      </c>
      <c r="J111" s="476">
        <f>IF(V111&gt;0,'3 pr-2'!L111,0)</f>
        <v>397378</v>
      </c>
      <c r="K111" s="476">
        <f>IF(V111&gt;0,'3 pr-2'!O111,0)</f>
        <v>59607</v>
      </c>
      <c r="L111" s="476">
        <f>IF(V111&gt;0,'3 pr-2'!R111,0)</f>
        <v>0</v>
      </c>
      <c r="M111" s="476">
        <f>IF(V111&gt;0,'3 pr-2'!U111,0)</f>
        <v>0</v>
      </c>
      <c r="N111" s="476">
        <f>IF(V111&gt;0,'3 pr-2'!X111,0)</f>
        <v>0</v>
      </c>
      <c r="O111" s="476">
        <f>IF(V111&gt;0,'3 pr-2'!AA111,0)</f>
        <v>337771</v>
      </c>
      <c r="P111" s="476">
        <f t="shared" si="144"/>
        <v>0</v>
      </c>
      <c r="Q111" s="476">
        <f t="shared" si="145"/>
        <v>0</v>
      </c>
      <c r="R111" s="476">
        <f t="shared" si="146"/>
        <v>337771</v>
      </c>
      <c r="S111" s="476">
        <f t="shared" si="147"/>
        <v>0</v>
      </c>
      <c r="T111" s="476">
        <f t="shared" si="148"/>
        <v>0</v>
      </c>
      <c r="U111" s="675">
        <f>SUM('3 pr-2'!AH111)</f>
        <v>43100</v>
      </c>
      <c r="V111" s="659">
        <v>43119</v>
      </c>
      <c r="W111" s="676"/>
      <c r="X111" s="720">
        <f t="shared" si="149"/>
        <v>-0.62465753424657466</v>
      </c>
    </row>
    <row r="112" spans="1:25" ht="60.75" x14ac:dyDescent="0.25">
      <c r="A112" s="580" t="str">
        <f>CONCATENATE('3 pr-2'!A112)</f>
        <v>2.1.1.2.4</v>
      </c>
      <c r="B112" s="473" t="str">
        <f>CONCATENATE('ketv. 2lent'!B111)</f>
        <v>09.1.3-CPVA-R-725-11-0002</v>
      </c>
      <c r="C112" s="580" t="str">
        <f>CONCATENATE('3 pr-2'!D112)</f>
        <v>Druskininkų M. K. Čiurlionio meno mokyklos infrastruktūros tobulinimas</v>
      </c>
      <c r="D112" s="580" t="str">
        <f>CONCATENATE('3 pr-2'!E112)</f>
        <v xml:space="preserve">Druskininkų savivaldybės administracija  </v>
      </c>
      <c r="E112" s="580" t="str">
        <f>CONCATENATE('3 pr-2'!F112)</f>
        <v>Lietuvos Respublikos švietimo ir mokslo ministerija</v>
      </c>
      <c r="F112" s="580" t="str">
        <f>CONCATENATE('3 pr-2'!G112)</f>
        <v>Druskininkų miestas</v>
      </c>
      <c r="G112" s="580" t="str">
        <f>CONCATENATE('3 pr-2'!H112)</f>
        <v>09.13.CPVA-R-725</v>
      </c>
      <c r="H112" s="580" t="str">
        <f>CONCATENATE('3 pr-2'!I112)</f>
        <v>R</v>
      </c>
      <c r="I112" s="580" t="str">
        <f>CONCATENATE('3 pr-2'!J112)</f>
        <v>-</v>
      </c>
      <c r="J112" s="476">
        <f>IF(V112&gt;0,'3 pr-2'!L112,0)</f>
        <v>146702.29999999999</v>
      </c>
      <c r="K112" s="476">
        <f>IF(V112&gt;0,'3 pr-2'!O112,0)</f>
        <v>22436.3</v>
      </c>
      <c r="L112" s="476">
        <f>IF(V112&gt;0,'3 pr-2'!R112,0)</f>
        <v>0</v>
      </c>
      <c r="M112" s="476">
        <f>IF(V112&gt;0,'3 pr-2'!U112,0)</f>
        <v>0</v>
      </c>
      <c r="N112" s="476">
        <f>IF(V112&gt;0,'3 pr-2'!X112,0)</f>
        <v>0</v>
      </c>
      <c r="O112" s="476">
        <f>IF(V112&gt;0,'3 pr-2'!AA112,0)</f>
        <v>124266</v>
      </c>
      <c r="P112" s="476">
        <f t="shared" si="144"/>
        <v>0</v>
      </c>
      <c r="Q112" s="476">
        <f t="shared" si="145"/>
        <v>124266</v>
      </c>
      <c r="R112" s="476">
        <f t="shared" si="146"/>
        <v>0</v>
      </c>
      <c r="S112" s="476">
        <f t="shared" si="147"/>
        <v>0</v>
      </c>
      <c r="T112" s="476">
        <f t="shared" si="148"/>
        <v>0</v>
      </c>
      <c r="U112" s="675">
        <f>SUM('3 pr-2'!AH112)</f>
        <v>43100</v>
      </c>
      <c r="V112" s="678">
        <v>43097</v>
      </c>
      <c r="W112" s="676"/>
      <c r="X112" s="720" t="str">
        <f t="shared" si="149"/>
        <v>–</v>
      </c>
    </row>
    <row r="113" spans="1:24" ht="61.5" thickBot="1" x14ac:dyDescent="0.3">
      <c r="A113" s="580" t="str">
        <f>CONCATENATE('3 pr-2'!A113)</f>
        <v>2.1.1.2.5</v>
      </c>
      <c r="B113" s="473" t="str">
        <f>CONCATENATE('ketv. 2lent'!B112)</f>
        <v>09.1.3-CPVA-R-725-11-0001</v>
      </c>
      <c r="C113" s="580" t="str">
        <f>CONCATENATE('3 pr-2'!D113)</f>
        <v>Neformaliojo švietimo įstaigų Lazdijų rajono savivaldybėje infrastruktūros tobulinimas</v>
      </c>
      <c r="D113" s="580" t="str">
        <f>CONCATENATE('3 pr-2'!E113)</f>
        <v>VšĮ „Lazdijų sporto centras“</v>
      </c>
      <c r="E113" s="580" t="str">
        <f>CONCATENATE('3 pr-2'!F113)</f>
        <v>Lietuvos Respublikos švietimo ir mokslo ministerija</v>
      </c>
      <c r="F113" s="580" t="str">
        <f>CONCATENATE('3 pr-2'!G113)</f>
        <v>Lazdijų rajono savivaldybė</v>
      </c>
      <c r="G113" s="580" t="str">
        <f>CONCATENATE('3 pr-2'!H113)</f>
        <v>09.13.CPVA-R-725</v>
      </c>
      <c r="H113" s="580" t="str">
        <f>CONCATENATE('3 pr-2'!I113)</f>
        <v>R</v>
      </c>
      <c r="I113" s="580" t="str">
        <f>CONCATENATE('3 pr-2'!J113)</f>
        <v>-</v>
      </c>
      <c r="J113" s="476">
        <f>IF(V113&gt;0,'3 pr-2'!L113,0)</f>
        <v>135814</v>
      </c>
      <c r="K113" s="476">
        <f>IF(V113&gt;0,'3 pr-2'!O113,0)</f>
        <v>20372</v>
      </c>
      <c r="L113" s="476">
        <f>IF(V113&gt;0,'3 pr-2'!R113,0)</f>
        <v>0</v>
      </c>
      <c r="M113" s="476">
        <f>IF(V113&gt;0,'3 pr-2'!U113,0)</f>
        <v>0</v>
      </c>
      <c r="N113" s="476">
        <f>IF(V113&gt;0,'3 pr-2'!X113,0)</f>
        <v>0</v>
      </c>
      <c r="O113" s="476">
        <f>IF(V113&gt;0,'3 pr-2'!AA113,0)</f>
        <v>115442</v>
      </c>
      <c r="P113" s="476">
        <f t="shared" si="144"/>
        <v>0</v>
      </c>
      <c r="Q113" s="476">
        <f t="shared" si="145"/>
        <v>115442</v>
      </c>
      <c r="R113" s="476">
        <f t="shared" si="146"/>
        <v>0</v>
      </c>
      <c r="S113" s="476">
        <f t="shared" si="147"/>
        <v>0</v>
      </c>
      <c r="T113" s="476">
        <f t="shared" si="148"/>
        <v>0</v>
      </c>
      <c r="U113" s="675">
        <f>SUM('3 pr-2'!AH113)</f>
        <v>43100</v>
      </c>
      <c r="V113" s="678">
        <v>43045</v>
      </c>
      <c r="W113" s="676"/>
      <c r="X113" s="720" t="str">
        <f t="shared" si="149"/>
        <v>–</v>
      </c>
    </row>
    <row r="114" spans="1:24" ht="36" customHeight="1" thickBot="1" x14ac:dyDescent="0.3">
      <c r="A114" s="497" t="str">
        <f>CONCATENATE('3 pr-2'!A114)</f>
        <v>2.1.1.3</v>
      </c>
      <c r="B114" s="613" t="str">
        <f>CONCATENATE('ketv. 2lent'!B113)</f>
        <v/>
      </c>
      <c r="C114" s="1656" t="str">
        <f>CONCATENATE('3 pr-2'!D114)</f>
        <v/>
      </c>
      <c r="D114" s="1789"/>
      <c r="E114" s="1789"/>
      <c r="F114" s="1789"/>
      <c r="G114" s="1789"/>
      <c r="H114" s="1789"/>
      <c r="I114" s="1790"/>
      <c r="J114" s="629">
        <f>SUM(J115:J119)</f>
        <v>0</v>
      </c>
      <c r="K114" s="629">
        <f t="shared" ref="K114:O114" si="150">SUM(K115:K119)</f>
        <v>0</v>
      </c>
      <c r="L114" s="629">
        <f t="shared" si="150"/>
        <v>0</v>
      </c>
      <c r="M114" s="629">
        <f t="shared" si="150"/>
        <v>0</v>
      </c>
      <c r="N114" s="629">
        <f t="shared" si="150"/>
        <v>0</v>
      </c>
      <c r="O114" s="629">
        <f t="shared" si="150"/>
        <v>0</v>
      </c>
      <c r="P114" s="630">
        <f>SUM(P115:P119)</f>
        <v>0</v>
      </c>
      <c r="Q114" s="631">
        <f t="shared" ref="Q114:T114" si="151">SUM(Q115:Q119)</f>
        <v>0</v>
      </c>
      <c r="R114" s="630">
        <f t="shared" si="151"/>
        <v>0</v>
      </c>
      <c r="S114" s="631">
        <f t="shared" si="151"/>
        <v>0</v>
      </c>
      <c r="T114" s="278">
        <f t="shared" si="151"/>
        <v>0</v>
      </c>
      <c r="U114" s="629"/>
      <c r="V114" s="629"/>
      <c r="W114" s="629"/>
      <c r="X114" s="629"/>
    </row>
    <row r="115" spans="1:24" ht="60.75" x14ac:dyDescent="0.25">
      <c r="A115" s="580" t="str">
        <f>CONCATENATE('3 pr-2'!A115)</f>
        <v>2.1.1.3.1</v>
      </c>
      <c r="B115" s="580" t="str">
        <f>CONCATENATE('ketv. 2lent'!B114)</f>
        <v>09.1.3-CPVA-R-705-11-0003</v>
      </c>
      <c r="C115" s="580" t="str">
        <f>CONCATENATE('3 pr-2'!D115)</f>
        <v>Varėnos "Pasakos" vaikų lopšelio-darželio pastato modernizavimas</v>
      </c>
      <c r="D115" s="580" t="str">
        <f>CONCATENATE('3 pr-2'!E115)</f>
        <v>Varėnos rajono savivaldybės administracija</v>
      </c>
      <c r="E115" s="580" t="str">
        <f>CONCATENATE('3 pr-2'!F115)</f>
        <v>Lietuvos Respublikos švietimo ir mokslo ministerija</v>
      </c>
      <c r="F115" s="580" t="str">
        <f>CONCATENATE('3 pr-2'!G115)</f>
        <v>Varėnos miestas</v>
      </c>
      <c r="G115" s="580" t="str">
        <f>CONCATENATE('3 pr-2'!H115)</f>
        <v>09.1.3-CPVA-R-705</v>
      </c>
      <c r="H115" s="580" t="str">
        <f>CONCATENATE('3 pr-2'!I115)</f>
        <v>R</v>
      </c>
      <c r="I115" s="580" t="str">
        <f>CONCATENATE('3 pr-2'!J115)</f>
        <v>-</v>
      </c>
      <c r="J115" s="476">
        <f>IF(V115&gt;0,'3 pr-2'!L115,0)</f>
        <v>0</v>
      </c>
      <c r="K115" s="476">
        <f>IF(V115&gt;0,'3 pr-2'!O115,0)</f>
        <v>0</v>
      </c>
      <c r="L115" s="476">
        <f>IF(V115&gt;0,'3 pr-2'!R115,0)</f>
        <v>0</v>
      </c>
      <c r="M115" s="476">
        <f>IF(V115&gt;0,'3 pr-2'!U115,0)</f>
        <v>0</v>
      </c>
      <c r="N115" s="476">
        <f>IF(V115&gt;0,'3 pr-2'!X115,0)</f>
        <v>0</v>
      </c>
      <c r="O115" s="476">
        <f>IF(V115&gt;0,'3 pr-2'!AA115,0)</f>
        <v>0</v>
      </c>
      <c r="P115" s="476">
        <f t="shared" ref="P115:P119" si="152">IF(YEAR(V115)=2016,O115,0)</f>
        <v>0</v>
      </c>
      <c r="Q115" s="476">
        <f t="shared" ref="Q115:Q119" si="153">IF(YEAR(V115)=2017,O115,0)</f>
        <v>0</v>
      </c>
      <c r="R115" s="476">
        <f t="shared" ref="R115:R119" si="154">IF(YEAR(V115)=2018,O115,0)</f>
        <v>0</v>
      </c>
      <c r="S115" s="476">
        <f t="shared" ref="S115:S119" si="155">IF(YEAR(V115)=2019,O115,0)</f>
        <v>0</v>
      </c>
      <c r="T115" s="476">
        <f t="shared" ref="T115:T119" si="156">IF(YEAR(V115)=2020,O115,0)</f>
        <v>0</v>
      </c>
      <c r="U115" s="675">
        <f>SUM('3 pr-2'!AH115)</f>
        <v>43159</v>
      </c>
      <c r="V115" s="580"/>
      <c r="W115" s="580"/>
      <c r="X115" s="720" t="str">
        <f t="shared" ref="X115:X119" si="157">IF(U115-V115&lt;0,(U115-V115)/30.4166666666667,"–")</f>
        <v>–</v>
      </c>
    </row>
    <row r="116" spans="1:24" ht="60.75" x14ac:dyDescent="0.25">
      <c r="A116" s="580" t="str">
        <f>CONCATENATE('3 pr-2'!A116)</f>
        <v>2.1.1.3.2</v>
      </c>
      <c r="B116" s="580" t="str">
        <f>CONCATENATE('ketv. 2lent'!B115)</f>
        <v>09.1.3-CPVA-R-705-11-0004</v>
      </c>
      <c r="C116" s="580" t="str">
        <f>CONCATENATE('3 pr-2'!D116)</f>
        <v>Alytaus r. ikimokyklinio ir priešmokyklinio ugdymo prieinamumo didinimas įkuriant ir atnaujinant edukacines erdves</v>
      </c>
      <c r="D116" s="580" t="str">
        <f>CONCATENATE('3 pr-2'!E116)</f>
        <v>Alytaus rajono savivaldybės administracija</v>
      </c>
      <c r="E116" s="580" t="str">
        <f>CONCATENATE('3 pr-2'!F116)</f>
        <v>Lietuvos Respublikos švietimo ir mokslo ministerija</v>
      </c>
      <c r="F116" s="580" t="str">
        <f>CONCATENATE('3 pr-2'!G116)</f>
        <v>Alytaus  rajono savivaldybė</v>
      </c>
      <c r="G116" s="580" t="str">
        <f>CONCATENATE('3 pr-2'!H116)</f>
        <v>09.1.3-CPVA-R-705</v>
      </c>
      <c r="H116" s="580" t="str">
        <f>CONCATENATE('3 pr-2'!I116)</f>
        <v>R</v>
      </c>
      <c r="I116" s="580" t="str">
        <f>CONCATENATE('3 pr-2'!J116)</f>
        <v/>
      </c>
      <c r="J116" s="476">
        <f>IF(V116&gt;0,'3 pr-2'!L116,0)</f>
        <v>0</v>
      </c>
      <c r="K116" s="476">
        <f>IF(V116&gt;0,'3 pr-2'!O116,0)</f>
        <v>0</v>
      </c>
      <c r="L116" s="476">
        <f>IF(V116&gt;0,'3 pr-2'!R116,0)</f>
        <v>0</v>
      </c>
      <c r="M116" s="476">
        <f>IF(V116&gt;0,'3 pr-2'!U116,0)</f>
        <v>0</v>
      </c>
      <c r="N116" s="476">
        <f>IF(V116&gt;0,'3 pr-2'!X116,0)</f>
        <v>0</v>
      </c>
      <c r="O116" s="476">
        <f>IF(V116&gt;0,'3 pr-2'!AA116,0)</f>
        <v>0</v>
      </c>
      <c r="P116" s="476">
        <f t="shared" si="152"/>
        <v>0</v>
      </c>
      <c r="Q116" s="476">
        <f t="shared" si="153"/>
        <v>0</v>
      </c>
      <c r="R116" s="476">
        <f t="shared" si="154"/>
        <v>0</v>
      </c>
      <c r="S116" s="476">
        <f t="shared" si="155"/>
        <v>0</v>
      </c>
      <c r="T116" s="476">
        <f t="shared" si="156"/>
        <v>0</v>
      </c>
      <c r="U116" s="675">
        <f>SUM('3 pr-2'!AH116)</f>
        <v>43159</v>
      </c>
      <c r="V116" s="580"/>
      <c r="W116" s="580"/>
      <c r="X116" s="720" t="str">
        <f t="shared" si="157"/>
        <v>–</v>
      </c>
    </row>
    <row r="117" spans="1:24" ht="60.75" x14ac:dyDescent="0.25">
      <c r="A117" s="580" t="str">
        <f>CONCATENATE('3 pr-2'!A117)</f>
        <v>2.1.1.3.3</v>
      </c>
      <c r="B117" s="580" t="str">
        <f>CONCATENATE('ketv. 2lent'!B116)</f>
        <v>09.1.3-CPVA-R-705-11-0001</v>
      </c>
      <c r="C117" s="580" t="str">
        <f>CONCATENATE('3 pr-2'!D117)</f>
        <v>Alytaus lopšelio-darželio " Girinukas" ugdymo aplinkos modernizavimas</v>
      </c>
      <c r="D117" s="580" t="str">
        <f>CONCATENATE('3 pr-2'!E117)</f>
        <v>Alytaus miesto savivaldybės administracija</v>
      </c>
      <c r="E117" s="580" t="str">
        <f>CONCATENATE('3 pr-2'!F117)</f>
        <v>Lietuvos Respublikos švietimo ir mokslo ministerija</v>
      </c>
      <c r="F117" s="580" t="str">
        <f>CONCATENATE('3 pr-2'!G117)</f>
        <v>Alytaus  miestas</v>
      </c>
      <c r="G117" s="580" t="str">
        <f>CONCATENATE('3 pr-2'!H117)</f>
        <v>09.1.3-CPVA-R-705</v>
      </c>
      <c r="H117" s="580" t="str">
        <f>CONCATENATE('3 pr-2'!I117)</f>
        <v>R</v>
      </c>
      <c r="I117" s="580" t="str">
        <f>CONCATENATE('3 pr-2'!J117)</f>
        <v>-</v>
      </c>
      <c r="J117" s="476">
        <f>IF(V117&gt;0,'3 pr-2'!L117,0)</f>
        <v>0</v>
      </c>
      <c r="K117" s="476">
        <f>IF(V117&gt;0,'3 pr-2'!O117,0)</f>
        <v>0</v>
      </c>
      <c r="L117" s="476">
        <f>IF(V117&gt;0,'3 pr-2'!R117,0)</f>
        <v>0</v>
      </c>
      <c r="M117" s="476">
        <f>IF(V117&gt;0,'3 pr-2'!U117,0)</f>
        <v>0</v>
      </c>
      <c r="N117" s="476">
        <f>IF(V117&gt;0,'3 pr-2'!X117,0)</f>
        <v>0</v>
      </c>
      <c r="O117" s="476">
        <f>IF(V117&gt;0,'3 pr-2'!AA117,0)</f>
        <v>0</v>
      </c>
      <c r="P117" s="476">
        <f t="shared" si="152"/>
        <v>0</v>
      </c>
      <c r="Q117" s="476">
        <f t="shared" si="153"/>
        <v>0</v>
      </c>
      <c r="R117" s="476">
        <f t="shared" si="154"/>
        <v>0</v>
      </c>
      <c r="S117" s="476">
        <f t="shared" si="155"/>
        <v>0</v>
      </c>
      <c r="T117" s="476">
        <f t="shared" si="156"/>
        <v>0</v>
      </c>
      <c r="U117" s="675">
        <f>SUM('3 pr-2'!AH117)</f>
        <v>43159</v>
      </c>
      <c r="V117" s="580"/>
      <c r="W117" s="580"/>
      <c r="X117" s="720" t="str">
        <f t="shared" si="157"/>
        <v>–</v>
      </c>
    </row>
    <row r="118" spans="1:24" ht="60.75" x14ac:dyDescent="0.25">
      <c r="A118" s="580" t="str">
        <f>CONCATENATE('3 pr-2'!A118)</f>
        <v>2.1.1.3.4</v>
      </c>
      <c r="B118" s="580" t="str">
        <f>CONCATENATE('ketv. 2lent'!B117)</f>
        <v>09.1.3-CPVA-R-705-11-0005</v>
      </c>
      <c r="C118" s="580" t="str">
        <f>CONCATENATE('3 pr-2'!D118)</f>
        <v>Druskininkų sav. Viečiūnų progimnazijos ikimokyklinio ugdymo skyriaus „Linelis“ ugdymo prieinamumo didinimas</v>
      </c>
      <c r="D118" s="580" t="str">
        <f>CONCATENATE('3 pr-2'!E118)</f>
        <v xml:space="preserve">Druskininkų savivaldybės administracija  </v>
      </c>
      <c r="E118" s="580" t="str">
        <f>CONCATENATE('3 pr-2'!F118)</f>
        <v>Lietuvos Respublikos švietimo ir mokslo ministerija</v>
      </c>
      <c r="F118" s="580" t="str">
        <f>CONCATENATE('3 pr-2'!G118)</f>
        <v>Druskininkų savivaldybė</v>
      </c>
      <c r="G118" s="580" t="str">
        <f>CONCATENATE('3 pr-2'!H118)</f>
        <v>09.1.3-CPVA-R-705</v>
      </c>
      <c r="H118" s="580" t="str">
        <f>CONCATENATE('3 pr-2'!I118)</f>
        <v>R</v>
      </c>
      <c r="I118" s="580" t="str">
        <f>CONCATENATE('3 pr-2'!J118)</f>
        <v>-</v>
      </c>
      <c r="J118" s="476">
        <f>IF(V118&gt;0,'3 pr-2'!L118,0)</f>
        <v>0</v>
      </c>
      <c r="K118" s="476">
        <f>IF(V118&gt;0,'3 pr-2'!O118,0)</f>
        <v>0</v>
      </c>
      <c r="L118" s="476">
        <f>IF(V118&gt;0,'3 pr-2'!R118,0)</f>
        <v>0</v>
      </c>
      <c r="M118" s="476">
        <f>IF(V118&gt;0,'3 pr-2'!U118,0)</f>
        <v>0</v>
      </c>
      <c r="N118" s="476">
        <f>IF(V118&gt;0,'3 pr-2'!X118,0)</f>
        <v>0</v>
      </c>
      <c r="O118" s="476">
        <f>IF(V118&gt;0,'3 pr-2'!AA118,0)</f>
        <v>0</v>
      </c>
      <c r="P118" s="476">
        <f t="shared" si="152"/>
        <v>0</v>
      </c>
      <c r="Q118" s="476">
        <f t="shared" si="153"/>
        <v>0</v>
      </c>
      <c r="R118" s="476">
        <f t="shared" si="154"/>
        <v>0</v>
      </c>
      <c r="S118" s="476">
        <f t="shared" si="155"/>
        <v>0</v>
      </c>
      <c r="T118" s="476">
        <f t="shared" si="156"/>
        <v>0</v>
      </c>
      <c r="U118" s="675">
        <f>SUM('3 pr-2'!AH118)</f>
        <v>43252</v>
      </c>
      <c r="V118" s="580"/>
      <c r="W118" s="580"/>
      <c r="X118" s="720" t="str">
        <f t="shared" si="157"/>
        <v>–</v>
      </c>
    </row>
    <row r="119" spans="1:24" ht="61.5" thickBot="1" x14ac:dyDescent="0.3">
      <c r="A119" s="690" t="str">
        <f>CONCATENATE('3 pr-2'!A119)</f>
        <v>2.1.1.3.5</v>
      </c>
      <c r="B119" s="690" t="str">
        <f>CONCATENATE('ketv. 2lent'!B118)</f>
        <v>09.1.3-CPVA-R-705-11-0002</v>
      </c>
      <c r="C119" s="690" t="str">
        <f>CONCATENATE('3 pr-2'!D119)</f>
        <v>Ikimokyklinio ir priešmokyklinio ugdymo įstaigų Lazdijų rajono savivaldybėje modernizavimas</v>
      </c>
      <c r="D119" s="690" t="str">
        <f>CONCATENATE('3 pr-2'!E119)</f>
        <v>Lazdijų rajono savivaldybės administracija</v>
      </c>
      <c r="E119" s="690" t="str">
        <f>CONCATENATE('3 pr-2'!F119)</f>
        <v>Lietuvos Respublikos švietimo ir mokslo ministerija</v>
      </c>
      <c r="F119" s="690" t="str">
        <f>CONCATENATE('3 pr-2'!G119)</f>
        <v>Lazdijų rajono savivaldybė</v>
      </c>
      <c r="G119" s="690" t="str">
        <f>CONCATENATE('3 pr-2'!H119)</f>
        <v>09.1.3-CPVA-R-705</v>
      </c>
      <c r="H119" s="690" t="str">
        <f>CONCATENATE('3 pr-2'!I119)</f>
        <v>R</v>
      </c>
      <c r="I119" s="690" t="str">
        <f>CONCATENATE('3 pr-2'!J119)</f>
        <v>-</v>
      </c>
      <c r="J119" s="476">
        <f>IF(V119&gt;0,'3 pr-2'!L119,0)</f>
        <v>0</v>
      </c>
      <c r="K119" s="476">
        <f>IF(V119&gt;0,'3 pr-2'!O119,0)</f>
        <v>0</v>
      </c>
      <c r="L119" s="476">
        <f>IF(V119&gt;0,'3 pr-2'!R119,0)</f>
        <v>0</v>
      </c>
      <c r="M119" s="476">
        <f>IF(V119&gt;0,'3 pr-2'!U119,0)</f>
        <v>0</v>
      </c>
      <c r="N119" s="476">
        <f>IF(V119&gt;0,'3 pr-2'!X119,0)</f>
        <v>0</v>
      </c>
      <c r="O119" s="476">
        <f>IF(V119&gt;0,'3 pr-2'!AA119,0)</f>
        <v>0</v>
      </c>
      <c r="P119" s="691">
        <f t="shared" si="152"/>
        <v>0</v>
      </c>
      <c r="Q119" s="691">
        <f t="shared" si="153"/>
        <v>0</v>
      </c>
      <c r="R119" s="691">
        <f t="shared" si="154"/>
        <v>0</v>
      </c>
      <c r="S119" s="691">
        <f t="shared" si="155"/>
        <v>0</v>
      </c>
      <c r="T119" s="691">
        <f t="shared" si="156"/>
        <v>0</v>
      </c>
      <c r="U119" s="688">
        <f>SUM('3 pr-2'!AH119)</f>
        <v>43159</v>
      </c>
      <c r="V119" s="690"/>
      <c r="W119" s="690"/>
      <c r="X119" s="720" t="str">
        <f t="shared" si="157"/>
        <v>–</v>
      </c>
    </row>
    <row r="120" spans="1:24" ht="47.25" customHeight="1" thickBot="1" x14ac:dyDescent="0.3">
      <c r="A120" s="345" t="str">
        <f>CONCATENATE('3 pr-2'!A120)</f>
        <v>2.1.2.</v>
      </c>
      <c r="B120" s="647" t="str">
        <f>CONCATENATE('ketv. 2lent'!B119)</f>
        <v/>
      </c>
      <c r="C120" s="1668" t="str">
        <f>CONCATENATE('3 pr-2'!B120)</f>
        <v>Uždavinys:
Sveikatos netolygumų sumažinimas, gerinant sveikatos priežiūros kokybę ir prieinamumą tikslinėms gyventojų grupėms ir sveiko senėjimo skatinimas</v>
      </c>
      <c r="D120" s="1595"/>
      <c r="E120" s="1595"/>
      <c r="F120" s="1595"/>
      <c r="G120" s="1595"/>
      <c r="H120" s="1595"/>
      <c r="I120" s="1595"/>
      <c r="J120" s="303">
        <f>SUM(J121+J134)</f>
        <v>0</v>
      </c>
      <c r="K120" s="303">
        <f t="shared" ref="K120:O120" si="158">SUM(K121+K134)</f>
        <v>0</v>
      </c>
      <c r="L120" s="303">
        <f t="shared" si="158"/>
        <v>0</v>
      </c>
      <c r="M120" s="303">
        <f t="shared" si="158"/>
        <v>0</v>
      </c>
      <c r="N120" s="303">
        <f t="shared" si="158"/>
        <v>0</v>
      </c>
      <c r="O120" s="303">
        <f t="shared" si="158"/>
        <v>0</v>
      </c>
      <c r="P120" s="303"/>
      <c r="Q120" s="303"/>
      <c r="R120" s="303"/>
      <c r="S120" s="303"/>
      <c r="T120" s="303"/>
      <c r="U120" s="650"/>
      <c r="V120" s="648"/>
      <c r="W120" s="693"/>
      <c r="X120" s="650"/>
    </row>
    <row r="121" spans="1:24" ht="38.25" customHeight="1" thickBot="1" x14ac:dyDescent="0.3">
      <c r="A121" s="497" t="str">
        <f>CONCATENATE('3 pr-2'!A121)</f>
        <v>2.1.2.1</v>
      </c>
      <c r="B121" s="613" t="str">
        <f>CONCATENATE('ketv. 2lent'!B120)</f>
        <v/>
      </c>
      <c r="C121" s="1656" t="str">
        <f>CONCATENATE('3 pr-2'!B121)</f>
        <v>Priemonė:
Pirminės asmens ir visuomenės sveikatos priežiūros veiklos efektyvumo didinimas gerinant jų infrastruktūrą</v>
      </c>
      <c r="D121" s="1789"/>
      <c r="E121" s="1789"/>
      <c r="F121" s="1789"/>
      <c r="G121" s="1789"/>
      <c r="H121" s="1789"/>
      <c r="I121" s="1790"/>
      <c r="J121" s="629">
        <f>SUM(J122:J129)</f>
        <v>0</v>
      </c>
      <c r="K121" s="629">
        <f t="shared" ref="K121:O121" si="159">SUM(K122:K129)</f>
        <v>0</v>
      </c>
      <c r="L121" s="629">
        <f t="shared" si="159"/>
        <v>0</v>
      </c>
      <c r="M121" s="629">
        <f t="shared" si="159"/>
        <v>0</v>
      </c>
      <c r="N121" s="629">
        <f t="shared" si="159"/>
        <v>0</v>
      </c>
      <c r="O121" s="629">
        <f t="shared" si="159"/>
        <v>0</v>
      </c>
      <c r="P121" s="630">
        <f>SUM(P122:P129)</f>
        <v>0</v>
      </c>
      <c r="Q121" s="631">
        <f t="shared" ref="Q121:T121" si="160">SUM(Q122:Q129)</f>
        <v>0</v>
      </c>
      <c r="R121" s="630">
        <f t="shared" si="160"/>
        <v>0</v>
      </c>
      <c r="S121" s="631">
        <f t="shared" si="160"/>
        <v>0</v>
      </c>
      <c r="T121" s="278">
        <f t="shared" si="160"/>
        <v>0</v>
      </c>
      <c r="U121" s="629"/>
      <c r="V121" s="629"/>
      <c r="W121" s="629"/>
      <c r="X121" s="629"/>
    </row>
    <row r="122" spans="1:24" ht="60.75" x14ac:dyDescent="0.25">
      <c r="A122" s="255" t="str">
        <f>CONCATENATE('3 pr-2'!A122)</f>
        <v>2.1.2.1.1</v>
      </c>
      <c r="B122" s="473" t="str">
        <f>CONCATENATE('ketv. 2lent'!B121)</f>
        <v/>
      </c>
      <c r="C122" s="255" t="str">
        <f>CONCATENATE('3 pr-2'!D122)</f>
        <v xml:space="preserve">Alytaus poliklinikos teikiamų pirminės sveikatos priežiūros paslaugų prieinamumo didinimas ir kokybės gerinimas </v>
      </c>
      <c r="D122" s="255" t="str">
        <f>CONCATENATE('3 pr-2'!E122)</f>
        <v>VšĮ Alytaus poliklinika</v>
      </c>
      <c r="E122" s="255" t="str">
        <f>CONCATENATE('3 pr-2'!F122)</f>
        <v>Lietuvos Respublikos Sveikatos apsaugos ministerija</v>
      </c>
      <c r="F122" s="255" t="str">
        <f>CONCATENATE('3 pr-2'!G122)</f>
        <v>Alytaus  miestas</v>
      </c>
      <c r="G122" s="255" t="str">
        <f>CONCATENATE('3 pr-2'!H122)</f>
        <v>08.1.3-CPVA-R-609</v>
      </c>
      <c r="H122" s="255" t="str">
        <f>CONCATENATE('3 pr-2'!I122)</f>
        <v>R</v>
      </c>
      <c r="I122" s="255" t="str">
        <f>CONCATENATE('3 pr-2'!J122)</f>
        <v>-</v>
      </c>
      <c r="J122" s="476">
        <f>IF(V122&gt;0,'3 pr-2'!L122,0)</f>
        <v>0</v>
      </c>
      <c r="K122" s="476">
        <f>IF(V122&gt;0,'3 pr-2'!O122,0)</f>
        <v>0</v>
      </c>
      <c r="L122" s="476">
        <f>IF(V122&gt;0,'3 pr-2'!R122,0)</f>
        <v>0</v>
      </c>
      <c r="M122" s="476">
        <f>IF(V122&gt;0,'3 pr-2'!U122,0)</f>
        <v>0</v>
      </c>
      <c r="N122" s="476">
        <f>IF(V122&gt;0,'3 pr-2'!X122,0)</f>
        <v>0</v>
      </c>
      <c r="O122" s="476">
        <f>IF(V122&gt;0,'3 pr-2'!AA122,0)</f>
        <v>0</v>
      </c>
      <c r="P122" s="474">
        <f t="shared" ref="P122:P129" si="161">IF(YEAR(V122)=2016,O122,0)</f>
        <v>0</v>
      </c>
      <c r="Q122" s="474">
        <f t="shared" ref="Q122:Q129" si="162">IF(YEAR(V122)=2017,O122,0)</f>
        <v>0</v>
      </c>
      <c r="R122" s="474">
        <f t="shared" ref="R122:R129" si="163">IF(YEAR(V122)=2018,O122,0)</f>
        <v>0</v>
      </c>
      <c r="S122" s="474">
        <f t="shared" ref="S122:S129" si="164">IF(YEAR(V122)=2019,O122,0)</f>
        <v>0</v>
      </c>
      <c r="T122" s="474">
        <f t="shared" ref="T122:T129" si="165">IF(YEAR(V122)=2020,O122,0)</f>
        <v>0</v>
      </c>
      <c r="U122" s="290">
        <f>SUM('3 pr-2'!AH122)</f>
        <v>43464</v>
      </c>
      <c r="V122" s="289"/>
      <c r="W122" s="291"/>
      <c r="X122" s="720" t="str">
        <f t="shared" ref="X122:X129" si="166">IF(U122-V122&lt;0,(U122-V122)/30.4166666666667,"–")</f>
        <v>–</v>
      </c>
    </row>
    <row r="123" spans="1:24" ht="84.75" x14ac:dyDescent="0.25">
      <c r="A123" s="255" t="str">
        <f>CONCATENATE('3 pr-2'!A123)</f>
        <v>2.1.2.1.2</v>
      </c>
      <c r="B123" s="473" t="str">
        <f>CONCATENATE('ketv. 2lent'!B122)</f>
        <v/>
      </c>
      <c r="C123" s="255" t="str">
        <f>CONCATENATE('3 pr-2'!D123)</f>
        <v>Sveikatos priežiūros paslaugų modernizavimas bei optimizavimas pirminės sveikatos priežiūros centre</v>
      </c>
      <c r="D123" s="255" t="str">
        <f>CONCATENATE('3 pr-2'!E123)</f>
        <v xml:space="preserve">VšĮ Alytaus miesto savivaldybės pirminės sveikatos priežiūros centras </v>
      </c>
      <c r="E123" s="255" t="str">
        <f>CONCATENATE('3 pr-2'!F123)</f>
        <v>Lietuvos Respublikos Sveikatos apsaugos ministerija</v>
      </c>
      <c r="F123" s="255" t="str">
        <f>CONCATENATE('3 pr-2'!G123)</f>
        <v>Alytaus  miestas</v>
      </c>
      <c r="G123" s="255" t="str">
        <f>CONCATENATE('3 pr-2'!H123)</f>
        <v>08.1.3-CPVA-R-609</v>
      </c>
      <c r="H123" s="255" t="str">
        <f>CONCATENATE('3 pr-2'!I123)</f>
        <v>R</v>
      </c>
      <c r="I123" s="255" t="str">
        <f>CONCATENATE('3 pr-2'!J123)</f>
        <v>-</v>
      </c>
      <c r="J123" s="476">
        <f>IF(V123&gt;0,'3 pr-2'!L123,0)</f>
        <v>0</v>
      </c>
      <c r="K123" s="476">
        <f>IF(V123&gt;0,'3 pr-2'!O123,0)</f>
        <v>0</v>
      </c>
      <c r="L123" s="476">
        <f>IF(V123&gt;0,'3 pr-2'!R123,0)</f>
        <v>0</v>
      </c>
      <c r="M123" s="476">
        <f>IF(V123&gt;0,'3 pr-2'!U123,0)</f>
        <v>0</v>
      </c>
      <c r="N123" s="476">
        <f>IF(V123&gt;0,'3 pr-2'!X123,0)</f>
        <v>0</v>
      </c>
      <c r="O123" s="476">
        <f>IF(V123&gt;0,'3 pr-2'!AA123,0)</f>
        <v>0</v>
      </c>
      <c r="P123" s="474">
        <f t="shared" si="161"/>
        <v>0</v>
      </c>
      <c r="Q123" s="474">
        <f t="shared" si="162"/>
        <v>0</v>
      </c>
      <c r="R123" s="474">
        <f t="shared" si="163"/>
        <v>0</v>
      </c>
      <c r="S123" s="474">
        <f t="shared" si="164"/>
        <v>0</v>
      </c>
      <c r="T123" s="474">
        <f t="shared" si="165"/>
        <v>0</v>
      </c>
      <c r="U123" s="290">
        <f>SUM('3 pr-2'!AH123)</f>
        <v>43465</v>
      </c>
      <c r="V123" s="289"/>
      <c r="W123" s="291"/>
      <c r="X123" s="720" t="str">
        <f t="shared" si="166"/>
        <v>–</v>
      </c>
    </row>
    <row r="124" spans="1:24" ht="60.75" x14ac:dyDescent="0.25">
      <c r="A124" s="255" t="str">
        <f>CONCATENATE('3 pr-2'!A124)</f>
        <v>2.1.2.1.3</v>
      </c>
      <c r="B124" s="473" t="str">
        <f>CONCATENATE('ketv. 2lent'!B123)</f>
        <v/>
      </c>
      <c r="C124" s="255" t="str">
        <f>CONCATENATE('3 pr-2'!D124)</f>
        <v>UAB „MediCA klinika“ teikiamų pirminės asmens sveikatos priežiūros paslaugų efektyvumo didinimas Alytaus miesto savivaldybėje</v>
      </c>
      <c r="D124" s="255" t="str">
        <f>CONCATENATE('3 pr-2'!E124)</f>
        <v>UAB „MediCA klinika“</v>
      </c>
      <c r="E124" s="255" t="str">
        <f>CONCATENATE('3 pr-2'!F124)</f>
        <v>Lietuvos Respublikos Sveikatos apsaugos ministerija</v>
      </c>
      <c r="F124" s="255" t="str">
        <f>CONCATENATE('3 pr-2'!G124)</f>
        <v>Alytaus  miestas</v>
      </c>
      <c r="G124" s="255" t="str">
        <f>CONCATENATE('3 pr-2'!H124)</f>
        <v>08.1.3-CPVA-R-609</v>
      </c>
      <c r="H124" s="255" t="str">
        <f>CONCATENATE('3 pr-2'!I124)</f>
        <v>R</v>
      </c>
      <c r="I124" s="255" t="str">
        <f>CONCATENATE('3 pr-2'!J124)</f>
        <v>-</v>
      </c>
      <c r="J124" s="476">
        <f>IF(V124&gt;0,'3 pr-2'!L124,0)</f>
        <v>0</v>
      </c>
      <c r="K124" s="476">
        <f>IF(V124&gt;0,'3 pr-2'!O124,0)</f>
        <v>0</v>
      </c>
      <c r="L124" s="476">
        <f>IF(V124&gt;0,'3 pr-2'!R124,0)</f>
        <v>0</v>
      </c>
      <c r="M124" s="476">
        <f>IF(V124&gt;0,'3 pr-2'!U124,0)</f>
        <v>0</v>
      </c>
      <c r="N124" s="476">
        <f>IF(V124&gt;0,'3 pr-2'!X124,0)</f>
        <v>0</v>
      </c>
      <c r="O124" s="476">
        <f>IF(V124&gt;0,'3 pr-2'!AA124,0)</f>
        <v>0</v>
      </c>
      <c r="P124" s="474">
        <f t="shared" si="161"/>
        <v>0</v>
      </c>
      <c r="Q124" s="474">
        <f t="shared" si="162"/>
        <v>0</v>
      </c>
      <c r="R124" s="474">
        <f t="shared" si="163"/>
        <v>0</v>
      </c>
      <c r="S124" s="474">
        <f t="shared" si="164"/>
        <v>0</v>
      </c>
      <c r="T124" s="474">
        <f t="shared" si="165"/>
        <v>0</v>
      </c>
      <c r="U124" s="290">
        <f>SUM('3 pr-2'!AH124)</f>
        <v>43465</v>
      </c>
      <c r="V124" s="289"/>
      <c r="W124" s="291"/>
      <c r="X124" s="720" t="str">
        <f t="shared" si="166"/>
        <v>–</v>
      </c>
    </row>
    <row r="125" spans="1:24" ht="60.75" x14ac:dyDescent="0.25">
      <c r="A125" s="255" t="str">
        <f>CONCATENATE('3 pr-2'!A125)</f>
        <v>2.1.2.1.4</v>
      </c>
      <c r="B125" s="473" t="str">
        <f>CONCATENATE('ketv. 2lent'!B124)</f>
        <v/>
      </c>
      <c r="C125" s="255" t="str">
        <f>CONCATENATE('3 pr-2'!D125)</f>
        <v>UAB "Pagalba ligoniui" teikiamų paslaugų efektyvumo didinimas</v>
      </c>
      <c r="D125" s="255" t="str">
        <f>CONCATENATE('3 pr-2'!E125)</f>
        <v>UAB „Pagalba ligoniui“, Alytaus filialas</v>
      </c>
      <c r="E125" s="255" t="str">
        <f>CONCATENATE('3 pr-2'!F125)</f>
        <v>Lietuvos Respublikos Sveikatos apsaugos ministerija</v>
      </c>
      <c r="F125" s="255" t="str">
        <f>CONCATENATE('3 pr-2'!G125)</f>
        <v>Alytaus  miestas</v>
      </c>
      <c r="G125" s="255" t="str">
        <f>CONCATENATE('3 pr-2'!H125)</f>
        <v>08.1.3-CPVA-R-609</v>
      </c>
      <c r="H125" s="255" t="str">
        <f>CONCATENATE('3 pr-2'!I125)</f>
        <v>R</v>
      </c>
      <c r="I125" s="255" t="str">
        <f>CONCATENATE('3 pr-2'!J125)</f>
        <v>-</v>
      </c>
      <c r="J125" s="476">
        <f>IF(V125&gt;0,'3 pr-2'!L125,0)</f>
        <v>0</v>
      </c>
      <c r="K125" s="476">
        <f>IF(V125&gt;0,'3 pr-2'!O125,0)</f>
        <v>0</v>
      </c>
      <c r="L125" s="476">
        <f>IF(V125&gt;0,'3 pr-2'!R125,0)</f>
        <v>0</v>
      </c>
      <c r="M125" s="476">
        <f>IF(V125&gt;0,'3 pr-2'!U125,0)</f>
        <v>0</v>
      </c>
      <c r="N125" s="476">
        <f>IF(V125&gt;0,'3 pr-2'!X125,0)</f>
        <v>0</v>
      </c>
      <c r="O125" s="476">
        <f>IF(V125&gt;0,'3 pr-2'!AA125,0)</f>
        <v>0</v>
      </c>
      <c r="P125" s="474">
        <f t="shared" si="161"/>
        <v>0</v>
      </c>
      <c r="Q125" s="474">
        <f t="shared" si="162"/>
        <v>0</v>
      </c>
      <c r="R125" s="474">
        <f t="shared" si="163"/>
        <v>0</v>
      </c>
      <c r="S125" s="474">
        <f t="shared" si="164"/>
        <v>0</v>
      </c>
      <c r="T125" s="474">
        <f t="shared" si="165"/>
        <v>0</v>
      </c>
      <c r="U125" s="290">
        <f>SUM('3 pr-2'!AH125)</f>
        <v>43465</v>
      </c>
      <c r="V125" s="289"/>
      <c r="W125" s="291"/>
      <c r="X125" s="720" t="str">
        <f t="shared" si="166"/>
        <v>–</v>
      </c>
    </row>
    <row r="126" spans="1:24" ht="84.75" x14ac:dyDescent="0.25">
      <c r="A126" s="255" t="str">
        <f>CONCATENATE('3 pr-2'!A126)</f>
        <v>2.1.2.1.5</v>
      </c>
      <c r="B126" s="473" t="str">
        <f>CONCATENATE('ketv. 2lent'!B125)</f>
        <v/>
      </c>
      <c r="C126" s="255" t="str">
        <f>CONCATENATE('3 pr-2'!D126)</f>
        <v>Pirminės asmens sveikatos priežiūros veiklos efektyvumo didinimas Alytaus rajono savivaldybėje</v>
      </c>
      <c r="D126" s="255" t="str">
        <f>CONCATENATE('3 pr-2'!E126)</f>
        <v>VšĮ Alytaus rajono savivaldybės pirminės sveikatos priežiūros centras</v>
      </c>
      <c r="E126" s="255" t="str">
        <f>CONCATENATE('3 pr-2'!F126)</f>
        <v>Lietuvos Respublikos Sveikatos apsaugos ministerija</v>
      </c>
      <c r="F126" s="255" t="str">
        <f>CONCATENATE('3 pr-2'!G126)</f>
        <v>Alytaus rajonas</v>
      </c>
      <c r="G126" s="255" t="str">
        <f>CONCATENATE('3 pr-2'!H126)</f>
        <v>08.1.3-CPVA-R-609</v>
      </c>
      <c r="H126" s="255" t="str">
        <f>CONCATENATE('3 pr-2'!I126)</f>
        <v>R</v>
      </c>
      <c r="I126" s="255" t="str">
        <f>CONCATENATE('3 pr-2'!J126)</f>
        <v>-</v>
      </c>
      <c r="J126" s="476">
        <f>IF(V126&gt;0,'3 pr-2'!L126,0)</f>
        <v>0</v>
      </c>
      <c r="K126" s="476">
        <f>IF(V126&gt;0,'3 pr-2'!O126,0)</f>
        <v>0</v>
      </c>
      <c r="L126" s="476">
        <f>IF(V126&gt;0,'3 pr-2'!R126,0)</f>
        <v>0</v>
      </c>
      <c r="M126" s="476">
        <f>IF(V126&gt;0,'3 pr-2'!U126,0)</f>
        <v>0</v>
      </c>
      <c r="N126" s="476">
        <f>IF(V126&gt;0,'3 pr-2'!X126,0)</f>
        <v>0</v>
      </c>
      <c r="O126" s="476">
        <f>IF(V126&gt;0,'3 pr-2'!AA126,0)</f>
        <v>0</v>
      </c>
      <c r="P126" s="474">
        <f t="shared" si="161"/>
        <v>0</v>
      </c>
      <c r="Q126" s="474">
        <f t="shared" si="162"/>
        <v>0</v>
      </c>
      <c r="R126" s="474">
        <f t="shared" si="163"/>
        <v>0</v>
      </c>
      <c r="S126" s="474">
        <f t="shared" si="164"/>
        <v>0</v>
      </c>
      <c r="T126" s="474">
        <f t="shared" si="165"/>
        <v>0</v>
      </c>
      <c r="U126" s="290">
        <f>SUM('3 pr-2'!AH126)</f>
        <v>43496</v>
      </c>
      <c r="V126" s="289"/>
      <c r="W126" s="291"/>
      <c r="X126" s="720" t="str">
        <f t="shared" si="166"/>
        <v>–</v>
      </c>
    </row>
    <row r="127" spans="1:24" ht="60.75" x14ac:dyDescent="0.25">
      <c r="A127" s="255" t="str">
        <f>CONCATENATE('3 pr-2'!A127)</f>
        <v>2.1.2.1.6</v>
      </c>
      <c r="B127" s="473" t="str">
        <f>CONCATENATE('ketv. 2lent'!B126)</f>
        <v/>
      </c>
      <c r="C127" s="255" t="str">
        <f>CONCATENATE('3 pr-2'!D127)</f>
        <v>Sveikatos priežiūros paslaugų gerinimas "UAB "Disolis"</v>
      </c>
      <c r="D127" s="255" t="str">
        <f>CONCATENATE('3 pr-2'!E127)</f>
        <v>UAB „Disolis“</v>
      </c>
      <c r="E127" s="255" t="str">
        <f>CONCATENATE('3 pr-2'!F127)</f>
        <v>Lietuvos Respublikos Sveikatos apsaugos ministerija</v>
      </c>
      <c r="F127" s="255" t="str">
        <f>CONCATENATE('3 pr-2'!G127)</f>
        <v>Alytaus rajonas</v>
      </c>
      <c r="G127" s="255" t="str">
        <f>CONCATENATE('3 pr-2'!H127)</f>
        <v>08.1.3-CPVA-R-609</v>
      </c>
      <c r="H127" s="255" t="str">
        <f>CONCATENATE('3 pr-2'!I127)</f>
        <v>R</v>
      </c>
      <c r="I127" s="255" t="str">
        <f>CONCATENATE('3 pr-2'!J127)</f>
        <v>-</v>
      </c>
      <c r="J127" s="476">
        <f>IF(V127&gt;0,'3 pr-2'!L127,0)</f>
        <v>0</v>
      </c>
      <c r="K127" s="476">
        <f>IF(V127&gt;0,'3 pr-2'!O127,0)</f>
        <v>0</v>
      </c>
      <c r="L127" s="476">
        <f>IF(V127&gt;0,'3 pr-2'!R127,0)</f>
        <v>0</v>
      </c>
      <c r="M127" s="476">
        <f>IF(V127&gt;0,'3 pr-2'!U127,0)</f>
        <v>0</v>
      </c>
      <c r="N127" s="476">
        <f>IF(V127&gt;0,'3 pr-2'!X127,0)</f>
        <v>0</v>
      </c>
      <c r="O127" s="476">
        <f>IF(V127&gt;0,'3 pr-2'!AA127,0)</f>
        <v>0</v>
      </c>
      <c r="P127" s="474">
        <f t="shared" si="161"/>
        <v>0</v>
      </c>
      <c r="Q127" s="474">
        <f t="shared" si="162"/>
        <v>0</v>
      </c>
      <c r="R127" s="474">
        <f t="shared" si="163"/>
        <v>0</v>
      </c>
      <c r="S127" s="474">
        <f t="shared" si="164"/>
        <v>0</v>
      </c>
      <c r="T127" s="474">
        <f t="shared" si="165"/>
        <v>0</v>
      </c>
      <c r="U127" s="290">
        <f>SUM('3 pr-2'!AH127)</f>
        <v>43495</v>
      </c>
      <c r="V127" s="289"/>
      <c r="W127" s="291"/>
      <c r="X127" s="720" t="str">
        <f t="shared" si="166"/>
        <v>–</v>
      </c>
    </row>
    <row r="128" spans="1:24" ht="60.75" x14ac:dyDescent="0.25">
      <c r="A128" s="255" t="str">
        <f>CONCATENATE('3 pr-2'!A128)</f>
        <v>2.1.2.1.7</v>
      </c>
      <c r="B128" s="473" t="str">
        <f>CONCATENATE('ketv. 2lent'!B127)</f>
        <v/>
      </c>
      <c r="C128" s="255" t="str">
        <f>CONCATENATE('3 pr-2'!D128)</f>
        <v>Pirminės asmens sveikatos priežiūros kokybės ir prieinamumo gerinimas Druskininkų savivaldybėje</v>
      </c>
      <c r="D128" s="255" t="str">
        <f>CONCATENATE('3 pr-2'!E128)</f>
        <v>VšĮ Druskininkų pirminės sveikatos priežiūros centras</v>
      </c>
      <c r="E128" s="255" t="str">
        <f>CONCATENATE('3 pr-2'!F128)</f>
        <v>Lietuvos Respublikos Sveikatos apsaugos ministerija</v>
      </c>
      <c r="F128" s="255" t="str">
        <f>CONCATENATE('3 pr-2'!G128)</f>
        <v>Druskininkų sav.</v>
      </c>
      <c r="G128" s="255" t="str">
        <f>CONCATENATE('3 pr-2'!H128)</f>
        <v>08.1.3-CPVA-R-609</v>
      </c>
      <c r="H128" s="255" t="str">
        <f>CONCATENATE('3 pr-2'!I128)</f>
        <v>R</v>
      </c>
      <c r="I128" s="255" t="str">
        <f>CONCATENATE('3 pr-2'!J128)</f>
        <v>-</v>
      </c>
      <c r="J128" s="476">
        <f>IF(V128&gt;0,'3 pr-2'!L128,0)</f>
        <v>0</v>
      </c>
      <c r="K128" s="476">
        <f>IF(V128&gt;0,'3 pr-2'!O128,0)</f>
        <v>0</v>
      </c>
      <c r="L128" s="476">
        <f>IF(V128&gt;0,'3 pr-2'!R128,0)</f>
        <v>0</v>
      </c>
      <c r="M128" s="476">
        <f>IF(V128&gt;0,'3 pr-2'!U128,0)</f>
        <v>0</v>
      </c>
      <c r="N128" s="476">
        <f>IF(V128&gt;0,'3 pr-2'!X128,0)</f>
        <v>0</v>
      </c>
      <c r="O128" s="476">
        <f>IF(V128&gt;0,'3 pr-2'!AA128,0)</f>
        <v>0</v>
      </c>
      <c r="P128" s="474">
        <f t="shared" si="161"/>
        <v>0</v>
      </c>
      <c r="Q128" s="474">
        <f t="shared" si="162"/>
        <v>0</v>
      </c>
      <c r="R128" s="474">
        <f t="shared" si="163"/>
        <v>0</v>
      </c>
      <c r="S128" s="474">
        <f t="shared" si="164"/>
        <v>0</v>
      </c>
      <c r="T128" s="474">
        <f t="shared" si="165"/>
        <v>0</v>
      </c>
      <c r="U128" s="290">
        <f>SUM('3 pr-2'!AH128)</f>
        <v>43465</v>
      </c>
      <c r="V128" s="289"/>
      <c r="W128" s="291"/>
      <c r="X128" s="720" t="str">
        <f t="shared" si="166"/>
        <v>–</v>
      </c>
    </row>
    <row r="129" spans="1:24" ht="60.75" x14ac:dyDescent="0.25">
      <c r="A129" s="255" t="str">
        <f>CONCATENATE('3 pr-2'!A129)</f>
        <v>2.1.2.1.8</v>
      </c>
      <c r="B129" s="473" t="str">
        <f>CONCATENATE('ketv. 2lent'!B128)</f>
        <v/>
      </c>
      <c r="C129" s="255" t="str">
        <f>CONCATENATE('3 pr-2'!D129)</f>
        <v>UAB "Druskininkų šeimos klinika" asmens sveikatos priežiūros paslaugų prieinamumo ir efektyvumo didinimas</v>
      </c>
      <c r="D129" s="255" t="str">
        <f>CONCATENATE('3 pr-2'!E129)</f>
        <v>UAB „Druskininkų šeimos klinika“</v>
      </c>
      <c r="E129" s="255" t="str">
        <f>CONCATENATE('3 pr-2'!F129)</f>
        <v>Lietuvos Respublikos Sveikatos apsaugos ministerija</v>
      </c>
      <c r="F129" s="255" t="str">
        <f>CONCATENATE('3 pr-2'!G129)</f>
        <v>Druskininkų sav.</v>
      </c>
      <c r="G129" s="255" t="str">
        <f>CONCATENATE('3 pr-2'!H129)</f>
        <v>08.1.3-CPVA-R-609</v>
      </c>
      <c r="H129" s="255" t="str">
        <f>CONCATENATE('3 pr-2'!I129)</f>
        <v>R</v>
      </c>
      <c r="I129" s="255" t="str">
        <f>CONCATENATE('3 pr-2'!J129)</f>
        <v>-</v>
      </c>
      <c r="J129" s="476">
        <f>IF(V129&gt;0,'3 pr-2'!L129,0)</f>
        <v>0</v>
      </c>
      <c r="K129" s="476">
        <f>IF(V129&gt;0,'3 pr-2'!O129,0)</f>
        <v>0</v>
      </c>
      <c r="L129" s="476">
        <f>IF(V129&gt;0,'3 pr-2'!R129,0)</f>
        <v>0</v>
      </c>
      <c r="M129" s="476">
        <f>IF(V129&gt;0,'3 pr-2'!U129,0)</f>
        <v>0</v>
      </c>
      <c r="N129" s="476">
        <f>IF(V129&gt;0,'3 pr-2'!X129,0)</f>
        <v>0</v>
      </c>
      <c r="O129" s="476">
        <f>IF(V129&gt;0,'3 pr-2'!AA129,0)</f>
        <v>0</v>
      </c>
      <c r="P129" s="474">
        <f t="shared" si="161"/>
        <v>0</v>
      </c>
      <c r="Q129" s="474">
        <f t="shared" si="162"/>
        <v>0</v>
      </c>
      <c r="R129" s="474">
        <f t="shared" si="163"/>
        <v>0</v>
      </c>
      <c r="S129" s="474">
        <f t="shared" si="164"/>
        <v>0</v>
      </c>
      <c r="T129" s="474">
        <f t="shared" si="165"/>
        <v>0</v>
      </c>
      <c r="U129" s="290">
        <f>SUM('3 pr-2'!AH129)</f>
        <v>43495</v>
      </c>
      <c r="V129" s="289"/>
      <c r="W129" s="291"/>
      <c r="X129" s="720" t="str">
        <f t="shared" si="166"/>
        <v>–</v>
      </c>
    </row>
    <row r="130" spans="1:24" ht="60.75" x14ac:dyDescent="0.25">
      <c r="A130" s="255" t="str">
        <f>CONCATENATE('3 pr-2'!A130)</f>
        <v>2.1.2.1.9</v>
      </c>
      <c r="B130" s="473" t="str">
        <f>CONCATENATE('ketv. 2lent'!B129)</f>
        <v/>
      </c>
      <c r="C130" s="255" t="str">
        <f>CONCATENATE('3 pr-2'!D130)</f>
        <v>I. S. Kavaliauskienės įmonės teikiamų pirminės ambulatorinės asmens sveikatos priežiūros paslaugų kokybės ir prieinamumo gerinimas.</v>
      </c>
      <c r="D130" s="255" t="str">
        <f>CONCATENATE('3 pr-2'!E130)</f>
        <v>Irenos Stanislavos Kavaliauskienės įmonė</v>
      </c>
      <c r="E130" s="255" t="str">
        <f>CONCATENATE('3 pr-2'!F130)</f>
        <v>Lietuvos Respublikos Sveikatos apsaugos ministerija</v>
      </c>
      <c r="F130" s="255" t="str">
        <f>CONCATENATE('3 pr-2'!G130)</f>
        <v>Druskininkų sav.</v>
      </c>
      <c r="G130" s="255" t="str">
        <f>CONCATENATE('3 pr-2'!H130)</f>
        <v>08.1.3-CPVA-R-609</v>
      </c>
      <c r="H130" s="255" t="str">
        <f>CONCATENATE('3 pr-2'!I130)</f>
        <v>R</v>
      </c>
      <c r="I130" s="255" t="str">
        <f>CONCATENATE('3 pr-2'!J130)</f>
        <v>-</v>
      </c>
      <c r="J130" s="476">
        <f>IF(V130&gt;0,'3 pr-2'!L130,0)</f>
        <v>0</v>
      </c>
      <c r="K130" s="476">
        <f>IF(V130&gt;0,'3 pr-2'!O130,0)</f>
        <v>0</v>
      </c>
      <c r="L130" s="476">
        <f>IF(V130&gt;0,'3 pr-2'!R130,0)</f>
        <v>0</v>
      </c>
      <c r="M130" s="476">
        <f>IF(V130&gt;0,'3 pr-2'!U130,0)</f>
        <v>0</v>
      </c>
      <c r="N130" s="476">
        <f>IF(V130&gt;0,'3 pr-2'!X130,0)</f>
        <v>0</v>
      </c>
      <c r="O130" s="476">
        <f>IF(V130&gt;0,'3 pr-2'!AA130,0)</f>
        <v>0</v>
      </c>
      <c r="P130" s="474">
        <f t="shared" ref="P130:P133" si="167">IF(YEAR(V130)=2016,O130,0)</f>
        <v>0</v>
      </c>
      <c r="Q130" s="474">
        <f t="shared" ref="Q130:Q133" si="168">IF(YEAR(V130)=2017,O130,0)</f>
        <v>0</v>
      </c>
      <c r="R130" s="474">
        <f t="shared" ref="R130:R133" si="169">IF(YEAR(V130)=2018,O130,0)</f>
        <v>0</v>
      </c>
      <c r="S130" s="474">
        <f t="shared" ref="S130:S133" si="170">IF(YEAR(V130)=2019,O130,0)</f>
        <v>0</v>
      </c>
      <c r="T130" s="474">
        <f t="shared" ref="T130:T133" si="171">IF(YEAR(V130)=2020,O130,0)</f>
        <v>0</v>
      </c>
      <c r="U130" s="290">
        <f>SUM('3 pr-2'!AH130)</f>
        <v>43464</v>
      </c>
      <c r="V130" s="289"/>
      <c r="W130" s="291"/>
      <c r="X130" s="720" t="str">
        <f t="shared" ref="X130:X133" si="172">IF(U130-V130&lt;0,(U130-V130)/30.4166666666667,"–")</f>
        <v>–</v>
      </c>
    </row>
    <row r="131" spans="1:24" ht="60.75" x14ac:dyDescent="0.25">
      <c r="A131" s="255" t="str">
        <f>CONCATENATE('3 pr-2'!A131)</f>
        <v>2.1.2.1.10</v>
      </c>
      <c r="B131" s="473" t="str">
        <f>CONCATENATE('ketv. 2lent'!B130)</f>
        <v/>
      </c>
      <c r="C131" s="255" t="str">
        <f>CONCATENATE('3 pr-2'!D131)</f>
        <v>Pirminės ambulatorinės asmens sveikatos priežiūros efektyvumo didinimas R.Ambrazaitienės ir L. Puzinovienės šeimos gydytojų kabinetuose</v>
      </c>
      <c r="D131" s="255" t="str">
        <f>CONCATENATE('3 pr-2'!E131)</f>
        <v>UAB „Rasos Ambrazaitienės šeimos gydytojo kabinetas“</v>
      </c>
      <c r="E131" s="255" t="str">
        <f>CONCATENATE('3 pr-2'!F131)</f>
        <v>Lietuvos Respublikos Sveikatos apsaugos ministerija</v>
      </c>
      <c r="F131" s="255" t="str">
        <f>CONCATENATE('3 pr-2'!G131)</f>
        <v>Druskininkų sav.</v>
      </c>
      <c r="G131" s="255" t="str">
        <f>CONCATENATE('3 pr-2'!H131)</f>
        <v>08.1.3-CPVA-R-609</v>
      </c>
      <c r="H131" s="255" t="str">
        <f>CONCATENATE('3 pr-2'!I131)</f>
        <v>R</v>
      </c>
      <c r="I131" s="255" t="str">
        <f>CONCATENATE('3 pr-2'!J131)</f>
        <v>-</v>
      </c>
      <c r="J131" s="476">
        <f>IF(V131&gt;0,'3 pr-2'!L131,0)</f>
        <v>0</v>
      </c>
      <c r="K131" s="476">
        <f>IF(V131&gt;0,'3 pr-2'!O131,0)</f>
        <v>0</v>
      </c>
      <c r="L131" s="476">
        <f>IF(V131&gt;0,'3 pr-2'!R131,0)</f>
        <v>0</v>
      </c>
      <c r="M131" s="476">
        <f>IF(V131&gt;0,'3 pr-2'!U131,0)</f>
        <v>0</v>
      </c>
      <c r="N131" s="476">
        <f>IF(V131&gt;0,'3 pr-2'!X131,0)</f>
        <v>0</v>
      </c>
      <c r="O131" s="476">
        <f>IF(V131&gt;0,'3 pr-2'!AA131,0)</f>
        <v>0</v>
      </c>
      <c r="P131" s="474">
        <f t="shared" si="167"/>
        <v>0</v>
      </c>
      <c r="Q131" s="474">
        <f t="shared" si="168"/>
        <v>0</v>
      </c>
      <c r="R131" s="474">
        <f t="shared" si="169"/>
        <v>0</v>
      </c>
      <c r="S131" s="474">
        <f t="shared" si="170"/>
        <v>0</v>
      </c>
      <c r="T131" s="474">
        <f t="shared" si="171"/>
        <v>0</v>
      </c>
      <c r="U131" s="290">
        <f>SUM('3 pr-2'!AH131)</f>
        <v>43495</v>
      </c>
      <c r="V131" s="289"/>
      <c r="W131" s="291"/>
      <c r="X131" s="720" t="str">
        <f t="shared" si="172"/>
        <v>–</v>
      </c>
    </row>
    <row r="132" spans="1:24" ht="60.75" x14ac:dyDescent="0.25">
      <c r="A132" s="255" t="str">
        <f>CONCATENATE('3 pr-2'!A132)</f>
        <v>2.1.2.1.11</v>
      </c>
      <c r="B132" s="473" t="str">
        <f>CONCATENATE('ketv. 2lent'!B131)</f>
        <v/>
      </c>
      <c r="C132" s="255" t="str">
        <f>CONCATENATE('3 pr-2'!D132)</f>
        <v xml:space="preserve">Pirminės asmens sveikatos priežiūros veiklos efektyvumo didinimas Lazdijų rajono savivaldybėje </v>
      </c>
      <c r="D132" s="255" t="str">
        <f>CONCATENATE('3 pr-2'!E132)</f>
        <v>Lazdijų rajono savivaldybės administracija</v>
      </c>
      <c r="E132" s="255" t="str">
        <f>CONCATENATE('3 pr-2'!F132)</f>
        <v>Lietuvos Respublikos Sveikatos apsaugos ministerija</v>
      </c>
      <c r="F132" s="255" t="str">
        <f>CONCATENATE('3 pr-2'!G132)</f>
        <v>Lazdijai</v>
      </c>
      <c r="G132" s="255" t="str">
        <f>CONCATENATE('3 pr-2'!H132)</f>
        <v>08.1.3-CPVA-R-609</v>
      </c>
      <c r="H132" s="255" t="str">
        <f>CONCATENATE('3 pr-2'!I132)</f>
        <v>R</v>
      </c>
      <c r="I132" s="255" t="str">
        <f>CONCATENATE('3 pr-2'!J132)</f>
        <v>-</v>
      </c>
      <c r="J132" s="476">
        <f>IF(V132&gt;0,'3 pr-2'!L132,0)</f>
        <v>0</v>
      </c>
      <c r="K132" s="476">
        <f>IF(V132&gt;0,'3 pr-2'!O132,0)</f>
        <v>0</v>
      </c>
      <c r="L132" s="476">
        <f>IF(V132&gt;0,'3 pr-2'!R132,0)</f>
        <v>0</v>
      </c>
      <c r="M132" s="476">
        <f>IF(V132&gt;0,'3 pr-2'!U132,0)</f>
        <v>0</v>
      </c>
      <c r="N132" s="476">
        <f>IF(V132&gt;0,'3 pr-2'!X132,0)</f>
        <v>0</v>
      </c>
      <c r="O132" s="476">
        <f>IF(V132&gt;0,'3 pr-2'!AA132,0)</f>
        <v>0</v>
      </c>
      <c r="P132" s="474">
        <f t="shared" si="167"/>
        <v>0</v>
      </c>
      <c r="Q132" s="474">
        <f t="shared" si="168"/>
        <v>0</v>
      </c>
      <c r="R132" s="474">
        <f t="shared" si="169"/>
        <v>0</v>
      </c>
      <c r="S132" s="474">
        <f t="shared" si="170"/>
        <v>0</v>
      </c>
      <c r="T132" s="474">
        <f t="shared" si="171"/>
        <v>0</v>
      </c>
      <c r="U132" s="290">
        <f>SUM('3 pr-2'!AH132)</f>
        <v>43496</v>
      </c>
      <c r="V132" s="289"/>
      <c r="W132" s="291"/>
      <c r="X132" s="720" t="str">
        <f t="shared" si="172"/>
        <v>–</v>
      </c>
    </row>
    <row r="133" spans="1:24" ht="61.5" thickBot="1" x14ac:dyDescent="0.3">
      <c r="A133" s="255" t="str">
        <f>CONCATENATE('3 pr-2'!A133)</f>
        <v>2.1.2.1.12</v>
      </c>
      <c r="B133" s="473" t="str">
        <f>CONCATENATE('ketv. 2lent'!B132)</f>
        <v/>
      </c>
      <c r="C133" s="255" t="str">
        <f>CONCATENATE('3 pr-2'!D133)</f>
        <v>Pirminės asmens sveikatos priežiūros veiklos efektyvumo didinimas Varėnos rajono savivaldybėje</v>
      </c>
      <c r="D133" s="255" t="str">
        <f>CONCATENATE('3 pr-2'!E133)</f>
        <v>VšĮ Varėnos pirminės sveikatos priežiūros centras</v>
      </c>
      <c r="E133" s="255" t="str">
        <f>CONCATENATE('3 pr-2'!F133)</f>
        <v>Lietuvos Respublikos Sveikatos apsaugos ministerija</v>
      </c>
      <c r="F133" s="255" t="str">
        <f>CONCATENATE('3 pr-2'!G133)</f>
        <v>Varėnos r. sav.</v>
      </c>
      <c r="G133" s="255" t="str">
        <f>CONCATENATE('3 pr-2'!H133)</f>
        <v>08.1.3-CPVA-R-609</v>
      </c>
      <c r="H133" s="255" t="str">
        <f>CONCATENATE('3 pr-2'!I133)</f>
        <v>R</v>
      </c>
      <c r="I133" s="255" t="str">
        <f>CONCATENATE('3 pr-2'!J133)</f>
        <v>-</v>
      </c>
      <c r="J133" s="476">
        <f>IF(V133&gt;0,'3 pr-2'!L133,0)</f>
        <v>0</v>
      </c>
      <c r="K133" s="476">
        <f>IF(V133&gt;0,'3 pr-2'!O133,0)</f>
        <v>0</v>
      </c>
      <c r="L133" s="476">
        <f>IF(V133&gt;0,'3 pr-2'!R133,0)</f>
        <v>0</v>
      </c>
      <c r="M133" s="476">
        <f>IF(V133&gt;0,'3 pr-2'!U133,0)</f>
        <v>0</v>
      </c>
      <c r="N133" s="476">
        <f>IF(V133&gt;0,'3 pr-2'!X133,0)</f>
        <v>0</v>
      </c>
      <c r="O133" s="476">
        <f>IF(V133&gt;0,'3 pr-2'!AA133,0)</f>
        <v>0</v>
      </c>
      <c r="P133" s="474">
        <f t="shared" si="167"/>
        <v>0</v>
      </c>
      <c r="Q133" s="474">
        <f t="shared" si="168"/>
        <v>0</v>
      </c>
      <c r="R133" s="474">
        <f t="shared" si="169"/>
        <v>0</v>
      </c>
      <c r="S133" s="474">
        <f t="shared" si="170"/>
        <v>0</v>
      </c>
      <c r="T133" s="474">
        <f t="shared" si="171"/>
        <v>0</v>
      </c>
      <c r="U133" s="290">
        <f>SUM('3 pr-2'!AH133)</f>
        <v>43496</v>
      </c>
      <c r="V133" s="289"/>
      <c r="W133" s="291"/>
      <c r="X133" s="720" t="str">
        <f t="shared" si="172"/>
        <v>–</v>
      </c>
    </row>
    <row r="134" spans="1:24" ht="42.75" customHeight="1" thickBot="1" x14ac:dyDescent="0.3">
      <c r="A134" s="497" t="str">
        <f>CONCATENATE('3 pr-2'!A135)</f>
        <v>2.1.2.2</v>
      </c>
      <c r="B134" s="613" t="str">
        <f>CONCATENATE('ketv. 2lent'!B133)</f>
        <v/>
      </c>
      <c r="C134" s="1656" t="str">
        <f>CONCATENATE('3 pr-2'!D135)</f>
        <v/>
      </c>
      <c r="D134" s="1787"/>
      <c r="E134" s="1787"/>
      <c r="F134" s="1787"/>
      <c r="G134" s="1787"/>
      <c r="H134" s="1787"/>
      <c r="I134" s="1788"/>
      <c r="J134" s="987">
        <f t="shared" ref="J134:T134" si="173">SUM(J135:J139)</f>
        <v>0</v>
      </c>
      <c r="K134" s="987">
        <f t="shared" si="173"/>
        <v>0</v>
      </c>
      <c r="L134" s="987">
        <f t="shared" si="173"/>
        <v>0</v>
      </c>
      <c r="M134" s="987">
        <f t="shared" si="173"/>
        <v>0</v>
      </c>
      <c r="N134" s="987">
        <f t="shared" si="173"/>
        <v>0</v>
      </c>
      <c r="O134" s="987">
        <f t="shared" si="173"/>
        <v>0</v>
      </c>
      <c r="P134" s="988">
        <f t="shared" si="173"/>
        <v>0</v>
      </c>
      <c r="Q134" s="989">
        <f t="shared" si="173"/>
        <v>0</v>
      </c>
      <c r="R134" s="988">
        <f t="shared" si="173"/>
        <v>0</v>
      </c>
      <c r="S134" s="989">
        <f t="shared" si="173"/>
        <v>0</v>
      </c>
      <c r="T134" s="999">
        <f t="shared" si="173"/>
        <v>0</v>
      </c>
      <c r="U134" s="987"/>
      <c r="V134" s="987"/>
      <c r="W134" s="987"/>
      <c r="X134" s="987"/>
    </row>
    <row r="135" spans="1:24" ht="60.75" x14ac:dyDescent="0.25">
      <c r="A135" s="992" t="str">
        <f>CONCATENATE('3 pr-2'!A136)</f>
        <v>2.1.2.2.1</v>
      </c>
      <c r="B135" s="674" t="str">
        <f>CONCATENATE('ketv. 2lent'!B134)</f>
        <v/>
      </c>
      <c r="C135" s="992" t="str">
        <f>CONCATENATE('3 pr-2'!D136)</f>
        <v>Sveikos gyvensenos skatinimas Alytaus rajone</v>
      </c>
      <c r="D135" s="992" t="str">
        <f>CONCATENATE('3 pr-2'!E136)</f>
        <v>Alytaus rajono savivaldybės visuomenės sveikatos biuras</v>
      </c>
      <c r="E135" s="992" t="str">
        <f>CONCATENATE('3 pr-2'!F136)</f>
        <v>Lietuvos Respublikos Sveikatos apsaugos ministerija</v>
      </c>
      <c r="F135" s="992" t="str">
        <f>CONCATENATE('3 pr-2'!G136)</f>
        <v>Alytaus rajono savivaldybė</v>
      </c>
      <c r="G135" s="992" t="str">
        <f>CONCATENATE('3 pr-2'!H136)</f>
        <v>08.4.2-ESFA-R-630</v>
      </c>
      <c r="H135" s="992" t="str">
        <f>CONCATENATE('3 pr-2'!I136)</f>
        <v>R</v>
      </c>
      <c r="I135" s="992" t="str">
        <f>CONCATENATE('3 pr-2'!J136)</f>
        <v>-</v>
      </c>
      <c r="J135" s="684">
        <f>IF(V135&gt;0,'3 pr-2'!L136,0)</f>
        <v>0</v>
      </c>
      <c r="K135" s="684">
        <f>IF(V135&gt;0,'3 pr-2'!O136,0)</f>
        <v>0</v>
      </c>
      <c r="L135" s="684">
        <f>IF(V135&gt;0,'3 pr-2'!R136,0)</f>
        <v>0</v>
      </c>
      <c r="M135" s="684">
        <f>IF(V135&gt;0,'3 pr-2'!U136,0)</f>
        <v>0</v>
      </c>
      <c r="N135" s="684">
        <f>IF(V135&gt;0,'3 pr-2'!X136,0)</f>
        <v>0</v>
      </c>
      <c r="O135" s="684">
        <f>IF(V135&gt;0,'3 pr-2'!AA136,0)</f>
        <v>0</v>
      </c>
      <c r="P135" s="994">
        <f t="shared" ref="P135:P139" si="174">IF(YEAR(V135)=2016,O135,0)</f>
        <v>0</v>
      </c>
      <c r="Q135" s="994">
        <f t="shared" ref="Q135:Q139" si="175">IF(YEAR(V135)=2017,O135,0)</f>
        <v>0</v>
      </c>
      <c r="R135" s="994">
        <f t="shared" ref="R135:R139" si="176">IF(YEAR(V135)=2018,O135,0)</f>
        <v>0</v>
      </c>
      <c r="S135" s="994">
        <f t="shared" ref="S135:S139" si="177">IF(YEAR(V135)=2019,O135,0)</f>
        <v>0</v>
      </c>
      <c r="T135" s="994">
        <f t="shared" ref="T135:T139" si="178">IF(YEAR(V135)=2020,O135,0)</f>
        <v>0</v>
      </c>
      <c r="U135" s="1000">
        <f>SUM('3 pr-2'!AH136)</f>
        <v>43312</v>
      </c>
      <c r="V135" s="992"/>
      <c r="W135" s="992"/>
      <c r="X135" s="720" t="str">
        <f t="shared" ref="X135:X139" si="179">IF(U135-V135&lt;0,(U135-V135)/30.4166666666667,"–")</f>
        <v>–</v>
      </c>
    </row>
    <row r="136" spans="1:24" ht="60.75" x14ac:dyDescent="0.25">
      <c r="A136" s="992" t="str">
        <f>CONCATENATE('3 pr-2'!A137)</f>
        <v>2.1.2.2.2</v>
      </c>
      <c r="B136" s="674" t="str">
        <f>CONCATENATE('ketv. 2lent'!B135)</f>
        <v/>
      </c>
      <c r="C136" s="992" t="str">
        <f>CONCATENATE('3 pr-2'!D137)</f>
        <v>Mažais žingsneliais – sveikos gyvensenos link</v>
      </c>
      <c r="D136" s="992" t="str">
        <f>CONCATENATE('3 pr-2'!E137)</f>
        <v>Alytaus miesto savivaldybės administracija</v>
      </c>
      <c r="E136" s="992" t="str">
        <f>CONCATENATE('3 pr-2'!F137)</f>
        <v>Lietuvos Respublikos Sveikatos apsaugos ministerija</v>
      </c>
      <c r="F136" s="992" t="str">
        <f>CONCATENATE('3 pr-2'!G137)</f>
        <v>Alytaus  miestas</v>
      </c>
      <c r="G136" s="992" t="str">
        <f>CONCATENATE('3 pr-2'!H137)</f>
        <v>08.4.2-ESFA-R-630</v>
      </c>
      <c r="H136" s="992" t="str">
        <f>CONCATENATE('3 pr-2'!I137)</f>
        <v>R</v>
      </c>
      <c r="I136" s="992" t="str">
        <f>CONCATENATE('3 pr-2'!J137)</f>
        <v>-</v>
      </c>
      <c r="J136" s="684">
        <f>IF(V136&gt;0,'3 pr-2'!L137,0)</f>
        <v>0</v>
      </c>
      <c r="K136" s="684">
        <f>IF(V136&gt;0,'3 pr-2'!O137,0)</f>
        <v>0</v>
      </c>
      <c r="L136" s="684">
        <f>IF(V136&gt;0,'3 pr-2'!R137,0)</f>
        <v>0</v>
      </c>
      <c r="M136" s="684">
        <f>IF(V136&gt;0,'3 pr-2'!U137,0)</f>
        <v>0</v>
      </c>
      <c r="N136" s="684">
        <f>IF(V136&gt;0,'3 pr-2'!X137,0)</f>
        <v>0</v>
      </c>
      <c r="O136" s="684">
        <f>IF(V136&gt;0,'3 pr-2'!AA137,0)</f>
        <v>0</v>
      </c>
      <c r="P136" s="994">
        <f t="shared" si="174"/>
        <v>0</v>
      </c>
      <c r="Q136" s="994">
        <f t="shared" si="175"/>
        <v>0</v>
      </c>
      <c r="R136" s="994">
        <f t="shared" si="176"/>
        <v>0</v>
      </c>
      <c r="S136" s="994">
        <f t="shared" si="177"/>
        <v>0</v>
      </c>
      <c r="T136" s="994">
        <f t="shared" si="178"/>
        <v>0</v>
      </c>
      <c r="U136" s="1000">
        <f>SUM('3 pr-2'!AH137)</f>
        <v>43343</v>
      </c>
      <c r="V136" s="992"/>
      <c r="W136" s="992"/>
      <c r="X136" s="720" t="str">
        <f t="shared" si="179"/>
        <v>–</v>
      </c>
    </row>
    <row r="137" spans="1:24" ht="60.75" x14ac:dyDescent="0.25">
      <c r="A137" s="992" t="str">
        <f>CONCATENATE('3 pr-2'!A138)</f>
        <v>2.1.2.2.3</v>
      </c>
      <c r="B137" s="674" t="str">
        <f>CONCATENATE('ketv. 2lent'!B136)</f>
        <v/>
      </c>
      <c r="C137" s="992" t="str">
        <f>CONCATENATE('3 pr-2'!D138)</f>
        <v>Sveikos gyvensenos skatinimas Varėnos rajono savivaldybėje</v>
      </c>
      <c r="D137" s="992" t="str">
        <f>CONCATENATE('3 pr-2'!E138)</f>
        <v>Varėnos rajono savivaldybės visuomenės sveikatos biuras</v>
      </c>
      <c r="E137" s="992" t="str">
        <f>CONCATENATE('3 pr-2'!F138)</f>
        <v>Lietuvos Respublikos Sveikatos apsaugos ministerija</v>
      </c>
      <c r="F137" s="992" t="str">
        <f>CONCATENATE('3 pr-2'!G138)</f>
        <v>Varėnos rajono savivaldybė</v>
      </c>
      <c r="G137" s="992" t="str">
        <f>CONCATENATE('3 pr-2'!H138)</f>
        <v>08.4.2-ESFA-R-630</v>
      </c>
      <c r="H137" s="992" t="str">
        <f>CONCATENATE('3 pr-2'!I138)</f>
        <v>R</v>
      </c>
      <c r="I137" s="992" t="str">
        <f>CONCATENATE('3 pr-2'!J138)</f>
        <v>-</v>
      </c>
      <c r="J137" s="684">
        <f>IF(V137&gt;0,'3 pr-2'!L138,0)</f>
        <v>0</v>
      </c>
      <c r="K137" s="684">
        <f>IF(V137&gt;0,'3 pr-2'!O138,0)</f>
        <v>0</v>
      </c>
      <c r="L137" s="684">
        <f>IF(V137&gt;0,'3 pr-2'!R138,0)</f>
        <v>0</v>
      </c>
      <c r="M137" s="684">
        <f>IF(V137&gt;0,'3 pr-2'!U138,0)</f>
        <v>0</v>
      </c>
      <c r="N137" s="684">
        <f>IF(V137&gt;0,'3 pr-2'!X138,0)</f>
        <v>0</v>
      </c>
      <c r="O137" s="684">
        <f>IF(V137&gt;0,'3 pr-2'!AA138,0)</f>
        <v>0</v>
      </c>
      <c r="P137" s="994">
        <f t="shared" si="174"/>
        <v>0</v>
      </c>
      <c r="Q137" s="994">
        <f t="shared" si="175"/>
        <v>0</v>
      </c>
      <c r="R137" s="994">
        <f t="shared" si="176"/>
        <v>0</v>
      </c>
      <c r="S137" s="994">
        <f t="shared" si="177"/>
        <v>0</v>
      </c>
      <c r="T137" s="994">
        <f t="shared" si="178"/>
        <v>0</v>
      </c>
      <c r="U137" s="1000">
        <f>SUM('3 pr-2'!AH138)</f>
        <v>43342</v>
      </c>
      <c r="V137" s="992"/>
      <c r="W137" s="992"/>
      <c r="X137" s="720" t="str">
        <f t="shared" si="179"/>
        <v>–</v>
      </c>
    </row>
    <row r="138" spans="1:24" ht="60.75" x14ac:dyDescent="0.25">
      <c r="A138" s="992" t="str">
        <f>CONCATENATE('3 pr-2'!A139)</f>
        <v>2.1.2.2.4.</v>
      </c>
      <c r="B138" s="674" t="str">
        <f>CONCATENATE('ketv. 2lent'!B137)</f>
        <v/>
      </c>
      <c r="C138" s="992" t="str">
        <f>CONCATENATE('3 pr-2'!D139)</f>
        <v>Sveika bendruomenė – stipri visuomenė</v>
      </c>
      <c r="D138" s="992" t="str">
        <f>CONCATENATE('3 pr-2'!E139)</f>
        <v>Druskininkų savivaldybės visuomenės sveikatos biuras</v>
      </c>
      <c r="E138" s="992" t="str">
        <f>CONCATENATE('3 pr-2'!F139)</f>
        <v>Lietuvos Respublikos Sveikatos apsaugos ministerija</v>
      </c>
      <c r="F138" s="992" t="str">
        <f>CONCATENATE('3 pr-2'!G139)</f>
        <v>Druskininkų savivaldybė</v>
      </c>
      <c r="G138" s="992" t="str">
        <f>CONCATENATE('3 pr-2'!H139)</f>
        <v>08.4.2-ESFA-R-630</v>
      </c>
      <c r="H138" s="992" t="str">
        <f>CONCATENATE('3 pr-2'!I139)</f>
        <v>R</v>
      </c>
      <c r="I138" s="992" t="str">
        <f>CONCATENATE('3 pr-2'!J139)</f>
        <v>-</v>
      </c>
      <c r="J138" s="684">
        <f>IF(V138&gt;0,'3 pr-2'!L139,0)</f>
        <v>0</v>
      </c>
      <c r="K138" s="684">
        <f>IF(V138&gt;0,'3 pr-2'!O139,0)</f>
        <v>0</v>
      </c>
      <c r="L138" s="684">
        <f>IF(V138&gt;0,'3 pr-2'!R139,0)</f>
        <v>0</v>
      </c>
      <c r="M138" s="684">
        <f>IF(V138&gt;0,'3 pr-2'!U139,0)</f>
        <v>0</v>
      </c>
      <c r="N138" s="684">
        <f>IF(V138&gt;0,'3 pr-2'!X139,0)</f>
        <v>0</v>
      </c>
      <c r="O138" s="684">
        <f>IF(V138&gt;0,'3 pr-2'!AA139,0)</f>
        <v>0</v>
      </c>
      <c r="P138" s="994">
        <f t="shared" si="174"/>
        <v>0</v>
      </c>
      <c r="Q138" s="994">
        <f t="shared" si="175"/>
        <v>0</v>
      </c>
      <c r="R138" s="994">
        <f t="shared" si="176"/>
        <v>0</v>
      </c>
      <c r="S138" s="994">
        <f t="shared" si="177"/>
        <v>0</v>
      </c>
      <c r="T138" s="994">
        <f t="shared" si="178"/>
        <v>0</v>
      </c>
      <c r="U138" s="1000">
        <f>SUM('3 pr-2'!AH139)</f>
        <v>43311</v>
      </c>
      <c r="V138" s="992"/>
      <c r="W138" s="992"/>
      <c r="X138" s="720" t="str">
        <f t="shared" si="179"/>
        <v>–</v>
      </c>
    </row>
    <row r="139" spans="1:24" ht="61.5" thickBot="1" x14ac:dyDescent="0.3">
      <c r="A139" s="992" t="str">
        <f>CONCATENATE('3 pr-2'!A140)</f>
        <v>2.1.2.2.5</v>
      </c>
      <c r="B139" s="674" t="str">
        <f>CONCATENATE('ketv. 2lent'!B138)</f>
        <v/>
      </c>
      <c r="C139" s="992" t="str">
        <f>CONCATENATE('3 pr-2'!D140)</f>
        <v>Sveikos gyvensenos skatinimas Lazdijų rajono savivaldybėje</v>
      </c>
      <c r="D139" s="992" t="str">
        <f>CONCATENATE('3 pr-2'!E140)</f>
        <v>Lazdijų rajono savivaldybės visuomenės sveikatos biuras</v>
      </c>
      <c r="E139" s="992" t="str">
        <f>CONCATENATE('3 pr-2'!F140)</f>
        <v>Lietuvos Respublikos Sveikatos apsaugos ministerija</v>
      </c>
      <c r="F139" s="992" t="str">
        <f>CONCATENATE('3 pr-2'!G140)</f>
        <v>Lazdijų rajono savivaldybė</v>
      </c>
      <c r="G139" s="992" t="str">
        <f>CONCATENATE('3 pr-2'!H140)</f>
        <v>08.4.2-ESFA-R-630</v>
      </c>
      <c r="H139" s="992" t="str">
        <f>CONCATENATE('3 pr-2'!I140)</f>
        <v>R</v>
      </c>
      <c r="I139" s="992" t="str">
        <f>CONCATENATE('3 pr-2'!J140)</f>
        <v>-</v>
      </c>
      <c r="J139" s="684">
        <f>IF(V139&gt;0,'3 pr-2'!L140,0)</f>
        <v>0</v>
      </c>
      <c r="K139" s="684">
        <f>IF(V139&gt;0,'3 pr-2'!O140,0)</f>
        <v>0</v>
      </c>
      <c r="L139" s="684">
        <f>IF(V139&gt;0,'3 pr-2'!R140,0)</f>
        <v>0</v>
      </c>
      <c r="M139" s="684">
        <f>IF(V139&gt;0,'3 pr-2'!U140,0)</f>
        <v>0</v>
      </c>
      <c r="N139" s="684">
        <f>IF(V139&gt;0,'3 pr-2'!X140,0)</f>
        <v>0</v>
      </c>
      <c r="O139" s="684">
        <f>IF(V139&gt;0,'3 pr-2'!AA140,0)</f>
        <v>0</v>
      </c>
      <c r="P139" s="994">
        <f t="shared" si="174"/>
        <v>0</v>
      </c>
      <c r="Q139" s="994">
        <f t="shared" si="175"/>
        <v>0</v>
      </c>
      <c r="R139" s="994">
        <f t="shared" si="176"/>
        <v>0</v>
      </c>
      <c r="S139" s="994">
        <f t="shared" si="177"/>
        <v>0</v>
      </c>
      <c r="T139" s="994">
        <f t="shared" si="178"/>
        <v>0</v>
      </c>
      <c r="U139" s="1000">
        <f>SUM('3 pr-2'!AH140)</f>
        <v>43278</v>
      </c>
      <c r="V139" s="992"/>
      <c r="W139" s="992"/>
      <c r="X139" s="720" t="str">
        <f t="shared" si="179"/>
        <v>–</v>
      </c>
    </row>
    <row r="140" spans="1:24" ht="43.5" customHeight="1" thickBot="1" x14ac:dyDescent="0.3">
      <c r="A140" s="497" t="str">
        <f>CONCATENATE('3 pr-2'!A141)</f>
        <v>2.1.2.3</v>
      </c>
      <c r="B140" s="613" t="str">
        <f>CONCATENATE('ketv. 2lent'!B139)</f>
        <v/>
      </c>
      <c r="C140" s="1656" t="str">
        <f>CONCATENATE('3 pr-2'!D141)</f>
        <v/>
      </c>
      <c r="D140" s="1787"/>
      <c r="E140" s="1787"/>
      <c r="F140" s="1787"/>
      <c r="G140" s="1787"/>
      <c r="H140" s="1787"/>
      <c r="I140" s="1788"/>
      <c r="J140" s="987">
        <f>SUM(J141:J145)</f>
        <v>0</v>
      </c>
      <c r="K140" s="987">
        <f t="shared" ref="K140:O140" si="180">SUM(K141:K145)</f>
        <v>0</v>
      </c>
      <c r="L140" s="987">
        <f t="shared" si="180"/>
        <v>0</v>
      </c>
      <c r="M140" s="987">
        <f t="shared" si="180"/>
        <v>0</v>
      </c>
      <c r="N140" s="987">
        <f t="shared" si="180"/>
        <v>0</v>
      </c>
      <c r="O140" s="987">
        <f t="shared" si="180"/>
        <v>0</v>
      </c>
      <c r="P140" s="987">
        <f t="shared" ref="P140" si="181">SUM(P141:P145)</f>
        <v>0</v>
      </c>
      <c r="Q140" s="987">
        <f t="shared" ref="Q140" si="182">SUM(Q141:Q145)</f>
        <v>0</v>
      </c>
      <c r="R140" s="987">
        <f t="shared" ref="R140" si="183">SUM(R141:R145)</f>
        <v>0</v>
      </c>
      <c r="S140" s="987">
        <f t="shared" ref="S140:T140" si="184">SUM(S141:S145)</f>
        <v>0</v>
      </c>
      <c r="T140" s="987">
        <f t="shared" si="184"/>
        <v>0</v>
      </c>
      <c r="U140" s="987"/>
      <c r="V140" s="987"/>
      <c r="W140" s="987"/>
      <c r="X140" s="987"/>
    </row>
    <row r="141" spans="1:24" ht="84.75" x14ac:dyDescent="0.25">
      <c r="A141" s="992" t="str">
        <f>CONCATENATE('3 pr-2'!A142)</f>
        <v>2.1.2.3.1</v>
      </c>
      <c r="B141" s="674" t="str">
        <f>CONCATENATE('ketv. 2lent'!B140)</f>
        <v/>
      </c>
      <c r="C141" s="992" t="str">
        <f>CONCATENATE('3 pr-2'!D142)</f>
        <v>Priemonių gerinančių ambulatorinių sveikatos priežiūros paslaugų prieinamumą tuberkulioze sergantiems asmenims, Alytaus rajone įgyvendinimas</v>
      </c>
      <c r="D141" s="992" t="str">
        <f>CONCATENATE('3 pr-2'!E142)</f>
        <v>VšĮ Alytaus rajono savivaldybės pirminės sveikatos priežiūros centras</v>
      </c>
      <c r="E141" s="992" t="str">
        <f>CONCATENATE('3 pr-2'!F142)</f>
        <v>Lietuvos Respublikos Sveikatos apsaugos ministerija</v>
      </c>
      <c r="F141" s="992" t="str">
        <f>CONCATENATE('3 pr-2'!G142)</f>
        <v>Alytaus rajono savivaldybė</v>
      </c>
      <c r="G141" s="992" t="str">
        <f>CONCATENATE('3 pr-2'!H142)</f>
        <v>08.4.2-ESFA-R-615</v>
      </c>
      <c r="H141" s="992" t="str">
        <f>CONCATENATE('3 pr-2'!I142)</f>
        <v>R</v>
      </c>
      <c r="I141" s="992" t="str">
        <f>CONCATENATE('3 pr-2'!J142)</f>
        <v>-</v>
      </c>
      <c r="J141" s="684">
        <f>IF(V141&gt;0,'3 pr-2'!L142,0)</f>
        <v>0</v>
      </c>
      <c r="K141" s="684">
        <f>IF(V141&gt;0,'3 pr-2'!O142,0)</f>
        <v>0</v>
      </c>
      <c r="L141" s="684">
        <f>IF(V141&gt;0,'3 pr-2'!R142,0)</f>
        <v>0</v>
      </c>
      <c r="M141" s="684">
        <f>IF(V141&gt;0,'3 pr-2'!U142,0)</f>
        <v>0</v>
      </c>
      <c r="N141" s="684">
        <f>IF(V141&gt;0,'3 pr-2'!X142,0)</f>
        <v>0</v>
      </c>
      <c r="O141" s="684">
        <f>IF(V141&gt;0,'3 pr-2'!AA142,0)</f>
        <v>0</v>
      </c>
      <c r="P141" s="994">
        <f t="shared" ref="P141:P145" si="185">IF(YEAR(V141)=2016,O141,0)</f>
        <v>0</v>
      </c>
      <c r="Q141" s="994">
        <f t="shared" ref="Q141:Q145" si="186">IF(YEAR(V141)=2017,O141,0)</f>
        <v>0</v>
      </c>
      <c r="R141" s="994">
        <f t="shared" ref="R141:R145" si="187">IF(YEAR(V141)=2018,O141,0)</f>
        <v>0</v>
      </c>
      <c r="S141" s="994">
        <f t="shared" ref="S141:S145" si="188">IF(YEAR(V141)=2019,O141,0)</f>
        <v>0</v>
      </c>
      <c r="T141" s="994">
        <f t="shared" ref="T141:T145" si="189">IF(YEAR(V141)=2020,O141,0)</f>
        <v>0</v>
      </c>
      <c r="U141" s="1000">
        <f>SUM('3 pr-2'!AH142)</f>
        <v>43373</v>
      </c>
      <c r="V141" s="992"/>
      <c r="W141" s="992"/>
      <c r="X141" s="720" t="str">
        <f t="shared" ref="X141:X145" si="190">IF(U141-V141&lt;0,(U141-V141)/30.4166666666667,"–")</f>
        <v>–</v>
      </c>
    </row>
    <row r="142" spans="1:24" ht="60.75" x14ac:dyDescent="0.25">
      <c r="A142" s="992" t="str">
        <f>CONCATENATE('3 pr-2'!A143)</f>
        <v>2.1.2.3.2</v>
      </c>
      <c r="B142" s="674" t="str">
        <f>CONCATENATE('ketv. 2lent'!B141)</f>
        <v/>
      </c>
      <c r="C142" s="992" t="str">
        <f>CONCATENATE('3 pr-2'!D143)</f>
        <v>Ambulatorinių sveikatos priežiūros paslaugų gerinimas tuberkulioze sergantiems asmenims</v>
      </c>
      <c r="D142" s="992" t="str">
        <f>CONCATENATE('3 pr-2'!E143)</f>
        <v>Alytaus miesto savivaldybės administracija</v>
      </c>
      <c r="E142" s="992" t="str">
        <f>CONCATENATE('3 pr-2'!F143)</f>
        <v>Lietuvos Respublikos Sveikatos apsaugos ministerija</v>
      </c>
      <c r="F142" s="992" t="str">
        <f>CONCATENATE('3 pr-2'!G143)</f>
        <v>Alytaus  miestas</v>
      </c>
      <c r="G142" s="992" t="str">
        <f>CONCATENATE('3 pr-2'!H143)</f>
        <v>08.4.2-ESFA-R-615</v>
      </c>
      <c r="H142" s="992" t="str">
        <f>CONCATENATE('3 pr-2'!I143)</f>
        <v>R</v>
      </c>
      <c r="I142" s="992" t="str">
        <f>CONCATENATE('3 pr-2'!J143)</f>
        <v>-</v>
      </c>
      <c r="J142" s="684">
        <f>IF(V142&gt;0,'3 pr-2'!L143,0)</f>
        <v>0</v>
      </c>
      <c r="K142" s="684">
        <f>IF(V142&gt;0,'3 pr-2'!O143,0)</f>
        <v>0</v>
      </c>
      <c r="L142" s="684">
        <f>IF(V142&gt;0,'3 pr-2'!R143,0)</f>
        <v>0</v>
      </c>
      <c r="M142" s="684">
        <f>IF(V142&gt;0,'3 pr-2'!U143,0)</f>
        <v>0</v>
      </c>
      <c r="N142" s="684">
        <f>IF(V142&gt;0,'3 pr-2'!X143,0)</f>
        <v>0</v>
      </c>
      <c r="O142" s="684">
        <f>IF(V142&gt;0,'3 pr-2'!AA143,0)</f>
        <v>0</v>
      </c>
      <c r="P142" s="994">
        <f t="shared" si="185"/>
        <v>0</v>
      </c>
      <c r="Q142" s="994">
        <f t="shared" si="186"/>
        <v>0</v>
      </c>
      <c r="R142" s="994">
        <f t="shared" si="187"/>
        <v>0</v>
      </c>
      <c r="S142" s="994">
        <f t="shared" si="188"/>
        <v>0</v>
      </c>
      <c r="T142" s="994">
        <f t="shared" si="189"/>
        <v>0</v>
      </c>
      <c r="U142" s="1000">
        <f>SUM('3 pr-2'!AH143)</f>
        <v>43373</v>
      </c>
      <c r="V142" s="992"/>
      <c r="W142" s="992"/>
      <c r="X142" s="720" t="str">
        <f t="shared" si="190"/>
        <v>–</v>
      </c>
    </row>
    <row r="143" spans="1:24" ht="60.75" x14ac:dyDescent="0.25">
      <c r="A143" s="992" t="str">
        <f>CONCATENATE('3 pr-2'!A144)</f>
        <v>2.1.2.3.3</v>
      </c>
      <c r="B143" s="674" t="str">
        <f>CONCATENATE('ketv. 2lent'!B142)</f>
        <v/>
      </c>
      <c r="C143" s="992" t="str">
        <f>CONCATENATE('3 pr-2'!D144)</f>
        <v xml:space="preserve">Paslaugų tuberkulioze sergantiems asmenims gerinimas Lazdijų rajono savivaldybėje </v>
      </c>
      <c r="D143" s="992" t="str">
        <f>CONCATENATE('3 pr-2'!E144)</f>
        <v>Lazdijų rajono savivaldybės administracija</v>
      </c>
      <c r="E143" s="992" t="str">
        <f>CONCATENATE('3 pr-2'!F144)</f>
        <v>Lietuvos Respublikos Sveikatos apsaugos ministerija</v>
      </c>
      <c r="F143" s="992" t="str">
        <f>CONCATENATE('3 pr-2'!G144)</f>
        <v>Lazdijų rajono savivaldybė</v>
      </c>
      <c r="G143" s="992" t="str">
        <f>CONCATENATE('3 pr-2'!H144)</f>
        <v>08.4.2-ESFA-R-615</v>
      </c>
      <c r="H143" s="992" t="str">
        <f>CONCATENATE('3 pr-2'!I144)</f>
        <v>R</v>
      </c>
      <c r="I143" s="992" t="str">
        <f>CONCATENATE('3 pr-2'!J144)</f>
        <v>-</v>
      </c>
      <c r="J143" s="684">
        <f>IF(V143&gt;0,'3 pr-2'!L144,0)</f>
        <v>0</v>
      </c>
      <c r="K143" s="684">
        <f>IF(V143&gt;0,'3 pr-2'!O144,0)</f>
        <v>0</v>
      </c>
      <c r="L143" s="684">
        <f>IF(V143&gt;0,'3 pr-2'!R144,0)</f>
        <v>0</v>
      </c>
      <c r="M143" s="684">
        <f>IF(V143&gt;0,'3 pr-2'!U144,0)</f>
        <v>0</v>
      </c>
      <c r="N143" s="684">
        <f>IF(V143&gt;0,'3 pr-2'!X144,0)</f>
        <v>0</v>
      </c>
      <c r="O143" s="684">
        <f>IF(V143&gt;0,'3 pr-2'!AA144,0)</f>
        <v>0</v>
      </c>
      <c r="P143" s="994">
        <f t="shared" si="185"/>
        <v>0</v>
      </c>
      <c r="Q143" s="994">
        <f t="shared" si="186"/>
        <v>0</v>
      </c>
      <c r="R143" s="994">
        <f t="shared" si="187"/>
        <v>0</v>
      </c>
      <c r="S143" s="994">
        <f t="shared" si="188"/>
        <v>0</v>
      </c>
      <c r="T143" s="994">
        <f t="shared" si="189"/>
        <v>0</v>
      </c>
      <c r="U143" s="1000">
        <f>SUM('3 pr-2'!AH144)</f>
        <v>43250</v>
      </c>
      <c r="V143" s="992"/>
      <c r="W143" s="992"/>
      <c r="X143" s="720" t="str">
        <f t="shared" si="190"/>
        <v>–</v>
      </c>
    </row>
    <row r="144" spans="1:24" ht="60.75" x14ac:dyDescent="0.25">
      <c r="A144" s="992" t="str">
        <f>CONCATENATE('3 pr-2'!A145)</f>
        <v>2.1.2.3.4</v>
      </c>
      <c r="B144" s="674" t="str">
        <f>CONCATENATE('ketv. 2lent'!B143)</f>
        <v/>
      </c>
      <c r="C144" s="992" t="str">
        <f>CONCATENATE('3 pr-2'!D145)</f>
        <v>Ambulatorinių sveikatos priežiūros paslaugų tuberkulioze sergantiems asmenims prieinamumo gerinimas Druskininkų savivaldybėje</v>
      </c>
      <c r="D144" s="992" t="str">
        <f>CONCATENATE('3 pr-2'!E145)</f>
        <v>Druskininkų pirminės sveikatos priežiūros centras</v>
      </c>
      <c r="E144" s="992" t="str">
        <f>CONCATENATE('3 pr-2'!F145)</f>
        <v>Lietuvos Respublikos Sveikatos apsaugos ministerija</v>
      </c>
      <c r="F144" s="992" t="str">
        <f>CONCATENATE('3 pr-2'!G145)</f>
        <v>Druskininkų savivaldybė</v>
      </c>
      <c r="G144" s="992" t="str">
        <f>CONCATENATE('3 pr-2'!H145)</f>
        <v>08.4.2-ESFA-R-615</v>
      </c>
      <c r="H144" s="992" t="str">
        <f>CONCATENATE('3 pr-2'!I145)</f>
        <v>R</v>
      </c>
      <c r="I144" s="992" t="str">
        <f>CONCATENATE('3 pr-2'!J145)</f>
        <v>-</v>
      </c>
      <c r="J144" s="684">
        <f>IF(V144&gt;0,'3 pr-2'!L145,0)</f>
        <v>0</v>
      </c>
      <c r="K144" s="684">
        <f>IF(V144&gt;0,'3 pr-2'!O145,0)</f>
        <v>0</v>
      </c>
      <c r="L144" s="684">
        <f>IF(V144&gt;0,'3 pr-2'!R145,0)</f>
        <v>0</v>
      </c>
      <c r="M144" s="684">
        <f>IF(V144&gt;0,'3 pr-2'!U145,0)</f>
        <v>0</v>
      </c>
      <c r="N144" s="684">
        <f>IF(V144&gt;0,'3 pr-2'!X145,0)</f>
        <v>0</v>
      </c>
      <c r="O144" s="684">
        <f>IF(V144&gt;0,'3 pr-2'!AA145,0)</f>
        <v>0</v>
      </c>
      <c r="P144" s="994">
        <f t="shared" si="185"/>
        <v>0</v>
      </c>
      <c r="Q144" s="994">
        <f t="shared" si="186"/>
        <v>0</v>
      </c>
      <c r="R144" s="994">
        <f t="shared" si="187"/>
        <v>0</v>
      </c>
      <c r="S144" s="994">
        <f t="shared" si="188"/>
        <v>0</v>
      </c>
      <c r="T144" s="994">
        <f t="shared" si="189"/>
        <v>0</v>
      </c>
      <c r="U144" s="1000">
        <f>SUM('3 pr-2'!AH145)</f>
        <v>43344</v>
      </c>
      <c r="V144" s="992"/>
      <c r="W144" s="992"/>
      <c r="X144" s="720" t="str">
        <f t="shared" si="190"/>
        <v>–</v>
      </c>
    </row>
    <row r="145" spans="1:24" ht="61.5" thickBot="1" x14ac:dyDescent="0.3">
      <c r="A145" s="992" t="str">
        <f>CONCATENATE('3 pr-2'!A146)</f>
        <v>2.1.2.3.5</v>
      </c>
      <c r="B145" s="674" t="str">
        <f>CONCATENATE('ketv. 2lent'!B144)</f>
        <v/>
      </c>
      <c r="C145" s="992" t="str">
        <f>CONCATENATE('3 pr-2'!D146)</f>
        <v>Ambulatorinių sveikatos priežiūros paslaugų prieinamumo gerinimas tuberkulioze sergantiems asmenims Varėnos rajono savivaldybėje</v>
      </c>
      <c r="D145" s="992" t="str">
        <f>CONCATENATE('3 pr-2'!E146)</f>
        <v>Varėnos rajono savivaldybės administracija</v>
      </c>
      <c r="E145" s="992" t="str">
        <f>CONCATENATE('3 pr-2'!F146)</f>
        <v>Lietuvos Respublikos Sveikatos apsaugos ministerija</v>
      </c>
      <c r="F145" s="992" t="str">
        <f>CONCATENATE('3 pr-2'!G146)</f>
        <v>Varėnos rajono savivaldybė</v>
      </c>
      <c r="G145" s="992" t="str">
        <f>CONCATENATE('3 pr-2'!H146)</f>
        <v>08.4.2-ESFA-R-615</v>
      </c>
      <c r="H145" s="992" t="str">
        <f>CONCATENATE('3 pr-2'!I146)</f>
        <v>R</v>
      </c>
      <c r="I145" s="992" t="str">
        <f>CONCATENATE('3 pr-2'!J146)</f>
        <v>-</v>
      </c>
      <c r="J145" s="684">
        <f>IF(V145&gt;0,'3 pr-2'!L146,0)</f>
        <v>0</v>
      </c>
      <c r="K145" s="684">
        <f>IF(V145&gt;0,'3 pr-2'!O146,0)</f>
        <v>0</v>
      </c>
      <c r="L145" s="684">
        <f>IF(V145&gt;0,'3 pr-2'!R146,0)</f>
        <v>0</v>
      </c>
      <c r="M145" s="684">
        <f>IF(V145&gt;0,'3 pr-2'!U146,0)</f>
        <v>0</v>
      </c>
      <c r="N145" s="684">
        <f>IF(V145&gt;0,'3 pr-2'!X146,0)</f>
        <v>0</v>
      </c>
      <c r="O145" s="684">
        <f>IF(V145&gt;0,'3 pr-2'!AA146,0)</f>
        <v>0</v>
      </c>
      <c r="P145" s="994">
        <f t="shared" si="185"/>
        <v>0</v>
      </c>
      <c r="Q145" s="994">
        <f t="shared" si="186"/>
        <v>0</v>
      </c>
      <c r="R145" s="994">
        <f t="shared" si="187"/>
        <v>0</v>
      </c>
      <c r="S145" s="994">
        <f t="shared" si="188"/>
        <v>0</v>
      </c>
      <c r="T145" s="994">
        <f t="shared" si="189"/>
        <v>0</v>
      </c>
      <c r="U145" s="1000">
        <f>SUM('3 pr-2'!AH146)</f>
        <v>43344</v>
      </c>
      <c r="V145" s="992"/>
      <c r="W145" s="992"/>
      <c r="X145" s="720" t="str">
        <f t="shared" si="190"/>
        <v>–</v>
      </c>
    </row>
    <row r="146" spans="1:24" ht="36.75" customHeight="1" thickBot="1" x14ac:dyDescent="0.3">
      <c r="A146" s="345" t="str">
        <f>CONCATENATE('3 pr-2'!A147)</f>
        <v>2.1.3.</v>
      </c>
      <c r="B146" s="647" t="str">
        <f>CONCATENATE('ketv. 2lent'!B145)</f>
        <v/>
      </c>
      <c r="C146" s="1668" t="str">
        <f>CONCATENATE('3 pr-2'!D147)</f>
        <v/>
      </c>
      <c r="D146" s="1595" t="str">
        <f>CONCATENATE('3 pr-2'!E147)</f>
        <v/>
      </c>
      <c r="E146" s="1595" t="str">
        <f>CONCATENATE('3 pr-2'!F147)</f>
        <v/>
      </c>
      <c r="F146" s="1595" t="str">
        <f>CONCATENATE('3 pr-2'!G147)</f>
        <v/>
      </c>
      <c r="G146" s="1595" t="str">
        <f>CONCATENATE('3 pr-2'!H147)</f>
        <v/>
      </c>
      <c r="H146" s="1595" t="str">
        <f>CONCATENATE('3 pr-2'!I147)</f>
        <v/>
      </c>
      <c r="I146" s="1595" t="str">
        <f>CONCATENATE('3 pr-2'!J147)</f>
        <v/>
      </c>
      <c r="J146" s="303">
        <f>SUM(J147+J153)</f>
        <v>4238690.55</v>
      </c>
      <c r="K146" s="303">
        <f t="shared" ref="K146:O146" si="191">SUM(K147+K153)</f>
        <v>810007.55</v>
      </c>
      <c r="L146" s="303">
        <f t="shared" si="191"/>
        <v>21948</v>
      </c>
      <c r="M146" s="303">
        <f t="shared" si="191"/>
        <v>0</v>
      </c>
      <c r="N146" s="303">
        <f t="shared" si="191"/>
        <v>0</v>
      </c>
      <c r="O146" s="303">
        <f t="shared" si="191"/>
        <v>3406735</v>
      </c>
      <c r="P146" s="303"/>
      <c r="Q146" s="303"/>
      <c r="R146" s="303"/>
      <c r="S146" s="303"/>
      <c r="T146" s="303"/>
      <c r="U146" s="650" t="s">
        <v>725</v>
      </c>
      <c r="V146" s="648" t="s">
        <v>725</v>
      </c>
      <c r="W146" s="693" t="s">
        <v>725</v>
      </c>
      <c r="X146" s="650"/>
    </row>
    <row r="147" spans="1:24" ht="36.75" customHeight="1" thickBot="1" x14ac:dyDescent="0.3">
      <c r="A147" s="497" t="str">
        <f>CONCATENATE('3 pr-2'!A148)</f>
        <v>2.1.3.1</v>
      </c>
      <c r="B147" s="613" t="str">
        <f>CONCATENATE('ketv. 2lent'!B146)</f>
        <v/>
      </c>
      <c r="C147" s="1656" t="str">
        <f>CONCATENATE('3 pr-2'!D148)</f>
        <v/>
      </c>
      <c r="D147" s="1789"/>
      <c r="E147" s="1789"/>
      <c r="F147" s="1789"/>
      <c r="G147" s="1789"/>
      <c r="H147" s="1789"/>
      <c r="I147" s="1790"/>
      <c r="J147" s="629">
        <f>SUM(J148:J152)</f>
        <v>1272489.55</v>
      </c>
      <c r="K147" s="629">
        <f t="shared" ref="K147:O147" si="192">SUM(K148:K152)</f>
        <v>364780.55000000005</v>
      </c>
      <c r="L147" s="629">
        <f t="shared" si="192"/>
        <v>21948</v>
      </c>
      <c r="M147" s="629">
        <f t="shared" si="192"/>
        <v>0</v>
      </c>
      <c r="N147" s="629">
        <f t="shared" si="192"/>
        <v>0</v>
      </c>
      <c r="O147" s="629">
        <f t="shared" si="192"/>
        <v>885761</v>
      </c>
      <c r="P147" s="630">
        <f>SUM(P148:P152)</f>
        <v>0</v>
      </c>
      <c r="Q147" s="631">
        <f t="shared" ref="Q147:T147" si="193">SUM(Q148:Q152)</f>
        <v>885761</v>
      </c>
      <c r="R147" s="630">
        <f t="shared" si="193"/>
        <v>0</v>
      </c>
      <c r="S147" s="631">
        <f t="shared" si="193"/>
        <v>0</v>
      </c>
      <c r="T147" s="278">
        <f t="shared" si="193"/>
        <v>0</v>
      </c>
      <c r="U147" s="629"/>
      <c r="V147" s="629"/>
      <c r="W147" s="629"/>
      <c r="X147" s="629"/>
    </row>
    <row r="148" spans="1:24" ht="60.75" x14ac:dyDescent="0.25">
      <c r="A148" s="683" t="str">
        <f>CONCATENATE('3 pr-2'!A149)</f>
        <v>2.1.3.1.1</v>
      </c>
      <c r="B148" s="683" t="str">
        <f>CONCATENATE('ketv. 2lent'!B147)</f>
        <v>08.1.1-CPVA-R-407-11-0002</v>
      </c>
      <c r="C148" s="683" t="str">
        <f>CONCATENATE('3 pr-2'!D149)</f>
        <v>Socialinių paslaugų infrastruktūros plėtra Varėnos rajono savivaldybėje</v>
      </c>
      <c r="D148" s="683" t="str">
        <f>CONCATENATE('3 pr-2'!E149)</f>
        <v>Varėnos rajono savivaldybės administracija</v>
      </c>
      <c r="E148" s="683" t="str">
        <f>CONCATENATE('3 pr-2'!F149)</f>
        <v>Lietuvos Respublikos socialinės apsaugos ir darbo ministerija</v>
      </c>
      <c r="F148" s="683" t="str">
        <f>CONCATENATE('3 pr-2'!G149)</f>
        <v>Varėnos rajono savivaldybė</v>
      </c>
      <c r="G148" s="683" t="str">
        <f>CONCATENATE('3 pr-2'!H149)</f>
        <v>08.1.2-CPVA-R-407</v>
      </c>
      <c r="H148" s="683" t="str">
        <f>CONCATENATE('3 pr-2'!I149)</f>
        <v>R</v>
      </c>
      <c r="I148" s="683" t="str">
        <f>CONCATENATE('3 pr-2'!J149)</f>
        <v>-</v>
      </c>
      <c r="J148" s="476">
        <f>IF(V148&gt;0,'3 pr-2'!L149,0)</f>
        <v>148480</v>
      </c>
      <c r="K148" s="476">
        <f>IF(V148&gt;0,'3 pr-2'!O149,0)</f>
        <v>22272</v>
      </c>
      <c r="L148" s="476">
        <f>IF(V148&gt;0,'3 pr-2'!R149,0)</f>
        <v>0</v>
      </c>
      <c r="M148" s="476">
        <f>IF(V148&gt;0,'3 pr-2'!U149,0)</f>
        <v>0</v>
      </c>
      <c r="N148" s="476">
        <f>IF(V148&gt;0,'3 pr-2'!X149,0)</f>
        <v>0</v>
      </c>
      <c r="O148" s="476">
        <f>IF(V148&gt;0,'3 pr-2'!AA149,0)</f>
        <v>126208</v>
      </c>
      <c r="P148" s="684">
        <f t="shared" ref="P148:P152" si="194">IF(YEAR(V148)=2016,O148,0)</f>
        <v>0</v>
      </c>
      <c r="Q148" s="684">
        <f t="shared" ref="Q148:Q152" si="195">IF(YEAR(V148)=2017,O148,0)</f>
        <v>126208</v>
      </c>
      <c r="R148" s="684">
        <f t="shared" ref="R148:R152" si="196">IF(YEAR(V148)=2018,O148,0)</f>
        <v>0</v>
      </c>
      <c r="S148" s="684">
        <f t="shared" ref="S148:S152" si="197">IF(YEAR(V148)=2019,O148,0)</f>
        <v>0</v>
      </c>
      <c r="T148" s="684">
        <f t="shared" ref="T148:T152" si="198">IF(YEAR(V148)=2020,O148,0)</f>
        <v>0</v>
      </c>
      <c r="U148" s="685">
        <f>SUM('3 pr-2'!AH149)</f>
        <v>42855</v>
      </c>
      <c r="V148" s="685">
        <v>42849</v>
      </c>
      <c r="W148" s="686">
        <f t="shared" ref="W148:W152" si="199">IF((YEAR(U148)-YEAR(V148))=0,0,YEAR(U148)-YEAR(V148))</f>
        <v>0</v>
      </c>
      <c r="X148" s="720" t="str">
        <f t="shared" ref="X148:X152" si="200">IF(U148-V148&lt;0,(U148-V148)/30.4166666666667,"–")</f>
        <v>–</v>
      </c>
    </row>
    <row r="149" spans="1:24" ht="60.75" x14ac:dyDescent="0.25">
      <c r="A149" s="683" t="str">
        <f>CONCATENATE('3 pr-2'!A150)</f>
        <v>2.1.3.1.2</v>
      </c>
      <c r="B149" s="683" t="str">
        <f>CONCATENATE('ketv. 2lent'!B148)</f>
        <v>08.1.1-CPVA-R-407-11-0004</v>
      </c>
      <c r="C149" s="683" t="str">
        <f>CONCATENATE('3 pr-2'!D150)</f>
        <v>Psichosocialinės pagalbos centro įkūrimas</v>
      </c>
      <c r="D149" s="683" t="str">
        <f>CONCATENATE('3 pr-2'!E150)</f>
        <v>Alytaus rajono savivaldybės administracija</v>
      </c>
      <c r="E149" s="683" t="str">
        <f>CONCATENATE('3 pr-2'!F150)</f>
        <v>Lietuvos Respublikos socialinės apsaugos ir darbo ministerija</v>
      </c>
      <c r="F149" s="683" t="str">
        <f>CONCATENATE('3 pr-2'!G150)</f>
        <v>Alytaus  miestas</v>
      </c>
      <c r="G149" s="683" t="str">
        <f>CONCATENATE('3 pr-2'!H150)</f>
        <v>08.1.2-CPVA-R-407</v>
      </c>
      <c r="H149" s="683" t="str">
        <f>CONCATENATE('3 pr-2'!I150)</f>
        <v>R</v>
      </c>
      <c r="I149" s="683" t="str">
        <f>CONCATENATE('3 pr-2'!J150)</f>
        <v/>
      </c>
      <c r="J149" s="476">
        <f>IF(V149&gt;0,'3 pr-2'!L150,0)</f>
        <v>188353</v>
      </c>
      <c r="K149" s="476">
        <f>IF(V149&gt;0,'3 pr-2'!O150,0)</f>
        <v>28253</v>
      </c>
      <c r="L149" s="476">
        <f>IF(V149&gt;0,'3 pr-2'!R150,0)</f>
        <v>0</v>
      </c>
      <c r="M149" s="476">
        <f>IF(V149&gt;0,'3 pr-2'!U150,0)</f>
        <v>0</v>
      </c>
      <c r="N149" s="476">
        <f>IF(V149&gt;0,'3 pr-2'!X150,0)</f>
        <v>0</v>
      </c>
      <c r="O149" s="476">
        <f>IF(V149&gt;0,'3 pr-2'!AA150,0)</f>
        <v>160100</v>
      </c>
      <c r="P149" s="684">
        <f t="shared" si="194"/>
        <v>0</v>
      </c>
      <c r="Q149" s="684">
        <f t="shared" si="195"/>
        <v>160100</v>
      </c>
      <c r="R149" s="684">
        <f t="shared" si="196"/>
        <v>0</v>
      </c>
      <c r="S149" s="684">
        <f t="shared" si="197"/>
        <v>0</v>
      </c>
      <c r="T149" s="684">
        <f t="shared" si="198"/>
        <v>0</v>
      </c>
      <c r="U149" s="685">
        <f>SUM('3 pr-2'!AH150)</f>
        <v>42855</v>
      </c>
      <c r="V149" s="685">
        <v>42888</v>
      </c>
      <c r="W149" s="686">
        <f t="shared" si="199"/>
        <v>0</v>
      </c>
      <c r="X149" s="720">
        <f t="shared" si="200"/>
        <v>-1.0849315068493139</v>
      </c>
    </row>
    <row r="150" spans="1:24" ht="60.75" x14ac:dyDescent="0.25">
      <c r="A150" s="683" t="str">
        <f>CONCATENATE('3 pr-2'!A151)</f>
        <v>2.1.3.1.3</v>
      </c>
      <c r="B150" s="683" t="str">
        <f>CONCATENATE('ketv. 2lent'!B149)</f>
        <v>08.1.1-CPVA-R-407-11-0005</v>
      </c>
      <c r="C150" s="683" t="str">
        <f>CONCATENATE('3 pr-2'!D151)</f>
        <v>Socialinių paslaugų plėtra Alytaus mieste</v>
      </c>
      <c r="D150" s="683" t="str">
        <f>CONCATENATE('3 pr-2'!E151)</f>
        <v>Alytaus miesto savivaldybės administracija</v>
      </c>
      <c r="E150" s="683" t="str">
        <f>CONCATENATE('3 pr-2'!F151)</f>
        <v>Lietuvos Respublikos socialinės apsaugos ir darbo ministerija</v>
      </c>
      <c r="F150" s="683" t="str">
        <f>CONCATENATE('3 pr-2'!G151)</f>
        <v>Alytaus  miestas</v>
      </c>
      <c r="G150" s="683" t="str">
        <f>CONCATENATE('3 pr-2'!H151)</f>
        <v>08.1.2-CPVA-R-407</v>
      </c>
      <c r="H150" s="683" t="str">
        <f>CONCATENATE('3 pr-2'!I151)</f>
        <v>R</v>
      </c>
      <c r="I150" s="683" t="str">
        <f>CONCATENATE('3 pr-2'!J151)</f>
        <v>-</v>
      </c>
      <c r="J150" s="476">
        <f>IF(V150&gt;0,'3 pr-2'!L151,0)</f>
        <v>637900.55000000005</v>
      </c>
      <c r="K150" s="476">
        <f>IF(V150&gt;0,'3 pr-2'!O151,0)</f>
        <v>291539.55000000005</v>
      </c>
      <c r="L150" s="476">
        <f>IF(V150&gt;0,'3 pr-2'!R151,0)</f>
        <v>0</v>
      </c>
      <c r="M150" s="476">
        <f>IF(V150&gt;0,'3 pr-2'!U151,0)</f>
        <v>0</v>
      </c>
      <c r="N150" s="476">
        <f>IF(V150&gt;0,'3 pr-2'!X151,0)</f>
        <v>0</v>
      </c>
      <c r="O150" s="476">
        <f>IF(V150&gt;0,'3 pr-2'!AA151,0)</f>
        <v>346361</v>
      </c>
      <c r="P150" s="684">
        <f t="shared" si="194"/>
        <v>0</v>
      </c>
      <c r="Q150" s="684">
        <f t="shared" si="195"/>
        <v>346361</v>
      </c>
      <c r="R150" s="684">
        <f t="shared" si="196"/>
        <v>0</v>
      </c>
      <c r="S150" s="684">
        <f t="shared" si="197"/>
        <v>0</v>
      </c>
      <c r="T150" s="684">
        <f t="shared" si="198"/>
        <v>0</v>
      </c>
      <c r="U150" s="685">
        <f>SUM('3 pr-2'!AH151)</f>
        <v>42855</v>
      </c>
      <c r="V150" s="685">
        <v>42936</v>
      </c>
      <c r="W150" s="686">
        <f t="shared" si="199"/>
        <v>0</v>
      </c>
      <c r="X150" s="720">
        <f t="shared" si="200"/>
        <v>-2.663013698630134</v>
      </c>
    </row>
    <row r="151" spans="1:24" ht="60.75" x14ac:dyDescent="0.25">
      <c r="A151" s="683" t="str">
        <f>CONCATENATE('3 pr-2'!A152)</f>
        <v>2.1.3.1.4</v>
      </c>
      <c r="B151" s="683" t="str">
        <f>CONCATENATE('ketv. 2lent'!B150)</f>
        <v>08.1.1-CPVA-R-407-11-0001</v>
      </c>
      <c r="C151" s="683" t="str">
        <f>CONCATENATE('3 pr-2'!D152)</f>
        <v>Socialinių paslaugų infrastruktūros plėtra Druskininkų savivaldybėje</v>
      </c>
      <c r="D151" s="683" t="str">
        <f>CONCATENATE('3 pr-2'!E152)</f>
        <v>Druskininkų savivaldybės administracija</v>
      </c>
      <c r="E151" s="683" t="str">
        <f>CONCATENATE('3 pr-2'!F152)</f>
        <v>Lietuvos Respublikos socialinės apsaugos ir darbo ministerija</v>
      </c>
      <c r="F151" s="683" t="str">
        <f>CONCATENATE('3 pr-2'!G152)</f>
        <v>Druskininkų savivaldybė</v>
      </c>
      <c r="G151" s="683" t="str">
        <f>CONCATENATE('3 pr-2'!H152)</f>
        <v>08.1.2-CPVA-R-407</v>
      </c>
      <c r="H151" s="683" t="str">
        <f>CONCATENATE('3 pr-2'!I152)</f>
        <v>R</v>
      </c>
      <c r="I151" s="683" t="str">
        <f>CONCATENATE('3 pr-2'!J152)</f>
        <v>-</v>
      </c>
      <c r="J151" s="476">
        <f>IF(V151&gt;0,'3 pr-2'!L152,0)</f>
        <v>151437</v>
      </c>
      <c r="K151" s="476">
        <f>IF(V151&gt;0,'3 pr-2'!O152,0)</f>
        <v>22716</v>
      </c>
      <c r="L151" s="476">
        <f>IF(V151&gt;0,'3 pr-2'!R152,0)</f>
        <v>0</v>
      </c>
      <c r="M151" s="476">
        <f>IF(V151&gt;0,'3 pr-2'!U152,0)</f>
        <v>0</v>
      </c>
      <c r="N151" s="476">
        <f>IF(V151&gt;0,'3 pr-2'!X152,0)</f>
        <v>0</v>
      </c>
      <c r="O151" s="476">
        <f>IF(V151&gt;0,'3 pr-2'!AA152,0)</f>
        <v>128721</v>
      </c>
      <c r="P151" s="684">
        <f t="shared" si="194"/>
        <v>0</v>
      </c>
      <c r="Q151" s="684">
        <f t="shared" si="195"/>
        <v>128721</v>
      </c>
      <c r="R151" s="684">
        <f t="shared" si="196"/>
        <v>0</v>
      </c>
      <c r="S151" s="684">
        <f t="shared" si="197"/>
        <v>0</v>
      </c>
      <c r="T151" s="684">
        <f t="shared" si="198"/>
        <v>0</v>
      </c>
      <c r="U151" s="685">
        <f>SUM('3 pr-2'!AH152)</f>
        <v>42855</v>
      </c>
      <c r="V151" s="685">
        <v>42851</v>
      </c>
      <c r="W151" s="686">
        <f t="shared" si="199"/>
        <v>0</v>
      </c>
      <c r="X151" s="720" t="str">
        <f t="shared" si="200"/>
        <v>–</v>
      </c>
    </row>
    <row r="152" spans="1:24" ht="61.5" thickBot="1" x14ac:dyDescent="0.3">
      <c r="A152" s="683" t="str">
        <f>CONCATENATE('3 pr-2'!A153)</f>
        <v>2.1.3.1.5</v>
      </c>
      <c r="B152" s="683" t="str">
        <f>CONCATENATE('ketv. 2lent'!B151)</f>
        <v>08.1.1-CPVA-R-407-11-0003</v>
      </c>
      <c r="C152" s="683" t="str">
        <f>CONCATENATE('3 pr-2'!D153)</f>
        <v>Socialinių paslaugų infrastruktūros modernizavimas ir plėtra VšĮ Kapčiamiesčio globos namuose</v>
      </c>
      <c r="D152" s="683" t="str">
        <f>CONCATENATE('3 pr-2'!E153)</f>
        <v>VšĮ Kapčiamiesčio globos namai</v>
      </c>
      <c r="E152" s="683" t="str">
        <f>CONCATENATE('3 pr-2'!F153)</f>
        <v>Lietuvos Respublikos socialinės apsaugos ir darbo ministerija</v>
      </c>
      <c r="F152" s="683" t="str">
        <f>CONCATENATE('3 pr-2'!G153)</f>
        <v>Lazdijų rajono savivaldybė</v>
      </c>
      <c r="G152" s="683" t="str">
        <f>CONCATENATE('3 pr-2'!H153)</f>
        <v>08.1.2-CPVA-R-407</v>
      </c>
      <c r="H152" s="683" t="str">
        <f>CONCATENATE('3 pr-2'!I153)</f>
        <v>R</v>
      </c>
      <c r="I152" s="683" t="str">
        <f>CONCATENATE('3 pr-2'!J153)</f>
        <v>-</v>
      </c>
      <c r="J152" s="476">
        <f>IF(V152&gt;0,'3 pr-2'!L153,0)</f>
        <v>146319</v>
      </c>
      <c r="K152" s="476">
        <f>IF(V152&gt;0,'3 pr-2'!O153,0)</f>
        <v>0</v>
      </c>
      <c r="L152" s="476">
        <f>IF(V152&gt;0,'3 pr-2'!R153,0)</f>
        <v>21948</v>
      </c>
      <c r="M152" s="476">
        <f>IF(V152&gt;0,'3 pr-2'!U153,0)</f>
        <v>0</v>
      </c>
      <c r="N152" s="476">
        <f>IF(V152&gt;0,'3 pr-2'!X153,0)</f>
        <v>0</v>
      </c>
      <c r="O152" s="476">
        <f>IF(V152&gt;0,'3 pr-2'!AA153,0)</f>
        <v>124371</v>
      </c>
      <c r="P152" s="684">
        <f t="shared" si="194"/>
        <v>0</v>
      </c>
      <c r="Q152" s="684">
        <f t="shared" si="195"/>
        <v>124371</v>
      </c>
      <c r="R152" s="684">
        <f t="shared" si="196"/>
        <v>0</v>
      </c>
      <c r="S152" s="684">
        <f t="shared" si="197"/>
        <v>0</v>
      </c>
      <c r="T152" s="684">
        <f t="shared" si="198"/>
        <v>0</v>
      </c>
      <c r="U152" s="685">
        <f>SUM('3 pr-2'!AH153)</f>
        <v>42855</v>
      </c>
      <c r="V152" s="685">
        <v>42825</v>
      </c>
      <c r="W152" s="686">
        <f t="shared" si="199"/>
        <v>0</v>
      </c>
      <c r="X152" s="720" t="str">
        <f t="shared" si="200"/>
        <v>–</v>
      </c>
    </row>
    <row r="153" spans="1:24" ht="39" customHeight="1" thickBot="1" x14ac:dyDescent="0.3">
      <c r="A153" s="497" t="str">
        <f>CONCATENATE('3 pr-2'!A154)</f>
        <v>2.1.3.2</v>
      </c>
      <c r="B153" s="613" t="str">
        <f>CONCATENATE('ketv. 2lent'!B152)</f>
        <v/>
      </c>
      <c r="C153" s="1656" t="str">
        <f>CONCATENATE('3 pr-2'!D154)</f>
        <v/>
      </c>
      <c r="D153" s="1789"/>
      <c r="E153" s="1789"/>
      <c r="F153" s="1789"/>
      <c r="G153" s="1789"/>
      <c r="H153" s="1789"/>
      <c r="I153" s="1790"/>
      <c r="J153" s="629">
        <f>SUM(J154:J158)</f>
        <v>2966201</v>
      </c>
      <c r="K153" s="629">
        <f t="shared" ref="K153:O153" si="201">SUM(K154:K158)</f>
        <v>445227</v>
      </c>
      <c r="L153" s="629">
        <f t="shared" si="201"/>
        <v>0</v>
      </c>
      <c r="M153" s="629">
        <f t="shared" si="201"/>
        <v>0</v>
      </c>
      <c r="N153" s="629">
        <f t="shared" si="201"/>
        <v>0</v>
      </c>
      <c r="O153" s="629">
        <f t="shared" si="201"/>
        <v>2520974</v>
      </c>
      <c r="P153" s="630">
        <f>SUM(P154:P158)</f>
        <v>2520974</v>
      </c>
      <c r="Q153" s="631">
        <f t="shared" ref="Q153:T153" si="202">SUM(Q154:Q158)</f>
        <v>0</v>
      </c>
      <c r="R153" s="630">
        <f t="shared" si="202"/>
        <v>0</v>
      </c>
      <c r="S153" s="631">
        <f t="shared" si="202"/>
        <v>0</v>
      </c>
      <c r="T153" s="278">
        <f t="shared" si="202"/>
        <v>0</v>
      </c>
      <c r="U153" s="629"/>
      <c r="V153" s="629"/>
      <c r="W153" s="629"/>
      <c r="X153" s="629"/>
    </row>
    <row r="154" spans="1:24" ht="60.75" x14ac:dyDescent="0.25">
      <c r="A154" s="580" t="str">
        <f>CONCATENATE('3 pr-2'!A155)</f>
        <v>2.1.3.2.1</v>
      </c>
      <c r="B154" s="580" t="str">
        <f>CONCATENATE('ketv. 2lent'!B153)</f>
        <v>08.1.2-CPVA-R-408-11-0001</v>
      </c>
      <c r="C154" s="580" t="str">
        <f>CONCATENATE('3 pr-2'!D155)</f>
        <v>Socialinio būsto plėtra Varėnos rajone</v>
      </c>
      <c r="D154" s="580" t="str">
        <f>CONCATENATE('3 pr-2'!E155)</f>
        <v>Varėnos rajono savivaldybės administracija</v>
      </c>
      <c r="E154" s="580" t="str">
        <f>CONCATENATE('3 pr-2'!F155)</f>
        <v>Lietuvos Respublikos socialinės apsaugos ir darbo ministerija</v>
      </c>
      <c r="F154" s="580" t="str">
        <f>CONCATENATE('3 pr-2'!G155)</f>
        <v>Varėnos rajono savivaldybė</v>
      </c>
      <c r="G154" s="580" t="str">
        <f>CONCATENATE('3 pr-2'!H155)</f>
        <v>08.1.1-CPVA·R-408</v>
      </c>
      <c r="H154" s="580" t="str">
        <f>CONCATENATE('3 pr-2'!I155)</f>
        <v>R</v>
      </c>
      <c r="I154" s="580" t="str">
        <f>CONCATENATE('3 pr-2'!J155)</f>
        <v>-</v>
      </c>
      <c r="J154" s="476">
        <f>IF(V154&gt;0,'3 pr-2'!L155,0)</f>
        <v>736499</v>
      </c>
      <c r="K154" s="476">
        <f>IF(V154&gt;0,'3 pr-2'!O155,0)</f>
        <v>110475</v>
      </c>
      <c r="L154" s="476">
        <f>IF(V154&gt;0,'3 pr-2'!R155,0)</f>
        <v>0</v>
      </c>
      <c r="M154" s="476">
        <f>IF(V154&gt;0,'3 pr-2'!U155,0)</f>
        <v>0</v>
      </c>
      <c r="N154" s="476">
        <f>IF(V154&gt;0,'3 pr-2'!X155,0)</f>
        <v>0</v>
      </c>
      <c r="O154" s="476">
        <f>IF(V154&gt;0,'3 pr-2'!AA155,0)</f>
        <v>626024</v>
      </c>
      <c r="P154" s="476">
        <f t="shared" ref="P154:P158" si="203">IF(YEAR(V154)=2016,O154,0)</f>
        <v>626024</v>
      </c>
      <c r="Q154" s="476">
        <f t="shared" ref="Q154:Q158" si="204">IF(YEAR(V154)=2017,O154,0)</f>
        <v>0</v>
      </c>
      <c r="R154" s="476">
        <f t="shared" ref="R154:R158" si="205">IF(YEAR(V154)=2018,O154,0)</f>
        <v>0</v>
      </c>
      <c r="S154" s="476">
        <f t="shared" ref="S154:S158" si="206">IF(YEAR(V154)=2019,O154,0)</f>
        <v>0</v>
      </c>
      <c r="T154" s="476">
        <f t="shared" ref="T154:T158" si="207">IF(YEAR(V154)=2020,O154,0)</f>
        <v>0</v>
      </c>
      <c r="U154" s="675">
        <f>SUM('3 pr-2'!AH155)</f>
        <v>42735</v>
      </c>
      <c r="V154" s="678">
        <v>42605</v>
      </c>
      <c r="W154" s="676">
        <f t="shared" ref="W154:W158" si="208">IF((YEAR(U154)-YEAR(V154))=0,0,YEAR(U154)-YEAR(V154))</f>
        <v>0</v>
      </c>
      <c r="X154" s="720" t="str">
        <f t="shared" ref="X154:X158" si="209">IF(U154-V154&lt;0,(U154-V154)/30.4166666666667,"–")</f>
        <v>–</v>
      </c>
    </row>
    <row r="155" spans="1:24" ht="60.75" x14ac:dyDescent="0.25">
      <c r="A155" s="580" t="str">
        <f>CONCATENATE('3 pr-2'!A156)</f>
        <v>2.1.3.2.2</v>
      </c>
      <c r="B155" s="580" t="str">
        <f>CONCATENATE('ketv. 2lent'!B154)</f>
        <v>08.1.2-CPVA-R-408-11-0005</v>
      </c>
      <c r="C155" s="580" t="str">
        <f>CONCATENATE('3 pr-2'!D156)</f>
        <v>Būsto prieinamumo pažeidžiamoms gyventojų grupėms didinimas Alytaus rajone</v>
      </c>
      <c r="D155" s="580" t="str">
        <f>CONCATENATE('3 pr-2'!E156)</f>
        <v>Alytaus rajono savivaldybės administracija</v>
      </c>
      <c r="E155" s="580" t="str">
        <f>CONCATENATE('3 pr-2'!F156)</f>
        <v>Lietuvos Respublikos socialinės apsaugos ir darbo ministerija</v>
      </c>
      <c r="F155" s="580" t="str">
        <f>CONCATENATE('3 pr-2'!G156)</f>
        <v>Alytaus  rajono savivaldybė</v>
      </c>
      <c r="G155" s="580" t="str">
        <f>CONCATENATE('3 pr-2'!H156)</f>
        <v>08.1.1-CPVA·R-408</v>
      </c>
      <c r="H155" s="580" t="str">
        <f>CONCATENATE('3 pr-2'!I156)</f>
        <v>R</v>
      </c>
      <c r="I155" s="580" t="str">
        <f>CONCATENATE('3 pr-2'!J156)</f>
        <v>-</v>
      </c>
      <c r="J155" s="476">
        <f>IF(V155&gt;0,'3 pr-2'!L156,0)</f>
        <v>241889</v>
      </c>
      <c r="K155" s="476">
        <f>IF(V155&gt;0,'3 pr-2'!O156,0)</f>
        <v>36283</v>
      </c>
      <c r="L155" s="476">
        <f>IF(V155&gt;0,'3 pr-2'!R156,0)</f>
        <v>0</v>
      </c>
      <c r="M155" s="476">
        <f>IF(V155&gt;0,'3 pr-2'!U156,0)</f>
        <v>0</v>
      </c>
      <c r="N155" s="476">
        <f>IF(V155&gt;0,'3 pr-2'!X156,0)</f>
        <v>0</v>
      </c>
      <c r="O155" s="476">
        <f>IF(V155&gt;0,'3 pr-2'!AA156,0)</f>
        <v>205606</v>
      </c>
      <c r="P155" s="476">
        <f t="shared" si="203"/>
        <v>205606</v>
      </c>
      <c r="Q155" s="476">
        <f t="shared" si="204"/>
        <v>0</v>
      </c>
      <c r="R155" s="476">
        <f t="shared" si="205"/>
        <v>0</v>
      </c>
      <c r="S155" s="476">
        <f t="shared" si="206"/>
        <v>0</v>
      </c>
      <c r="T155" s="476">
        <f t="shared" si="207"/>
        <v>0</v>
      </c>
      <c r="U155" s="675">
        <f>SUM('3 pr-2'!AH156)</f>
        <v>42735</v>
      </c>
      <c r="V155" s="678">
        <v>42626</v>
      </c>
      <c r="W155" s="676">
        <f t="shared" si="208"/>
        <v>0</v>
      </c>
      <c r="X155" s="720" t="str">
        <f t="shared" si="209"/>
        <v>–</v>
      </c>
    </row>
    <row r="156" spans="1:24" ht="60.75" x14ac:dyDescent="0.25">
      <c r="A156" s="580" t="str">
        <f>CONCATENATE('3 pr-2'!A157)</f>
        <v>2.1.3.1.3</v>
      </c>
      <c r="B156" s="580" t="str">
        <f>CONCATENATE('ketv. 2lent'!B155)</f>
        <v>08.1.2-CPVA-R-408-11-0002</v>
      </c>
      <c r="C156" s="580" t="str">
        <f>CONCATENATE('3 pr-2'!D157)</f>
        <v>Socialinio būsto plėtra Alytaus mieste</v>
      </c>
      <c r="D156" s="580" t="str">
        <f>CONCATENATE('3 pr-2'!E157)</f>
        <v>Alytaus miesto savivaldybės administracija</v>
      </c>
      <c r="E156" s="580" t="str">
        <f>CONCATENATE('3 pr-2'!F157)</f>
        <v>Lietuvos Respublikos socialinės apsaugos ir darbo ministerija</v>
      </c>
      <c r="F156" s="580" t="str">
        <f>CONCATENATE('3 pr-2'!G157)</f>
        <v>Alytaus miestas</v>
      </c>
      <c r="G156" s="580" t="str">
        <f>CONCATENATE('3 pr-2'!H157)</f>
        <v>08.1.1-CPVA·R-408</v>
      </c>
      <c r="H156" s="580" t="str">
        <f>CONCATENATE('3 pr-2'!I157)</f>
        <v>R</v>
      </c>
      <c r="I156" s="580" t="str">
        <f>CONCATENATE('3 pr-2'!J157)</f>
        <v>-</v>
      </c>
      <c r="J156" s="476">
        <f>IF(V156&gt;0,'3 pr-2'!L157,0)</f>
        <v>891741</v>
      </c>
      <c r="K156" s="476">
        <f>IF(V156&gt;0,'3 pr-2'!O157,0)</f>
        <v>133761</v>
      </c>
      <c r="L156" s="476">
        <f>IF(V156&gt;0,'3 pr-2'!R157,0)</f>
        <v>0</v>
      </c>
      <c r="M156" s="476">
        <f>IF(V156&gt;0,'3 pr-2'!U157,0)</f>
        <v>0</v>
      </c>
      <c r="N156" s="476">
        <f>IF(V156&gt;0,'3 pr-2'!X157,0)</f>
        <v>0</v>
      </c>
      <c r="O156" s="476">
        <f>IF(V156&gt;0,'3 pr-2'!AA157,0)</f>
        <v>757980</v>
      </c>
      <c r="P156" s="476">
        <f t="shared" si="203"/>
        <v>757980</v>
      </c>
      <c r="Q156" s="476">
        <f t="shared" si="204"/>
        <v>0</v>
      </c>
      <c r="R156" s="476">
        <f t="shared" si="205"/>
        <v>0</v>
      </c>
      <c r="S156" s="476">
        <f t="shared" si="206"/>
        <v>0</v>
      </c>
      <c r="T156" s="476">
        <f t="shared" si="207"/>
        <v>0</v>
      </c>
      <c r="U156" s="675">
        <f>SUM('3 pr-2'!AH157)</f>
        <v>42735</v>
      </c>
      <c r="V156" s="678">
        <v>42599</v>
      </c>
      <c r="W156" s="676">
        <f t="shared" si="208"/>
        <v>0</v>
      </c>
      <c r="X156" s="720" t="str">
        <f t="shared" si="209"/>
        <v>–</v>
      </c>
    </row>
    <row r="157" spans="1:24" ht="60.75" x14ac:dyDescent="0.25">
      <c r="A157" s="580" t="str">
        <f>CONCATENATE('3 pr-2'!A158)</f>
        <v>2.1.3.2.4</v>
      </c>
      <c r="B157" s="580" t="str">
        <f>CONCATENATE('ketv. 2lent'!B156)</f>
        <v>08.1.2-CPVA-R-408-11-0003</v>
      </c>
      <c r="C157" s="580" t="str">
        <f>CONCATENATE('3 pr-2'!D158)</f>
        <v>Socialinio būsto fondo plėtra Druskininkų savivaldybėje</v>
      </c>
      <c r="D157" s="580" t="str">
        <f>CONCATENATE('3 pr-2'!E158)</f>
        <v>Druskininkų savivaldybės administracija</v>
      </c>
      <c r="E157" s="580" t="str">
        <f>CONCATENATE('3 pr-2'!F158)</f>
        <v>Lietuvos Respublikos socialinės apsaugos ir darbo ministerija</v>
      </c>
      <c r="F157" s="580" t="str">
        <f>CONCATENATE('3 pr-2'!G158)</f>
        <v>Druskininkų savivaldybė</v>
      </c>
      <c r="G157" s="580" t="str">
        <f>CONCATENATE('3 pr-2'!H158)</f>
        <v>08.1.1-CPVA·R-408</v>
      </c>
      <c r="H157" s="580" t="str">
        <f>CONCATENATE('3 pr-2'!I158)</f>
        <v>R</v>
      </c>
      <c r="I157" s="580" t="str">
        <f>CONCATENATE('3 pr-2'!J158)</f>
        <v>-</v>
      </c>
      <c r="J157" s="476">
        <f>IF(V157&gt;0,'3 pr-2'!L158,0)</f>
        <v>727473</v>
      </c>
      <c r="K157" s="476">
        <f>IF(V157&gt;0,'3 pr-2'!O158,0)</f>
        <v>109121</v>
      </c>
      <c r="L157" s="476">
        <f>IF(V157&gt;0,'3 pr-2'!R158,0)</f>
        <v>0</v>
      </c>
      <c r="M157" s="476">
        <f>IF(V157&gt;0,'3 pr-2'!U158,0)</f>
        <v>0</v>
      </c>
      <c r="N157" s="476">
        <f>IF(V157&gt;0,'3 pr-2'!X158,0)</f>
        <v>0</v>
      </c>
      <c r="O157" s="476">
        <f>IF(V157&gt;0,'3 pr-2'!AA158,0)</f>
        <v>618352</v>
      </c>
      <c r="P157" s="476">
        <f t="shared" si="203"/>
        <v>618352</v>
      </c>
      <c r="Q157" s="476">
        <f t="shared" si="204"/>
        <v>0</v>
      </c>
      <c r="R157" s="476">
        <f t="shared" si="205"/>
        <v>0</v>
      </c>
      <c r="S157" s="476">
        <f t="shared" si="206"/>
        <v>0</v>
      </c>
      <c r="T157" s="476">
        <f t="shared" si="207"/>
        <v>0</v>
      </c>
      <c r="U157" s="675">
        <f>SUM('3 pr-2'!AH158)</f>
        <v>42735</v>
      </c>
      <c r="V157" s="678">
        <v>42593</v>
      </c>
      <c r="W157" s="676">
        <f t="shared" si="208"/>
        <v>0</v>
      </c>
      <c r="X157" s="720" t="str">
        <f t="shared" si="209"/>
        <v>–</v>
      </c>
    </row>
    <row r="158" spans="1:24" ht="61.5" thickBot="1" x14ac:dyDescent="0.3">
      <c r="A158" s="690" t="str">
        <f>CONCATENATE('3 pr-2'!A159)</f>
        <v>2.1.3.2.5</v>
      </c>
      <c r="B158" s="690" t="str">
        <f>CONCATENATE('ketv. 2lent'!B157)</f>
        <v>08.1.2-CPVA-R-408-11-0004</v>
      </c>
      <c r="C158" s="690" t="str">
        <f>CONCATENATE('3 pr-2'!D159)</f>
        <v>Socialinio būsto fondo plėtra Lazdijų rajono savivaldybėje</v>
      </c>
      <c r="D158" s="690" t="str">
        <f>CONCATENATE('3 pr-2'!E159)</f>
        <v>Lazdijų rajono savivaldybės administracija</v>
      </c>
      <c r="E158" s="690" t="str">
        <f>CONCATENATE('3 pr-2'!F159)</f>
        <v>Lietuvos Respublikos socialinės apsaugos ir darbo ministerija</v>
      </c>
      <c r="F158" s="690" t="str">
        <f>CONCATENATE('3 pr-2'!G159)</f>
        <v>Lazdijų rajono savivaldybė</v>
      </c>
      <c r="G158" s="690" t="str">
        <f>CONCATENATE('3 pr-2'!H159)</f>
        <v>08.1.1-CPVA·R-408</v>
      </c>
      <c r="H158" s="690" t="str">
        <f>CONCATENATE('3 pr-2'!I159)</f>
        <v>R</v>
      </c>
      <c r="I158" s="690" t="str">
        <f>CONCATENATE('3 pr-2'!J159)</f>
        <v>-</v>
      </c>
      <c r="J158" s="691">
        <f>IF(V158&gt;0,'3 pr-2'!L159,0)</f>
        <v>368599</v>
      </c>
      <c r="K158" s="691">
        <f>IF(V158&gt;0,'3 pr-2'!O159,0)</f>
        <v>55587</v>
      </c>
      <c r="L158" s="691">
        <f>IF(V158&gt;0,'3 pr-2'!R159,0)</f>
        <v>0</v>
      </c>
      <c r="M158" s="691">
        <f>IF(V158&gt;0,'3 pr-2'!U159,0)</f>
        <v>0</v>
      </c>
      <c r="N158" s="691">
        <f>IF(V158&gt;0,'3 pr-2'!X159,0)</f>
        <v>0</v>
      </c>
      <c r="O158" s="691">
        <f>IF(V158&gt;0,'3 pr-2'!AA159,0)</f>
        <v>313012</v>
      </c>
      <c r="P158" s="691">
        <f t="shared" si="203"/>
        <v>313012</v>
      </c>
      <c r="Q158" s="691">
        <f t="shared" si="204"/>
        <v>0</v>
      </c>
      <c r="R158" s="691">
        <f t="shared" si="205"/>
        <v>0</v>
      </c>
      <c r="S158" s="691">
        <f t="shared" si="206"/>
        <v>0</v>
      </c>
      <c r="T158" s="691">
        <f t="shared" si="207"/>
        <v>0</v>
      </c>
      <c r="U158" s="688">
        <f>SUM('3 pr-2'!AH159)</f>
        <v>42735</v>
      </c>
      <c r="V158" s="711">
        <v>42613</v>
      </c>
      <c r="W158" s="692">
        <f t="shared" si="208"/>
        <v>0</v>
      </c>
      <c r="X158" s="720" t="str">
        <f t="shared" si="209"/>
        <v>–</v>
      </c>
    </row>
    <row r="159" spans="1:24" ht="43.5" customHeight="1" thickBot="1" x14ac:dyDescent="0.3">
      <c r="A159" s="345" t="str">
        <f>CONCATENATE('3 pr-2'!A160)</f>
        <v>2.1.4.</v>
      </c>
      <c r="B159" s="647" t="str">
        <f>CONCATENATE('ketv. 2lent'!B158)</f>
        <v/>
      </c>
      <c r="C159" s="1668" t="str">
        <f>CONCATENATE('3 pr-2'!D160)</f>
        <v/>
      </c>
      <c r="D159" s="1595" t="str">
        <f>CONCATENATE('3 pr-2'!E160)</f>
        <v/>
      </c>
      <c r="E159" s="1595" t="str">
        <f>CONCATENATE('3 pr-2'!F160)</f>
        <v/>
      </c>
      <c r="F159" s="1595" t="str">
        <f>CONCATENATE('3 pr-2'!G160)</f>
        <v/>
      </c>
      <c r="G159" s="1595" t="str">
        <f>CONCATENATE('3 pr-2'!H160)</f>
        <v/>
      </c>
      <c r="H159" s="1595" t="str">
        <f>CONCATENATE('3 pr-2'!I160)</f>
        <v/>
      </c>
      <c r="I159" s="1595" t="str">
        <f>CONCATENATE('3 pr-2'!J160)</f>
        <v/>
      </c>
      <c r="J159" s="303">
        <f>SUM(J160)</f>
        <v>172733.52</v>
      </c>
      <c r="K159" s="303">
        <f t="shared" ref="K159:O159" si="210">SUM(K160)</f>
        <v>25910.03</v>
      </c>
      <c r="L159" s="303">
        <f t="shared" si="210"/>
        <v>0</v>
      </c>
      <c r="M159" s="303">
        <f t="shared" si="210"/>
        <v>0</v>
      </c>
      <c r="N159" s="303">
        <f t="shared" si="210"/>
        <v>0</v>
      </c>
      <c r="O159" s="303">
        <f t="shared" si="210"/>
        <v>146823.49</v>
      </c>
      <c r="P159" s="303"/>
      <c r="Q159" s="303"/>
      <c r="R159" s="303"/>
      <c r="S159" s="303"/>
      <c r="T159" s="303"/>
      <c r="U159" s="650" t="s">
        <v>725</v>
      </c>
      <c r="V159" s="648" t="s">
        <v>725</v>
      </c>
      <c r="W159" s="693" t="s">
        <v>725</v>
      </c>
      <c r="X159" s="650"/>
    </row>
    <row r="160" spans="1:24" ht="40.5" customHeight="1" thickBot="1" x14ac:dyDescent="0.3">
      <c r="A160" s="497" t="str">
        <f>CONCATENATE('3 pr-2'!A161)</f>
        <v>2.1.4.1</v>
      </c>
      <c r="B160" s="613" t="str">
        <f>CONCATENATE('ketv. 2lent'!B159)</f>
        <v/>
      </c>
      <c r="C160" s="1656" t="str">
        <f>CONCATENATE('3 pr-2'!D161)</f>
        <v/>
      </c>
      <c r="D160" s="1789"/>
      <c r="E160" s="1789"/>
      <c r="F160" s="1789"/>
      <c r="G160" s="1789"/>
      <c r="H160" s="1789"/>
      <c r="I160" s="1790"/>
      <c r="J160" s="629">
        <f>SUM(J161:J166)</f>
        <v>172733.52</v>
      </c>
      <c r="K160" s="629">
        <f t="shared" ref="K160:O160" si="211">SUM(K161:K166)</f>
        <v>25910.03</v>
      </c>
      <c r="L160" s="629">
        <f t="shared" si="211"/>
        <v>0</v>
      </c>
      <c r="M160" s="629">
        <f t="shared" si="211"/>
        <v>0</v>
      </c>
      <c r="N160" s="629">
        <f t="shared" si="211"/>
        <v>0</v>
      </c>
      <c r="O160" s="629">
        <f t="shared" si="211"/>
        <v>146823.49</v>
      </c>
      <c r="P160" s="630">
        <f>SUM(P161:P165)</f>
        <v>0</v>
      </c>
      <c r="Q160" s="631">
        <f t="shared" ref="Q160:T160" si="212">SUM(Q161:Q165)</f>
        <v>0</v>
      </c>
      <c r="R160" s="630">
        <f t="shared" si="212"/>
        <v>146823.49</v>
      </c>
      <c r="S160" s="631">
        <f t="shared" si="212"/>
        <v>0</v>
      </c>
      <c r="T160" s="278">
        <f t="shared" si="212"/>
        <v>0</v>
      </c>
      <c r="U160" s="629"/>
      <c r="V160" s="629"/>
      <c r="W160" s="629"/>
      <c r="X160" s="629"/>
    </row>
    <row r="161" spans="1:24" ht="48.75" x14ac:dyDescent="0.25">
      <c r="A161" s="255" t="str">
        <f>CONCATENATE('3 pr-2'!A162)</f>
        <v>2.1.4.1.1</v>
      </c>
      <c r="B161" s="473" t="str">
        <f>CONCATENATE('ketv. 2lent'!B160)</f>
        <v>10.1.3-ESFA-R-920-11-0001</v>
      </c>
      <c r="C161" s="255" t="str">
        <f>CONCATENATE('3 pr-2'!D162)</f>
        <v>Paslaugų teikimo ir asmenų aptarnavimo kokybės gerinimas Varėnos rajono savivaldybėje</v>
      </c>
      <c r="D161" s="255" t="str">
        <f>CONCATENATE('3 pr-2'!E162)</f>
        <v>Varėnos rajono savivaldybės administracija</v>
      </c>
      <c r="E161" s="255" t="str">
        <f>CONCATENATE('3 pr-2'!F162)</f>
        <v>Lietuvos Respublikos vidaus reikalų ministerija</v>
      </c>
      <c r="F161" s="255" t="str">
        <f>CONCATENATE('3 pr-2'!G162)</f>
        <v>Varėnos miestas</v>
      </c>
      <c r="G161" s="255" t="str">
        <f>CONCATENATE('3 pr-2'!H162)</f>
        <v>10.1.3-ESFA-R-920</v>
      </c>
      <c r="H161" s="255" t="str">
        <f>CONCATENATE('3 pr-2'!I162)</f>
        <v>R</v>
      </c>
      <c r="I161" s="255" t="str">
        <f>CONCATENATE('3 pr-2'!J162)</f>
        <v>-</v>
      </c>
      <c r="J161" s="691">
        <f>IF(V161&gt;0,'3 pr-2'!L162,0)</f>
        <v>172733.52</v>
      </c>
      <c r="K161" s="691">
        <f>IF(V161&gt;0,'3 pr-2'!O162,0)</f>
        <v>25910.03</v>
      </c>
      <c r="L161" s="691">
        <f>IF(V161&gt;0,'3 pr-2'!R162,0)</f>
        <v>0</v>
      </c>
      <c r="M161" s="691">
        <f>IF(V161&gt;0,'3 pr-2'!U162,0)</f>
        <v>0</v>
      </c>
      <c r="N161" s="691">
        <f>IF(V161&gt;0,'3 pr-2'!X162,0)</f>
        <v>0</v>
      </c>
      <c r="O161" s="691">
        <f>IF(V161&gt;0,'3 pr-2'!AA162,0)</f>
        <v>146823.49</v>
      </c>
      <c r="P161" s="474">
        <f t="shared" ref="P161:P165" si="213">IF(YEAR(V161)=2016,O161,0)</f>
        <v>0</v>
      </c>
      <c r="Q161" s="474">
        <f t="shared" ref="Q161:Q165" si="214">IF(YEAR(V161)=2017,O161,0)</f>
        <v>0</v>
      </c>
      <c r="R161" s="474">
        <f t="shared" ref="R161:R165" si="215">IF(YEAR(V161)=2018,O161,0)</f>
        <v>146823.49</v>
      </c>
      <c r="S161" s="474">
        <f t="shared" ref="S161:S165" si="216">IF(YEAR(V161)=2019,O161,0)</f>
        <v>0</v>
      </c>
      <c r="T161" s="474">
        <f t="shared" ref="T161:T165" si="217">IF(YEAR(V161)=2020,O161,0)</f>
        <v>0</v>
      </c>
      <c r="U161" s="290">
        <f>SUM('3 pr-2'!AH162)</f>
        <v>43100</v>
      </c>
      <c r="V161" s="659">
        <v>43138</v>
      </c>
      <c r="W161" s="255"/>
      <c r="X161" s="720">
        <f t="shared" ref="X161:X166" si="218">IF(U161-V161&lt;0,(U161-V161)/30.4166666666667,"–")</f>
        <v>-1.2493150684931493</v>
      </c>
    </row>
    <row r="162" spans="1:24" ht="48.75" x14ac:dyDescent="0.25">
      <c r="A162" s="255" t="str">
        <f>CONCATENATE('3 pr-2'!A163)</f>
        <v>2.1.4.1.2</v>
      </c>
      <c r="B162" s="473" t="str">
        <f>CONCATENATE('ketv. 2lent'!B161)</f>
        <v/>
      </c>
      <c r="C162" s="255" t="str">
        <f>CONCATENATE('3 pr-2'!D163)</f>
        <v>Paslaugų ir asmenų aptarnavimo kokybės gerinimas Alytaus rajono savivaldybėje</v>
      </c>
      <c r="D162" s="255" t="str">
        <f>CONCATENATE('3 pr-2'!E163)</f>
        <v>Alytaus rajono savivaldybės administracija</v>
      </c>
      <c r="E162" s="255" t="str">
        <f>CONCATENATE('3 pr-2'!F163)</f>
        <v>Lietuvos Respublikos vidaus reikalų ministerija</v>
      </c>
      <c r="F162" s="255" t="str">
        <f>CONCATENATE('3 pr-2'!G163)</f>
        <v>Alytaus  rajono savivaldybė</v>
      </c>
      <c r="G162" s="255" t="str">
        <f>CONCATENATE('3 pr-2'!H163)</f>
        <v>10.1.3-ESFA-R-920</v>
      </c>
      <c r="H162" s="255" t="str">
        <f>CONCATENATE('3 pr-2'!I163)</f>
        <v>R</v>
      </c>
      <c r="I162" s="255" t="str">
        <f>CONCATENATE('3 pr-2'!J163)</f>
        <v>-</v>
      </c>
      <c r="J162" s="691">
        <f>IF(V162&gt;0,'3 pr-2'!L163,0)</f>
        <v>0</v>
      </c>
      <c r="K162" s="691">
        <f>IF(V162&gt;0,'3 pr-2'!O163,0)</f>
        <v>0</v>
      </c>
      <c r="L162" s="691">
        <f>IF(V162&gt;0,'3 pr-2'!R163,0)</f>
        <v>0</v>
      </c>
      <c r="M162" s="691">
        <f>IF(V162&gt;0,'3 pr-2'!U163,0)</f>
        <v>0</v>
      </c>
      <c r="N162" s="691">
        <f>IF(V162&gt;0,'3 pr-2'!X163,0)</f>
        <v>0</v>
      </c>
      <c r="O162" s="691">
        <f>IF(V162&gt;0,'3 pr-2'!AA163,0)</f>
        <v>0</v>
      </c>
      <c r="P162" s="474">
        <f t="shared" si="213"/>
        <v>0</v>
      </c>
      <c r="Q162" s="474">
        <f t="shared" si="214"/>
        <v>0</v>
      </c>
      <c r="R162" s="474">
        <f t="shared" si="215"/>
        <v>0</v>
      </c>
      <c r="S162" s="474">
        <f t="shared" si="216"/>
        <v>0</v>
      </c>
      <c r="T162" s="474">
        <f t="shared" si="217"/>
        <v>0</v>
      </c>
      <c r="U162" s="290">
        <f>SUM('3 pr-2'!AH163)</f>
        <v>43190</v>
      </c>
      <c r="V162" s="291"/>
      <c r="W162" s="255"/>
      <c r="X162" s="720" t="str">
        <f t="shared" si="218"/>
        <v>–</v>
      </c>
    </row>
    <row r="163" spans="1:24" ht="48.75" x14ac:dyDescent="0.25">
      <c r="A163" s="255" t="str">
        <f>CONCATENATE('3 pr-2'!A164)</f>
        <v>2.1.4.1.3</v>
      </c>
      <c r="B163" s="473" t="str">
        <f>CONCATENATE('ketv. 2lent'!B162)</f>
        <v>10.1.3-ESFA-R-920-11-0003</v>
      </c>
      <c r="C163" s="255" t="str">
        <f>CONCATENATE('3 pr-2'!D164)</f>
        <v>Lazdijų rajono savivaldybės administracijos ir jos viešojo valdymo institucijų teikiamų paslaugų procesų tobulinimas</v>
      </c>
      <c r="D163" s="255" t="str">
        <f>CONCATENATE('3 pr-2'!E164)</f>
        <v>Lazdijų rajono savivaldybės administracija</v>
      </c>
      <c r="E163" s="255" t="str">
        <f>CONCATENATE('3 pr-2'!F164)</f>
        <v>Lietuvos Respublikos vidaus reikalų ministerija</v>
      </c>
      <c r="F163" s="255" t="str">
        <f>CONCATENATE('3 pr-2'!G164)</f>
        <v>Lazdijų rajono savivaldybė</v>
      </c>
      <c r="G163" s="255" t="str">
        <f>CONCATENATE('3 pr-2'!H164)</f>
        <v>10.1.3-ESFA-R-920</v>
      </c>
      <c r="H163" s="255" t="str">
        <f>CONCATENATE('3 pr-2'!I164)</f>
        <v>R</v>
      </c>
      <c r="I163" s="255" t="str">
        <f>CONCATENATE('3 pr-2'!J164)</f>
        <v>-</v>
      </c>
      <c r="J163" s="691">
        <f>IF(V163&gt;0,'3 pr-2'!L164,0)</f>
        <v>0</v>
      </c>
      <c r="K163" s="691">
        <f>IF(V163&gt;0,'3 pr-2'!O164,0)</f>
        <v>0</v>
      </c>
      <c r="L163" s="691">
        <f>IF(V163&gt;0,'3 pr-2'!R164,0)</f>
        <v>0</v>
      </c>
      <c r="M163" s="691">
        <f>IF(V163&gt;0,'3 pr-2'!U164,0)</f>
        <v>0</v>
      </c>
      <c r="N163" s="691">
        <f>IF(V163&gt;0,'3 pr-2'!X164,0)</f>
        <v>0</v>
      </c>
      <c r="O163" s="691">
        <f>IF(V163&gt;0,'3 pr-2'!AA164,0)</f>
        <v>0</v>
      </c>
      <c r="P163" s="474">
        <f t="shared" si="213"/>
        <v>0</v>
      </c>
      <c r="Q163" s="474">
        <f t="shared" si="214"/>
        <v>0</v>
      </c>
      <c r="R163" s="474">
        <f t="shared" si="215"/>
        <v>0</v>
      </c>
      <c r="S163" s="474">
        <f t="shared" si="216"/>
        <v>0</v>
      </c>
      <c r="T163" s="474">
        <f t="shared" si="217"/>
        <v>0</v>
      </c>
      <c r="U163" s="290">
        <f>SUM('3 pr-2'!AH164)</f>
        <v>43131</v>
      </c>
      <c r="V163" s="291"/>
      <c r="W163" s="255"/>
      <c r="X163" s="720" t="str">
        <f t="shared" si="218"/>
        <v>–</v>
      </c>
    </row>
    <row r="164" spans="1:24" ht="48.75" x14ac:dyDescent="0.25">
      <c r="A164" s="255" t="str">
        <f>CONCATENATE('3 pr-2'!A165)</f>
        <v>2.1.4.1.4</v>
      </c>
      <c r="B164" s="473" t="str">
        <f>CONCATENATE('ketv. 2lent'!B163)</f>
        <v/>
      </c>
      <c r="C164" s="255" t="str">
        <f>CONCATENATE('3 pr-2'!D165)</f>
        <v>Teikiamų paslaugų procesų tobulinimas ir asmenų aptarnavimo kokybės gerinimas Alytaus miesto savivaldybės administracijoje ir jai pavaldžiose įstaigose. I etapas</v>
      </c>
      <c r="D164" s="255" t="str">
        <f>CONCATENATE('3 pr-2'!E165)</f>
        <v>Alytaus miesto savivaldybės administracija</v>
      </c>
      <c r="E164" s="255" t="str">
        <f>CONCATENATE('3 pr-2'!F165)</f>
        <v>Lietuvos Respublikos vidaus reikalų ministerija</v>
      </c>
      <c r="F164" s="255" t="str">
        <f>CONCATENATE('3 pr-2'!G165)</f>
        <v>Alytaus miestas</v>
      </c>
      <c r="G164" s="255" t="str">
        <f>CONCATENATE('3 pr-2'!H165)</f>
        <v>10.1.3-ESFA-R-920</v>
      </c>
      <c r="H164" s="255" t="str">
        <f>CONCATENATE('3 pr-2'!I165)</f>
        <v>R</v>
      </c>
      <c r="I164" s="255" t="str">
        <f>CONCATENATE('3 pr-2'!J165)</f>
        <v>-</v>
      </c>
      <c r="J164" s="691">
        <f>IF(V164&gt;0,'3 pr-2'!L165,0)</f>
        <v>0</v>
      </c>
      <c r="K164" s="691">
        <f>IF(V164&gt;0,'3 pr-2'!O165,0)</f>
        <v>0</v>
      </c>
      <c r="L164" s="691">
        <f>IF(V164&gt;0,'3 pr-2'!R165,0)</f>
        <v>0</v>
      </c>
      <c r="M164" s="691">
        <f>IF(V164&gt;0,'3 pr-2'!U165,0)</f>
        <v>0</v>
      </c>
      <c r="N164" s="691">
        <f>IF(V164&gt;0,'3 pr-2'!X165,0)</f>
        <v>0</v>
      </c>
      <c r="O164" s="691">
        <f>IF(V164&gt;0,'3 pr-2'!AA165,0)</f>
        <v>0</v>
      </c>
      <c r="P164" s="474">
        <f t="shared" si="213"/>
        <v>0</v>
      </c>
      <c r="Q164" s="474">
        <f t="shared" si="214"/>
        <v>0</v>
      </c>
      <c r="R164" s="474">
        <f t="shared" si="215"/>
        <v>0</v>
      </c>
      <c r="S164" s="474">
        <f t="shared" si="216"/>
        <v>0</v>
      </c>
      <c r="T164" s="474">
        <f t="shared" si="217"/>
        <v>0</v>
      </c>
      <c r="U164" s="290">
        <f>SUM('3 pr-2'!AH165)</f>
        <v>43220</v>
      </c>
      <c r="V164" s="291"/>
      <c r="W164" s="255"/>
      <c r="X164" s="720" t="str">
        <f t="shared" si="218"/>
        <v>–</v>
      </c>
    </row>
    <row r="165" spans="1:24" ht="48.75" x14ac:dyDescent="0.25">
      <c r="A165" s="255" t="str">
        <f>CONCATENATE('3 pr-2'!A166)</f>
        <v>2.1.4.1.5</v>
      </c>
      <c r="B165" s="473" t="str">
        <f>CONCATENATE('ketv. 2lent'!B164)</f>
        <v/>
      </c>
      <c r="C165" s="255" t="str">
        <f>CONCATENATE('3 pr-2'!D166)</f>
        <v>Paslaugų teikimo ir asmenų aptarnavimo kokybės gerinimas Druskininkų savivaldybėje</v>
      </c>
      <c r="D165" s="255" t="str">
        <f>CONCATENATE('3 pr-2'!E166)</f>
        <v>Druskininkų savivaldybės administracija</v>
      </c>
      <c r="E165" s="255" t="str">
        <f>CONCATENATE('3 pr-2'!F166)</f>
        <v>Lietuvos Respublikos vidaus reikalų ministerija</v>
      </c>
      <c r="F165" s="255" t="str">
        <f>CONCATENATE('3 pr-2'!G166)</f>
        <v>Druskininkų savivaldybė</v>
      </c>
      <c r="G165" s="255" t="str">
        <f>CONCATENATE('3 pr-2'!H166)</f>
        <v>10.1.3-ESFA-R-920</v>
      </c>
      <c r="H165" s="255" t="str">
        <f>CONCATENATE('3 pr-2'!I166)</f>
        <v>R</v>
      </c>
      <c r="I165" s="255" t="str">
        <f>CONCATENATE('3 pr-2'!J166)</f>
        <v>-</v>
      </c>
      <c r="J165" s="691">
        <f>IF(V165&gt;0,'3 pr-2'!L166,0)</f>
        <v>0</v>
      </c>
      <c r="K165" s="691">
        <f>IF(V165&gt;0,'3 pr-2'!O166,0)</f>
        <v>0</v>
      </c>
      <c r="L165" s="691">
        <f>IF(V165&gt;0,'3 pr-2'!R166,0)</f>
        <v>0</v>
      </c>
      <c r="M165" s="691">
        <f>IF(V165&gt;0,'3 pr-2'!U166,0)</f>
        <v>0</v>
      </c>
      <c r="N165" s="691">
        <f>IF(V165&gt;0,'3 pr-2'!X166,0)</f>
        <v>0</v>
      </c>
      <c r="O165" s="691">
        <f>IF(V165&gt;0,'3 pr-2'!AA166,0)</f>
        <v>0</v>
      </c>
      <c r="P165" s="474">
        <f t="shared" si="213"/>
        <v>0</v>
      </c>
      <c r="Q165" s="474">
        <f t="shared" si="214"/>
        <v>0</v>
      </c>
      <c r="R165" s="474">
        <f t="shared" si="215"/>
        <v>0</v>
      </c>
      <c r="S165" s="474">
        <f t="shared" si="216"/>
        <v>0</v>
      </c>
      <c r="T165" s="474">
        <f t="shared" si="217"/>
        <v>0</v>
      </c>
      <c r="U165" s="290">
        <f>SUM('3 pr-2'!AH166)</f>
        <v>43235</v>
      </c>
      <c r="V165" s="291"/>
      <c r="W165" s="255"/>
      <c r="X165" s="720" t="str">
        <f t="shared" si="218"/>
        <v>–</v>
      </c>
    </row>
    <row r="166" spans="1:24" ht="49.5" thickBot="1" x14ac:dyDescent="0.3">
      <c r="A166" s="255" t="str">
        <f>CONCATENATE('3 pr-2'!A167)</f>
        <v>2.1.4.1.6</v>
      </c>
      <c r="B166" s="473" t="str">
        <f>CONCATENATE('ketv. 2lent'!B165)</f>
        <v/>
      </c>
      <c r="C166" s="255" t="str">
        <f>CONCATENATE('3 pr-2'!D167)</f>
        <v>Teikiamų paslaugų procesų tobulinimas ir asmenų aptarnavimo kokybės gerinimas Alytaus miesto savivaldybės administracijoje ir jai pavaldžiose įstaigose. II etapas</v>
      </c>
      <c r="D166" s="255" t="str">
        <f>CONCATENATE('3 pr-2'!E167)</f>
        <v>Alytaus miesto savivaldybės administracija</v>
      </c>
      <c r="E166" s="255" t="str">
        <f>CONCATENATE('3 pr-2'!F167)</f>
        <v>Lietuvos Respublikos vidaus reikalų ministerija</v>
      </c>
      <c r="F166" s="255" t="str">
        <f>CONCATENATE('3 pr-2'!G167)</f>
        <v>Alytaus miestas</v>
      </c>
      <c r="G166" s="255" t="str">
        <f>CONCATENATE('3 pr-2'!H167)</f>
        <v>10.1.3-ESFA-R-920</v>
      </c>
      <c r="H166" s="255" t="str">
        <f>CONCATENATE('3 pr-2'!I167)</f>
        <v>R</v>
      </c>
      <c r="I166" s="255" t="str">
        <f>CONCATENATE('3 pr-2'!J167)</f>
        <v>-</v>
      </c>
      <c r="J166" s="691">
        <f>IF(V166&gt;0,'3 pr-2'!L167,0)</f>
        <v>0</v>
      </c>
      <c r="K166" s="691">
        <f>IF(V166&gt;0,'3 pr-2'!O167,0)</f>
        <v>0</v>
      </c>
      <c r="L166" s="691">
        <f>IF(V166&gt;0,'3 pr-2'!R167,0)</f>
        <v>0</v>
      </c>
      <c r="M166" s="691">
        <f>IF(V166&gt;0,'3 pr-2'!U167,0)</f>
        <v>0</v>
      </c>
      <c r="N166" s="691">
        <f>IF(V166&gt;0,'3 pr-2'!X167,0)</f>
        <v>0</v>
      </c>
      <c r="O166" s="691">
        <f>IF(V166&gt;0,'3 pr-2'!AA167,0)</f>
        <v>0</v>
      </c>
      <c r="P166" s="474">
        <f t="shared" ref="P166" si="219">IF(YEAR(V166)=2016,O166,0)</f>
        <v>0</v>
      </c>
      <c r="Q166" s="474">
        <f t="shared" ref="Q166" si="220">IF(YEAR(V166)=2017,O166,0)</f>
        <v>0</v>
      </c>
      <c r="R166" s="474">
        <f t="shared" ref="R166" si="221">IF(YEAR(V166)=2018,O166,0)</f>
        <v>0</v>
      </c>
      <c r="S166" s="474">
        <f t="shared" ref="S166" si="222">IF(YEAR(V166)=2019,O166,0)</f>
        <v>0</v>
      </c>
      <c r="T166" s="474">
        <f t="shared" ref="T166" si="223">IF(YEAR(V166)=2020,O166,0)</f>
        <v>0</v>
      </c>
      <c r="U166" s="290">
        <f>SUM('3 pr-2'!AH167)</f>
        <v>43616</v>
      </c>
      <c r="V166" s="291"/>
      <c r="W166" s="255"/>
      <c r="X166" s="720" t="str">
        <f t="shared" si="218"/>
        <v>–</v>
      </c>
    </row>
    <row r="167" spans="1:24" ht="47.25" customHeight="1" thickBot="1" x14ac:dyDescent="0.35">
      <c r="A167" s="655" t="str">
        <f>CONCATENATE('3 pr-2'!A168)</f>
        <v>3.1.</v>
      </c>
      <c r="B167" s="656" t="str">
        <f>CONCATENATE('ketv. 2lent'!B166)</f>
        <v/>
      </c>
      <c r="C167" s="1799" t="str">
        <f>CONCATENATE('3 pr-2'!D168)</f>
        <v/>
      </c>
      <c r="D167" s="1800" t="str">
        <f>CONCATENATE('3 pr-2'!E168)</f>
        <v/>
      </c>
      <c r="E167" s="1800" t="str">
        <f>CONCATENATE('3 pr-2'!F168)</f>
        <v/>
      </c>
      <c r="F167" s="1800" t="str">
        <f>CONCATENATE('3 pr-2'!G168)</f>
        <v/>
      </c>
      <c r="G167" s="1800" t="str">
        <f>CONCATENATE('3 pr-2'!H168)</f>
        <v/>
      </c>
      <c r="H167" s="1800" t="str">
        <f>CONCATENATE('3 pr-2'!I168)</f>
        <v/>
      </c>
      <c r="I167" s="1801" t="str">
        <f>CONCATENATE('3 pr-2'!J168)</f>
        <v/>
      </c>
      <c r="J167" s="657">
        <f>SUM(J168+J171)</f>
        <v>5366399.1899999995</v>
      </c>
      <c r="K167" s="657">
        <f t="shared" ref="K167:O167" si="224">SUM(K168+K171)</f>
        <v>963235.93999999971</v>
      </c>
      <c r="L167" s="657">
        <f t="shared" si="224"/>
        <v>0</v>
      </c>
      <c r="M167" s="657">
        <f t="shared" si="224"/>
        <v>0</v>
      </c>
      <c r="N167" s="657">
        <f t="shared" si="224"/>
        <v>0</v>
      </c>
      <c r="O167" s="657">
        <f t="shared" si="224"/>
        <v>4403162.95</v>
      </c>
      <c r="P167" s="222"/>
      <c r="Q167" s="222"/>
      <c r="R167" s="222"/>
      <c r="S167" s="222"/>
      <c r="T167" s="370"/>
      <c r="U167" s="657" t="s">
        <v>725</v>
      </c>
      <c r="V167" s="657" t="s">
        <v>725</v>
      </c>
      <c r="W167" s="657" t="s">
        <v>725</v>
      </c>
      <c r="X167" s="657"/>
    </row>
    <row r="168" spans="1:24" ht="37.5" customHeight="1" thickBot="1" x14ac:dyDescent="0.3">
      <c r="A168" s="220" t="str">
        <f>CONCATENATE('3 pr-2'!A169)</f>
        <v>3.1.1.</v>
      </c>
      <c r="B168" s="323" t="str">
        <f>CONCATENATE('ketv. 2lent'!B167)</f>
        <v/>
      </c>
      <c r="C168" s="1668" t="str">
        <f>CONCATENATE('3 pr-2'!D169)</f>
        <v/>
      </c>
      <c r="D168" s="1595" t="str">
        <f>CONCATENATE('3 pr-2'!E169)</f>
        <v/>
      </c>
      <c r="E168" s="1595" t="str">
        <f>CONCATENATE('3 pr-2'!F169)</f>
        <v/>
      </c>
      <c r="F168" s="1595" t="str">
        <f>CONCATENATE('3 pr-2'!G169)</f>
        <v/>
      </c>
      <c r="G168" s="1595" t="str">
        <f>CONCATENATE('3 pr-2'!H169)</f>
        <v/>
      </c>
      <c r="H168" s="1595" t="str">
        <f>CONCATENATE('3 pr-2'!I169)</f>
        <v/>
      </c>
      <c r="I168" s="1595" t="str">
        <f>CONCATENATE('3 pr-2'!J169)</f>
        <v/>
      </c>
      <c r="J168" s="295">
        <f>SUM(J169)</f>
        <v>4130687.05</v>
      </c>
      <c r="K168" s="295">
        <f t="shared" ref="K168:O168" si="225">SUM(K169)</f>
        <v>777879.2799999998</v>
      </c>
      <c r="L168" s="295">
        <f t="shared" si="225"/>
        <v>0</v>
      </c>
      <c r="M168" s="295">
        <f t="shared" si="225"/>
        <v>0</v>
      </c>
      <c r="N168" s="295">
        <f t="shared" si="225"/>
        <v>0</v>
      </c>
      <c r="O168" s="295">
        <f t="shared" si="225"/>
        <v>3352807.77</v>
      </c>
      <c r="P168" s="295"/>
      <c r="Q168" s="295"/>
      <c r="R168" s="295"/>
      <c r="S168" s="295"/>
      <c r="T168" s="295"/>
      <c r="U168" s="650" t="s">
        <v>725</v>
      </c>
      <c r="V168" s="689" t="s">
        <v>725</v>
      </c>
      <c r="W168" s="687" t="s">
        <v>725</v>
      </c>
      <c r="X168" s="650"/>
    </row>
    <row r="169" spans="1:24" ht="41.25" customHeight="1" thickBot="1" x14ac:dyDescent="0.3">
      <c r="A169" s="497" t="str">
        <f>CONCATENATE('3 pr-2'!A170)</f>
        <v>3.1.1.1</v>
      </c>
      <c r="B169" s="613" t="str">
        <f>CONCATENATE('ketv. 2lent'!B168)</f>
        <v/>
      </c>
      <c r="C169" s="1656" t="str">
        <f>CONCATENATE('3 pr-2'!D170)</f>
        <v/>
      </c>
      <c r="D169" s="1789"/>
      <c r="E169" s="1789"/>
      <c r="F169" s="1789"/>
      <c r="G169" s="1789"/>
      <c r="H169" s="1789"/>
      <c r="I169" s="1790"/>
      <c r="J169" s="629">
        <f>SUM(J170)</f>
        <v>4130687.05</v>
      </c>
      <c r="K169" s="629">
        <f t="shared" ref="K169:O169" si="226">SUM(K170)</f>
        <v>777879.2799999998</v>
      </c>
      <c r="L169" s="629">
        <f t="shared" si="226"/>
        <v>0</v>
      </c>
      <c r="M169" s="629">
        <f t="shared" si="226"/>
        <v>0</v>
      </c>
      <c r="N169" s="629">
        <f t="shared" si="226"/>
        <v>0</v>
      </c>
      <c r="O169" s="629">
        <f t="shared" si="226"/>
        <v>3352807.77</v>
      </c>
      <c r="P169" s="630">
        <f>SUM(P170)</f>
        <v>0</v>
      </c>
      <c r="Q169" s="631">
        <f t="shared" ref="Q169:T169" si="227">SUM(Q170)</f>
        <v>3352807.77</v>
      </c>
      <c r="R169" s="630">
        <f t="shared" si="227"/>
        <v>0</v>
      </c>
      <c r="S169" s="631">
        <f t="shared" si="227"/>
        <v>0</v>
      </c>
      <c r="T169" s="278">
        <f t="shared" si="227"/>
        <v>0</v>
      </c>
      <c r="U169" s="629"/>
      <c r="V169" s="629"/>
      <c r="W169" s="629"/>
      <c r="X169" s="629"/>
    </row>
    <row r="170" spans="1:24" ht="49.5" thickBot="1" x14ac:dyDescent="0.3">
      <c r="A170" s="690" t="str">
        <f>CONCATENATE('3 pr-2'!A171)</f>
        <v>3.1.1.1.1</v>
      </c>
      <c r="B170" s="690" t="str">
        <f>CONCATENATE('ketv. 2lent'!B169)</f>
        <v>05.2.1-APVA-R-008-11-0001</v>
      </c>
      <c r="C170" s="690" t="str">
        <f>CONCATENATE('3 pr-2'!D171)</f>
        <v>Komunalinių atliekų tvarkymo sistemos plėtra Alytaus regione</v>
      </c>
      <c r="D170" s="690" t="str">
        <f>CONCATENATE('3 pr-2'!E171)</f>
        <v>Alytaus regiono atliekų tvarkymo centras</v>
      </c>
      <c r="E170" s="690" t="str">
        <f>CONCATENATE('3 pr-2'!F171)</f>
        <v>Lietuvos Respublikos aplinkos ministerija</v>
      </c>
      <c r="F170" s="690" t="str">
        <f>CONCATENATE('3 pr-2'!G171)</f>
        <v>Alytaus atliekų tvarkymo regionas</v>
      </c>
      <c r="G170" s="690" t="str">
        <f>CONCATENATE('3 pr-2'!H171)</f>
        <v>05.2.1-APVA-R-008</v>
      </c>
      <c r="H170" s="690" t="str">
        <f>CONCATENATE('3 pr-2'!I171)</f>
        <v>R</v>
      </c>
      <c r="I170" s="690" t="str">
        <f>CONCATENATE('3 pr-2'!J171)</f>
        <v>-</v>
      </c>
      <c r="J170" s="691">
        <f>IF(V170&gt;0,'3 pr-2'!L171,0)</f>
        <v>4130687.05</v>
      </c>
      <c r="K170" s="691">
        <f>IF(V170&gt;0,'3 pr-2'!O171,0)</f>
        <v>777879.2799999998</v>
      </c>
      <c r="L170" s="691">
        <f>IF(V170&gt;0,'3 pr-2'!R171,0)</f>
        <v>0</v>
      </c>
      <c r="M170" s="691">
        <f>IF(V170&gt;0,'3 pr-2'!U171,0)</f>
        <v>0</v>
      </c>
      <c r="N170" s="691">
        <f>IF(V170&gt;0,'3 pr-2'!X171,0)</f>
        <v>0</v>
      </c>
      <c r="O170" s="691">
        <f>IF(V170&gt;0,'3 pr-2'!AA171,0)</f>
        <v>3352807.77</v>
      </c>
      <c r="P170" s="691">
        <f t="shared" ref="P170" si="228">IF(YEAR(V170)=2016,O170,0)</f>
        <v>0</v>
      </c>
      <c r="Q170" s="691">
        <f t="shared" ref="Q170" si="229">IF(YEAR(V170)=2017,O170,0)</f>
        <v>3352807.77</v>
      </c>
      <c r="R170" s="691">
        <f t="shared" ref="R170" si="230">IF(YEAR(V170)=2018,O170,0)</f>
        <v>0</v>
      </c>
      <c r="S170" s="691">
        <f t="shared" ref="S170" si="231">IF(YEAR(V170)=2019,O170,0)</f>
        <v>0</v>
      </c>
      <c r="T170" s="691">
        <f t="shared" ref="T170" si="232">IF(YEAR(V170)=2020,O170,0)</f>
        <v>0</v>
      </c>
      <c r="U170" s="688">
        <f>SUM('3 pr-2'!AH171)</f>
        <v>43008</v>
      </c>
      <c r="V170" s="688">
        <v>42957</v>
      </c>
      <c r="W170" s="692">
        <f t="shared" ref="W170" si="233">IF((YEAR(U170)-YEAR(V170))=0,0,YEAR(U170)-YEAR(V170))</f>
        <v>0</v>
      </c>
      <c r="X170" s="720" t="str">
        <f>IF(U170-V170&lt;0,(U170-V170)/30.4166666666667,"–")</f>
        <v>–</v>
      </c>
    </row>
    <row r="171" spans="1:24" ht="38.25" customHeight="1" thickBot="1" x14ac:dyDescent="0.3">
      <c r="A171" s="345" t="str">
        <f>CONCATENATE('3 pr-2'!A172)</f>
        <v>3.1.2.</v>
      </c>
      <c r="B171" s="647" t="str">
        <f>CONCATENATE('ketv. 2lent'!B170)</f>
        <v/>
      </c>
      <c r="C171" s="1668" t="str">
        <f>CONCATENATE('3 pr-2'!D172)</f>
        <v/>
      </c>
      <c r="D171" s="1595" t="str">
        <f>CONCATENATE('3 pr-2'!E172)</f>
        <v/>
      </c>
      <c r="E171" s="1595" t="str">
        <f>CONCATENATE('3 pr-2'!F172)</f>
        <v/>
      </c>
      <c r="F171" s="1595" t="str">
        <f>CONCATENATE('3 pr-2'!G172)</f>
        <v/>
      </c>
      <c r="G171" s="1595" t="str">
        <f>CONCATENATE('3 pr-2'!H172)</f>
        <v/>
      </c>
      <c r="H171" s="1595" t="str">
        <f>CONCATENATE('3 pr-2'!I172)</f>
        <v/>
      </c>
      <c r="I171" s="1595" t="str">
        <f>CONCATENATE('3 pr-2'!J172)</f>
        <v/>
      </c>
      <c r="J171" s="303">
        <f>SUM(J172)</f>
        <v>1235712.1400000001</v>
      </c>
      <c r="K171" s="303">
        <f t="shared" ref="K171:O171" si="234">SUM(K172)</f>
        <v>185356.65999999997</v>
      </c>
      <c r="L171" s="303">
        <f t="shared" si="234"/>
        <v>0</v>
      </c>
      <c r="M171" s="303">
        <f t="shared" si="234"/>
        <v>0</v>
      </c>
      <c r="N171" s="303">
        <f t="shared" si="234"/>
        <v>0</v>
      </c>
      <c r="O171" s="303">
        <f t="shared" si="234"/>
        <v>1050355.1800000002</v>
      </c>
      <c r="P171" s="303"/>
      <c r="Q171" s="303"/>
      <c r="R171" s="303"/>
      <c r="S171" s="303"/>
      <c r="T171" s="303"/>
      <c r="U171" s="650" t="s">
        <v>725</v>
      </c>
      <c r="V171" s="648" t="s">
        <v>725</v>
      </c>
      <c r="W171" s="693" t="s">
        <v>725</v>
      </c>
      <c r="X171" s="650"/>
    </row>
    <row r="172" spans="1:24" ht="30.75" customHeight="1" thickBot="1" x14ac:dyDescent="0.3">
      <c r="A172" s="497" t="str">
        <f>CONCATENATE('3 pr-2'!A173)</f>
        <v>3.1.2.1</v>
      </c>
      <c r="B172" s="613" t="str">
        <f>CONCATENATE('ketv. 2lent'!B171)</f>
        <v/>
      </c>
      <c r="C172" s="1656" t="str">
        <f>CONCATENATE('3 pr-2'!D173)</f>
        <v/>
      </c>
      <c r="D172" s="1789"/>
      <c r="E172" s="1789"/>
      <c r="F172" s="1789"/>
      <c r="G172" s="1789"/>
      <c r="H172" s="1789"/>
      <c r="I172" s="1790"/>
      <c r="J172" s="629">
        <f>SUM(J173:J180)</f>
        <v>1235712.1400000001</v>
      </c>
      <c r="K172" s="629">
        <f t="shared" ref="K172:O172" si="235">SUM(K173:K180)</f>
        <v>185356.65999999997</v>
      </c>
      <c r="L172" s="629">
        <f t="shared" si="235"/>
        <v>0</v>
      </c>
      <c r="M172" s="629">
        <f t="shared" si="235"/>
        <v>0</v>
      </c>
      <c r="N172" s="629">
        <f t="shared" si="235"/>
        <v>0</v>
      </c>
      <c r="O172" s="629">
        <f t="shared" si="235"/>
        <v>1050355.1800000002</v>
      </c>
      <c r="P172" s="630">
        <f>SUM(P173:P180)</f>
        <v>0</v>
      </c>
      <c r="Q172" s="631">
        <f t="shared" ref="Q172:T172" si="236">SUM(Q173:Q180)</f>
        <v>1050355.1800000002</v>
      </c>
      <c r="R172" s="630">
        <f t="shared" si="236"/>
        <v>0</v>
      </c>
      <c r="S172" s="631">
        <f t="shared" si="236"/>
        <v>0</v>
      </c>
      <c r="T172" s="278">
        <f t="shared" si="236"/>
        <v>0</v>
      </c>
      <c r="U172" s="629"/>
      <c r="V172" s="629"/>
      <c r="W172" s="629"/>
      <c r="X172" s="629"/>
    </row>
    <row r="173" spans="1:24" ht="48.75" x14ac:dyDescent="0.25">
      <c r="A173" s="683" t="str">
        <f>CONCATENATE('3 pr-2'!A174)</f>
        <v>3.1.2.1.1</v>
      </c>
      <c r="B173" s="683" t="str">
        <f>CONCATENATE('ketv. 2lent'!B172)</f>
        <v>05.5.1-APVA-R-019-11-0002</v>
      </c>
      <c r="C173" s="683" t="str">
        <f>CONCATENATE('3 pr-2'!D174)</f>
        <v>Kraštovaizdžio formavimas ir tvarkymas Varėnos r. savivaldybėje (I etapas)</v>
      </c>
      <c r="D173" s="683" t="str">
        <f>CONCATENATE('3 pr-2'!E174)</f>
        <v>Varėnos rajono savivaldybės administracija</v>
      </c>
      <c r="E173" s="683" t="str">
        <f>CONCATENATE('3 pr-2'!F174)</f>
        <v>Lietuvos Respublikos aplinkos ministerija</v>
      </c>
      <c r="F173" s="683" t="str">
        <f>CONCATENATE('3 pr-2'!G174)</f>
        <v>Varėnos  rajono savivaldybė</v>
      </c>
      <c r="G173" s="683" t="str">
        <f>CONCATENATE('3 pr-2'!H174)</f>
        <v>05.5.1-APVA-R-019</v>
      </c>
      <c r="H173" s="683" t="str">
        <f>CONCATENATE('3 pr-2'!I174)</f>
        <v>R</v>
      </c>
      <c r="I173" s="683" t="str">
        <f>CONCATENATE('3 pr-2'!J174)</f>
        <v>-</v>
      </c>
      <c r="J173" s="691">
        <f>IF(V173&gt;0,'3 pr-2'!L174,0)</f>
        <v>566501</v>
      </c>
      <c r="K173" s="691">
        <f>IF(V173&gt;0,'3 pr-2'!O174,0)</f>
        <v>84975</v>
      </c>
      <c r="L173" s="691">
        <f>IF(V173&gt;0,'3 pr-2'!R174,0)</f>
        <v>0</v>
      </c>
      <c r="M173" s="691">
        <f>IF(V173&gt;0,'3 pr-2'!U174,0)</f>
        <v>0</v>
      </c>
      <c r="N173" s="691">
        <f>IF(V173&gt;0,'3 pr-2'!X174,0)</f>
        <v>0</v>
      </c>
      <c r="O173" s="691">
        <f>IF(V173&gt;0,'3 pr-2'!AA174,0)</f>
        <v>481526</v>
      </c>
      <c r="P173" s="684">
        <f t="shared" ref="P173:P180" si="237">IF(YEAR(V173)=2016,O173,0)</f>
        <v>0</v>
      </c>
      <c r="Q173" s="684">
        <f t="shared" ref="Q173:Q180" si="238">IF(YEAR(V173)=2017,O173,0)</f>
        <v>481526</v>
      </c>
      <c r="R173" s="684">
        <f t="shared" ref="R173:R180" si="239">IF(YEAR(V173)=2018,O173,0)</f>
        <v>0</v>
      </c>
      <c r="S173" s="684">
        <f t="shared" ref="S173:S180" si="240">IF(YEAR(V173)=2019,O173,0)</f>
        <v>0</v>
      </c>
      <c r="T173" s="684">
        <f t="shared" ref="T173:T180" si="241">IF(YEAR(V173)=2020,O173,0)</f>
        <v>0</v>
      </c>
      <c r="U173" s="685">
        <f>SUM('3 pr-2'!AH174)</f>
        <v>42916</v>
      </c>
      <c r="V173" s="685">
        <v>42901</v>
      </c>
      <c r="W173" s="686">
        <f t="shared" ref="W173" si="242">IF((YEAR(U173)-YEAR(V173))=0,0,YEAR(U173)-YEAR(V173))</f>
        <v>0</v>
      </c>
      <c r="X173" s="720" t="str">
        <f t="shared" ref="X173:X180" si="243">IF(U173-V173&lt;0,(U173-V173)/30.4166666666667,"–")</f>
        <v>–</v>
      </c>
    </row>
    <row r="174" spans="1:24" ht="48.75" x14ac:dyDescent="0.25">
      <c r="A174" s="683" t="str">
        <f>CONCATENATE('3 pr-2'!A175)</f>
        <v>3.1.2.1.2</v>
      </c>
      <c r="B174" s="683" t="str">
        <f>CONCATENATE('ketv. 2lent'!B173)</f>
        <v/>
      </c>
      <c r="C174" s="683" t="str">
        <f>CONCATENATE('3 pr-2'!D175)</f>
        <v>Kraštovaizdžio formavimas ir tvarkymas Varėnos r. savivaldybėje (II etapas)</v>
      </c>
      <c r="D174" s="683" t="str">
        <f>CONCATENATE('3 pr-2'!E175)</f>
        <v>Varėnos rajono savivaldybės administracija</v>
      </c>
      <c r="E174" s="683" t="str">
        <f>CONCATENATE('3 pr-2'!F175)</f>
        <v>Lietuvos Respublikos aplinkos ministerija</v>
      </c>
      <c r="F174" s="683" t="str">
        <f>CONCATENATE('3 pr-2'!G175)</f>
        <v>Varėnos  rajono savivaldybė</v>
      </c>
      <c r="G174" s="683" t="str">
        <f>CONCATENATE('3 pr-2'!H175)</f>
        <v>05.5.1-APVA-R-019</v>
      </c>
      <c r="H174" s="683" t="str">
        <f>CONCATENATE('3 pr-2'!I175)</f>
        <v>R</v>
      </c>
      <c r="I174" s="683" t="str">
        <f>CONCATENATE('3 pr-2'!J175)</f>
        <v>-</v>
      </c>
      <c r="J174" s="691">
        <f>IF(V174&gt;0,'3 pr-2'!L175,0)</f>
        <v>0</v>
      </c>
      <c r="K174" s="691">
        <f>IF(V174&gt;0,'3 pr-2'!O175,0)</f>
        <v>0</v>
      </c>
      <c r="L174" s="691">
        <f>IF(V174&gt;0,'3 pr-2'!R175,0)</f>
        <v>0</v>
      </c>
      <c r="M174" s="691">
        <f>IF(V174&gt;0,'3 pr-2'!U175,0)</f>
        <v>0</v>
      </c>
      <c r="N174" s="691">
        <f>IF(V174&gt;0,'3 pr-2'!X175,0)</f>
        <v>0</v>
      </c>
      <c r="O174" s="691">
        <f>IF(V174&gt;0,'3 pr-2'!AA175,0)</f>
        <v>0</v>
      </c>
      <c r="P174" s="684">
        <f t="shared" si="237"/>
        <v>0</v>
      </c>
      <c r="Q174" s="684">
        <f t="shared" si="238"/>
        <v>0</v>
      </c>
      <c r="R174" s="684">
        <f t="shared" si="239"/>
        <v>0</v>
      </c>
      <c r="S174" s="684">
        <f t="shared" si="240"/>
        <v>0</v>
      </c>
      <c r="T174" s="684">
        <f t="shared" si="241"/>
        <v>0</v>
      </c>
      <c r="U174" s="685">
        <f>SUM('3 pr-2'!AH175)</f>
        <v>43555</v>
      </c>
      <c r="V174" s="685"/>
      <c r="W174" s="686"/>
      <c r="X174" s="720" t="str">
        <f t="shared" si="243"/>
        <v>–</v>
      </c>
    </row>
    <row r="175" spans="1:24" ht="48.75" x14ac:dyDescent="0.25">
      <c r="A175" s="683" t="str">
        <f>CONCATENATE('3 pr-2'!A176)</f>
        <v>3.1.2.1.3</v>
      </c>
      <c r="B175" s="683" t="str">
        <f>CONCATENATE('ketv. 2lent'!B174)</f>
        <v>05.5.1-APVA-R-019-11-0001</v>
      </c>
      <c r="C175" s="683" t="str">
        <f>CONCATENATE('3 pr-2'!D176)</f>
        <v>Bešeimininkių apleistų pastatų ir įrenginių tvarkymas Alytaus rajono savivaldybėje</v>
      </c>
      <c r="D175" s="683" t="str">
        <f>CONCATENATE('3 pr-2'!E176)</f>
        <v>Alytaus rajono savivaldybės administracija</v>
      </c>
      <c r="E175" s="683" t="str">
        <f>CONCATENATE('3 pr-2'!F176)</f>
        <v>Lietuvos Respublikos aplinkos ministerija</v>
      </c>
      <c r="F175" s="683" t="str">
        <f>CONCATENATE('3 pr-2'!G176)</f>
        <v>Alytaus rajonas</v>
      </c>
      <c r="G175" s="683" t="str">
        <f>CONCATENATE('3 pr-2'!H176)</f>
        <v>05.5.1-APVA-R-019</v>
      </c>
      <c r="H175" s="683" t="str">
        <f>CONCATENATE('3 pr-2'!I176)</f>
        <v>R</v>
      </c>
      <c r="I175" s="683" t="str">
        <f>CONCATENATE('3 pr-2'!J176)</f>
        <v/>
      </c>
      <c r="J175" s="691">
        <f>IF(V175&gt;0,'3 pr-2'!L176,0)</f>
        <v>101766</v>
      </c>
      <c r="K175" s="691">
        <f>IF(V175&gt;0,'3 pr-2'!O176,0)</f>
        <v>15264.9</v>
      </c>
      <c r="L175" s="691">
        <f>IF(V175&gt;0,'3 pr-2'!R176,0)</f>
        <v>0</v>
      </c>
      <c r="M175" s="691">
        <f>IF(V175&gt;0,'3 pr-2'!U176,0)</f>
        <v>0</v>
      </c>
      <c r="N175" s="691">
        <f>IF(V175&gt;0,'3 pr-2'!X176,0)</f>
        <v>0</v>
      </c>
      <c r="O175" s="691">
        <f>IF(V175&gt;0,'3 pr-2'!AA176,0)</f>
        <v>86500.800000000003</v>
      </c>
      <c r="P175" s="684">
        <f t="shared" si="237"/>
        <v>0</v>
      </c>
      <c r="Q175" s="684">
        <f t="shared" si="238"/>
        <v>86500.800000000003</v>
      </c>
      <c r="R175" s="684">
        <f t="shared" si="239"/>
        <v>0</v>
      </c>
      <c r="S175" s="684">
        <f t="shared" si="240"/>
        <v>0</v>
      </c>
      <c r="T175" s="684">
        <f t="shared" si="241"/>
        <v>0</v>
      </c>
      <c r="U175" s="685">
        <f>SUM('3 pr-2'!AH176)</f>
        <v>42886</v>
      </c>
      <c r="V175" s="685">
        <v>42998</v>
      </c>
      <c r="W175" s="686">
        <f t="shared" ref="W175" si="244">IF((YEAR(U175)-YEAR(V175))=0,0,YEAR(U175)-YEAR(V175))</f>
        <v>0</v>
      </c>
      <c r="X175" s="720">
        <f t="shared" si="243"/>
        <v>-3.6821917808219138</v>
      </c>
    </row>
    <row r="176" spans="1:24" ht="48.75" x14ac:dyDescent="0.25">
      <c r="A176" s="683" t="str">
        <f>CONCATENATE('3 pr-2'!A177)</f>
        <v>3.1.2.1.4</v>
      </c>
      <c r="B176" s="683" t="str">
        <f>CONCATENATE('ketv. 2lent'!B175)</f>
        <v>05.5.1-APVA-R-019-11-0004</v>
      </c>
      <c r="C176" s="683" t="str">
        <f>CONCATENATE('3 pr-2'!D177)</f>
        <v>Alytaus miesto bendrojo plano korektūra zonuojant kraštovaizdžio struktūrą, nustatant reglamentus ir principus</v>
      </c>
      <c r="D176" s="683" t="str">
        <f>CONCATENATE('3 pr-2'!E177)</f>
        <v>Alytaus miesto savivaldybės administracija</v>
      </c>
      <c r="E176" s="683" t="str">
        <f>CONCATENATE('3 pr-2'!F177)</f>
        <v>Lietuvos Respublikos aplinkos ministerija</v>
      </c>
      <c r="F176" s="683" t="str">
        <f>CONCATENATE('3 pr-2'!G177)</f>
        <v>Alytaus miestas</v>
      </c>
      <c r="G176" s="683" t="str">
        <f>CONCATENATE('3 pr-2'!H177)</f>
        <v>05.5.1-APVA-R-019</v>
      </c>
      <c r="H176" s="683" t="str">
        <f>CONCATENATE('3 pr-2'!I177)</f>
        <v>R</v>
      </c>
      <c r="I176" s="683" t="str">
        <f>CONCATENATE('3 pr-2'!J177)</f>
        <v/>
      </c>
      <c r="J176" s="691">
        <f>IF(V176&gt;0,'3 pr-2'!L177,0)</f>
        <v>3993</v>
      </c>
      <c r="K176" s="691">
        <f>IF(V176&gt;0,'3 pr-2'!O177,0)</f>
        <v>598.95000000000005</v>
      </c>
      <c r="L176" s="691">
        <f>IF(V176&gt;0,'3 pr-2'!R177,0)</f>
        <v>0</v>
      </c>
      <c r="M176" s="691">
        <f>IF(V176&gt;0,'3 pr-2'!U177,0)</f>
        <v>0</v>
      </c>
      <c r="N176" s="691">
        <f>IF(V176&gt;0,'3 pr-2'!X177,0)</f>
        <v>0</v>
      </c>
      <c r="O176" s="691">
        <f>IF(V176&gt;0,'3 pr-2'!AA177,0)</f>
        <v>3394.05</v>
      </c>
      <c r="P176" s="684">
        <f t="shared" si="237"/>
        <v>0</v>
      </c>
      <c r="Q176" s="684">
        <f t="shared" si="238"/>
        <v>3394.05</v>
      </c>
      <c r="R176" s="684">
        <f t="shared" si="239"/>
        <v>0</v>
      </c>
      <c r="S176" s="684">
        <f t="shared" si="240"/>
        <v>0</v>
      </c>
      <c r="T176" s="684">
        <f t="shared" si="241"/>
        <v>0</v>
      </c>
      <c r="U176" s="685">
        <f>SUM('3 pr-2'!AH177)</f>
        <v>42916</v>
      </c>
      <c r="V176" s="685">
        <v>42965</v>
      </c>
      <c r="W176" s="686">
        <f t="shared" ref="W176" si="245">IF((YEAR(U176)-YEAR(V176))=0,0,YEAR(U176)-YEAR(V176))</f>
        <v>0</v>
      </c>
      <c r="X176" s="720">
        <f t="shared" si="243"/>
        <v>-1.6109589041095873</v>
      </c>
    </row>
    <row r="177" spans="1:24" ht="48.75" x14ac:dyDescent="0.25">
      <c r="A177" s="683" t="str">
        <f>CONCATENATE('3 pr-2'!A178)</f>
        <v>3.1.2.1.5</v>
      </c>
      <c r="B177" s="683" t="str">
        <f>CONCATENATE('ketv. 2lent'!B176)</f>
        <v>05.5.1-APVA-R-019-11-0005</v>
      </c>
      <c r="C177" s="683" t="str">
        <f>CONCATENATE('3 pr-2'!D178)</f>
        <v>Bešeimininkių apleistų pastatų Druskininkų savivaldybės teritorijoje likvidavimas</v>
      </c>
      <c r="D177" s="683" t="str">
        <f>CONCATENATE('3 pr-2'!E178)</f>
        <v>Druskininkų savivaldybės administracija</v>
      </c>
      <c r="E177" s="683" t="str">
        <f>CONCATENATE('3 pr-2'!F178)</f>
        <v>Lietuvos Respublikos aplinkos ministerija</v>
      </c>
      <c r="F177" s="683" t="str">
        <f>CONCATENATE('3 pr-2'!G178)</f>
        <v>Druskininkų savivaldybė</v>
      </c>
      <c r="G177" s="683" t="str">
        <f>CONCATENATE('3 pr-2'!H178)</f>
        <v>05.5.1-APVA-R-019</v>
      </c>
      <c r="H177" s="683" t="str">
        <f>CONCATENATE('3 pr-2'!I178)</f>
        <v>R</v>
      </c>
      <c r="I177" s="683" t="str">
        <f>CONCATENATE('3 pr-2'!J178)</f>
        <v>-</v>
      </c>
      <c r="J177" s="691">
        <f>IF(V177&gt;0,'3 pr-2'!L178,0)</f>
        <v>121153.55</v>
      </c>
      <c r="K177" s="691">
        <f>IF(V177&gt;0,'3 pr-2'!O178,0)</f>
        <v>18173.03</v>
      </c>
      <c r="L177" s="691">
        <f>IF(V177&gt;0,'3 pr-2'!R178,0)</f>
        <v>0</v>
      </c>
      <c r="M177" s="691">
        <f>IF(V177&gt;0,'3 pr-2'!U178,0)</f>
        <v>0</v>
      </c>
      <c r="N177" s="691">
        <f>IF(V177&gt;0,'3 pr-2'!X178,0)</f>
        <v>0</v>
      </c>
      <c r="O177" s="691">
        <f>IF(V177&gt;0,'3 pr-2'!AA178,0)</f>
        <v>102980.52</v>
      </c>
      <c r="P177" s="684">
        <f t="shared" si="237"/>
        <v>0</v>
      </c>
      <c r="Q177" s="684">
        <f t="shared" si="238"/>
        <v>102980.52</v>
      </c>
      <c r="R177" s="684">
        <f t="shared" si="239"/>
        <v>0</v>
      </c>
      <c r="S177" s="684">
        <f t="shared" si="240"/>
        <v>0</v>
      </c>
      <c r="T177" s="684">
        <f t="shared" si="241"/>
        <v>0</v>
      </c>
      <c r="U177" s="685">
        <f>SUM('3 pr-2'!AH178)</f>
        <v>42978</v>
      </c>
      <c r="V177" s="685">
        <v>42936</v>
      </c>
      <c r="W177" s="686">
        <f t="shared" ref="W177:W178" si="246">IF((YEAR(U177)-YEAR(V177))=0,0,YEAR(U177)-YEAR(V177))</f>
        <v>0</v>
      </c>
      <c r="X177" s="720" t="str">
        <f t="shared" si="243"/>
        <v>–</v>
      </c>
    </row>
    <row r="178" spans="1:24" ht="48.75" x14ac:dyDescent="0.25">
      <c r="A178" s="683" t="str">
        <f>CONCATENATE('3 pr-2'!A179)</f>
        <v>3.1.2.1.6</v>
      </c>
      <c r="B178" s="683" t="str">
        <f>CONCATENATE('ketv. 2lent'!B177)</f>
        <v>05.5.1-APVA-R-019-11-0003</v>
      </c>
      <c r="C178" s="683" t="str">
        <f>CONCATENATE('3 pr-2'!D179)</f>
        <v>Kraštovaizdžio formavimas Lazdijų rajono savivaldybėje</v>
      </c>
      <c r="D178" s="683" t="str">
        <f>CONCATENATE('3 pr-2'!E179)</f>
        <v>Lazdijų rajono savivaldybės administracija</v>
      </c>
      <c r="E178" s="683" t="str">
        <f>CONCATENATE('3 pr-2'!F179)</f>
        <v>Lietuvos Respublikos aplinkos ministerija</v>
      </c>
      <c r="F178" s="683" t="str">
        <f>CONCATENATE('3 pr-2'!G179)</f>
        <v>Lazdijų rajono savivaldybė</v>
      </c>
      <c r="G178" s="683" t="str">
        <f>CONCATENATE('3 pr-2'!H179)</f>
        <v>05.5.1-APVA-R-019</v>
      </c>
      <c r="H178" s="683" t="str">
        <f>CONCATENATE('3 pr-2'!I179)</f>
        <v>R</v>
      </c>
      <c r="I178" s="683" t="str">
        <f>CONCATENATE('3 pr-2'!J179)</f>
        <v>-</v>
      </c>
      <c r="J178" s="691">
        <f>IF(V178&gt;0,'3 pr-2'!L179,0)</f>
        <v>442298.58999999997</v>
      </c>
      <c r="K178" s="691">
        <f>IF(V178&gt;0,'3 pr-2'!O179,0)</f>
        <v>66344.78</v>
      </c>
      <c r="L178" s="691">
        <f>IF(V178&gt;0,'3 pr-2'!R179,0)</f>
        <v>0</v>
      </c>
      <c r="M178" s="691">
        <f>IF(V178&gt;0,'3 pr-2'!U179,0)</f>
        <v>0</v>
      </c>
      <c r="N178" s="691">
        <f>IF(V178&gt;0,'3 pr-2'!X179,0)</f>
        <v>0</v>
      </c>
      <c r="O178" s="691">
        <f>IF(V178&gt;0,'3 pr-2'!AA179,0)</f>
        <v>375953.81</v>
      </c>
      <c r="P178" s="684">
        <f t="shared" si="237"/>
        <v>0</v>
      </c>
      <c r="Q178" s="684">
        <f t="shared" si="238"/>
        <v>375953.81</v>
      </c>
      <c r="R178" s="684">
        <f t="shared" si="239"/>
        <v>0</v>
      </c>
      <c r="S178" s="684">
        <f t="shared" si="240"/>
        <v>0</v>
      </c>
      <c r="T178" s="684">
        <f t="shared" si="241"/>
        <v>0</v>
      </c>
      <c r="U178" s="685">
        <f>SUM('3 pr-2'!AH179)</f>
        <v>42916</v>
      </c>
      <c r="V178" s="685">
        <v>42935</v>
      </c>
      <c r="W178" s="686">
        <f t="shared" si="246"/>
        <v>0</v>
      </c>
      <c r="X178" s="720">
        <f t="shared" si="243"/>
        <v>-0.62465753424657466</v>
      </c>
    </row>
    <row r="179" spans="1:24" ht="48.75" x14ac:dyDescent="0.25">
      <c r="A179" s="683" t="str">
        <f>CONCATENATE('3 pr-2'!A180)</f>
        <v>3.1.2.1.7</v>
      </c>
      <c r="B179" s="683" t="str">
        <f>CONCATENATE('ketv. 2lent'!B178)</f>
        <v/>
      </c>
      <c r="C179" s="683" t="str">
        <f>CONCATENATE('3 pr-2'!D180)</f>
        <v>Kraštovaizdžio formavimas Lazdijų rajono savivaldybėje (II etapas)</v>
      </c>
      <c r="D179" s="683" t="str">
        <f>CONCATENATE('3 pr-2'!E180)</f>
        <v>Lazdijų rajono savivaldybės administracija</v>
      </c>
      <c r="E179" s="683" t="str">
        <f>CONCATENATE('3 pr-2'!F180)</f>
        <v>Lietuvos Respublikos aplinkos ministerija</v>
      </c>
      <c r="F179" s="683" t="str">
        <f>CONCATENATE('3 pr-2'!G180)</f>
        <v>Lazdijų rajono savivaldybė</v>
      </c>
      <c r="G179" s="683" t="str">
        <f>CONCATENATE('3 pr-2'!H180)</f>
        <v>05.5.1-APVA-R-019</v>
      </c>
      <c r="H179" s="683" t="str">
        <f>CONCATENATE('3 pr-2'!I180)</f>
        <v>R</v>
      </c>
      <c r="I179" s="683" t="str">
        <f>CONCATENATE('3 pr-2'!J180)</f>
        <v>-</v>
      </c>
      <c r="J179" s="691">
        <f>IF(V179&gt;0,'3 pr-2'!L180,0)</f>
        <v>0</v>
      </c>
      <c r="K179" s="691">
        <f>IF(V179&gt;0,'3 pr-2'!O180,0)</f>
        <v>0</v>
      </c>
      <c r="L179" s="691">
        <f>IF(V179&gt;0,'3 pr-2'!R180,0)</f>
        <v>0</v>
      </c>
      <c r="M179" s="691">
        <f>IF(V179&gt;0,'3 pr-2'!U180,0)</f>
        <v>0</v>
      </c>
      <c r="N179" s="691">
        <f>IF(V179&gt;0,'3 pr-2'!X180,0)</f>
        <v>0</v>
      </c>
      <c r="O179" s="691">
        <f>IF(V179&gt;0,'3 pr-2'!AA180,0)</f>
        <v>0</v>
      </c>
      <c r="P179" s="684">
        <f t="shared" si="237"/>
        <v>0</v>
      </c>
      <c r="Q179" s="684">
        <f t="shared" si="238"/>
        <v>0</v>
      </c>
      <c r="R179" s="684">
        <f t="shared" si="239"/>
        <v>0</v>
      </c>
      <c r="S179" s="684">
        <f t="shared" si="240"/>
        <v>0</v>
      </c>
      <c r="T179" s="684">
        <f t="shared" si="241"/>
        <v>0</v>
      </c>
      <c r="U179" s="685">
        <f>SUM('3 pr-2'!AH180)</f>
        <v>43495</v>
      </c>
      <c r="V179" s="685"/>
      <c r="W179" s="686"/>
      <c r="X179" s="720" t="str">
        <f t="shared" si="243"/>
        <v>–</v>
      </c>
    </row>
    <row r="180" spans="1:24" ht="48.75" x14ac:dyDescent="0.25">
      <c r="A180" s="683" t="str">
        <f>CONCATENATE('3 pr-2'!A181)</f>
        <v>3.1.2.1.8</v>
      </c>
      <c r="B180" s="683" t="str">
        <f>CONCATENATE('ketv. 2lent'!B179)</f>
        <v/>
      </c>
      <c r="C180" s="683" t="str">
        <f>CONCATENATE('3 pr-2'!D181)</f>
        <v>Bešeimininkių apleistų pastatų ir įrenginių tvarkymas Alytaus rajono savivaldybėje (II etapas)</v>
      </c>
      <c r="D180" s="683" t="str">
        <f>CONCATENATE('3 pr-2'!E181)</f>
        <v>Alytaus rajono savivaldybės administracija</v>
      </c>
      <c r="E180" s="683" t="str">
        <f>CONCATENATE('3 pr-2'!F181)</f>
        <v>Lietuvos Respublikos aplinkos ministerija</v>
      </c>
      <c r="F180" s="683" t="str">
        <f>CONCATENATE('3 pr-2'!G181)</f>
        <v>Alytaus rajono savivaldybė</v>
      </c>
      <c r="G180" s="683" t="str">
        <f>CONCATENATE('3 pr-2'!H181)</f>
        <v>05.5.1-APVA-R-019</v>
      </c>
      <c r="H180" s="683" t="str">
        <f>CONCATENATE('3 pr-2'!I181)</f>
        <v>R</v>
      </c>
      <c r="I180" s="683" t="str">
        <f>CONCATENATE('3 pr-2'!J181)</f>
        <v>-</v>
      </c>
      <c r="J180" s="476">
        <f>IF(V180&gt;0,'3 pr-2'!L181,0)</f>
        <v>0</v>
      </c>
      <c r="K180" s="476">
        <f>IF(V180&gt;0,'3 pr-2'!O181,0)</f>
        <v>0</v>
      </c>
      <c r="L180" s="476">
        <f>IF(V180&gt;0,'3 pr-2'!R181,0)</f>
        <v>0</v>
      </c>
      <c r="M180" s="476">
        <f>IF(V180&gt;0,'3 pr-2'!U181,0)</f>
        <v>0</v>
      </c>
      <c r="N180" s="476">
        <f>IF(V180&gt;0,'3 pr-2'!X181,0)</f>
        <v>0</v>
      </c>
      <c r="O180" s="476">
        <f>IF(V180&gt;0,'3 pr-2'!AA181,0)</f>
        <v>0</v>
      </c>
      <c r="P180" s="684">
        <f t="shared" si="237"/>
        <v>0</v>
      </c>
      <c r="Q180" s="684">
        <f t="shared" si="238"/>
        <v>0</v>
      </c>
      <c r="R180" s="684">
        <f t="shared" si="239"/>
        <v>0</v>
      </c>
      <c r="S180" s="684">
        <f t="shared" si="240"/>
        <v>0</v>
      </c>
      <c r="T180" s="684">
        <f t="shared" si="241"/>
        <v>0</v>
      </c>
      <c r="U180" s="685">
        <f>SUM('3 pr-2'!AH181)</f>
        <v>43342</v>
      </c>
      <c r="V180" s="685"/>
      <c r="W180" s="686" t="s">
        <v>725</v>
      </c>
      <c r="X180" s="720" t="str">
        <f t="shared" si="243"/>
        <v>–</v>
      </c>
    </row>
  </sheetData>
  <autoFilter ref="A1:X181"/>
  <mergeCells count="44">
    <mergeCell ref="A2:K2"/>
    <mergeCell ref="C172:I172"/>
    <mergeCell ref="C120:I120"/>
    <mergeCell ref="C134:I134"/>
    <mergeCell ref="C146:I146"/>
    <mergeCell ref="C147:I147"/>
    <mergeCell ref="C153:I153"/>
    <mergeCell ref="C159:I159"/>
    <mergeCell ref="C160:I160"/>
    <mergeCell ref="C167:I167"/>
    <mergeCell ref="C168:I168"/>
    <mergeCell ref="C169:I169"/>
    <mergeCell ref="C171:I171"/>
    <mergeCell ref="C121:I121"/>
    <mergeCell ref="C114:I114"/>
    <mergeCell ref="C102:I102"/>
    <mergeCell ref="C100:I100"/>
    <mergeCell ref="C101:I101"/>
    <mergeCell ref="C62:I62"/>
    <mergeCell ref="C67:I67"/>
    <mergeCell ref="C73:I73"/>
    <mergeCell ref="C74:I74"/>
    <mergeCell ref="C79:I79"/>
    <mergeCell ref="C46:I46"/>
    <mergeCell ref="C50:I50"/>
    <mergeCell ref="C56:I56"/>
    <mergeCell ref="C86:I86"/>
    <mergeCell ref="C92:I92"/>
    <mergeCell ref="C140:I140"/>
    <mergeCell ref="P3:S3"/>
    <mergeCell ref="T3:X3"/>
    <mergeCell ref="A5:I5"/>
    <mergeCell ref="J5:O5"/>
    <mergeCell ref="P5:S5"/>
    <mergeCell ref="T5:X5"/>
    <mergeCell ref="C108:I108"/>
    <mergeCell ref="C58:I58"/>
    <mergeCell ref="A3:I3"/>
    <mergeCell ref="J3:O3"/>
    <mergeCell ref="C7:I7"/>
    <mergeCell ref="C8:I8"/>
    <mergeCell ref="C9:I9"/>
    <mergeCell ref="C33:I33"/>
    <mergeCell ref="C39:I39"/>
  </mergeCells>
  <pageMargins left="0.25" right="0.25" top="0.75" bottom="0.75" header="0.3" footer="0.3"/>
  <pageSetup paperSize="8" scale="88" fitToHeight="0"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180"/>
  <sheetViews>
    <sheetView workbookViewId="0">
      <pane ySplit="3570" topLeftCell="A126" activePane="bottomLeft"/>
      <selection activeCell="R3" sqref="R3:R4"/>
      <selection pane="bottomLeft" activeCell="P126" sqref="P126"/>
    </sheetView>
  </sheetViews>
  <sheetFormatPr defaultRowHeight="15" x14ac:dyDescent="0.25"/>
  <cols>
    <col min="1" max="1" width="7.85546875" customWidth="1"/>
    <col min="2" max="2" width="13" hidden="1" customWidth="1"/>
    <col min="3" max="3" width="49.7109375" customWidth="1"/>
    <col min="4" max="4" width="18.7109375" customWidth="1"/>
    <col min="5" max="5" width="20.140625" customWidth="1"/>
    <col min="6" max="6" width="11.28515625" customWidth="1"/>
    <col min="7" max="7" width="27.140625" customWidth="1"/>
    <col min="8" max="8" width="5.42578125" customWidth="1"/>
    <col min="9" max="9" width="5.5703125" customWidth="1"/>
    <col min="10" max="10" width="14.28515625" customWidth="1"/>
    <col min="11" max="11" width="12.85546875" customWidth="1"/>
    <col min="12" max="13" width="12.7109375" customWidth="1"/>
    <col min="15" max="15" width="14.28515625" customWidth="1"/>
    <col min="16" max="16" width="13.5703125" customWidth="1"/>
    <col min="17" max="17" width="12.42578125" customWidth="1"/>
    <col min="18" max="18" width="9.7109375" customWidth="1"/>
    <col min="19" max="19" width="9.7109375" hidden="1" customWidth="1"/>
    <col min="20" max="20" width="12.85546875" customWidth="1"/>
  </cols>
  <sheetData>
    <row r="1" spans="1:19" ht="16.5" thickBot="1" x14ac:dyDescent="0.3">
      <c r="A1" s="1793" t="s">
        <v>743</v>
      </c>
      <c r="B1" s="1793"/>
      <c r="C1" s="1794"/>
      <c r="D1" s="1794"/>
      <c r="E1" s="1794"/>
      <c r="F1" s="1794"/>
      <c r="G1" s="1794"/>
      <c r="H1" s="1794"/>
      <c r="I1" s="1794"/>
      <c r="J1" s="1794"/>
      <c r="K1" s="1794"/>
    </row>
    <row r="2" spans="1:19" ht="47.25" customHeight="1" thickTop="1" thickBot="1" x14ac:dyDescent="0.3">
      <c r="A2" s="1808" t="s">
        <v>46</v>
      </c>
      <c r="B2" s="1809"/>
      <c r="C2" s="1809"/>
      <c r="D2" s="1809"/>
      <c r="E2" s="1809"/>
      <c r="F2" s="1809"/>
      <c r="G2" s="1809"/>
      <c r="H2" s="1809"/>
      <c r="I2" s="1809"/>
      <c r="J2" s="1796" t="s">
        <v>47</v>
      </c>
      <c r="K2" s="1797"/>
      <c r="L2" s="1797"/>
      <c r="M2" s="1797"/>
      <c r="N2" s="1797"/>
      <c r="O2" s="1798"/>
      <c r="P2" s="1791" t="s">
        <v>744</v>
      </c>
      <c r="Q2" s="1792"/>
      <c r="R2" s="1792"/>
      <c r="S2" s="1693"/>
    </row>
    <row r="3" spans="1:19" ht="26.25" thickBot="1" x14ac:dyDescent="0.3">
      <c r="A3" s="1819" t="s">
        <v>7</v>
      </c>
      <c r="B3" s="318" t="s">
        <v>739</v>
      </c>
      <c r="C3" s="1819" t="s">
        <v>49</v>
      </c>
      <c r="D3" s="1819" t="s">
        <v>50</v>
      </c>
      <c r="E3" s="1819" t="s">
        <v>51</v>
      </c>
      <c r="F3" s="1819" t="s">
        <v>52</v>
      </c>
      <c r="G3" s="1819" t="s">
        <v>722</v>
      </c>
      <c r="H3" s="1819" t="s">
        <v>723</v>
      </c>
      <c r="I3" s="1819" t="s">
        <v>724</v>
      </c>
      <c r="J3" s="1817" t="s">
        <v>57</v>
      </c>
      <c r="K3" s="1819" t="s">
        <v>58</v>
      </c>
      <c r="L3" s="1819" t="s">
        <v>59</v>
      </c>
      <c r="M3" s="1819" t="s">
        <v>60</v>
      </c>
      <c r="N3" s="1819" t="s">
        <v>61</v>
      </c>
      <c r="O3" s="1819" t="s">
        <v>10</v>
      </c>
      <c r="P3" s="287" t="s">
        <v>1696</v>
      </c>
      <c r="Q3" s="287" t="s">
        <v>1697</v>
      </c>
      <c r="R3" s="778" t="s">
        <v>1538</v>
      </c>
      <c r="S3" s="286" t="s">
        <v>734</v>
      </c>
    </row>
    <row r="4" spans="1:19" ht="16.5" thickBot="1" x14ac:dyDescent="0.3">
      <c r="A4" s="1820"/>
      <c r="B4" s="319"/>
      <c r="C4" s="1820"/>
      <c r="D4" s="1820"/>
      <c r="E4" s="1820"/>
      <c r="F4" s="1820"/>
      <c r="G4" s="1820"/>
      <c r="H4" s="1820"/>
      <c r="I4" s="1820"/>
      <c r="J4" s="1818"/>
      <c r="K4" s="1820"/>
      <c r="L4" s="1820"/>
      <c r="M4" s="1820"/>
      <c r="N4" s="1820"/>
      <c r="O4" s="1820"/>
      <c r="P4" s="1030" t="s">
        <v>1695</v>
      </c>
      <c r="Q4" s="1030" t="s">
        <v>728</v>
      </c>
      <c r="R4" s="317" t="s">
        <v>733</v>
      </c>
      <c r="S4" s="256" t="s">
        <v>735</v>
      </c>
    </row>
    <row r="5" spans="1:19" ht="16.5" thickBot="1" x14ac:dyDescent="0.3">
      <c r="A5" s="281"/>
      <c r="B5" s="320"/>
      <c r="C5" s="282"/>
      <c r="D5" s="282"/>
      <c r="E5" s="282"/>
      <c r="F5" s="282"/>
      <c r="G5" s="282"/>
      <c r="H5" s="282"/>
      <c r="I5" s="282"/>
      <c r="J5" s="258"/>
      <c r="K5" s="259"/>
      <c r="L5" s="259"/>
      <c r="M5" s="259"/>
      <c r="N5" s="259"/>
      <c r="O5" s="269"/>
      <c r="P5" s="283"/>
      <c r="Q5" s="284"/>
      <c r="R5" s="256"/>
      <c r="S5" s="256"/>
    </row>
    <row r="6" spans="1:19" ht="60" customHeight="1" thickBot="1" x14ac:dyDescent="0.35">
      <c r="A6" s="714" t="str">
        <f>CONCATENATE('3 pr-2'!A7)</f>
        <v>1.1.</v>
      </c>
      <c r="B6" s="715"/>
      <c r="C6" s="1813" t="str">
        <f>CONCATENATE('3 pr-2'!D7)</f>
        <v/>
      </c>
      <c r="D6" s="1814" t="str">
        <f>CONCATENATE('3 pr-2'!E7)</f>
        <v/>
      </c>
      <c r="E6" s="1814" t="str">
        <f>CONCATENATE('3 pr-2'!F7)</f>
        <v/>
      </c>
      <c r="F6" s="1814" t="str">
        <f>CONCATENATE('3 pr-2'!G7)</f>
        <v/>
      </c>
      <c r="G6" s="1814" t="str">
        <f>CONCATENATE('3 pr-2'!H7)</f>
        <v/>
      </c>
      <c r="H6" s="1814" t="str">
        <f>CONCATENATE('3 pr-2'!I7)</f>
        <v/>
      </c>
      <c r="I6" s="1815" t="str">
        <f>CONCATENATE('3 pr-2'!J7)</f>
        <v/>
      </c>
      <c r="J6" s="716">
        <f>SUM(J7+J72)</f>
        <v>17000</v>
      </c>
      <c r="K6" s="716">
        <f t="shared" ref="K6:O6" si="0">SUM(K7+K72)</f>
        <v>2550</v>
      </c>
      <c r="L6" s="716">
        <f t="shared" si="0"/>
        <v>0</v>
      </c>
      <c r="M6" s="716">
        <f t="shared" si="0"/>
        <v>0</v>
      </c>
      <c r="N6" s="716">
        <f t="shared" si="0"/>
        <v>0</v>
      </c>
      <c r="O6" s="716">
        <f t="shared" si="0"/>
        <v>14450</v>
      </c>
      <c r="P6" s="716" t="s">
        <v>725</v>
      </c>
      <c r="Q6" s="716" t="s">
        <v>725</v>
      </c>
      <c r="R6" s="716" t="s">
        <v>725</v>
      </c>
      <c r="S6" s="716"/>
    </row>
    <row r="7" spans="1:19" ht="33" customHeight="1" thickBot="1" x14ac:dyDescent="0.3">
      <c r="A7" s="345" t="s">
        <v>726</v>
      </c>
      <c r="B7" s="648"/>
      <c r="C7" s="1668" t="str">
        <f>CONCATENATE('3 pr-2'!D8)</f>
        <v/>
      </c>
      <c r="D7" s="1669" t="str">
        <f>CONCATENATE('3 pr-2'!E8)</f>
        <v/>
      </c>
      <c r="E7" s="1669" t="str">
        <f>CONCATENATE('3 pr-2'!F8)</f>
        <v/>
      </c>
      <c r="F7" s="1669" t="str">
        <f>CONCATENATE('3 pr-2'!G8)</f>
        <v/>
      </c>
      <c r="G7" s="1669" t="str">
        <f>CONCATENATE('3 pr-2'!H8)</f>
        <v/>
      </c>
      <c r="H7" s="1669" t="str">
        <f>CONCATENATE('3 pr-2'!I8)</f>
        <v/>
      </c>
      <c r="I7" s="1670" t="str">
        <f>CONCATENATE('3 pr-2'!J8)</f>
        <v/>
      </c>
      <c r="J7" s="303">
        <f>SUM(J8+J32+J38+J45+J49+J55+J57+J61+J66)</f>
        <v>0</v>
      </c>
      <c r="K7" s="303">
        <f t="shared" ref="K7:O7" si="1">SUM(K8+K32+K38+K45+K49+K55+K57+K61+K66)</f>
        <v>0</v>
      </c>
      <c r="L7" s="303">
        <f t="shared" si="1"/>
        <v>0</v>
      </c>
      <c r="M7" s="303">
        <f t="shared" si="1"/>
        <v>0</v>
      </c>
      <c r="N7" s="303">
        <f t="shared" si="1"/>
        <v>0</v>
      </c>
      <c r="O7" s="303">
        <f t="shared" si="1"/>
        <v>0</v>
      </c>
      <c r="P7" s="303" t="s">
        <v>725</v>
      </c>
      <c r="Q7" s="303" t="s">
        <v>725</v>
      </c>
      <c r="R7" s="303" t="s">
        <v>725</v>
      </c>
      <c r="S7" s="303"/>
    </row>
    <row r="8" spans="1:19" ht="33.75" customHeight="1" thickBot="1" x14ac:dyDescent="0.3">
      <c r="A8" s="497" t="s">
        <v>67</v>
      </c>
      <c r="B8" s="613"/>
      <c r="C8" s="1656" t="str">
        <f>CONCATENATE('3 pr-2'!D9)</f>
        <v/>
      </c>
      <c r="D8" s="1789" t="str">
        <f>CONCATENATE('3 pr-2'!E9)</f>
        <v/>
      </c>
      <c r="E8" s="1789" t="str">
        <f>CONCATENATE('3 pr-2'!F9)</f>
        <v/>
      </c>
      <c r="F8" s="1789" t="str">
        <f>CONCATENATE('3 pr-2'!G9)</f>
        <v/>
      </c>
      <c r="G8" s="1789" t="str">
        <f>CONCATENATE('3 pr-2'!H9)</f>
        <v/>
      </c>
      <c r="H8" s="1789" t="str">
        <f>CONCATENATE('3 pr-2'!I9)</f>
        <v/>
      </c>
      <c r="I8" s="1790" t="str">
        <f>CONCATENATE('3 pr-2'!J9)</f>
        <v/>
      </c>
      <c r="J8" s="629">
        <f>SUM(J9:J31)</f>
        <v>0</v>
      </c>
      <c r="K8" s="629">
        <f t="shared" ref="K8:O8" si="2">SUM(K9:K31)</f>
        <v>0</v>
      </c>
      <c r="L8" s="629">
        <f t="shared" si="2"/>
        <v>0</v>
      </c>
      <c r="M8" s="629">
        <f t="shared" si="2"/>
        <v>0</v>
      </c>
      <c r="N8" s="629">
        <f t="shared" si="2"/>
        <v>0</v>
      </c>
      <c r="O8" s="629">
        <f t="shared" si="2"/>
        <v>0</v>
      </c>
      <c r="P8" s="629"/>
      <c r="Q8" s="629"/>
      <c r="R8" s="629"/>
      <c r="S8" s="629"/>
    </row>
    <row r="9" spans="1:19" ht="36.75" x14ac:dyDescent="0.25">
      <c r="A9" s="316" t="str">
        <f>CONCATENATE('3 pr-2'!A10)</f>
        <v>1.1.1.1.1</v>
      </c>
      <c r="B9" s="473" t="str">
        <f>CONCATENATE('ketv. 2lent'!B9)</f>
        <v>20KI-KA-17-1-02616-PR001</v>
      </c>
      <c r="C9" s="316" t="str">
        <f>CONCATENATE('3 pr-2'!D10)</f>
        <v xml:space="preserve">Druskininkų savivaldybės Viečiūnų seniūnijos Ilgio ir Raigardo seniūnaitijų kelių būklės gerinimas  </v>
      </c>
      <c r="D9" s="316" t="str">
        <f>CONCATENATE('3 pr-2'!E10)</f>
        <v xml:space="preserve">Druskininkų savivaldybės administracija  </v>
      </c>
      <c r="E9" s="316" t="str">
        <f>CONCATENATE('3 pr-2'!F10)</f>
        <v>Lietuvos Respublikos žemės ūkio ministerija</v>
      </c>
      <c r="F9" s="316" t="str">
        <f>CONCATENATE('3 pr-2'!G10)</f>
        <v>Druskininkų savivaldybė</v>
      </c>
      <c r="G9" s="316" t="str">
        <f>CONCATENATE('3 pr-2'!H10)</f>
        <v xml:space="preserve">Pagrindinės paslaugos ir kaimų atnaujinimas kaimo vietovėse </v>
      </c>
      <c r="H9" s="316" t="str">
        <f>CONCATENATE('3 pr-2'!I10)</f>
        <v>R</v>
      </c>
      <c r="I9" s="316" t="str">
        <f>CONCATENATE('3 pr-2'!J10)</f>
        <v>-</v>
      </c>
      <c r="J9" s="293">
        <f>IF(V9&gt;0,'3 pr-2'!L10,0)</f>
        <v>0</v>
      </c>
      <c r="K9" s="293">
        <f>IF(V9&gt;0,'3 pr-2'!O10,0)</f>
        <v>0</v>
      </c>
      <c r="L9" s="293">
        <f>IF(V9&gt;0,'3 pr-2'!R10,0)</f>
        <v>0</v>
      </c>
      <c r="M9" s="293">
        <f>IF(V9&gt;0,'3 pr-2'!U10,0)</f>
        <v>0</v>
      </c>
      <c r="N9" s="293">
        <f>IF(V9&gt;0,'3 pr-2'!X10,0)</f>
        <v>0</v>
      </c>
      <c r="O9" s="293">
        <f>IF(V9&gt;0,'3 pr-2'!AA10,0)</f>
        <v>0</v>
      </c>
      <c r="P9" s="984">
        <f>SUM('3 pr-2'!AJ10)</f>
        <v>43465</v>
      </c>
      <c r="Q9" s="640"/>
      <c r="R9" s="291" t="str">
        <f t="shared" ref="R9:R31" si="3">IF(P9-Q9&lt;0,(P9-Q9)/365,"–")</f>
        <v>–</v>
      </c>
      <c r="S9" s="641">
        <f>IF(Q9&gt;0,(P9-Q9)/30.41667,0)</f>
        <v>0</v>
      </c>
    </row>
    <row r="10" spans="1:19" ht="36.75" x14ac:dyDescent="0.25">
      <c r="A10" s="255" t="str">
        <f>CONCATENATE('3 pr-2'!A11)</f>
        <v>1.1.1.1.2</v>
      </c>
      <c r="B10" s="473" t="str">
        <f>CONCATENATE('ketv. 2lent'!B10)</f>
        <v>20KI-KA-17-1-02617-PR001</v>
      </c>
      <c r="C10" s="255" t="str">
        <f>CONCATENATE('3 pr-2'!D11)</f>
        <v>Druskininkų savivaldybės Viečiūnų seniūnijos Ratnyčėlės seniūnaitijos kelių būklės gerinimas</v>
      </c>
      <c r="D10" s="255" t="str">
        <f>CONCATENATE('3 pr-2'!E11)</f>
        <v xml:space="preserve">Druskininkų savivaldybės administracija  </v>
      </c>
      <c r="E10" s="255" t="str">
        <f>CONCATENATE('3 pr-2'!F11)</f>
        <v>Lietuvos Respublikos žemės ūkio ministerija</v>
      </c>
      <c r="F10" s="255" t="str">
        <f>CONCATENATE('3 pr-2'!G11)</f>
        <v>Druskininkų savivaldybė</v>
      </c>
      <c r="G10" s="255" t="str">
        <f>CONCATENATE('3 pr-2'!H11)</f>
        <v xml:space="preserve">Pagrindinės paslaugos ir kaimų atnaujinimas kaimo vietovėse </v>
      </c>
      <c r="H10" s="255" t="str">
        <f>CONCATENATE('3 pr-2'!I11)</f>
        <v>R</v>
      </c>
      <c r="I10" s="255" t="str">
        <f>CONCATENATE('3 pr-2'!J11)</f>
        <v>-</v>
      </c>
      <c r="J10" s="474">
        <f>IF(V10&gt;0,'3 pr-2'!L11,0)</f>
        <v>0</v>
      </c>
      <c r="K10" s="474">
        <f>IF(V10&gt;0,'3 pr-2'!O11,0)</f>
        <v>0</v>
      </c>
      <c r="L10" s="474">
        <f>IF(V10&gt;0,'3 pr-2'!R11,0)</f>
        <v>0</v>
      </c>
      <c r="M10" s="474">
        <f>IF(V10&gt;0,'3 pr-2'!U11,0)</f>
        <v>0</v>
      </c>
      <c r="N10" s="474">
        <f>IF(V10&gt;0,'3 pr-2'!X11,0)</f>
        <v>0</v>
      </c>
      <c r="O10" s="474">
        <f>IF(V10&gt;0,'3 pr-2'!AA11,0)</f>
        <v>0</v>
      </c>
      <c r="P10" s="636">
        <f>SUM('3 pr-2'!AJ11)</f>
        <v>43465</v>
      </c>
      <c r="Q10" s="290"/>
      <c r="R10" s="291" t="str">
        <f t="shared" si="3"/>
        <v>–</v>
      </c>
      <c r="S10" s="291"/>
    </row>
    <row r="11" spans="1:19" ht="36.75" x14ac:dyDescent="0.25">
      <c r="A11" s="255" t="str">
        <f>CONCATENATE('3 pr-2'!A12)</f>
        <v>1.1.1.1.3</v>
      </c>
      <c r="B11" s="473" t="str">
        <f>CONCATENATE('ketv. 2lent'!B11)</f>
        <v>20KI-KA-17-1-02622-PR001</v>
      </c>
      <c r="C11" s="255" t="str">
        <f>CONCATENATE('3 pr-2'!D12)</f>
        <v>Druskininkų savivaldybės Leipalingio seniūnijos Klonio seniūnaitijos kelių būklės gerinimas</v>
      </c>
      <c r="D11" s="255" t="str">
        <f>CONCATENATE('3 pr-2'!E12)</f>
        <v xml:space="preserve">Druskininkų savivaldybės administracija  </v>
      </c>
      <c r="E11" s="255" t="str">
        <f>CONCATENATE('3 pr-2'!F12)</f>
        <v>Lietuvos Respublikos žemės ūkio ministerija</v>
      </c>
      <c r="F11" s="255" t="str">
        <f>CONCATENATE('3 pr-2'!G12)</f>
        <v>Druskininkų savivaldybė</v>
      </c>
      <c r="G11" s="255" t="str">
        <f>CONCATENATE('3 pr-2'!H12)</f>
        <v xml:space="preserve">Pagrindinės paslaugos ir kaimų atnaujinimas kaimo vietovėse </v>
      </c>
      <c r="H11" s="255" t="str">
        <f>CONCATENATE('3 pr-2'!I12)</f>
        <v>R</v>
      </c>
      <c r="I11" s="255" t="str">
        <f>CONCATENATE('3 pr-2'!J12)</f>
        <v>-</v>
      </c>
      <c r="J11" s="474">
        <f>IF(V11&gt;0,'3 pr-2'!L12,0)</f>
        <v>0</v>
      </c>
      <c r="K11" s="474">
        <f>IF(V11&gt;0,'3 pr-2'!O12,0)</f>
        <v>0</v>
      </c>
      <c r="L11" s="474">
        <f>IF(V11&gt;0,'3 pr-2'!R12,0)</f>
        <v>0</v>
      </c>
      <c r="M11" s="474">
        <f>IF(V11&gt;0,'3 pr-2'!U12,0)</f>
        <v>0</v>
      </c>
      <c r="N11" s="474">
        <f>IF(V11&gt;0,'3 pr-2'!X12,0)</f>
        <v>0</v>
      </c>
      <c r="O11" s="474">
        <f>IF(V11&gt;0,'3 pr-2'!AA12,0)</f>
        <v>0</v>
      </c>
      <c r="P11" s="636">
        <f>SUM('3 pr-2'!AJ12)</f>
        <v>43465</v>
      </c>
      <c r="Q11" s="290"/>
      <c r="R11" s="291" t="str">
        <f t="shared" si="3"/>
        <v>–</v>
      </c>
      <c r="S11" s="291"/>
    </row>
    <row r="12" spans="1:19" ht="24.75" x14ac:dyDescent="0.25">
      <c r="A12" s="255" t="str">
        <f>CONCATENATE('3 pr-2'!A13)</f>
        <v>1.1.1.1.4</v>
      </c>
      <c r="B12" s="473" t="str">
        <f>CONCATENATE('ketv. 2lent'!B12)</f>
        <v>20KI-KA-17-1-02368-PR001</v>
      </c>
      <c r="C12" s="255" t="str">
        <f>CONCATENATE('3 pr-2'!D13)</f>
        <v>Rudaminos laisvalaikio salės pritaikymas bendruomenės poreikiams ir liaudies amatų plėtrai</v>
      </c>
      <c r="D12" s="255" t="str">
        <f>CONCATENATE('3 pr-2'!E13)</f>
        <v>Viešoji įstaiga Lazdijų kultūros centras</v>
      </c>
      <c r="E12" s="255" t="str">
        <f>CONCATENATE('3 pr-2'!F13)</f>
        <v>Lietuvos Respublikos žemės ūkio ministerija</v>
      </c>
      <c r="F12" s="255" t="str">
        <f>CONCATENATE('3 pr-2'!G13)</f>
        <v>Lazdijų rajono savivaldybė</v>
      </c>
      <c r="G12" s="255" t="str">
        <f>CONCATENATE('3 pr-2'!H13)</f>
        <v xml:space="preserve">Pagrindinės paslaugos ir kaimų atnaujinimas kaimo vietovėse </v>
      </c>
      <c r="H12" s="255" t="str">
        <f>CONCATENATE('3 pr-2'!I13)</f>
        <v>R</v>
      </c>
      <c r="I12" s="255" t="str">
        <f>CONCATENATE('3 pr-2'!J13)</f>
        <v>-</v>
      </c>
      <c r="J12" s="474">
        <f>IF(V12&gt;0,'3 pr-2'!L13,0)</f>
        <v>0</v>
      </c>
      <c r="K12" s="474">
        <f>IF(V12&gt;0,'3 pr-2'!O13,0)</f>
        <v>0</v>
      </c>
      <c r="L12" s="474">
        <f>IF(V12&gt;0,'3 pr-2'!R13,0)</f>
        <v>0</v>
      </c>
      <c r="M12" s="474">
        <f>IF(V12&gt;0,'3 pr-2'!U13,0)</f>
        <v>0</v>
      </c>
      <c r="N12" s="474">
        <f>IF(V12&gt;0,'3 pr-2'!X13,0)</f>
        <v>0</v>
      </c>
      <c r="O12" s="474">
        <f>IF(V12&gt;0,'3 pr-2'!AA13,0)</f>
        <v>0</v>
      </c>
      <c r="P12" s="636">
        <f>SUM('3 pr-2'!AJ13)</f>
        <v>43373</v>
      </c>
      <c r="Q12" s="290"/>
      <c r="R12" s="291" t="str">
        <f t="shared" si="3"/>
        <v>–</v>
      </c>
      <c r="S12" s="291"/>
    </row>
    <row r="13" spans="1:19" ht="36.75" x14ac:dyDescent="0.25">
      <c r="A13" s="255" t="str">
        <f>CONCATENATE('3 pr-2'!A14)</f>
        <v>1.1.1.1.5</v>
      </c>
      <c r="B13" s="473" t="str">
        <f>CONCATENATE('ketv. 2lent'!B13)</f>
        <v>20KI-KA-17-1-02619-PR001</v>
      </c>
      <c r="C13" s="255" t="str">
        <f>CONCATENATE('3 pr-2'!D14)</f>
        <v>Druskininkų savivaldybės Leipalingio seniūnijos Bilso seniūnaitijos kelių būklės gerinimas</v>
      </c>
      <c r="D13" s="255" t="str">
        <f>CONCATENATE('3 pr-2'!E14)</f>
        <v xml:space="preserve">Druskininkų savivaldybės administracija  </v>
      </c>
      <c r="E13" s="255" t="str">
        <f>CONCATENATE('3 pr-2'!F14)</f>
        <v>Lietuvos Respublikos žemės ūkio ministerija</v>
      </c>
      <c r="F13" s="255" t="str">
        <f>CONCATENATE('3 pr-2'!G14)</f>
        <v>Druskininkų savivaldybė</v>
      </c>
      <c r="G13" s="255" t="str">
        <f>CONCATENATE('3 pr-2'!H14)</f>
        <v xml:space="preserve">Pagrindinės paslaugos ir kaimų atnaujinimas kaimo vietovėse </v>
      </c>
      <c r="H13" s="255" t="str">
        <f>CONCATENATE('3 pr-2'!I14)</f>
        <v>R</v>
      </c>
      <c r="I13" s="255" t="str">
        <f>CONCATENATE('3 pr-2'!J14)</f>
        <v>-</v>
      </c>
      <c r="J13" s="474">
        <f>IF(V13&gt;0,'3 pr-2'!L14,0)</f>
        <v>0</v>
      </c>
      <c r="K13" s="474">
        <f>IF(V13&gt;0,'3 pr-2'!O14,0)</f>
        <v>0</v>
      </c>
      <c r="L13" s="474">
        <f>IF(V13&gt;0,'3 pr-2'!R14,0)</f>
        <v>0</v>
      </c>
      <c r="M13" s="474">
        <f>IF(V13&gt;0,'3 pr-2'!U14,0)</f>
        <v>0</v>
      </c>
      <c r="N13" s="474">
        <f>IF(V13&gt;0,'3 pr-2'!X14,0)</f>
        <v>0</v>
      </c>
      <c r="O13" s="474">
        <f>IF(V13&gt;0,'3 pr-2'!AA14,0)</f>
        <v>0</v>
      </c>
      <c r="P13" s="636">
        <f>SUM('3 pr-2'!AJ14)</f>
        <v>43465</v>
      </c>
      <c r="Q13" s="290"/>
      <c r="R13" s="291" t="str">
        <f t="shared" si="3"/>
        <v>–</v>
      </c>
      <c r="S13" s="291"/>
    </row>
    <row r="14" spans="1:19" ht="48.75" x14ac:dyDescent="0.25">
      <c r="A14" s="255" t="str">
        <f>CONCATENATE('3 pr-2'!A15)</f>
        <v>1.1.1.1.6</v>
      </c>
      <c r="B14" s="473" t="str">
        <f>CONCATENATE('ketv. 2lent'!B14)</f>
        <v>20KI-KA-17-1-02374-PR001</v>
      </c>
      <c r="C14" s="255" t="str">
        <f>CONCATENATE('3 pr-2'!D15)</f>
        <v>Lazdijų rajono kaimų patrauklumo didinimas atnaujinant bibliotekas</v>
      </c>
      <c r="D14" s="255" t="str">
        <f>CONCATENATE('3 pr-2'!E15)</f>
        <v xml:space="preserve">Biudžetinė įstaiga Lazdijų rajono savivaldybės viešoji biblioteka </v>
      </c>
      <c r="E14" s="255" t="str">
        <f>CONCATENATE('3 pr-2'!F15)</f>
        <v>Lietuvos Respublikos žemės ūkio ministerija</v>
      </c>
      <c r="F14" s="255" t="str">
        <f>CONCATENATE('3 pr-2'!G15)</f>
        <v>Lazdijų rajono savivaldybė</v>
      </c>
      <c r="G14" s="255" t="str">
        <f>CONCATENATE('3 pr-2'!H15)</f>
        <v xml:space="preserve">Pagrindinės paslaugos ir kaimų atnaujinimas kaimo vietovėse </v>
      </c>
      <c r="H14" s="255" t="str">
        <f>CONCATENATE('3 pr-2'!I15)</f>
        <v>R</v>
      </c>
      <c r="I14" s="255" t="str">
        <f>CONCATENATE('3 pr-2'!J15)</f>
        <v>-</v>
      </c>
      <c r="J14" s="474">
        <f>IF(V14&gt;0,'3 pr-2'!L15,0)</f>
        <v>0</v>
      </c>
      <c r="K14" s="474">
        <f>IF(V14&gt;0,'3 pr-2'!O15,0)</f>
        <v>0</v>
      </c>
      <c r="L14" s="474">
        <f>IF(V14&gt;0,'3 pr-2'!R15,0)</f>
        <v>0</v>
      </c>
      <c r="M14" s="474">
        <f>IF(V14&gt;0,'3 pr-2'!U15,0)</f>
        <v>0</v>
      </c>
      <c r="N14" s="474">
        <f>IF(V14&gt;0,'3 pr-2'!X15,0)</f>
        <v>0</v>
      </c>
      <c r="O14" s="474">
        <f>IF(V14&gt;0,'3 pr-2'!AA15,0)</f>
        <v>0</v>
      </c>
      <c r="P14" s="892">
        <f>SUM('3 pr-2'!AJ15)</f>
        <v>43373</v>
      </c>
      <c r="Q14" s="290"/>
      <c r="R14" s="291" t="str">
        <f t="shared" si="3"/>
        <v>–</v>
      </c>
      <c r="S14" s="291"/>
    </row>
    <row r="15" spans="1:19" ht="36.75" x14ac:dyDescent="0.25">
      <c r="A15" s="255" t="str">
        <f>CONCATENATE('3 pr-2'!A16)</f>
        <v>1.1.1.1.7</v>
      </c>
      <c r="B15" s="473" t="str">
        <f>CONCATENATE('ketv. 2lent'!B15)</f>
        <v>20KI-KA-17-1-02437-PR001</v>
      </c>
      <c r="C15" s="255" t="str">
        <f>CONCATENATE('3 pr-2'!D16)</f>
        <v>Alytaus rajono Miroslavo kaimo multifunkcinės sporto aikštės įrengimas ir gatvių bei šaligatvių rekonstrukcija</v>
      </c>
      <c r="D15" s="255" t="str">
        <f>CONCATENATE('3 pr-2'!E16)</f>
        <v>Alytaus rajono savivaldybės administracija</v>
      </c>
      <c r="E15" s="255" t="str">
        <f>CONCATENATE('3 pr-2'!F16)</f>
        <v>Lietuvos Respublikos žemės ūkio ministerija</v>
      </c>
      <c r="F15" s="255" t="str">
        <f>CONCATENATE('3 pr-2'!G16)</f>
        <v>Alytaus rajono savivaldybė</v>
      </c>
      <c r="G15" s="255" t="str">
        <f>CONCATENATE('3 pr-2'!H16)</f>
        <v xml:space="preserve">Pagrindinės paslaugos ir kaimų atnaujinimas kaimo vietovėse </v>
      </c>
      <c r="H15" s="255" t="str">
        <f>CONCATENATE('3 pr-2'!I16)</f>
        <v>R</v>
      </c>
      <c r="I15" s="255" t="str">
        <f>CONCATENATE('3 pr-2'!J16)</f>
        <v>-</v>
      </c>
      <c r="J15" s="474">
        <f>IF(V15&gt;0,'3 pr-2'!L16,0)</f>
        <v>0</v>
      </c>
      <c r="K15" s="474">
        <f>IF(V15&gt;0,'3 pr-2'!O16,0)</f>
        <v>0</v>
      </c>
      <c r="L15" s="474">
        <f>IF(V15&gt;0,'3 pr-2'!R16,0)</f>
        <v>0</v>
      </c>
      <c r="M15" s="474">
        <f>IF(V15&gt;0,'3 pr-2'!U16,0)</f>
        <v>0</v>
      </c>
      <c r="N15" s="474">
        <f>IF(V15&gt;0,'3 pr-2'!X16,0)</f>
        <v>0</v>
      </c>
      <c r="O15" s="474">
        <f>IF(V15&gt;0,'3 pr-2'!AA16,0)</f>
        <v>0</v>
      </c>
      <c r="P15" s="636">
        <f>SUM('3 pr-2'!AJ16)</f>
        <v>43465</v>
      </c>
      <c r="Q15" s="290"/>
      <c r="R15" s="291" t="str">
        <f t="shared" si="3"/>
        <v>–</v>
      </c>
      <c r="S15" s="291"/>
    </row>
    <row r="16" spans="1:19" ht="36.75" x14ac:dyDescent="0.25">
      <c r="A16" s="255" t="str">
        <f>CONCATENATE('3 pr-2'!A17)</f>
        <v>1.1.1.1.8</v>
      </c>
      <c r="B16" s="473" t="str">
        <f>CONCATENATE('ketv. 2lent'!B16)</f>
        <v>20KI-KA-17-1-02242-PR001</v>
      </c>
      <c r="C16" s="255" t="str">
        <f>CONCATENATE('3 pr-2'!D17)</f>
        <v>Alytaus rajono Luksnėnų kaimo multifunkcinės sporto aikštės įrengimas ir gatvių rekonstrukcija</v>
      </c>
      <c r="D16" s="255" t="str">
        <f>CONCATENATE('3 pr-2'!E17)</f>
        <v>Alytaus rajono savivaldybės administracija</v>
      </c>
      <c r="E16" s="255" t="str">
        <f>CONCATENATE('3 pr-2'!F17)</f>
        <v>Lietuvos Respublikos žemės ūkio ministerija</v>
      </c>
      <c r="F16" s="255" t="str">
        <f>CONCATENATE('3 pr-2'!G17)</f>
        <v>Alytaus rajono savivaldybė</v>
      </c>
      <c r="G16" s="255" t="str">
        <f>CONCATENATE('3 pr-2'!H17)</f>
        <v xml:space="preserve">Pagrindinės paslaugos ir kaimų atnaujinimas kaimo vietovėse </v>
      </c>
      <c r="H16" s="255" t="str">
        <f>CONCATENATE('3 pr-2'!I17)</f>
        <v>R</v>
      </c>
      <c r="I16" s="255" t="str">
        <f>CONCATENATE('3 pr-2'!J17)</f>
        <v>-</v>
      </c>
      <c r="J16" s="474">
        <f>IF(V16&gt;0,'3 pr-2'!L17,0)</f>
        <v>0</v>
      </c>
      <c r="K16" s="474">
        <f>IF(V16&gt;0,'3 pr-2'!O17,0)</f>
        <v>0</v>
      </c>
      <c r="L16" s="474">
        <f>IF(V16&gt;0,'3 pr-2'!R17,0)</f>
        <v>0</v>
      </c>
      <c r="M16" s="474">
        <f>IF(V16&gt;0,'3 pr-2'!U17,0)</f>
        <v>0</v>
      </c>
      <c r="N16" s="474">
        <f>IF(V16&gt;0,'3 pr-2'!X17,0)</f>
        <v>0</v>
      </c>
      <c r="O16" s="474">
        <f>IF(V16&gt;0,'3 pr-2'!AA17,0)</f>
        <v>0</v>
      </c>
      <c r="P16" s="636">
        <f>SUM('3 pr-2'!AJ17)</f>
        <v>43465</v>
      </c>
      <c r="Q16" s="290"/>
      <c r="R16" s="291" t="str">
        <f t="shared" si="3"/>
        <v>–</v>
      </c>
      <c r="S16" s="291"/>
    </row>
    <row r="17" spans="1:19" ht="24.75" x14ac:dyDescent="0.25">
      <c r="A17" s="255" t="str">
        <f>CONCATENATE('3 pr-2'!A18)</f>
        <v>1.1.1.1.9</v>
      </c>
      <c r="B17" s="473" t="str">
        <f>CONCATENATE('ketv. 2lent'!B17)</f>
        <v>20KI-KA-17-1-02372-PR001</v>
      </c>
      <c r="C17" s="255" t="str">
        <f>CONCATENATE('3 pr-2'!D18)</f>
        <v>Krikštonių laisvalaikio salės pritaikymas bendruomenės poreikiams</v>
      </c>
      <c r="D17" s="255" t="str">
        <f>CONCATENATE('3 pr-2'!E18)</f>
        <v xml:space="preserve">Viešoji įstaiga Lazdijų kultūros centras </v>
      </c>
      <c r="E17" s="255" t="str">
        <f>CONCATENATE('3 pr-2'!F18)</f>
        <v>Lietuvos Respublikos žemės ūkio ministerija</v>
      </c>
      <c r="F17" s="255" t="str">
        <f>CONCATENATE('3 pr-2'!G18)</f>
        <v>Lazdijų rajono savivaldybė</v>
      </c>
      <c r="G17" s="255" t="str">
        <f>CONCATENATE('3 pr-2'!H18)</f>
        <v xml:space="preserve">Pagrindinės paslaugos ir kaimų atnaujinimas kaimo vietovėse </v>
      </c>
      <c r="H17" s="255" t="str">
        <f>CONCATENATE('3 pr-2'!I18)</f>
        <v>R</v>
      </c>
      <c r="I17" s="255" t="str">
        <f>CONCATENATE('3 pr-2'!J18)</f>
        <v>-</v>
      </c>
      <c r="J17" s="474">
        <f>IF(V17&gt;0,'3 pr-2'!L18,0)</f>
        <v>0</v>
      </c>
      <c r="K17" s="474">
        <f>IF(V17&gt;0,'3 pr-2'!O18,0)</f>
        <v>0</v>
      </c>
      <c r="L17" s="474">
        <f>IF(V17&gt;0,'3 pr-2'!R18,0)</f>
        <v>0</v>
      </c>
      <c r="M17" s="474">
        <f>IF(V17&gt;0,'3 pr-2'!U18,0)</f>
        <v>0</v>
      </c>
      <c r="N17" s="474">
        <f>IF(V17&gt;0,'3 pr-2'!X18,0)</f>
        <v>0</v>
      </c>
      <c r="O17" s="474">
        <f>IF(V17&gt;0,'3 pr-2'!AA18,0)</f>
        <v>0</v>
      </c>
      <c r="P17" s="636">
        <f>SUM('3 pr-2'!AJ18)</f>
        <v>43373</v>
      </c>
      <c r="Q17" s="290"/>
      <c r="R17" s="291" t="str">
        <f t="shared" si="3"/>
        <v>–</v>
      </c>
      <c r="S17" s="291"/>
    </row>
    <row r="18" spans="1:19" ht="24.75" x14ac:dyDescent="0.25">
      <c r="A18" s="255" t="str">
        <f>CONCATENATE('3 pr-2'!A19)</f>
        <v>1.1.1.1.10</v>
      </c>
      <c r="B18" s="473" t="str">
        <f>CONCATENATE('ketv. 2lent'!B18)</f>
        <v>20KI-KA-17-1-02370-PR001</v>
      </c>
      <c r="C18" s="255" t="str">
        <f>CONCATENATE('3 pr-2'!D19)</f>
        <v>Kučiūnų laisvalaikio salės pritaikymas bendruomenės poreikiams</v>
      </c>
      <c r="D18" s="255" t="str">
        <f>CONCATENATE('3 pr-2'!E19)</f>
        <v xml:space="preserve">Viešoji įstaiga Lazdijų kultūros centras </v>
      </c>
      <c r="E18" s="255" t="str">
        <f>CONCATENATE('3 pr-2'!F19)</f>
        <v>Lietuvos Respublikos žemės ūkio ministerija</v>
      </c>
      <c r="F18" s="255" t="str">
        <f>CONCATENATE('3 pr-2'!G19)</f>
        <v>Lazdijų rajono savivaldybė</v>
      </c>
      <c r="G18" s="255" t="str">
        <f>CONCATENATE('3 pr-2'!H19)</f>
        <v xml:space="preserve">Pagrindinės paslaugos ir kaimų atnaujinimas kaimo vietovėse </v>
      </c>
      <c r="H18" s="255" t="str">
        <f>CONCATENATE('3 pr-2'!I19)</f>
        <v>R</v>
      </c>
      <c r="I18" s="255" t="str">
        <f>CONCATENATE('3 pr-2'!J19)</f>
        <v>-</v>
      </c>
      <c r="J18" s="474">
        <f>IF(V18&gt;0,'3 pr-2'!L19,0)</f>
        <v>0</v>
      </c>
      <c r="K18" s="474">
        <f>IF(V18&gt;0,'3 pr-2'!O19,0)</f>
        <v>0</v>
      </c>
      <c r="L18" s="474">
        <f>IF(V18&gt;0,'3 pr-2'!R19,0)</f>
        <v>0</v>
      </c>
      <c r="M18" s="474">
        <f>IF(V18&gt;0,'3 pr-2'!U19,0)</f>
        <v>0</v>
      </c>
      <c r="N18" s="474">
        <f>IF(V18&gt;0,'3 pr-2'!X19,0)</f>
        <v>0</v>
      </c>
      <c r="O18" s="474">
        <f>IF(V18&gt;0,'3 pr-2'!AA19,0)</f>
        <v>0</v>
      </c>
      <c r="P18" s="636">
        <f>SUM('3 pr-2'!AJ19)</f>
        <v>43291</v>
      </c>
      <c r="Q18" s="290"/>
      <c r="R18" s="291" t="str">
        <f t="shared" si="3"/>
        <v>–</v>
      </c>
      <c r="S18" s="291"/>
    </row>
    <row r="19" spans="1:19" ht="36.75" x14ac:dyDescent="0.25">
      <c r="A19" s="255" t="str">
        <f>CONCATENATE('3 pr-2'!A20)</f>
        <v>1.1.1.1.11</v>
      </c>
      <c r="B19" s="473" t="str">
        <f>CONCATENATE('ketv. 2lent'!B19)</f>
        <v>20KI-KA-17-1-02354-PR001</v>
      </c>
      <c r="C19" s="255" t="str">
        <f>CONCATENATE('3 pr-2'!D20)</f>
        <v>Laisvalaikio infrastruktūros sukūrimas Lazdijų rajono kaimo gyvenamosiose vietovėse</v>
      </c>
      <c r="D19" s="255" t="str">
        <f>CONCATENATE('3 pr-2'!E20)</f>
        <v>Lazdijų rajono savivaldybės administracija</v>
      </c>
      <c r="E19" s="255" t="str">
        <f>CONCATENATE('3 pr-2'!F20)</f>
        <v>Lietuvos Respublikos žemės ūkio ministerija</v>
      </c>
      <c r="F19" s="255" t="str">
        <f>CONCATENATE('3 pr-2'!G20)</f>
        <v>Lazdijų rajono savivaldybė</v>
      </c>
      <c r="G19" s="255" t="str">
        <f>CONCATENATE('3 pr-2'!H20)</f>
        <v xml:space="preserve">Pagrindinės paslaugos ir kaimų atnaujinimas kaimo vietovėse </v>
      </c>
      <c r="H19" s="255" t="str">
        <f>CONCATENATE('3 pr-2'!I20)</f>
        <v>R</v>
      </c>
      <c r="I19" s="255" t="str">
        <f>CONCATENATE('3 pr-2'!J20)</f>
        <v>-</v>
      </c>
      <c r="J19" s="474">
        <f>IF(V19&gt;0,'3 pr-2'!L20,0)</f>
        <v>0</v>
      </c>
      <c r="K19" s="474">
        <f>IF(V19&gt;0,'3 pr-2'!O20,0)</f>
        <v>0</v>
      </c>
      <c r="L19" s="474">
        <f>IF(V19&gt;0,'3 pr-2'!R20,0)</f>
        <v>0</v>
      </c>
      <c r="M19" s="474">
        <f>IF(V19&gt;0,'3 pr-2'!U20,0)</f>
        <v>0</v>
      </c>
      <c r="N19" s="474">
        <f>IF(V19&gt;0,'3 pr-2'!X20,0)</f>
        <v>0</v>
      </c>
      <c r="O19" s="474">
        <f>IF(V19&gt;0,'3 pr-2'!AA20,0)</f>
        <v>0</v>
      </c>
      <c r="P19" s="636">
        <f>SUM('3 pr-2'!AJ20)</f>
        <v>43292</v>
      </c>
      <c r="Q19" s="290"/>
      <c r="R19" s="291" t="str">
        <f t="shared" si="3"/>
        <v>–</v>
      </c>
      <c r="S19" s="291"/>
    </row>
    <row r="20" spans="1:19" ht="36.75" x14ac:dyDescent="0.25">
      <c r="A20" s="255" t="str">
        <f>CONCATENATE('3 pr-2'!A21)</f>
        <v>1.1.1.1.12</v>
      </c>
      <c r="B20" s="473" t="str">
        <f>CONCATENATE('ketv. 2lent'!B20)</f>
        <v>20KI-KA-17-1-02470-PR001</v>
      </c>
      <c r="C20" s="255" t="str">
        <f>CONCATENATE('3 pr-2'!D21)</f>
        <v>Alytaus rajono Butrimonių miestelio šaligatvių kapitalinis remontas ir gyvenvietės apšvietimo įrengimas</v>
      </c>
      <c r="D20" s="255" t="str">
        <f>CONCATENATE('3 pr-2'!E21)</f>
        <v>Alytaus rajono savivaldybės administracija</v>
      </c>
      <c r="E20" s="255" t="str">
        <f>CONCATENATE('3 pr-2'!F21)</f>
        <v>Lietuvos Respublikos žemės ūkio ministerija</v>
      </c>
      <c r="F20" s="255" t="str">
        <f>CONCATENATE('3 pr-2'!G21)</f>
        <v>Alytaus rajono savivaldybė</v>
      </c>
      <c r="G20" s="255" t="str">
        <f>CONCATENATE('3 pr-2'!H21)</f>
        <v xml:space="preserve">Pagrindinės paslaugos ir kaimų atnaujinimas kaimo vietovėse </v>
      </c>
      <c r="H20" s="255" t="str">
        <f>CONCATENATE('3 pr-2'!I21)</f>
        <v>R</v>
      </c>
      <c r="I20" s="255" t="str">
        <f>CONCATENATE('3 pr-2'!J21)</f>
        <v>-</v>
      </c>
      <c r="J20" s="474">
        <f>IF(V20&gt;0,'3 pr-2'!L21,0)</f>
        <v>0</v>
      </c>
      <c r="K20" s="474">
        <f>IF(V20&gt;0,'3 pr-2'!O21,0)</f>
        <v>0</v>
      </c>
      <c r="L20" s="474">
        <f>IF(V20&gt;0,'3 pr-2'!R21,0)</f>
        <v>0</v>
      </c>
      <c r="M20" s="474">
        <f>IF(V20&gt;0,'3 pr-2'!U21,0)</f>
        <v>0</v>
      </c>
      <c r="N20" s="474">
        <f>IF(V20&gt;0,'3 pr-2'!X21,0)</f>
        <v>0</v>
      </c>
      <c r="O20" s="474">
        <f>IF(V20&gt;0,'3 pr-2'!AA21,0)</f>
        <v>0</v>
      </c>
      <c r="P20" s="636">
        <f>SUM('3 pr-2'!AJ21)</f>
        <v>43465</v>
      </c>
      <c r="Q20" s="290"/>
      <c r="R20" s="291" t="str">
        <f t="shared" si="3"/>
        <v>–</v>
      </c>
      <c r="S20" s="291"/>
    </row>
    <row r="21" spans="1:19" ht="36.75" x14ac:dyDescent="0.25">
      <c r="A21" s="255" t="str">
        <f>CONCATENATE('3 pr-2'!A22)</f>
        <v>1.1.1.1.13</v>
      </c>
      <c r="B21" s="473" t="str">
        <f>CONCATENATE('ketv. 2lent'!B21)</f>
        <v>20KI-KA-17-1-02438-PR001</v>
      </c>
      <c r="C21" s="255" t="str">
        <f>CONCATENATE('3 pr-2'!D22)</f>
        <v>Alytaus rajono Genių kaimo sporto aikštės įrengimas ir gatvių rekonstrukcija</v>
      </c>
      <c r="D21" s="255" t="str">
        <f>CONCATENATE('3 pr-2'!E22)</f>
        <v>Alytaus rajono savivaldybės administracija</v>
      </c>
      <c r="E21" s="255" t="str">
        <f>CONCATENATE('3 pr-2'!F22)</f>
        <v>Lietuvos Respublikos žemės ūkio ministerija</v>
      </c>
      <c r="F21" s="255" t="str">
        <f>CONCATENATE('3 pr-2'!G22)</f>
        <v>Alytaus rajono savivaldybė</v>
      </c>
      <c r="G21" s="255" t="str">
        <f>CONCATENATE('3 pr-2'!H22)</f>
        <v xml:space="preserve">Pagrindinės paslaugos ir kaimų atnaujinimas kaimo vietovėse </v>
      </c>
      <c r="H21" s="255" t="str">
        <f>CONCATENATE('3 pr-2'!I22)</f>
        <v>R</v>
      </c>
      <c r="I21" s="255" t="str">
        <f>CONCATENATE('3 pr-2'!J22)</f>
        <v>-</v>
      </c>
      <c r="J21" s="474">
        <f>IF(V21&gt;0,'3 pr-2'!L22,0)</f>
        <v>0</v>
      </c>
      <c r="K21" s="474">
        <f>IF(V21&gt;0,'3 pr-2'!O22,0)</f>
        <v>0</v>
      </c>
      <c r="L21" s="474">
        <f>IF(V21&gt;0,'3 pr-2'!R22,0)</f>
        <v>0</v>
      </c>
      <c r="M21" s="474">
        <f>IF(V21&gt;0,'3 pr-2'!U22,0)</f>
        <v>0</v>
      </c>
      <c r="N21" s="474">
        <f>IF(V21&gt;0,'3 pr-2'!X22,0)</f>
        <v>0</v>
      </c>
      <c r="O21" s="474">
        <f>IF(V21&gt;0,'3 pr-2'!AA22,0)</f>
        <v>0</v>
      </c>
      <c r="P21" s="636">
        <f>SUM('3 pr-2'!AJ22)</f>
        <v>43465</v>
      </c>
      <c r="Q21" s="290"/>
      <c r="R21" s="291" t="str">
        <f t="shared" si="3"/>
        <v>–</v>
      </c>
      <c r="S21" s="291"/>
    </row>
    <row r="22" spans="1:19" ht="36.75" x14ac:dyDescent="0.25">
      <c r="A22" s="255" t="str">
        <f>CONCATENATE('3 pr-2'!A23)</f>
        <v>1.1.1.1.14</v>
      </c>
      <c r="B22" s="473" t="str">
        <f>CONCATENATE('ketv. 2lent'!B22)</f>
        <v>20KI-KA-17-1-01647-PR001</v>
      </c>
      <c r="C22" s="255" t="str">
        <f>CONCATENATE('3 pr-2'!D23)</f>
        <v>Varėnos r. Dargužių kaimo Liepų gatvės ir viešosios erdvės įrengimas</v>
      </c>
      <c r="D22" s="255" t="str">
        <f>CONCATENATE('3 pr-2'!E23)</f>
        <v xml:space="preserve">Varėnos rajono savivaldybės administracija </v>
      </c>
      <c r="E22" s="255" t="str">
        <f>CONCATENATE('3 pr-2'!F23)</f>
        <v>Lietuvos Respublikos žemės ūkio ministerija</v>
      </c>
      <c r="F22" s="255" t="str">
        <f>CONCATENATE('3 pr-2'!G23)</f>
        <v>Varėnos rajono savivaldybė</v>
      </c>
      <c r="G22" s="255" t="str">
        <f>CONCATENATE('3 pr-2'!H23)</f>
        <v xml:space="preserve">Pagrindinės paslaugos ir kaimų atnaujinimas kaimo vietovėse </v>
      </c>
      <c r="H22" s="255" t="str">
        <f>CONCATENATE('3 pr-2'!I23)</f>
        <v>R</v>
      </c>
      <c r="I22" s="255" t="str">
        <f>CONCATENATE('3 pr-2'!J23)</f>
        <v>-</v>
      </c>
      <c r="J22" s="474">
        <f>IF(V22&gt;0,'3 pr-2'!L23,0)</f>
        <v>0</v>
      </c>
      <c r="K22" s="474">
        <f>IF(V22&gt;0,'3 pr-2'!O23,0)</f>
        <v>0</v>
      </c>
      <c r="L22" s="474">
        <f>IF(V22&gt;0,'3 pr-2'!R23,0)</f>
        <v>0</v>
      </c>
      <c r="M22" s="474">
        <f>IF(V22&gt;0,'3 pr-2'!U23,0)</f>
        <v>0</v>
      </c>
      <c r="N22" s="474">
        <f>IF(V22&gt;0,'3 pr-2'!X23,0)</f>
        <v>0</v>
      </c>
      <c r="O22" s="474">
        <f>IF(V22&gt;0,'3 pr-2'!AA23,0)</f>
        <v>0</v>
      </c>
      <c r="P22" s="636">
        <f>SUM('3 pr-2'!AJ23)</f>
        <v>43830</v>
      </c>
      <c r="Q22" s="290"/>
      <c r="R22" s="291" t="str">
        <f t="shared" si="3"/>
        <v>–</v>
      </c>
      <c r="S22" s="291"/>
    </row>
    <row r="23" spans="1:19" ht="36.75" x14ac:dyDescent="0.25">
      <c r="A23" s="255" t="str">
        <f>CONCATENATE('3 pr-2'!A24)</f>
        <v>1.1.1.1.15</v>
      </c>
      <c r="B23" s="473" t="str">
        <f>CONCATENATE('ketv. 2lent'!B23)</f>
        <v>20KI-KA-17-1-02469-PR001</v>
      </c>
      <c r="C23" s="255" t="str">
        <f>CONCATENATE('3 pr-2'!D24)</f>
        <v>Alytaus rajono Vaisodžių kaimo sporto aikštės įrengimas ir gatvių apšvietimo atnaujinimas bei plėtra</v>
      </c>
      <c r="D23" s="255" t="str">
        <f>CONCATENATE('3 pr-2'!E24)</f>
        <v>Alytaus rajono savivaldybės administracija</v>
      </c>
      <c r="E23" s="255" t="str">
        <f>CONCATENATE('3 pr-2'!F24)</f>
        <v>Lietuvos Respublikos žemės ūkio ministerija</v>
      </c>
      <c r="F23" s="255" t="str">
        <f>CONCATENATE('3 pr-2'!G24)</f>
        <v>Alytaus rajono savivaldybė</v>
      </c>
      <c r="G23" s="255" t="str">
        <f>CONCATENATE('3 pr-2'!H24)</f>
        <v xml:space="preserve">Pagrindinės paslaugos ir kaimų atnaujinimas kaimo vietovėse </v>
      </c>
      <c r="H23" s="255" t="str">
        <f>CONCATENATE('3 pr-2'!I24)</f>
        <v>R</v>
      </c>
      <c r="I23" s="255" t="str">
        <f>CONCATENATE('3 pr-2'!J24)</f>
        <v>-</v>
      </c>
      <c r="J23" s="474">
        <f>IF(V23&gt;0,'3 pr-2'!L24,0)</f>
        <v>0</v>
      </c>
      <c r="K23" s="474">
        <f>IF(V23&gt;0,'3 pr-2'!O24,0)</f>
        <v>0</v>
      </c>
      <c r="L23" s="474">
        <f>IF(V23&gt;0,'3 pr-2'!R24,0)</f>
        <v>0</v>
      </c>
      <c r="M23" s="474">
        <f>IF(V23&gt;0,'3 pr-2'!U24,0)</f>
        <v>0</v>
      </c>
      <c r="N23" s="474">
        <f>IF(V23&gt;0,'3 pr-2'!X24,0)</f>
        <v>0</v>
      </c>
      <c r="O23" s="474">
        <f>IF(V23&gt;0,'3 pr-2'!AA24,0)</f>
        <v>0</v>
      </c>
      <c r="P23" s="636">
        <f>SUM('3 pr-2'!AJ24)</f>
        <v>43465</v>
      </c>
      <c r="Q23" s="290"/>
      <c r="R23" s="291" t="str">
        <f t="shared" si="3"/>
        <v>–</v>
      </c>
      <c r="S23" s="291"/>
    </row>
    <row r="24" spans="1:19" ht="36.75" x14ac:dyDescent="0.25">
      <c r="A24" s="255" t="str">
        <f>CONCATENATE('3 pr-2'!A25)</f>
        <v>1.1.1.1.16</v>
      </c>
      <c r="B24" s="473" t="str">
        <f>CONCATENATE('ketv. 2lent'!B24)</f>
        <v>20KI-KA-17-1-02240-PR001</v>
      </c>
      <c r="C24" s="255" t="str">
        <f>CONCATENATE('3 pr-2'!D25)</f>
        <v>Alytaus rajono Talokių kaimo sporto aikštės įrengimas ir Plytinės gatvės apšvietimas</v>
      </c>
      <c r="D24" s="255" t="str">
        <f>CONCATENATE('3 pr-2'!E25)</f>
        <v>Alytaus rajono savivaldybės administracija</v>
      </c>
      <c r="E24" s="255" t="str">
        <f>CONCATENATE('3 pr-2'!F25)</f>
        <v>Lietuvos Respublikos žemės ūkio ministerija</v>
      </c>
      <c r="F24" s="255" t="str">
        <f>CONCATENATE('3 pr-2'!G25)</f>
        <v>Alytaus rajono savivaldybė</v>
      </c>
      <c r="G24" s="255" t="str">
        <f>CONCATENATE('3 pr-2'!H25)</f>
        <v xml:space="preserve">Pagrindinės paslaugos ir kaimų atnaujinimas kaimo vietovėse </v>
      </c>
      <c r="H24" s="255" t="str">
        <f>CONCATENATE('3 pr-2'!I25)</f>
        <v>R</v>
      </c>
      <c r="I24" s="255" t="str">
        <f>CONCATENATE('3 pr-2'!J25)</f>
        <v>-</v>
      </c>
      <c r="J24" s="474">
        <f>IF(V24&gt;0,'3 pr-2'!L25,0)</f>
        <v>0</v>
      </c>
      <c r="K24" s="474">
        <f>IF(V24&gt;0,'3 pr-2'!O25,0)</f>
        <v>0</v>
      </c>
      <c r="L24" s="474">
        <f>IF(V24&gt;0,'3 pr-2'!R25,0)</f>
        <v>0</v>
      </c>
      <c r="M24" s="474">
        <f>IF(V24&gt;0,'3 pr-2'!U25,0)</f>
        <v>0</v>
      </c>
      <c r="N24" s="474">
        <f>IF(V24&gt;0,'3 pr-2'!X25,0)</f>
        <v>0</v>
      </c>
      <c r="O24" s="474">
        <f>IF(V24&gt;0,'3 pr-2'!AA25,0)</f>
        <v>0</v>
      </c>
      <c r="P24" s="636">
        <f>SUM('3 pr-2'!AJ25)</f>
        <v>43465</v>
      </c>
      <c r="Q24" s="290"/>
      <c r="R24" s="291" t="str">
        <f t="shared" si="3"/>
        <v>–</v>
      </c>
      <c r="S24" s="291"/>
    </row>
    <row r="25" spans="1:19" ht="36.75" x14ac:dyDescent="0.25">
      <c r="A25" s="255" t="str">
        <f>CONCATENATE('3 pr-2'!A26)</f>
        <v>1.1.1.1.17</v>
      </c>
      <c r="B25" s="473" t="str">
        <f>CONCATENATE('ketv. 2lent'!B25)</f>
        <v>20KI-KA-17-1-01639-PR001</v>
      </c>
      <c r="C25" s="255" t="str">
        <f>CONCATENATE('3 pr-2'!D26)</f>
        <v>Varėnos r. Rudnios kaimo Pušyno gatvės įrengimas</v>
      </c>
      <c r="D25" s="255" t="str">
        <f>CONCATENATE('3 pr-2'!E26)</f>
        <v xml:space="preserve">Varėnos rajono savivaldybės administracija </v>
      </c>
      <c r="E25" s="255" t="str">
        <f>CONCATENATE('3 pr-2'!F26)</f>
        <v>Lietuvos Respublikos žemės ūkio ministerija</v>
      </c>
      <c r="F25" s="255" t="str">
        <f>CONCATENATE('3 pr-2'!G26)</f>
        <v>Varėnos rajono savivaldybė</v>
      </c>
      <c r="G25" s="255" t="str">
        <f>CONCATENATE('3 pr-2'!H26)</f>
        <v xml:space="preserve">Pagrindinės paslaugos ir kaimų atnaujinimas kaimo vietovėse </v>
      </c>
      <c r="H25" s="255" t="str">
        <f>CONCATENATE('3 pr-2'!I26)</f>
        <v>R</v>
      </c>
      <c r="I25" s="255" t="str">
        <f>CONCATENATE('3 pr-2'!J26)</f>
        <v>-</v>
      </c>
      <c r="J25" s="474">
        <f>IF(V25&gt;0,'3 pr-2'!L26,0)</f>
        <v>0</v>
      </c>
      <c r="K25" s="474">
        <f>IF(V25&gt;0,'3 pr-2'!O26,0)</f>
        <v>0</v>
      </c>
      <c r="L25" s="474">
        <f>IF(V25&gt;0,'3 pr-2'!R26,0)</f>
        <v>0</v>
      </c>
      <c r="M25" s="474">
        <f>IF(V25&gt;0,'3 pr-2'!U26,0)</f>
        <v>0</v>
      </c>
      <c r="N25" s="474">
        <f>IF(V25&gt;0,'3 pr-2'!X26,0)</f>
        <v>0</v>
      </c>
      <c r="O25" s="474">
        <f>IF(V25&gt;0,'3 pr-2'!AA26,0)</f>
        <v>0</v>
      </c>
      <c r="P25" s="636">
        <f>SUM('3 pr-2'!AJ26)</f>
        <v>43830</v>
      </c>
      <c r="Q25" s="290"/>
      <c r="R25" s="291" t="str">
        <f t="shared" si="3"/>
        <v>–</v>
      </c>
      <c r="S25" s="291"/>
    </row>
    <row r="26" spans="1:19" ht="36.75" x14ac:dyDescent="0.25">
      <c r="A26" s="255" t="str">
        <f>CONCATENATE('3 pr-2'!A27)</f>
        <v>1.1.1.1.18</v>
      </c>
      <c r="B26" s="473" t="str">
        <f>CONCATENATE('ketv. 2lent'!B26)</f>
        <v>20KI-KA-17-1-01666-PR001</v>
      </c>
      <c r="C26" s="255" t="str">
        <f>CONCATENATE('3 pr-2'!D27)</f>
        <v>Varėnos kultūros centro Žilinų filialo pastato atnaujinimas ir pritaikymas bendruomenės poreikiams</v>
      </c>
      <c r="D26" s="255" t="str">
        <f>CONCATENATE('3 pr-2'!E27)</f>
        <v xml:space="preserve">Varėnos rajono savivaldybės administracija </v>
      </c>
      <c r="E26" s="255" t="str">
        <f>CONCATENATE('3 pr-2'!F27)</f>
        <v>Lietuvos Respublikos žemės ūkio ministerija</v>
      </c>
      <c r="F26" s="255" t="str">
        <f>CONCATENATE('3 pr-2'!G27)</f>
        <v>Varėnos rajono savivaldybė</v>
      </c>
      <c r="G26" s="255" t="str">
        <f>CONCATENATE('3 pr-2'!H27)</f>
        <v xml:space="preserve">Pagrindinės paslaugos ir kaimų atnaujinimas kaimo vietovėse </v>
      </c>
      <c r="H26" s="255" t="str">
        <f>CONCATENATE('3 pr-2'!I27)</f>
        <v>R</v>
      </c>
      <c r="I26" s="255" t="str">
        <f>CONCATENATE('3 pr-2'!J27)</f>
        <v>-</v>
      </c>
      <c r="J26" s="474">
        <f>IF(V26&gt;0,'3 pr-2'!L27,0)</f>
        <v>0</v>
      </c>
      <c r="K26" s="474">
        <f>IF(V26&gt;0,'3 pr-2'!O27,0)</f>
        <v>0</v>
      </c>
      <c r="L26" s="474">
        <f>IF(V26&gt;0,'3 pr-2'!R27,0)</f>
        <v>0</v>
      </c>
      <c r="M26" s="474">
        <f>IF(V26&gt;0,'3 pr-2'!U27,0)</f>
        <v>0</v>
      </c>
      <c r="N26" s="474">
        <f>IF(V26&gt;0,'3 pr-2'!X27,0)</f>
        <v>0</v>
      </c>
      <c r="O26" s="474">
        <f>IF(V26&gt;0,'3 pr-2'!AA27,0)</f>
        <v>0</v>
      </c>
      <c r="P26" s="636">
        <f>SUM('3 pr-2'!AJ27)</f>
        <v>43830</v>
      </c>
      <c r="Q26" s="290"/>
      <c r="R26" s="291" t="str">
        <f t="shared" si="3"/>
        <v>–</v>
      </c>
      <c r="S26" s="291"/>
    </row>
    <row r="27" spans="1:19" ht="36.75" x14ac:dyDescent="0.25">
      <c r="A27" s="255" t="str">
        <f>CONCATENATE('3 pr-2'!A28)</f>
        <v>1.1.1.1.19</v>
      </c>
      <c r="B27" s="473" t="str">
        <f>CONCATENATE('ketv. 2lent'!B27)</f>
        <v>20KI-KA-17-1-02648-PR001</v>
      </c>
      <c r="C27" s="255" t="str">
        <f>CONCATENATE('3 pr-2'!D28)</f>
        <v>Alytaus rajono Pivašiūnų kaimo šaligatvių, laiptų kapitalinis remontas ir gyvenvietės apšvietimo įrengimas</v>
      </c>
      <c r="D27" s="255" t="str">
        <f>CONCATENATE('3 pr-2'!E28)</f>
        <v>Alytaus rajono savivaldybės administracija</v>
      </c>
      <c r="E27" s="255" t="str">
        <f>CONCATENATE('3 pr-2'!F28)</f>
        <v>Lietuvos Respublikos žemės ūkio ministerija</v>
      </c>
      <c r="F27" s="255" t="str">
        <f>CONCATENATE('3 pr-2'!G28)</f>
        <v>Alytaus rajono savivaldybė</v>
      </c>
      <c r="G27" s="255" t="str">
        <f>CONCATENATE('3 pr-2'!H28)</f>
        <v xml:space="preserve">Pagrindinės paslaugos ir kaimų atnaujinimas kaimo vietovėse </v>
      </c>
      <c r="H27" s="255" t="str">
        <f>CONCATENATE('3 pr-2'!I28)</f>
        <v>R</v>
      </c>
      <c r="I27" s="255" t="str">
        <f>CONCATENATE('3 pr-2'!J28)</f>
        <v>-</v>
      </c>
      <c r="J27" s="474">
        <f>IF(V27&gt;0,'3 pr-2'!L28,0)</f>
        <v>0</v>
      </c>
      <c r="K27" s="474">
        <f>IF(V27&gt;0,'3 pr-2'!O28,0)</f>
        <v>0</v>
      </c>
      <c r="L27" s="474">
        <f>IF(V27&gt;0,'3 pr-2'!R28,0)</f>
        <v>0</v>
      </c>
      <c r="M27" s="474">
        <f>IF(V27&gt;0,'3 pr-2'!U28,0)</f>
        <v>0</v>
      </c>
      <c r="N27" s="474">
        <f>IF(V27&gt;0,'3 pr-2'!X28,0)</f>
        <v>0</v>
      </c>
      <c r="O27" s="474">
        <f>IF(V27&gt;0,'3 pr-2'!AA28,0)</f>
        <v>0</v>
      </c>
      <c r="P27" s="636">
        <f>SUM('3 pr-2'!AJ28)</f>
        <v>43465</v>
      </c>
      <c r="Q27" s="290"/>
      <c r="R27" s="291" t="str">
        <f t="shared" si="3"/>
        <v>–</v>
      </c>
      <c r="S27" s="291"/>
    </row>
    <row r="28" spans="1:19" ht="36.75" x14ac:dyDescent="0.25">
      <c r="A28" s="255" t="str">
        <f>CONCATENATE('3 pr-2'!A29)</f>
        <v>1.1.1.1.20</v>
      </c>
      <c r="B28" s="473" t="str">
        <f>CONCATENATE('ketv. 2lent'!B28)</f>
        <v>20KI-KA-17-1-01736-PR001</v>
      </c>
      <c r="C28" s="255" t="str">
        <f>CONCATENATE('3 pr-2'!D29)</f>
        <v>Pastato, esančio Pušelės g. 11, Naujųjų Valkininkų k., Varėnos r., atnaujinimas ir pritaikymas bendruomenės poreikiams</v>
      </c>
      <c r="D28" s="255" t="str">
        <f>CONCATENATE('3 pr-2'!E29)</f>
        <v xml:space="preserve">Varėnos rajono savivaldybės administracija </v>
      </c>
      <c r="E28" s="255" t="str">
        <f>CONCATENATE('3 pr-2'!F29)</f>
        <v>Lietuvos Respublikos žemės ūkio ministerija</v>
      </c>
      <c r="F28" s="255" t="str">
        <f>CONCATENATE('3 pr-2'!G29)</f>
        <v>Varėnos rajono savivaldybė</v>
      </c>
      <c r="G28" s="255" t="str">
        <f>CONCATENATE('3 pr-2'!H29)</f>
        <v xml:space="preserve">Pagrindinės paslaugos ir kaimų atnaujinimas kaimo vietovėse </v>
      </c>
      <c r="H28" s="255" t="str">
        <f>CONCATENATE('3 pr-2'!I29)</f>
        <v>R</v>
      </c>
      <c r="I28" s="255" t="str">
        <f>CONCATENATE('3 pr-2'!J29)</f>
        <v>-</v>
      </c>
      <c r="J28" s="474">
        <f>IF(V28&gt;0,'3 pr-2'!L29,0)</f>
        <v>0</v>
      </c>
      <c r="K28" s="474">
        <f>IF(V28&gt;0,'3 pr-2'!O29,0)</f>
        <v>0</v>
      </c>
      <c r="L28" s="474">
        <f>IF(V28&gt;0,'3 pr-2'!R29,0)</f>
        <v>0</v>
      </c>
      <c r="M28" s="474">
        <f>IF(V28&gt;0,'3 pr-2'!U29,0)</f>
        <v>0</v>
      </c>
      <c r="N28" s="474">
        <f>IF(V28&gt;0,'3 pr-2'!X29,0)</f>
        <v>0</v>
      </c>
      <c r="O28" s="474">
        <f>IF(V28&gt;0,'3 pr-2'!AA29,0)</f>
        <v>0</v>
      </c>
      <c r="P28" s="636">
        <f>SUM('3 pr-2'!AJ29)</f>
        <v>43830</v>
      </c>
      <c r="Q28" s="290"/>
      <c r="R28" s="291" t="str">
        <f t="shared" si="3"/>
        <v>–</v>
      </c>
      <c r="S28" s="291"/>
    </row>
    <row r="29" spans="1:19" ht="36.75" x14ac:dyDescent="0.25">
      <c r="A29" s="255" t="str">
        <f>CONCATENATE('3 pr-2'!A30)</f>
        <v>1.1.1.1.21</v>
      </c>
      <c r="B29" s="473" t="str">
        <f>CONCATENATE('ketv. 2lent'!B29)</f>
        <v>20KI-KA-17-1-02364-PR001</v>
      </c>
      <c r="C29" s="255" t="str">
        <f>CONCATENATE('3 pr-2'!D30)</f>
        <v>Kaimo gyvenamųjų vietovių Lazdijų rajono savivaldybėje patrauklumo gerinimas</v>
      </c>
      <c r="D29" s="255" t="str">
        <f>CONCATENATE('3 pr-2'!E30)</f>
        <v>Lazdijų rajono savivaldybės administracija</v>
      </c>
      <c r="E29" s="255" t="str">
        <f>CONCATENATE('3 pr-2'!F30)</f>
        <v>Lietuvos Respublikos žemės ūkio ministerija</v>
      </c>
      <c r="F29" s="255" t="str">
        <f>CONCATENATE('3 pr-2'!G30)</f>
        <v>Lazdijų rajono savivaldybė</v>
      </c>
      <c r="G29" s="255" t="str">
        <f>CONCATENATE('3 pr-2'!H30)</f>
        <v xml:space="preserve">Pagrindinės paslaugos ir kaimų atnaujinimas kaimo vietovėse </v>
      </c>
      <c r="H29" s="255" t="str">
        <f>CONCATENATE('3 pr-2'!I30)</f>
        <v>R</v>
      </c>
      <c r="I29" s="255" t="str">
        <f>CONCATENATE('3 pr-2'!J30)</f>
        <v>-</v>
      </c>
      <c r="J29" s="474">
        <f>IF(V29&gt;0,'3 pr-2'!L30,0)</f>
        <v>0</v>
      </c>
      <c r="K29" s="474">
        <f>IF(V29&gt;0,'3 pr-2'!O30,0)</f>
        <v>0</v>
      </c>
      <c r="L29" s="474">
        <f>IF(V29&gt;0,'3 pr-2'!R30,0)</f>
        <v>0</v>
      </c>
      <c r="M29" s="474">
        <f>IF(V29&gt;0,'3 pr-2'!U30,0)</f>
        <v>0</v>
      </c>
      <c r="N29" s="474">
        <f>IF(V29&gt;0,'3 pr-2'!X30,0)</f>
        <v>0</v>
      </c>
      <c r="O29" s="474">
        <f>IF(V29&gt;0,'3 pr-2'!AA30,0)</f>
        <v>0</v>
      </c>
      <c r="P29" s="636">
        <f>SUM('3 pr-2'!AJ30)</f>
        <v>43291</v>
      </c>
      <c r="Q29" s="290"/>
      <c r="R29" s="291" t="str">
        <f t="shared" si="3"/>
        <v>–</v>
      </c>
      <c r="S29" s="291"/>
    </row>
    <row r="30" spans="1:19" ht="36.75" x14ac:dyDescent="0.25">
      <c r="A30" s="255" t="str">
        <f>CONCATENATE('3 pr-2'!A31)</f>
        <v>1.1.1.1.22</v>
      </c>
      <c r="B30" s="473" t="str">
        <f>CONCATENATE('ketv. 2lent'!B30)</f>
        <v>20KI-KA-17-1-02241-PR001</v>
      </c>
      <c r="C30" s="255" t="str">
        <f>CONCATENATE('3 pr-2'!D31)</f>
        <v>Alytaus rajono Makniūnų kaimo šaligatvių atnaujinimas ir plėtra</v>
      </c>
      <c r="D30" s="255" t="str">
        <f>CONCATENATE('3 pr-2'!E31)</f>
        <v>Alytaus rajono savivaldybės administracija</v>
      </c>
      <c r="E30" s="255" t="str">
        <f>CONCATENATE('3 pr-2'!F31)</f>
        <v>Lietuvos Respublikos žemės ūkio ministerija</v>
      </c>
      <c r="F30" s="255" t="str">
        <f>CONCATENATE('3 pr-2'!G31)</f>
        <v>Alytaus rajono savivaldybė</v>
      </c>
      <c r="G30" s="255" t="str">
        <f>CONCATENATE('3 pr-2'!H31)</f>
        <v xml:space="preserve">Pagrindinės paslaugos ir kaimų atnaujinimas kaimo vietovėse </v>
      </c>
      <c r="H30" s="255" t="str">
        <f>CONCATENATE('3 pr-2'!I31)</f>
        <v>R</v>
      </c>
      <c r="I30" s="255" t="str">
        <f>CONCATENATE('3 pr-2'!J31)</f>
        <v>-</v>
      </c>
      <c r="J30" s="474">
        <f>IF(V30&gt;0,'3 pr-2'!L31,0)</f>
        <v>0</v>
      </c>
      <c r="K30" s="474">
        <f>IF(V30&gt;0,'3 pr-2'!O31,0)</f>
        <v>0</v>
      </c>
      <c r="L30" s="474">
        <f>IF(V30&gt;0,'3 pr-2'!R31,0)</f>
        <v>0</v>
      </c>
      <c r="M30" s="474">
        <f>IF(V30&gt;0,'3 pr-2'!U31,0)</f>
        <v>0</v>
      </c>
      <c r="N30" s="474">
        <f>IF(V30&gt;0,'3 pr-2'!X31,0)</f>
        <v>0</v>
      </c>
      <c r="O30" s="474">
        <f>IF(V30&gt;0,'3 pr-2'!AA31,0)</f>
        <v>0</v>
      </c>
      <c r="P30" s="636">
        <f>SUM('3 pr-2'!AJ31)</f>
        <v>43465</v>
      </c>
      <c r="Q30" s="290"/>
      <c r="R30" s="291" t="str">
        <f t="shared" si="3"/>
        <v>–</v>
      </c>
      <c r="S30" s="291"/>
    </row>
    <row r="31" spans="1:19" ht="37.5" thickBot="1" x14ac:dyDescent="0.3">
      <c r="A31" s="255" t="str">
        <f>CONCATENATE('3 pr-2'!A32)</f>
        <v>1.1.1.1.23</v>
      </c>
      <c r="B31" s="473" t="str">
        <f>CONCATENATE('ketv. 2lent'!B31)</f>
        <v/>
      </c>
      <c r="C31" s="255" t="str">
        <f>CONCATENATE('3 pr-2'!D32)</f>
        <v>Varėnos r. Vazgirdonių kaimo Klevų gatvės įrengimas</v>
      </c>
      <c r="D31" s="255" t="str">
        <f>CONCATENATE('3 pr-2'!E32)</f>
        <v xml:space="preserve">Varėnos rajono savivaldybės administracija </v>
      </c>
      <c r="E31" s="255" t="str">
        <f>CONCATENATE('3 pr-2'!F32)</f>
        <v>Lietuvos Respublikos žemės ūkio ministerija</v>
      </c>
      <c r="F31" s="255" t="str">
        <f>CONCATENATE('3 pr-2'!G32)</f>
        <v>Varėnos rajono savivaldybė</v>
      </c>
      <c r="G31" s="255" t="str">
        <f>CONCATENATE('3 pr-2'!H32)</f>
        <v xml:space="preserve">Pagrindinės paslaugos ir kaimų atnaujinimas kaimo vietovėse </v>
      </c>
      <c r="H31" s="255" t="str">
        <f>CONCATENATE('3 pr-2'!I32)</f>
        <v>R</v>
      </c>
      <c r="I31" s="255" t="str">
        <f>CONCATENATE('3 pr-2'!J32)</f>
        <v>-</v>
      </c>
      <c r="J31" s="474">
        <f>IF(V31&gt;0,'3 pr-2'!L32,0)</f>
        <v>0</v>
      </c>
      <c r="K31" s="474">
        <f>IF(V31&gt;0,'3 pr-2'!O32,0)</f>
        <v>0</v>
      </c>
      <c r="L31" s="474">
        <f>IF(V31&gt;0,'3 pr-2'!R32,0)</f>
        <v>0</v>
      </c>
      <c r="M31" s="474">
        <f>IF(V31&gt;0,'3 pr-2'!U32,0)</f>
        <v>0</v>
      </c>
      <c r="N31" s="474">
        <f>IF(V31&gt;0,'3 pr-2'!X32,0)</f>
        <v>0</v>
      </c>
      <c r="O31" s="474">
        <f>IF(V31&gt;0,'3 pr-2'!AA32,0)</f>
        <v>0</v>
      </c>
      <c r="P31" s="636">
        <f>SUM('3 pr-2'!AJ32)</f>
        <v>43830</v>
      </c>
      <c r="Q31" s="290"/>
      <c r="R31" s="291" t="str">
        <f t="shared" si="3"/>
        <v>–</v>
      </c>
      <c r="S31" s="291"/>
    </row>
    <row r="32" spans="1:19" ht="28.5" customHeight="1" thickBot="1" x14ac:dyDescent="0.3">
      <c r="A32" s="497" t="str">
        <f>CONCATENATE('3 pr-2'!A33)</f>
        <v>1.1.1.2</v>
      </c>
      <c r="B32" s="613"/>
      <c r="C32" s="1656" t="str">
        <f>CONCATENATE('3 pr-2'!D33)</f>
        <v/>
      </c>
      <c r="D32" s="1789" t="str">
        <f>CONCATENATE('3 pr-2'!E33)</f>
        <v/>
      </c>
      <c r="E32" s="1789" t="str">
        <f>CONCATENATE('3 pr-2'!F33)</f>
        <v/>
      </c>
      <c r="F32" s="1789" t="str">
        <f>CONCATENATE('3 pr-2'!G33)</f>
        <v/>
      </c>
      <c r="G32" s="1789" t="str">
        <f>CONCATENATE('3 pr-2'!H33)</f>
        <v/>
      </c>
      <c r="H32" s="1789" t="str">
        <f>CONCATENATE('3 pr-2'!I33)</f>
        <v/>
      </c>
      <c r="I32" s="1790" t="str">
        <f>CONCATENATE('3 pr-2'!J33)</f>
        <v/>
      </c>
      <c r="J32" s="629">
        <f>SUM(J33:J37)</f>
        <v>0</v>
      </c>
      <c r="K32" s="629">
        <f t="shared" ref="K32:O32" si="4">SUM(K33:K37)</f>
        <v>0</v>
      </c>
      <c r="L32" s="629">
        <f t="shared" si="4"/>
        <v>0</v>
      </c>
      <c r="M32" s="629">
        <f t="shared" si="4"/>
        <v>0</v>
      </c>
      <c r="N32" s="629">
        <f t="shared" si="4"/>
        <v>0</v>
      </c>
      <c r="O32" s="629">
        <f t="shared" si="4"/>
        <v>0</v>
      </c>
      <c r="P32" s="629" t="s">
        <v>725</v>
      </c>
      <c r="Q32" s="629" t="s">
        <v>725</v>
      </c>
      <c r="R32" s="629" t="s">
        <v>725</v>
      </c>
      <c r="S32" s="629"/>
    </row>
    <row r="33" spans="1:19" ht="36.75" x14ac:dyDescent="0.25">
      <c r="A33" s="255" t="str">
        <f>CONCATENATE('3 pr-2'!A34)</f>
        <v>1.1.1.2.1</v>
      </c>
      <c r="B33" s="473" t="str">
        <f>CONCATENATE('ketv. 2lent'!B33)</f>
        <v/>
      </c>
      <c r="C33" s="255" t="str">
        <f>CONCATENATE('3 pr-2'!D34)</f>
        <v>Matuizų kaimo viešosios infrastruktūros atnaujinimas ir pritaikymas bendruomenės poreikiams</v>
      </c>
      <c r="D33" s="255" t="str">
        <f>CONCATENATE('3 pr-2'!E34)</f>
        <v>Varėnos rajono savivaldybės administracija</v>
      </c>
      <c r="E33" s="255" t="str">
        <f>CONCATENATE('3 pr-2'!F34)</f>
        <v>Lietuvos Respublikos vidaus reikalų ministerija</v>
      </c>
      <c r="F33" s="255" t="str">
        <f>CONCATENATE('3 pr-2'!G34)</f>
        <v>Varėnos rajono savivaldybė</v>
      </c>
      <c r="G33" s="255" t="str">
        <f>CONCATENATE('3 pr-2'!H34)</f>
        <v>8.2.1-CPVA-R-908</v>
      </c>
      <c r="H33" s="255" t="str">
        <f>CONCATENATE('3 pr-2'!I34)</f>
        <v>R</v>
      </c>
      <c r="I33" s="255" t="str">
        <f>CONCATENATE('3 pr-2'!J34)</f>
        <v>-</v>
      </c>
      <c r="J33" s="474">
        <f>IF(V33&gt;0,'3 pr-2'!L34,0)</f>
        <v>0</v>
      </c>
      <c r="K33" s="474">
        <f>IF(V33&gt;0,'3 pr-2'!O34,0)</f>
        <v>0</v>
      </c>
      <c r="L33" s="474">
        <f>IF(V33&gt;0,'3 pr-2'!R34,0)</f>
        <v>0</v>
      </c>
      <c r="M33" s="474">
        <f>IF(V33&gt;0,'3 pr-2'!U34,0)</f>
        <v>0</v>
      </c>
      <c r="N33" s="474">
        <f>IF(V33&gt;0,'3 pr-2'!X34,0)</f>
        <v>0</v>
      </c>
      <c r="O33" s="474">
        <f>IF(V33&gt;0,'3 pr-2'!AA34,0)</f>
        <v>0</v>
      </c>
      <c r="P33" s="636">
        <f>SUM('3 pr-2'!AJ34)</f>
        <v>44196</v>
      </c>
      <c r="Q33" s="290"/>
      <c r="R33" s="291" t="str">
        <f t="shared" ref="R33:R37" si="5">IF(P33-Q33&lt;0,(P33-Q33)/365,"–")</f>
        <v>–</v>
      </c>
      <c r="S33" s="291"/>
    </row>
    <row r="34" spans="1:19" ht="36.75" x14ac:dyDescent="0.25">
      <c r="A34" s="255" t="str">
        <f>CONCATENATE('3 pr-2'!A35)</f>
        <v>1.1.1.2.2</v>
      </c>
      <c r="B34" s="473" t="str">
        <f>CONCATENATE('ketv. 2lent'!B34)</f>
        <v>08.2.1-CPVA-R-908-11-0001</v>
      </c>
      <c r="C34" s="255" t="str">
        <f>CONCATENATE('3 pr-2'!D35)</f>
        <v>Senosios Varėnos kaimo viešosios infrastruktūros atnaujinimas ir pritaikymas bendruomenės poreikiams</v>
      </c>
      <c r="D34" s="255" t="str">
        <f>CONCATENATE('3 pr-2'!E35)</f>
        <v>Varėnos rajono savivaldybės administracija</v>
      </c>
      <c r="E34" s="255" t="str">
        <f>CONCATENATE('3 pr-2'!F35)</f>
        <v>Lietuvos Respublikos vidaus reikalų ministerija</v>
      </c>
      <c r="F34" s="255" t="str">
        <f>CONCATENATE('3 pr-2'!G35)</f>
        <v>Varėnos rajono savivaldybė</v>
      </c>
      <c r="G34" s="255" t="str">
        <f>CONCATENATE('3 pr-2'!H35)</f>
        <v>8.2.1-CPVA-R-908</v>
      </c>
      <c r="H34" s="255" t="str">
        <f>CONCATENATE('3 pr-2'!I35)</f>
        <v>R</v>
      </c>
      <c r="I34" s="255" t="str">
        <f>CONCATENATE('3 pr-2'!J35)</f>
        <v>-</v>
      </c>
      <c r="J34" s="474">
        <f>IF(V34&gt;0,'3 pr-2'!L35,0)</f>
        <v>0</v>
      </c>
      <c r="K34" s="474">
        <f>IF(V34&gt;0,'3 pr-2'!O35,0)</f>
        <v>0</v>
      </c>
      <c r="L34" s="474">
        <f>IF(V34&gt;0,'3 pr-2'!R35,0)</f>
        <v>0</v>
      </c>
      <c r="M34" s="474">
        <f>IF(V34&gt;0,'3 pr-2'!U35,0)</f>
        <v>0</v>
      </c>
      <c r="N34" s="474">
        <f>IF(V34&gt;0,'3 pr-2'!X35,0)</f>
        <v>0</v>
      </c>
      <c r="O34" s="474">
        <f>IF(V34&gt;0,'3 pr-2'!AA35,0)</f>
        <v>0</v>
      </c>
      <c r="P34" s="636">
        <f>SUM('3 pr-2'!AJ35)</f>
        <v>44196</v>
      </c>
      <c r="Q34" s="290"/>
      <c r="R34" s="291" t="str">
        <f t="shared" si="5"/>
        <v>–</v>
      </c>
      <c r="S34" s="291"/>
    </row>
    <row r="35" spans="1:19" ht="36.75" x14ac:dyDescent="0.25">
      <c r="A35" s="255" t="str">
        <f>CONCATENATE('3 pr-2'!A36)</f>
        <v>1.1.1.2.3</v>
      </c>
      <c r="B35" s="473" t="str">
        <f>CONCATENATE('ketv. 2lent'!B35)</f>
        <v/>
      </c>
      <c r="C35" s="255" t="str">
        <f>CONCATENATE('3 pr-2'!D36)</f>
        <v>Kompleksinė Miklusėnų gyvenvietės plėtra</v>
      </c>
      <c r="D35" s="255" t="str">
        <f>CONCATENATE('3 pr-2'!E36)</f>
        <v>Alytaus rajono savivaldybės administracija</v>
      </c>
      <c r="E35" s="255" t="str">
        <f>CONCATENATE('3 pr-2'!F36)</f>
        <v>Lietuvos Respublikos vidaus reikalų ministerija</v>
      </c>
      <c r="F35" s="255" t="str">
        <f>CONCATENATE('3 pr-2'!G36)</f>
        <v>Alytaus rajono  savivaldybė</v>
      </c>
      <c r="G35" s="255" t="str">
        <f>CONCATENATE('3 pr-2'!H36)</f>
        <v>8.2.1-CPVA-R-908</v>
      </c>
      <c r="H35" s="255" t="str">
        <f>CONCATENATE('3 pr-2'!I36)</f>
        <v>R</v>
      </c>
      <c r="I35" s="255" t="str">
        <f>CONCATENATE('3 pr-2'!J36)</f>
        <v>-</v>
      </c>
      <c r="J35" s="474">
        <f>IF(V35&gt;0,'3 pr-2'!L36,0)</f>
        <v>0</v>
      </c>
      <c r="K35" s="474">
        <f>IF(V35&gt;0,'3 pr-2'!O36,0)</f>
        <v>0</v>
      </c>
      <c r="L35" s="474">
        <f>IF(V35&gt;0,'3 pr-2'!R36,0)</f>
        <v>0</v>
      </c>
      <c r="M35" s="474">
        <f>IF(V35&gt;0,'3 pr-2'!U36,0)</f>
        <v>0</v>
      </c>
      <c r="N35" s="474">
        <f>IF(V35&gt;0,'3 pr-2'!X36,0)</f>
        <v>0</v>
      </c>
      <c r="O35" s="474">
        <f>IF(V35&gt;0,'3 pr-2'!AA36,0)</f>
        <v>0</v>
      </c>
      <c r="P35" s="636">
        <f>SUM('3 pr-2'!AJ36)</f>
        <v>44196</v>
      </c>
      <c r="Q35" s="290"/>
      <c r="R35" s="291" t="str">
        <f t="shared" si="5"/>
        <v>–</v>
      </c>
      <c r="S35" s="291"/>
    </row>
    <row r="36" spans="1:19" ht="48.75" x14ac:dyDescent="0.25">
      <c r="A36" s="255" t="str">
        <f>CONCATENATE('3 pr-2'!A37)</f>
        <v>1.1.1.2.4</v>
      </c>
      <c r="B36" s="473" t="str">
        <f>CONCATENATE('ketv. 2lent'!B36)</f>
        <v/>
      </c>
      <c r="C36" s="255" t="str">
        <f>CONCATENATE('3 pr-2'!D37)</f>
        <v>Leipalingio viešosios erdvės pritaikymas bendruomenės poreikiams</v>
      </c>
      <c r="D36" s="255" t="str">
        <f>CONCATENATE('3 pr-2'!E37)</f>
        <v xml:space="preserve">Druskininkų savivaldybės administracija  </v>
      </c>
      <c r="E36" s="255" t="str">
        <f>CONCATENATE('3 pr-2'!F37)</f>
        <v>Lietuvos Respublikos vidaus reikalų ministerija</v>
      </c>
      <c r="F36" s="255" t="str">
        <f>CONCATENATE('3 pr-2'!G37)</f>
        <v>Druskininkų savivaldybė, Leipalingio seniūnija</v>
      </c>
      <c r="G36" s="255" t="str">
        <f>CONCATENATE('3 pr-2'!H37)</f>
        <v>8.2.1-CPVA-R-908</v>
      </c>
      <c r="H36" s="255" t="str">
        <f>CONCATENATE('3 pr-2'!I37)</f>
        <v>R</v>
      </c>
      <c r="I36" s="255" t="str">
        <f>CONCATENATE('3 pr-2'!J37)</f>
        <v>-</v>
      </c>
      <c r="J36" s="474">
        <f>IF(V36&gt;0,'3 pr-2'!L37,0)</f>
        <v>0</v>
      </c>
      <c r="K36" s="474">
        <f>IF(V36&gt;0,'3 pr-2'!O37,0)</f>
        <v>0</v>
      </c>
      <c r="L36" s="474">
        <f>IF(V36&gt;0,'3 pr-2'!R37,0)</f>
        <v>0</v>
      </c>
      <c r="M36" s="474">
        <f>IF(V36&gt;0,'3 pr-2'!U37,0)</f>
        <v>0</v>
      </c>
      <c r="N36" s="474">
        <f>IF(V36&gt;0,'3 pr-2'!X37,0)</f>
        <v>0</v>
      </c>
      <c r="O36" s="474">
        <f>IF(V36&gt;0,'3 pr-2'!AA37,0)</f>
        <v>0</v>
      </c>
      <c r="P36" s="892">
        <f>SUM('3 pr-2'!AJ37)</f>
        <v>43830</v>
      </c>
      <c r="Q36" s="290"/>
      <c r="R36" s="291" t="str">
        <f t="shared" si="5"/>
        <v>–</v>
      </c>
      <c r="S36" s="291"/>
    </row>
    <row r="37" spans="1:19" ht="49.5" thickBot="1" x14ac:dyDescent="0.3">
      <c r="A37" s="255" t="str">
        <f>CONCATENATE('3 pr-2'!A38)</f>
        <v>1.1.1.2.5</v>
      </c>
      <c r="B37" s="473" t="str">
        <f>CONCATENATE('ketv. 2lent'!B37)</f>
        <v/>
      </c>
      <c r="C37" s="255" t="str">
        <f>CONCATENATE('3 pr-2'!D38)</f>
        <v>Viečiūnų viešosios erdvės pritaikymas bendruomenės poreikiams</v>
      </c>
      <c r="D37" s="255" t="str">
        <f>CONCATENATE('3 pr-2'!E38)</f>
        <v xml:space="preserve">Druskininkų savivaldybės administracija  </v>
      </c>
      <c r="E37" s="255" t="str">
        <f>CONCATENATE('3 pr-2'!F38)</f>
        <v>Lietuvos Respublikos vidaus reikalų ministerija</v>
      </c>
      <c r="F37" s="255" t="str">
        <f>CONCATENATE('3 pr-2'!G38)</f>
        <v>Druskininkų savivaldybė, Viečiūnų seniūnija</v>
      </c>
      <c r="G37" s="255" t="str">
        <f>CONCATENATE('3 pr-2'!H38)</f>
        <v>8.2.1-CPVA-R-908</v>
      </c>
      <c r="H37" s="255" t="str">
        <f>CONCATENATE('3 pr-2'!I38)</f>
        <v>R</v>
      </c>
      <c r="I37" s="255" t="str">
        <f>CONCATENATE('3 pr-2'!J38)</f>
        <v>-</v>
      </c>
      <c r="J37" s="474">
        <f>IF(V37&gt;0,'3 pr-2'!L38,0)</f>
        <v>0</v>
      </c>
      <c r="K37" s="474">
        <f>IF(V37&gt;0,'3 pr-2'!O38,0)</f>
        <v>0</v>
      </c>
      <c r="L37" s="474">
        <f>IF(V37&gt;0,'3 pr-2'!R38,0)</f>
        <v>0</v>
      </c>
      <c r="M37" s="474">
        <f>IF(V37&gt;0,'3 pr-2'!U38,0)</f>
        <v>0</v>
      </c>
      <c r="N37" s="474">
        <f>IF(V37&gt;0,'3 pr-2'!X38,0)</f>
        <v>0</v>
      </c>
      <c r="O37" s="474">
        <f>IF(V37&gt;0,'3 pr-2'!AA38,0)</f>
        <v>0</v>
      </c>
      <c r="P37" s="892">
        <f>SUM('3 pr-2'!AJ38)</f>
        <v>44044</v>
      </c>
      <c r="Q37" s="290"/>
      <c r="R37" s="291" t="str">
        <f t="shared" si="5"/>
        <v>–</v>
      </c>
      <c r="S37" s="291"/>
    </row>
    <row r="38" spans="1:19" ht="30" customHeight="1" thickBot="1" x14ac:dyDescent="0.3">
      <c r="A38" s="497" t="str">
        <f>CONCATENATE('3 pr-2'!A39)</f>
        <v>1.1.1.3</v>
      </c>
      <c r="B38" s="613"/>
      <c r="C38" s="1656" t="str">
        <f>CONCATENATE('3 pr-2'!D39)</f>
        <v/>
      </c>
      <c r="D38" s="1789" t="str">
        <f>CONCATENATE('3 pr-2'!E39)</f>
        <v/>
      </c>
      <c r="E38" s="1789" t="str">
        <f>CONCATENATE('3 pr-2'!F39)</f>
        <v/>
      </c>
      <c r="F38" s="1789" t="str">
        <f>CONCATENATE('3 pr-2'!G39)</f>
        <v/>
      </c>
      <c r="G38" s="1789" t="str">
        <f>CONCATENATE('3 pr-2'!H39)</f>
        <v/>
      </c>
      <c r="H38" s="1789" t="str">
        <f>CONCATENATE('3 pr-2'!I39)</f>
        <v/>
      </c>
      <c r="I38" s="1790" t="str">
        <f>CONCATENATE('3 pr-2'!J39)</f>
        <v/>
      </c>
      <c r="J38" s="629">
        <f>SUM(J39:J44)</f>
        <v>0</v>
      </c>
      <c r="K38" s="629">
        <f t="shared" ref="K38:O38" si="6">SUM(K39:K44)</f>
        <v>0</v>
      </c>
      <c r="L38" s="629">
        <f t="shared" si="6"/>
        <v>0</v>
      </c>
      <c r="M38" s="629">
        <f t="shared" si="6"/>
        <v>0</v>
      </c>
      <c r="N38" s="629">
        <f t="shared" si="6"/>
        <v>0</v>
      </c>
      <c r="O38" s="629">
        <f t="shared" si="6"/>
        <v>0</v>
      </c>
      <c r="P38" s="629" t="s">
        <v>725</v>
      </c>
      <c r="Q38" s="629" t="s">
        <v>725</v>
      </c>
      <c r="R38" s="629" t="s">
        <v>725</v>
      </c>
      <c r="S38" s="629"/>
    </row>
    <row r="39" spans="1:19" ht="36.75" x14ac:dyDescent="0.25">
      <c r="A39" s="255" t="str">
        <f>CONCATENATE('3 pr-2'!A40)</f>
        <v>1.1.1.3.1</v>
      </c>
      <c r="B39" s="473" t="str">
        <f>CONCATENATE('ketv. 2lent'!B39)</f>
        <v>07.1.1-CPVA-R-905-11-0001</v>
      </c>
      <c r="C39" s="255" t="str">
        <f>CONCATENATE('3 pr-2'!D40)</f>
        <v>Varėnos miesto centrinės dalies modernizavimas ir pritaikymas visuomenės poreikiams (I etapas)</v>
      </c>
      <c r="D39" s="255" t="str">
        <f>CONCATENATE('3 pr-2'!E40)</f>
        <v>Varėnos rajono savivaldybės administracija</v>
      </c>
      <c r="E39" s="255" t="str">
        <f>CONCATENATE('3 pr-2'!F40)</f>
        <v>Lietuvos Respublikos vidaus reikalų ministerija</v>
      </c>
      <c r="F39" s="255" t="str">
        <f>CONCATENATE('3 pr-2'!G40)</f>
        <v>Varėnos miestas</v>
      </c>
      <c r="G39" s="255" t="str">
        <f>CONCATENATE('3 pr-2'!H40)</f>
        <v xml:space="preserve">07.1.1-CPVA-R-905 </v>
      </c>
      <c r="H39" s="255" t="str">
        <f>CONCATENATE('3 pr-2'!I40)</f>
        <v>R</v>
      </c>
      <c r="I39" s="255" t="str">
        <f>CONCATENATE('3 pr-2'!J40)</f>
        <v>ITI</v>
      </c>
      <c r="J39" s="474">
        <f>IF(V39&gt;0,'3 pr-2'!L40,0)</f>
        <v>0</v>
      </c>
      <c r="K39" s="474">
        <f>IF(V39&gt;0,'3 pr-2'!O40,0)</f>
        <v>0</v>
      </c>
      <c r="L39" s="474">
        <f>IF(V39&gt;0,'3 pr-2'!R40,0)</f>
        <v>0</v>
      </c>
      <c r="M39" s="474">
        <f>IF(V39&gt;0,'3 pr-2'!U40,0)</f>
        <v>0</v>
      </c>
      <c r="N39" s="474">
        <f>IF(V39&gt;0,'3 pr-2'!X40,0)</f>
        <v>0</v>
      </c>
      <c r="O39" s="474">
        <f>IF(V39&gt;0,'3 pr-2'!AA40,0)</f>
        <v>0</v>
      </c>
      <c r="P39" s="636">
        <f>SUM('3 pr-2'!AJ40)</f>
        <v>43465</v>
      </c>
      <c r="Q39" s="290"/>
      <c r="R39" s="291" t="str">
        <f t="shared" ref="R39:R44" si="7">IF(P39-Q39&lt;0,(P39-Q39)/365,"–")</f>
        <v>–</v>
      </c>
      <c r="S39" s="291"/>
    </row>
    <row r="40" spans="1:19" ht="36.75" x14ac:dyDescent="0.25">
      <c r="A40" s="255" t="str">
        <f>CONCATENATE('3 pr-2'!A41)</f>
        <v>1.1.1.3.2</v>
      </c>
      <c r="B40" s="473" t="str">
        <f>CONCATENATE('ketv. 2lent'!B40)</f>
        <v>07.1.1-CPVA-R-905-11-0002</v>
      </c>
      <c r="C40" s="255" t="str">
        <f>CONCATENATE('3 pr-2'!D41)</f>
        <v>Varėnos miesto centrinės dalies modernizavimas ir pritaikymas visuomenės poreikiams (II etapas)</v>
      </c>
      <c r="D40" s="255" t="str">
        <f>CONCATENATE('3 pr-2'!E41)</f>
        <v>Varėnos rajono savivaldybės administracija</v>
      </c>
      <c r="E40" s="255" t="str">
        <f>CONCATENATE('3 pr-2'!F41)</f>
        <v>Lietuvos Respublikos vidaus reikalų ministerija</v>
      </c>
      <c r="F40" s="255" t="str">
        <f>CONCATENATE('3 pr-2'!G41)</f>
        <v>Varėnos miestas</v>
      </c>
      <c r="G40" s="255" t="str">
        <f>CONCATENATE('3 pr-2'!H41)</f>
        <v xml:space="preserve">07.1.1-CPVA-R-905 </v>
      </c>
      <c r="H40" s="255" t="str">
        <f>CONCATENATE('3 pr-2'!I41)</f>
        <v>R</v>
      </c>
      <c r="I40" s="255" t="str">
        <f>CONCATENATE('3 pr-2'!J41)</f>
        <v>ITI</v>
      </c>
      <c r="J40" s="474">
        <f>IF(V40&gt;0,'3 pr-2'!L41,0)</f>
        <v>0</v>
      </c>
      <c r="K40" s="474">
        <f>IF(V40&gt;0,'3 pr-2'!O41,0)</f>
        <v>0</v>
      </c>
      <c r="L40" s="474">
        <f>IF(V40&gt;0,'3 pr-2'!R41,0)</f>
        <v>0</v>
      </c>
      <c r="M40" s="474">
        <f>IF(V40&gt;0,'3 pr-2'!U41,0)</f>
        <v>0</v>
      </c>
      <c r="N40" s="474">
        <f>IF(V40&gt;0,'3 pr-2'!X41,0)</f>
        <v>0</v>
      </c>
      <c r="O40" s="474">
        <f>IF(V40&gt;0,'3 pr-2'!AA41,0)</f>
        <v>0</v>
      </c>
      <c r="P40" s="636">
        <f>SUM('3 pr-2'!AJ41)</f>
        <v>43830</v>
      </c>
      <c r="Q40" s="290"/>
      <c r="R40" s="291" t="str">
        <f t="shared" si="7"/>
        <v>–</v>
      </c>
      <c r="S40" s="291"/>
    </row>
    <row r="41" spans="1:19" ht="36.75" x14ac:dyDescent="0.25">
      <c r="A41" s="255" t="str">
        <f>CONCATENATE('3 pr-2'!A42)</f>
        <v>1.1.1.3.3</v>
      </c>
      <c r="B41" s="473" t="str">
        <f>CONCATENATE('ketv. 2lent'!B41)</f>
        <v/>
      </c>
      <c r="C41" s="255" t="str">
        <f>CONCATENATE('3 pr-2'!D42)</f>
        <v xml:space="preserve">Varėnos miesto Dainų slėnio infrastruktūros atnaujinimas ir pritaikymas visuomenės poreikiams </v>
      </c>
      <c r="D41" s="255" t="str">
        <f>CONCATENATE('3 pr-2'!E42)</f>
        <v>Varėnos rajono savivaldybės administracija</v>
      </c>
      <c r="E41" s="255" t="str">
        <f>CONCATENATE('3 pr-2'!F42)</f>
        <v>Lietuvos Respublikos vidaus reikalų ministerija</v>
      </c>
      <c r="F41" s="255" t="str">
        <f>CONCATENATE('3 pr-2'!G42)</f>
        <v>Varėnos miestas</v>
      </c>
      <c r="G41" s="255" t="str">
        <f>CONCATENATE('3 pr-2'!H42)</f>
        <v xml:space="preserve">07.1.1-CPVA-R-905 </v>
      </c>
      <c r="H41" s="255" t="str">
        <f>CONCATENATE('3 pr-2'!I42)</f>
        <v>R</v>
      </c>
      <c r="I41" s="255" t="str">
        <f>CONCATENATE('3 pr-2'!J42)</f>
        <v>ITI</v>
      </c>
      <c r="J41" s="474">
        <f>IF(V41&gt;0,'3 pr-2'!L42,0)</f>
        <v>0</v>
      </c>
      <c r="K41" s="474">
        <f>IF(V41&gt;0,'3 pr-2'!O42,0)</f>
        <v>0</v>
      </c>
      <c r="L41" s="474">
        <f>IF(V41&gt;0,'3 pr-2'!R42,0)</f>
        <v>0</v>
      </c>
      <c r="M41" s="474">
        <f>IF(V41&gt;0,'3 pr-2'!U42,0)</f>
        <v>0</v>
      </c>
      <c r="N41" s="474">
        <f>IF(V41&gt;0,'3 pr-2'!X42,0)</f>
        <v>0</v>
      </c>
      <c r="O41" s="474">
        <f>IF(V41&gt;0,'3 pr-2'!AA42,0)</f>
        <v>0</v>
      </c>
      <c r="P41" s="636">
        <f>SUM('3 pr-2'!AJ42)</f>
        <v>44196</v>
      </c>
      <c r="Q41" s="291"/>
      <c r="R41" s="291" t="str">
        <f t="shared" si="7"/>
        <v>–</v>
      </c>
      <c r="S41" s="291"/>
    </row>
    <row r="42" spans="1:19" ht="36.75" x14ac:dyDescent="0.25">
      <c r="A42" s="255" t="str">
        <f>CONCATENATE('3 pr-2'!A43)</f>
        <v>1.1.1.3.4</v>
      </c>
      <c r="B42" s="473" t="str">
        <f>CONCATENATE('ketv. 2lent'!B42)</f>
        <v>07.1.1-CPVA-R-905-11-0003</v>
      </c>
      <c r="C42" s="255" t="str">
        <f>CONCATENATE('3 pr-2'!D43)</f>
        <v>Karloniškės ežero ir jo prieigų sutvarkymas ir pritaikymas aktyviam poilsiui</v>
      </c>
      <c r="D42" s="255" t="str">
        <f>CONCATENATE('3 pr-2'!E43)</f>
        <v>Varėnos rajono savivaldybės administracija</v>
      </c>
      <c r="E42" s="255" t="str">
        <f>CONCATENATE('3 pr-2'!F43)</f>
        <v>Lietuvos Respublikos vidaus reikalų ministerija</v>
      </c>
      <c r="F42" s="255" t="str">
        <f>CONCATENATE('3 pr-2'!G43)</f>
        <v>Varėnos miestas</v>
      </c>
      <c r="G42" s="255" t="str">
        <f>CONCATENATE('3 pr-2'!H43)</f>
        <v xml:space="preserve">07.1.1-CPVA-R-905 </v>
      </c>
      <c r="H42" s="255" t="str">
        <f>CONCATENATE('3 pr-2'!I43)</f>
        <v>R</v>
      </c>
      <c r="I42" s="255" t="str">
        <f>CONCATENATE('3 pr-2'!J43)</f>
        <v>ITI</v>
      </c>
      <c r="J42" s="474">
        <f>IF(V42&gt;0,'3 pr-2'!L43,0)</f>
        <v>0</v>
      </c>
      <c r="K42" s="474">
        <f>IF(V42&gt;0,'3 pr-2'!O43,0)</f>
        <v>0</v>
      </c>
      <c r="L42" s="474">
        <f>IF(V42&gt;0,'3 pr-2'!R43,0)</f>
        <v>0</v>
      </c>
      <c r="M42" s="474">
        <f>IF(V42&gt;0,'3 pr-2'!U43,0)</f>
        <v>0</v>
      </c>
      <c r="N42" s="474">
        <f>IF(V42&gt;0,'3 pr-2'!X43,0)</f>
        <v>0</v>
      </c>
      <c r="O42" s="474">
        <f>IF(V42&gt;0,'3 pr-2'!AA43,0)</f>
        <v>0</v>
      </c>
      <c r="P42" s="636">
        <f>SUM('3 pr-2'!AJ43)</f>
        <v>43830</v>
      </c>
      <c r="Q42" s="290"/>
      <c r="R42" s="291" t="str">
        <f t="shared" si="7"/>
        <v>–</v>
      </c>
      <c r="S42" s="291"/>
    </row>
    <row r="43" spans="1:19" ht="36.75" x14ac:dyDescent="0.25">
      <c r="A43" s="255" t="str">
        <f>CONCATENATE('3 pr-2'!A44)</f>
        <v>1.1.1.3.5</v>
      </c>
      <c r="B43" s="473" t="str">
        <f>CONCATENATE('ketv. 2lent'!B43)</f>
        <v/>
      </c>
      <c r="C43" s="255" t="str">
        <f>CONCATENATE('3 pr-2'!D44)</f>
        <v xml:space="preserve">Nenaudojamų teritorijų Varėnos mieste sutvarkymas ir pritaikymas verslui </v>
      </c>
      <c r="D43" s="255" t="str">
        <f>CONCATENATE('3 pr-2'!E44)</f>
        <v>Varėnos rajono savivaldybės administracija</v>
      </c>
      <c r="E43" s="255" t="str">
        <f>CONCATENATE('3 pr-2'!F44)</f>
        <v>Lietuvos Respublikos vidaus reikalų ministerija</v>
      </c>
      <c r="F43" s="255" t="str">
        <f>CONCATENATE('3 pr-2'!G44)</f>
        <v>Varėnos miestas</v>
      </c>
      <c r="G43" s="255" t="str">
        <f>CONCATENATE('3 pr-2'!H44)</f>
        <v xml:space="preserve">07.1.1-CPVA-R-905 </v>
      </c>
      <c r="H43" s="255" t="str">
        <f>CONCATENATE('3 pr-2'!I44)</f>
        <v>R</v>
      </c>
      <c r="I43" s="255" t="str">
        <f>CONCATENATE('3 pr-2'!J44)</f>
        <v>ITI</v>
      </c>
      <c r="J43" s="474">
        <f>IF(V43&gt;0,'3 pr-2'!L44,0)</f>
        <v>0</v>
      </c>
      <c r="K43" s="474">
        <f>IF(V43&gt;0,'3 pr-2'!O44,0)</f>
        <v>0</v>
      </c>
      <c r="L43" s="474">
        <f>IF(V43&gt;0,'3 pr-2'!R44,0)</f>
        <v>0</v>
      </c>
      <c r="M43" s="474">
        <f>IF(V43&gt;0,'3 pr-2'!U44,0)</f>
        <v>0</v>
      </c>
      <c r="N43" s="474">
        <f>IF(V43&gt;0,'3 pr-2'!X44,0)</f>
        <v>0</v>
      </c>
      <c r="O43" s="474">
        <f>IF(V43&gt;0,'3 pr-2'!AA44,0)</f>
        <v>0</v>
      </c>
      <c r="P43" s="636">
        <f>SUM('3 pr-2'!AJ44)</f>
        <v>44196</v>
      </c>
      <c r="Q43" s="291"/>
      <c r="R43" s="291" t="str">
        <f t="shared" si="7"/>
        <v>–</v>
      </c>
      <c r="S43" s="291"/>
    </row>
    <row r="44" spans="1:19" ht="37.5" thickBot="1" x14ac:dyDescent="0.3">
      <c r="A44" s="255" t="str">
        <f>CONCATENATE('3 pr-2'!A45)</f>
        <v>1.1.1.3.6</v>
      </c>
      <c r="B44" s="473" t="str">
        <f>CONCATENATE('ketv. 2lent'!B44)</f>
        <v/>
      </c>
      <c r="C44" s="255" t="str">
        <f>CONCATENATE('3 pr-2'!D45)</f>
        <v xml:space="preserve">Teritorijų prie daugiabučių gyvenamųjų pastatų Varėnos mieste sutvarkymas ir pritaikymas visuomenės poreikiams  </v>
      </c>
      <c r="D44" s="255" t="str">
        <f>CONCATENATE('3 pr-2'!E45)</f>
        <v>Varėnos rajono savivaldybės administracija</v>
      </c>
      <c r="E44" s="255" t="str">
        <f>CONCATENATE('3 pr-2'!F45)</f>
        <v>Lietuvos Respublikos vidaus reikalų ministerija</v>
      </c>
      <c r="F44" s="255" t="str">
        <f>CONCATENATE('3 pr-2'!G45)</f>
        <v>Varėnos miestas</v>
      </c>
      <c r="G44" s="255" t="str">
        <f>CONCATENATE('3 pr-2'!H45)</f>
        <v xml:space="preserve">07.1.1-CPVA-R-905 </v>
      </c>
      <c r="H44" s="255" t="str">
        <f>CONCATENATE('3 pr-2'!I45)</f>
        <v>R</v>
      </c>
      <c r="I44" s="255" t="str">
        <f>CONCATENATE('3 pr-2'!J45)</f>
        <v>ITI</v>
      </c>
      <c r="J44" s="474">
        <f>IF(V44&gt;0,'3 pr-2'!L45,0)</f>
        <v>0</v>
      </c>
      <c r="K44" s="474">
        <f>IF(V44&gt;0,'3 pr-2'!O45,0)</f>
        <v>0</v>
      </c>
      <c r="L44" s="474">
        <f>IF(V44&gt;0,'3 pr-2'!R45,0)</f>
        <v>0</v>
      </c>
      <c r="M44" s="474">
        <f>IF(V44&gt;0,'3 pr-2'!U45,0)</f>
        <v>0</v>
      </c>
      <c r="N44" s="474">
        <f>IF(V44&gt;0,'3 pr-2'!X45,0)</f>
        <v>0</v>
      </c>
      <c r="O44" s="474">
        <f>IF(V44&gt;0,'3 pr-2'!AA45,0)</f>
        <v>0</v>
      </c>
      <c r="P44" s="636">
        <f>SUM('3 pr-2'!AJ45)</f>
        <v>44196</v>
      </c>
      <c r="Q44" s="291"/>
      <c r="R44" s="291" t="str">
        <f t="shared" si="7"/>
        <v>–</v>
      </c>
      <c r="S44" s="291"/>
    </row>
    <row r="45" spans="1:19" ht="39" customHeight="1" thickBot="1" x14ac:dyDescent="0.3">
      <c r="A45" s="497" t="str">
        <f>CONCATENATE('3 pr-2'!A46)</f>
        <v>1.1.1.4</v>
      </c>
      <c r="B45" s="613"/>
      <c r="C45" s="1656" t="str">
        <f>CONCATENATE('3 pr-2'!D46)</f>
        <v/>
      </c>
      <c r="D45" s="1789" t="str">
        <f>CONCATENATE('3 pr-2'!E46)</f>
        <v/>
      </c>
      <c r="E45" s="1789" t="str">
        <f>CONCATENATE('3 pr-2'!F46)</f>
        <v/>
      </c>
      <c r="F45" s="1789" t="str">
        <f>CONCATENATE('3 pr-2'!G46)</f>
        <v/>
      </c>
      <c r="G45" s="1789" t="str">
        <f>CONCATENATE('3 pr-2'!H46)</f>
        <v/>
      </c>
      <c r="H45" s="1789" t="str">
        <f>CONCATENATE('3 pr-2'!I46)</f>
        <v/>
      </c>
      <c r="I45" s="1790" t="str">
        <f>CONCATENATE('3 pr-2'!J46)</f>
        <v/>
      </c>
      <c r="J45" s="629">
        <f>SUM(J46:J48)</f>
        <v>0</v>
      </c>
      <c r="K45" s="629">
        <f t="shared" ref="K45:O45" si="8">SUM(K46:K48)</f>
        <v>0</v>
      </c>
      <c r="L45" s="629">
        <f t="shared" si="8"/>
        <v>0</v>
      </c>
      <c r="M45" s="629">
        <f t="shared" si="8"/>
        <v>0</v>
      </c>
      <c r="N45" s="629">
        <f t="shared" si="8"/>
        <v>0</v>
      </c>
      <c r="O45" s="629">
        <f t="shared" si="8"/>
        <v>0</v>
      </c>
      <c r="P45" s="629" t="s">
        <v>725</v>
      </c>
      <c r="Q45" s="629" t="s">
        <v>725</v>
      </c>
      <c r="R45" s="629" t="s">
        <v>725</v>
      </c>
      <c r="S45" s="629"/>
    </row>
    <row r="46" spans="1:19" ht="36.75" x14ac:dyDescent="0.25">
      <c r="A46" s="254" t="str">
        <f>CONCATENATE('3 pr-2'!A47)</f>
        <v>1.1.1.4.1</v>
      </c>
      <c r="B46" s="323" t="str">
        <f>CONCATENATE('ketv. 2lent'!B46)</f>
        <v>07.1.1-CPVA-V-902-01-0008</v>
      </c>
      <c r="C46" s="255" t="str">
        <f>CONCATENATE('3 pr-2'!D47)</f>
        <v>Buvusios pramoninės teritorijos Pramonės g. 1 Alytuje, pritaikymas verslo vystymui ir plėtrai.</v>
      </c>
      <c r="D46" s="255" t="str">
        <f>CONCATENATE('3 pr-2'!E47)</f>
        <v>Alytaus miesto savivaldybės administracija</v>
      </c>
      <c r="E46" s="255" t="str">
        <f>CONCATENATE('3 pr-2'!F47)</f>
        <v>Lietuvos Respublikos vidaus reikalų ministerija</v>
      </c>
      <c r="F46" s="255" t="str">
        <f>CONCATENATE('3 pr-2'!G47)</f>
        <v>Alytaus m.</v>
      </c>
      <c r="G46" s="255" t="str">
        <f>CONCATENATE('3 pr-2'!H47)</f>
        <v>07.1.1-CPVA-V-902</v>
      </c>
      <c r="H46" s="255" t="str">
        <f>CONCATENATE('3 pr-2'!I47)</f>
        <v>V</v>
      </c>
      <c r="I46" s="265" t="str">
        <f>CONCATENATE('3 pr-2'!J47)</f>
        <v>ITI</v>
      </c>
      <c r="J46" s="293">
        <f>IF(V46&gt;0,'3 pr-2'!L47,0)</f>
        <v>0</v>
      </c>
      <c r="K46" s="293">
        <f>IF(V46&gt;0,'3 pr-2'!O47,0)</f>
        <v>0</v>
      </c>
      <c r="L46" s="293">
        <f>IF(V46&gt;0,'3 pr-2'!R47,0)</f>
        <v>0</v>
      </c>
      <c r="M46" s="293">
        <f>IF(V46&gt;0,'3 pr-2'!U47,0)</f>
        <v>0</v>
      </c>
      <c r="N46" s="293">
        <f>IF(V46&gt;0,'3 pr-2'!X47,0)</f>
        <v>0</v>
      </c>
      <c r="O46" s="293">
        <f>IF(V46&gt;0,'3 pr-2'!AA47,0)</f>
        <v>0</v>
      </c>
      <c r="P46" s="271">
        <f>SUM('3 pr-2'!AJ47)</f>
        <v>43281</v>
      </c>
      <c r="Q46" s="308"/>
      <c r="R46" s="291" t="str">
        <f t="shared" ref="R46:R48" si="9">IF(P46-Q46&lt;0,(P46-Q46)/365,"–")</f>
        <v>–</v>
      </c>
      <c r="S46" s="264"/>
    </row>
    <row r="47" spans="1:19" ht="36.75" x14ac:dyDescent="0.25">
      <c r="A47" s="254" t="str">
        <f>CONCATENATE('3 pr-2'!A48)</f>
        <v>1.1.1.4.2</v>
      </c>
      <c r="B47" s="323" t="str">
        <f>CONCATENATE('ketv. 2lent'!B47)</f>
        <v>07.1.1-CPVA-R-903-11-0001</v>
      </c>
      <c r="C47" s="255" t="str">
        <f>CONCATENATE('3 pr-2'!D48)</f>
        <v>Amatų centro „Menų kalvė“ Druskininkuose įkūrimas</v>
      </c>
      <c r="D47" s="255" t="str">
        <f>CONCATENATE('3 pr-2'!E48)</f>
        <v xml:space="preserve">Druskininkų savivaldybės administracija  </v>
      </c>
      <c r="E47" s="255" t="str">
        <f>CONCATENATE('3 pr-2'!F48)</f>
        <v>Lietuvos Respublikos vidaus reikalų ministerija</v>
      </c>
      <c r="F47" s="255" t="str">
        <f>CONCATENATE('3 pr-2'!G48)</f>
        <v>Druskininkų miestas</v>
      </c>
      <c r="G47" s="255" t="str">
        <f>CONCATENATE('3 pr-2'!H48)</f>
        <v>07.1.1-CPVA-R-903</v>
      </c>
      <c r="H47" s="255" t="str">
        <f>CONCATENATE('3 pr-2'!I48)</f>
        <v>R</v>
      </c>
      <c r="I47" s="265" t="str">
        <f>CONCATENATE('3 pr-2'!J48)</f>
        <v>ITI</v>
      </c>
      <c r="J47" s="293">
        <f>IF(V47&gt;0,'3 pr-2'!L48,0)</f>
        <v>0</v>
      </c>
      <c r="K47" s="293">
        <f>IF(V47&gt;0,'3 pr-2'!O48,0)</f>
        <v>0</v>
      </c>
      <c r="L47" s="293">
        <f>IF(V47&gt;0,'3 pr-2'!R48,0)</f>
        <v>0</v>
      </c>
      <c r="M47" s="293">
        <f>IF(V47&gt;0,'3 pr-2'!U48,0)</f>
        <v>0</v>
      </c>
      <c r="N47" s="293">
        <f>IF(V47&gt;0,'3 pr-2'!X48,0)</f>
        <v>0</v>
      </c>
      <c r="O47" s="293">
        <f>IF(V47&gt;0,'3 pr-2'!AA48,0)</f>
        <v>0</v>
      </c>
      <c r="P47" s="271">
        <f>SUM('3 pr-2'!AJ48)</f>
        <v>43465</v>
      </c>
      <c r="Q47" s="308"/>
      <c r="R47" s="291" t="str">
        <f t="shared" si="9"/>
        <v>–</v>
      </c>
      <c r="S47" s="264"/>
    </row>
    <row r="48" spans="1:19" ht="37.5" thickBot="1" x14ac:dyDescent="0.3">
      <c r="A48" s="254" t="str">
        <f>CONCATENATE('3 pr-2'!A49)</f>
        <v>1.1.1.4.3</v>
      </c>
      <c r="B48" s="323" t="str">
        <f>CONCATENATE('ketv. 2lent'!B48)</f>
        <v>07.1.1-CPVA-R-903-11-0002</v>
      </c>
      <c r="C48" s="255" t="str">
        <f>CONCATENATE('3 pr-2'!D49)</f>
        <v>Lazdijų miesto kompleksinė infrastruktūros plėtra, III etapas</v>
      </c>
      <c r="D48" s="255" t="str">
        <f>CONCATENATE('3 pr-2'!E49)</f>
        <v>Lazdijų rajono savivaldybės administracija</v>
      </c>
      <c r="E48" s="255" t="str">
        <f>CONCATENATE('3 pr-2'!F49)</f>
        <v>Lietuvos Respublikos vidaus reikalų ministerija</v>
      </c>
      <c r="F48" s="255" t="str">
        <f>CONCATENATE('3 pr-2'!G49)</f>
        <v>Lazdijų miestas</v>
      </c>
      <c r="G48" s="255" t="str">
        <f>CONCATENATE('3 pr-2'!H49)</f>
        <v>07.1.1-CPVA-R-903</v>
      </c>
      <c r="H48" s="255" t="str">
        <f>CONCATENATE('3 pr-2'!I49)</f>
        <v>R</v>
      </c>
      <c r="I48" s="265" t="str">
        <f>CONCATENATE('3 pr-2'!J49)</f>
        <v>ITI</v>
      </c>
      <c r="J48" s="293">
        <f>IF(V48&gt;0,'3 pr-2'!L49,0)</f>
        <v>0</v>
      </c>
      <c r="K48" s="293">
        <f>IF(V48&gt;0,'3 pr-2'!O49,0)</f>
        <v>0</v>
      </c>
      <c r="L48" s="293">
        <f>IF(V48&gt;0,'3 pr-2'!R49,0)</f>
        <v>0</v>
      </c>
      <c r="M48" s="293">
        <f>IF(V48&gt;0,'3 pr-2'!U49,0)</f>
        <v>0</v>
      </c>
      <c r="N48" s="293">
        <f>IF(V48&gt;0,'3 pr-2'!X49,0)</f>
        <v>0</v>
      </c>
      <c r="O48" s="293">
        <f>IF(V48&gt;0,'3 pr-2'!AA49,0)</f>
        <v>0</v>
      </c>
      <c r="P48" s="271">
        <f>SUM('3 pr-2'!AJ49)</f>
        <v>43465</v>
      </c>
      <c r="Q48" s="308"/>
      <c r="R48" s="291" t="str">
        <f t="shared" si="9"/>
        <v>–</v>
      </c>
      <c r="S48" s="264"/>
    </row>
    <row r="49" spans="1:19" ht="36" customHeight="1" thickBot="1" x14ac:dyDescent="0.3">
      <c r="A49" s="497" t="str">
        <f>CONCATENATE('3 pr-2'!A50)</f>
        <v>1.1.1.5</v>
      </c>
      <c r="B49" s="613"/>
      <c r="C49" s="1656" t="str">
        <f>CONCATENATE('3 pr-2'!D50)</f>
        <v/>
      </c>
      <c r="D49" s="1789" t="str">
        <f>CONCATENATE('3 pr-2'!E50)</f>
        <v/>
      </c>
      <c r="E49" s="1789" t="str">
        <f>CONCATENATE('3 pr-2'!F50)</f>
        <v/>
      </c>
      <c r="F49" s="1789" t="str">
        <f>CONCATENATE('3 pr-2'!G50)</f>
        <v/>
      </c>
      <c r="G49" s="1789" t="str">
        <f>CONCATENATE('3 pr-2'!H50)</f>
        <v/>
      </c>
      <c r="H49" s="1789" t="str">
        <f>CONCATENATE('3 pr-2'!I50)</f>
        <v/>
      </c>
      <c r="I49" s="1790" t="str">
        <f>CONCATENATE('3 pr-2'!J50)</f>
        <v/>
      </c>
      <c r="J49" s="629">
        <f>SUM(J50:J54)</f>
        <v>0</v>
      </c>
      <c r="K49" s="629">
        <f t="shared" ref="K49:O49" si="10">SUM(K50:K54)</f>
        <v>0</v>
      </c>
      <c r="L49" s="629">
        <f t="shared" si="10"/>
        <v>0</v>
      </c>
      <c r="M49" s="629">
        <f t="shared" si="10"/>
        <v>0</v>
      </c>
      <c r="N49" s="629">
        <f t="shared" si="10"/>
        <v>0</v>
      </c>
      <c r="O49" s="629">
        <f t="shared" si="10"/>
        <v>0</v>
      </c>
      <c r="P49" s="629"/>
      <c r="Q49" s="629"/>
      <c r="R49" s="629"/>
      <c r="S49" s="629"/>
    </row>
    <row r="50" spans="1:19" ht="24.75" x14ac:dyDescent="0.25">
      <c r="A50" s="255" t="str">
        <f>CONCATENATE('3 pr-2'!A51)</f>
        <v>1.1.1.5.1</v>
      </c>
      <c r="B50" s="473" t="str">
        <f>CONCATENATE('ketv. 2lent'!B50)</f>
        <v>05.3.2-APVA-R-014-11-0001</v>
      </c>
      <c r="C50" s="255" t="str">
        <f>CONCATENATE('3 pr-2'!D51)</f>
        <v>Geriamojo vandens tiekimo ir nuotekų tvarkymo sistemų renovavimas ir plėtra Varėnos rajone</v>
      </c>
      <c r="D50" s="255" t="str">
        <f>CONCATENATE('3 pr-2'!E51)</f>
        <v>UAB „Varėnos vandenys“</v>
      </c>
      <c r="E50" s="255" t="str">
        <f>CONCATENATE('3 pr-2'!F51)</f>
        <v>Lietuvos Respublikos aplinkos ministerija</v>
      </c>
      <c r="F50" s="255" t="str">
        <f>CONCATENATE('3 pr-2'!G51)</f>
        <v>Varėnos rajono savivaldybė</v>
      </c>
      <c r="G50" s="255" t="str">
        <f>CONCATENATE('3 pr-2'!H51)</f>
        <v>05.3.2-APVA-R-014</v>
      </c>
      <c r="H50" s="255" t="str">
        <f>CONCATENATE('3 pr-2'!I51)</f>
        <v>R</v>
      </c>
      <c r="I50" s="255" t="str">
        <f>CONCATENATE('3 pr-2'!J51)</f>
        <v>ITI</v>
      </c>
      <c r="J50" s="474">
        <f>IF(V50&gt;0,'3 pr-2'!L51,0)</f>
        <v>0</v>
      </c>
      <c r="K50" s="474">
        <f>IF(V50&gt;0,'3 pr-2'!O51,0)</f>
        <v>0</v>
      </c>
      <c r="L50" s="474">
        <f>IF(V50&gt;0,'3 pr-2'!R51,0)</f>
        <v>0</v>
      </c>
      <c r="M50" s="474">
        <f>IF(V50&gt;0,'3 pr-2'!U51,0)</f>
        <v>0</v>
      </c>
      <c r="N50" s="474">
        <f>IF(V50&gt;0,'3 pr-2'!X51,0)</f>
        <v>0</v>
      </c>
      <c r="O50" s="474">
        <f>IF(V50&gt;0,'3 pr-2'!AA51,0)</f>
        <v>0</v>
      </c>
      <c r="P50" s="636">
        <f>SUM('3 pr-2'!AJ51)</f>
        <v>44012</v>
      </c>
      <c r="Q50" s="308"/>
      <c r="R50" s="291" t="str">
        <f t="shared" ref="R50:R54" si="11">IF(P50-Q50&lt;0,(P50-Q50)/365,"–")</f>
        <v>–</v>
      </c>
      <c r="S50" s="291"/>
    </row>
    <row r="51" spans="1:19" ht="24.75" x14ac:dyDescent="0.25">
      <c r="A51" s="255" t="str">
        <f>CONCATENATE('3 pr-2'!A52)</f>
        <v>1.1.1.5.2.</v>
      </c>
      <c r="B51" s="473" t="str">
        <f>CONCATENATE('ketv. 2lent'!B51)</f>
        <v>05.3.2-APVA-R-014-11-0002</v>
      </c>
      <c r="C51" s="255" t="str">
        <f>CONCATENATE('3 pr-2'!D52)</f>
        <v>Geriamojo vandens ir nuotekų tvarkymo sistemų renovavimas Alytaus mieste</v>
      </c>
      <c r="D51" s="255" t="str">
        <f>CONCATENATE('3 pr-2'!E52)</f>
        <v>UAB “Dzūkijos vandenys“</v>
      </c>
      <c r="E51" s="255" t="str">
        <f>CONCATENATE('3 pr-2'!F52)</f>
        <v>Lietuvos Respublikos aplinkos ministerija</v>
      </c>
      <c r="F51" s="255" t="str">
        <f>CONCATENATE('3 pr-2'!G52)</f>
        <v>Alytaus miestas</v>
      </c>
      <c r="G51" s="255" t="str">
        <f>CONCATENATE('3 pr-2'!H52)</f>
        <v xml:space="preserve">05.3.2-APVA-R-014 </v>
      </c>
      <c r="H51" s="255" t="str">
        <f>CONCATENATE('3 pr-2'!I52)</f>
        <v>R</v>
      </c>
      <c r="I51" s="255" t="str">
        <f>CONCATENATE('3 pr-2'!J52)</f>
        <v>ITI</v>
      </c>
      <c r="J51" s="474">
        <f>IF(V51&gt;0,'3 pr-2'!L52,0)</f>
        <v>0</v>
      </c>
      <c r="K51" s="474">
        <f>IF(V51&gt;0,'3 pr-2'!O52,0)</f>
        <v>0</v>
      </c>
      <c r="L51" s="474">
        <f>IF(V51&gt;0,'3 pr-2'!R52,0)</f>
        <v>0</v>
      </c>
      <c r="M51" s="474">
        <f>IF(V51&gt;0,'3 pr-2'!U52,0)</f>
        <v>0</v>
      </c>
      <c r="N51" s="474">
        <f>IF(V51&gt;0,'3 pr-2'!X52,0)</f>
        <v>0</v>
      </c>
      <c r="O51" s="474">
        <f>IF(V51&gt;0,'3 pr-2'!AA52,0)</f>
        <v>0</v>
      </c>
      <c r="P51" s="636">
        <f>SUM('3 pr-2'!AJ52)</f>
        <v>44012</v>
      </c>
      <c r="Q51" s="308"/>
      <c r="R51" s="291" t="str">
        <f t="shared" si="11"/>
        <v>–</v>
      </c>
      <c r="S51" s="291"/>
    </row>
    <row r="52" spans="1:19" ht="24.75" x14ac:dyDescent="0.25">
      <c r="A52" s="255" t="str">
        <f>CONCATENATE('3 pr-2'!A53)</f>
        <v>1.1.1.5.3</v>
      </c>
      <c r="B52" s="473" t="str">
        <f>CONCATENATE('ketv. 2lent'!B52)</f>
        <v>05.3.2-APVA-R-014-11-0004</v>
      </c>
      <c r="C52" s="255" t="str">
        <f>CONCATENATE('3 pr-2'!D53)</f>
        <v>Geriamojo vandens tiekimo ir nuotekų tvarkymo sistemų renovavimas ir plėtra Lazdijų rajono savivaldybėje</v>
      </c>
      <c r="D52" s="255" t="str">
        <f>CONCATENATE('3 pr-2'!E53)</f>
        <v>UAB „Lazdijų vanduo“</v>
      </c>
      <c r="E52" s="255" t="str">
        <f>CONCATENATE('3 pr-2'!F53)</f>
        <v>Lietuvos Respublikos aplinkos ministerija</v>
      </c>
      <c r="F52" s="255" t="str">
        <f>CONCATENATE('3 pr-2'!G53)</f>
        <v>Lazdijų rajono savivaldybė</v>
      </c>
      <c r="G52" s="255" t="str">
        <f>CONCATENATE('3 pr-2'!H53)</f>
        <v>05.3.2-APVA-R-014</v>
      </c>
      <c r="H52" s="255" t="str">
        <f>CONCATENATE('3 pr-2'!I53)</f>
        <v>R</v>
      </c>
      <c r="I52" s="255" t="str">
        <f>CONCATENATE('3 pr-2'!J53)</f>
        <v>-</v>
      </c>
      <c r="J52" s="474">
        <f>IF(V52&gt;0,'3 pr-2'!L53,0)</f>
        <v>0</v>
      </c>
      <c r="K52" s="474">
        <f>IF(V52&gt;0,'3 pr-2'!O53,0)</f>
        <v>0</v>
      </c>
      <c r="L52" s="474">
        <f>IF(V52&gt;0,'3 pr-2'!R53,0)</f>
        <v>0</v>
      </c>
      <c r="M52" s="474">
        <f>IF(V52&gt;0,'3 pr-2'!U53,0)</f>
        <v>0</v>
      </c>
      <c r="N52" s="474">
        <f>IF(V52&gt;0,'3 pr-2'!X53,0)</f>
        <v>0</v>
      </c>
      <c r="O52" s="474">
        <f>IF(V52&gt;0,'3 pr-2'!AA53,0)</f>
        <v>0</v>
      </c>
      <c r="P52" s="636">
        <f>SUM('3 pr-2'!AJ53)</f>
        <v>43646</v>
      </c>
      <c r="Q52" s="308"/>
      <c r="R52" s="291" t="str">
        <f t="shared" si="11"/>
        <v>–</v>
      </c>
      <c r="S52" s="291"/>
    </row>
    <row r="53" spans="1:19" ht="24.75" x14ac:dyDescent="0.25">
      <c r="A53" s="255" t="str">
        <f>CONCATENATE('3 pr-2'!A54)</f>
        <v>1.1.1.5.4.</v>
      </c>
      <c r="B53" s="473" t="str">
        <f>CONCATENATE('ketv. 2lent'!B53)</f>
        <v>05.3.2-APVA-R-014-11-0003</v>
      </c>
      <c r="C53" s="255" t="str">
        <f>CONCATENATE('3 pr-2'!D54)</f>
        <v>Vandens tiekimo ir nuotekų šalinimo infrastruktūros renovavimas ir plėtra Druskininkų savivaldybėje</v>
      </c>
      <c r="D53" s="255" t="str">
        <f>CONCATENATE('3 pr-2'!E54)</f>
        <v>UAB "Druskininkų vandenys"</v>
      </c>
      <c r="E53" s="255" t="str">
        <f>CONCATENATE('3 pr-2'!F54)</f>
        <v>Lietuvos Respublikos aplinkos ministerija</v>
      </c>
      <c r="F53" s="255" t="str">
        <f>CONCATENATE('3 pr-2'!G54)</f>
        <v>Druskininkų miestas</v>
      </c>
      <c r="G53" s="255" t="str">
        <f>CONCATENATE('3 pr-2'!H54)</f>
        <v>05.3.2-APVA-R-014</v>
      </c>
      <c r="H53" s="255" t="str">
        <f>CONCATENATE('3 pr-2'!I54)</f>
        <v>R</v>
      </c>
      <c r="I53" s="255" t="str">
        <f>CONCATENATE('3 pr-2'!J54)</f>
        <v>-</v>
      </c>
      <c r="J53" s="474">
        <f>IF(V53&gt;0,'3 pr-2'!L54,0)</f>
        <v>0</v>
      </c>
      <c r="K53" s="474">
        <f>IF(V53&gt;0,'3 pr-2'!O54,0)</f>
        <v>0</v>
      </c>
      <c r="L53" s="474">
        <f>IF(V53&gt;0,'3 pr-2'!R54,0)</f>
        <v>0</v>
      </c>
      <c r="M53" s="474">
        <f>IF(V53&gt;0,'3 pr-2'!U54,0)</f>
        <v>0</v>
      </c>
      <c r="N53" s="474">
        <f>IF(V53&gt;0,'3 pr-2'!X54,0)</f>
        <v>0</v>
      </c>
      <c r="O53" s="474">
        <f>IF(V53&gt;0,'3 pr-2'!AA54,0)</f>
        <v>0</v>
      </c>
      <c r="P53" s="636">
        <f>SUM('3 pr-2'!AJ54)</f>
        <v>44440</v>
      </c>
      <c r="Q53" s="308"/>
      <c r="R53" s="291" t="str">
        <f t="shared" si="11"/>
        <v>–</v>
      </c>
      <c r="S53" s="291"/>
    </row>
    <row r="54" spans="1:19" ht="37.5" thickBot="1" x14ac:dyDescent="0.3">
      <c r="A54" s="255" t="str">
        <f>CONCATENATE('3 pr-2'!A55)</f>
        <v>1.1.1.5.5.</v>
      </c>
      <c r="B54" s="473" t="str">
        <f>CONCATENATE('ketv. 2lent'!B54)</f>
        <v>05.3.2-APVA-R-014-11-0005</v>
      </c>
      <c r="C54" s="255" t="str">
        <f>CONCATENATE('3 pr-2'!D55)</f>
        <v>Vandens tiekimo ir nuotekų tvarkymo infrastruktūros plėtra Alytaus rajone (Krokialaukyje)</v>
      </c>
      <c r="D54" s="255" t="str">
        <f>CONCATENATE('3 pr-2'!E55)</f>
        <v>SĮ „Simno komunalininkas“</v>
      </c>
      <c r="E54" s="255" t="str">
        <f>CONCATENATE('3 pr-2'!F55)</f>
        <v>Lietuvos Respublikos aplinkos ministerija</v>
      </c>
      <c r="F54" s="255" t="str">
        <f>CONCATENATE('3 pr-2'!G55)</f>
        <v>Alytaus  rajono savivaldybė</v>
      </c>
      <c r="G54" s="255" t="str">
        <f>CONCATENATE('3 pr-2'!H55)</f>
        <v>05.3.2-APVA-R-014</v>
      </c>
      <c r="H54" s="255" t="str">
        <f>CONCATENATE('3 pr-2'!I55)</f>
        <v>R</v>
      </c>
      <c r="I54" s="255" t="str">
        <f>CONCATENATE('3 pr-2'!J55)</f>
        <v>-</v>
      </c>
      <c r="J54" s="474">
        <f>IF(V54&gt;0,'3 pr-2'!L55,0)</f>
        <v>0</v>
      </c>
      <c r="K54" s="474">
        <f>IF(V54&gt;0,'3 pr-2'!O55,0)</f>
        <v>0</v>
      </c>
      <c r="L54" s="474">
        <f>IF(V54&gt;0,'3 pr-2'!R55,0)</f>
        <v>0</v>
      </c>
      <c r="M54" s="474">
        <f>IF(V54&gt;0,'3 pr-2'!U55,0)</f>
        <v>0</v>
      </c>
      <c r="N54" s="474">
        <f>IF(V54&gt;0,'3 pr-2'!X55,0)</f>
        <v>0</v>
      </c>
      <c r="O54" s="474">
        <f>IF(V54&gt;0,'3 pr-2'!AA55,0)</f>
        <v>0</v>
      </c>
      <c r="P54" s="636">
        <f>SUM('3 pr-2'!AJ55)</f>
        <v>44196</v>
      </c>
      <c r="Q54" s="308"/>
      <c r="R54" s="291" t="str">
        <f t="shared" si="11"/>
        <v>–</v>
      </c>
      <c r="S54" s="291"/>
    </row>
    <row r="55" spans="1:19" ht="33.75" customHeight="1" thickBot="1" x14ac:dyDescent="0.3">
      <c r="A55" s="497" t="str">
        <f>CONCATENATE('3 pr-2'!A56)</f>
        <v>1.1.1.6</v>
      </c>
      <c r="B55" s="613"/>
      <c r="C55" s="1656" t="str">
        <f>CONCATENATE('3 pr-2'!D56)</f>
        <v/>
      </c>
      <c r="D55" s="1789" t="str">
        <f>CONCATENATE('3 pr-2'!E56)</f>
        <v/>
      </c>
      <c r="E55" s="1789" t="str">
        <f>CONCATENATE('3 pr-2'!F56)</f>
        <v/>
      </c>
      <c r="F55" s="1789" t="str">
        <f>CONCATENATE('3 pr-2'!G56)</f>
        <v/>
      </c>
      <c r="G55" s="1789" t="str">
        <f>CONCATENATE('3 pr-2'!H56)</f>
        <v/>
      </c>
      <c r="H55" s="1789" t="str">
        <f>CONCATENATE('3 pr-2'!I56)</f>
        <v/>
      </c>
      <c r="I55" s="1790" t="str">
        <f>CONCATENATE('3 pr-2'!J56)</f>
        <v/>
      </c>
      <c r="J55" s="629">
        <f>SUM(J56)</f>
        <v>0</v>
      </c>
      <c r="K55" s="629">
        <f t="shared" ref="K55:O55" si="12">SUM(K56)</f>
        <v>0</v>
      </c>
      <c r="L55" s="629">
        <f t="shared" si="12"/>
        <v>0</v>
      </c>
      <c r="M55" s="629">
        <f t="shared" si="12"/>
        <v>0</v>
      </c>
      <c r="N55" s="629">
        <f t="shared" si="12"/>
        <v>0</v>
      </c>
      <c r="O55" s="629">
        <f t="shared" si="12"/>
        <v>0</v>
      </c>
      <c r="P55" s="629"/>
      <c r="Q55" s="629"/>
      <c r="R55" s="629"/>
      <c r="S55" s="629"/>
    </row>
    <row r="56" spans="1:19" ht="25.5" thickBot="1" x14ac:dyDescent="0.3">
      <c r="A56" s="254" t="str">
        <f>CONCATENATE('3 pr-2'!A57)</f>
        <v>1.1.1.6.1</v>
      </c>
      <c r="B56" s="323" t="str">
        <f>CONCATENATE('ketv. 2lent'!B56)</f>
        <v>05.1.1-APVA-R-007-11-0001</v>
      </c>
      <c r="C56" s="255" t="str">
        <f>CONCATENATE('3 pr-2'!D57)</f>
        <v>Paviršinių nuotekų sistemų tvarkymas Alytaus mieste</v>
      </c>
      <c r="D56" s="255" t="str">
        <f>CONCATENATE('3 pr-2'!E57)</f>
        <v>UAB “Dzūkijos vandenys“</v>
      </c>
      <c r="E56" s="255" t="str">
        <f>CONCATENATE('3 pr-2'!F57)</f>
        <v>Lietuvos Respublikos aplinkos ministerija</v>
      </c>
      <c r="F56" s="255" t="str">
        <f>CONCATENATE('3 pr-2'!G57)</f>
        <v>Alytaus  miestas</v>
      </c>
      <c r="G56" s="255" t="str">
        <f>CONCATENATE('3 pr-2'!H57)</f>
        <v>05.1.1-APVA-R-007</v>
      </c>
      <c r="H56" s="255" t="str">
        <f>CONCATENATE('3 pr-2'!I57)</f>
        <v>R</v>
      </c>
      <c r="I56" s="265" t="str">
        <f>CONCATENATE('3 pr-2'!J57)</f>
        <v>-</v>
      </c>
      <c r="J56" s="293">
        <f>IF(V56&gt;0,'3 pr-2'!L57,0)</f>
        <v>0</v>
      </c>
      <c r="K56" s="293">
        <f>IF(V56&gt;0,'3 pr-2'!O57,0)</f>
        <v>0</v>
      </c>
      <c r="L56" s="293">
        <f>IF(V56&gt;0,'3 pr-2'!R57,0)</f>
        <v>0</v>
      </c>
      <c r="M56" s="293">
        <f>IF(V56&gt;0,'3 pr-2'!U57,0)</f>
        <v>0</v>
      </c>
      <c r="N56" s="293">
        <f>IF(V56&gt;0,'3 pr-2'!X57,0)</f>
        <v>0</v>
      </c>
      <c r="O56" s="293">
        <f>IF(V56&gt;0,'3 pr-2'!AA57,0)</f>
        <v>0</v>
      </c>
      <c r="P56" s="271">
        <f>SUM('3 pr-2'!AJ57)</f>
        <v>44196</v>
      </c>
      <c r="Q56" s="290"/>
      <c r="R56" s="291" t="str">
        <f>IF(P56-Q56&lt;0,(P56-Q56)/365,"–")</f>
        <v>–</v>
      </c>
      <c r="S56" s="264"/>
    </row>
    <row r="57" spans="1:19" ht="35.25" customHeight="1" thickBot="1" x14ac:dyDescent="0.3">
      <c r="A57" s="497" t="str">
        <f>CONCATENATE('3 pr-2'!A58)</f>
        <v>1.1.1.7</v>
      </c>
      <c r="B57" s="613"/>
      <c r="C57" s="1656" t="str">
        <f>CONCATENATE('3 pr-2'!D58)</f>
        <v>Priemonė:
Savivaldybes jungiančių turizmo trasų ir turizmo maršrutų informacinės infrastruktūros plėtra</v>
      </c>
      <c r="D57" s="1789" t="str">
        <f>CONCATENATE('3 pr-2'!E58)</f>
        <v/>
      </c>
      <c r="E57" s="1789" t="str">
        <f>CONCATENATE('3 pr-2'!F58)</f>
        <v/>
      </c>
      <c r="F57" s="1789" t="str">
        <f>CONCATENATE('3 pr-2'!G58)</f>
        <v/>
      </c>
      <c r="G57" s="1789" t="str">
        <f>CONCATENATE('3 pr-2'!H58)</f>
        <v/>
      </c>
      <c r="H57" s="1789" t="str">
        <f>CONCATENATE('3 pr-2'!I58)</f>
        <v/>
      </c>
      <c r="I57" s="1790" t="str">
        <f>CONCATENATE('3 pr-2'!J58)</f>
        <v/>
      </c>
      <c r="J57" s="629">
        <f>SUM(J58:J60)</f>
        <v>0</v>
      </c>
      <c r="K57" s="629">
        <f t="shared" ref="K57:O57" si="13">SUM(K58:K60)</f>
        <v>0</v>
      </c>
      <c r="L57" s="629">
        <f t="shared" si="13"/>
        <v>0</v>
      </c>
      <c r="M57" s="629">
        <f t="shared" si="13"/>
        <v>0</v>
      </c>
      <c r="N57" s="629">
        <f t="shared" si="13"/>
        <v>0</v>
      </c>
      <c r="O57" s="629">
        <f t="shared" si="13"/>
        <v>0</v>
      </c>
      <c r="P57" s="629"/>
      <c r="Q57" s="629"/>
      <c r="R57" s="629"/>
      <c r="S57" s="629"/>
    </row>
    <row r="58" spans="1:19" ht="36.75" x14ac:dyDescent="0.25">
      <c r="A58" s="255" t="str">
        <f>CONCATENATE('3 pr-2'!A59)</f>
        <v>1.1.1.7.1</v>
      </c>
      <c r="B58" s="473" t="str">
        <f>CONCATENATE('ketv. 2lent'!B58)</f>
        <v>05.4.1-LVPA-R-821-11-0002</v>
      </c>
      <c r="C58" s="255" t="str">
        <f>CONCATENATE('3 pr-2'!D59)</f>
        <v>Alytaus regiono turizmo informacinės infrastruktūros plėtra</v>
      </c>
      <c r="D58" s="255" t="str">
        <f>CONCATENATE('3 pr-2'!E59)</f>
        <v>Alytaus miesto savivaldybės administracija</v>
      </c>
      <c r="E58" s="255" t="str">
        <f>CONCATENATE('3 pr-2'!F59)</f>
        <v>Lietuvos Respublikos ūkio ministerija</v>
      </c>
      <c r="F58" s="255" t="str">
        <f>CONCATENATE('3 pr-2'!G59)</f>
        <v>Alytaus regionas</v>
      </c>
      <c r="G58" s="255" t="str">
        <f>CONCATENATE('3 pr-2'!H59)</f>
        <v>05.4.1-LVPA-R-821</v>
      </c>
      <c r="H58" s="255" t="str">
        <f>CONCATENATE('3 pr-2'!I59)</f>
        <v>R</v>
      </c>
      <c r="I58" s="255" t="str">
        <f>CONCATENATE('3 pr-2'!J59)</f>
        <v>-</v>
      </c>
      <c r="J58" s="474">
        <f>IF(V58&gt;0,'3 pr-2'!L59,0)</f>
        <v>0</v>
      </c>
      <c r="K58" s="474">
        <f>IF(V58&gt;0,'3 pr-2'!O59,0)</f>
        <v>0</v>
      </c>
      <c r="L58" s="474">
        <f>IF(V58&gt;0,'3 pr-2'!R59,0)</f>
        <v>0</v>
      </c>
      <c r="M58" s="474">
        <f>IF(V58&gt;0,'3 pr-2'!U59,0)</f>
        <v>0</v>
      </c>
      <c r="N58" s="474">
        <f>IF(V58&gt;0,'3 pr-2'!X59,0)</f>
        <v>0</v>
      </c>
      <c r="O58" s="474">
        <f>IF(V58&gt;0,'3 pr-2'!AA59,0)</f>
        <v>0</v>
      </c>
      <c r="P58" s="636">
        <f>SUM('3 pr-2'!AJ59)</f>
        <v>43830</v>
      </c>
      <c r="Q58" s="290"/>
      <c r="R58" s="291" t="str">
        <f t="shared" ref="R58:R60" si="14">IF(P58-Q58&lt;0,(P58-Q58)/365,"–")</f>
        <v>–</v>
      </c>
      <c r="S58" s="291"/>
    </row>
    <row r="59" spans="1:19" ht="48.75" x14ac:dyDescent="0.25">
      <c r="A59" s="255" t="str">
        <f>CONCATENATE('3 pr-2'!A60)</f>
        <v>1.1.1.7.2</v>
      </c>
      <c r="B59" s="473" t="str">
        <f>CONCATENATE('ketv. 2lent'!B59)</f>
        <v>05.4.1-LVPA-R-821-11-0001</v>
      </c>
      <c r="C59" s="255" t="str">
        <f>CONCATENATE('3 pr-2'!D60)</f>
        <v>„Turizmo trasų ir maršrutų informacinės infrastruktūros plėtra  Lazdijų, Varėnos rajonų ir Druskininkų savivaldybėse“</v>
      </c>
      <c r="D59" s="255" t="str">
        <f>CONCATENATE('3 pr-2'!E60)</f>
        <v>Lazdijų rajono savivaldybės administracija</v>
      </c>
      <c r="E59" s="255" t="str">
        <f>CONCATENATE('3 pr-2'!F60)</f>
        <v>Lietuvos Respublikos ūkio ministerija</v>
      </c>
      <c r="F59" s="255" t="str">
        <f>CONCATENATE('3 pr-2'!G60)</f>
        <v xml:space="preserve">Lazdijų, Varėnos rajonų ir Druskininkų savivaldybės </v>
      </c>
      <c r="G59" s="255" t="str">
        <f>CONCATENATE('3 pr-2'!H60)</f>
        <v>05.4.1-LVPA-R-821</v>
      </c>
      <c r="H59" s="255" t="str">
        <f>CONCATENATE('3 pr-2'!I60)</f>
        <v>R</v>
      </c>
      <c r="I59" s="255" t="str">
        <f>CONCATENATE('3 pr-2'!J60)</f>
        <v>-</v>
      </c>
      <c r="J59" s="474">
        <f>IF(V59&gt;0,'3 pr-2'!L60,0)</f>
        <v>0</v>
      </c>
      <c r="K59" s="474">
        <f>IF(V59&gt;0,'3 pr-2'!O60,0)</f>
        <v>0</v>
      </c>
      <c r="L59" s="474">
        <f>IF(V59&gt;0,'3 pr-2'!R60,0)</f>
        <v>0</v>
      </c>
      <c r="M59" s="474">
        <f>IF(V59&gt;0,'3 pr-2'!U60,0)</f>
        <v>0</v>
      </c>
      <c r="N59" s="474">
        <f>IF(V59&gt;0,'3 pr-2'!X60,0)</f>
        <v>0</v>
      </c>
      <c r="O59" s="474">
        <f>IF(V59&gt;0,'3 pr-2'!AA60,0)</f>
        <v>0</v>
      </c>
      <c r="P59" s="636">
        <f>SUM('3 pr-2'!AJ60)</f>
        <v>43585</v>
      </c>
      <c r="Q59" s="290"/>
      <c r="R59" s="291" t="str">
        <f t="shared" si="14"/>
        <v>–</v>
      </c>
      <c r="S59" s="291"/>
    </row>
    <row r="60" spans="1:19" ht="49.5" thickBot="1" x14ac:dyDescent="0.3">
      <c r="A60" s="255" t="str">
        <f>CONCATENATE('3 pr-2'!A61)</f>
        <v>1.1.1.7.3</v>
      </c>
      <c r="B60" s="473" t="str">
        <f>CONCATENATE('ketv. 2lent'!B60)</f>
        <v/>
      </c>
      <c r="C60" s="255" t="str">
        <f>CONCATENATE('3 pr-2'!D61)</f>
        <v>„Turizmo trasų ir maršrutų informacinės infrastruktūros plėtra  Lazdijų, Varėnos rajonų ir Druskininkų savivaldybėse II etapas“</v>
      </c>
      <c r="D60" s="255" t="str">
        <f>CONCATENATE('3 pr-2'!E61)</f>
        <v>Lazdijų rajono savivaldybės administracija</v>
      </c>
      <c r="E60" s="255" t="str">
        <f>CONCATENATE('3 pr-2'!F61)</f>
        <v>Lietuvos Respublikos ūkio ministerija</v>
      </c>
      <c r="F60" s="255" t="str">
        <f>CONCATENATE('3 pr-2'!G61)</f>
        <v xml:space="preserve">Lazdijų, Varėnos rajonų ir Druskininkų savivaldybės </v>
      </c>
      <c r="G60" s="255" t="str">
        <f>CONCATENATE('3 pr-2'!H61)</f>
        <v>05.4.1-LVPA-R-821</v>
      </c>
      <c r="H60" s="255" t="str">
        <f>CONCATENATE('3 pr-2'!I61)</f>
        <v>R</v>
      </c>
      <c r="I60" s="255" t="str">
        <f>CONCATENATE('3 pr-2'!J61)</f>
        <v>-</v>
      </c>
      <c r="J60" s="474">
        <f>IF(V60&gt;0,'3 pr-2'!L61,0)</f>
        <v>0</v>
      </c>
      <c r="K60" s="474">
        <f>IF(V60&gt;0,'3 pr-2'!O61,0)</f>
        <v>0</v>
      </c>
      <c r="L60" s="474">
        <f>IF(V60&gt;0,'3 pr-2'!R61,0)</f>
        <v>0</v>
      </c>
      <c r="M60" s="474">
        <f>IF(V60&gt;0,'3 pr-2'!U61,0)</f>
        <v>0</v>
      </c>
      <c r="N60" s="474">
        <f>IF(V60&gt;0,'3 pr-2'!X61,0)</f>
        <v>0</v>
      </c>
      <c r="O60" s="474">
        <f>IF(V60&gt;0,'3 pr-2'!AA61,0)</f>
        <v>0</v>
      </c>
      <c r="P60" s="636">
        <f>SUM('3 pr-2'!AJ61)</f>
        <v>44176</v>
      </c>
      <c r="Q60" s="291"/>
      <c r="R60" s="291" t="str">
        <f t="shared" si="14"/>
        <v>–</v>
      </c>
      <c r="S60" s="291"/>
    </row>
    <row r="61" spans="1:19" ht="29.25" customHeight="1" thickBot="1" x14ac:dyDescent="0.3">
      <c r="A61" s="497" t="str">
        <f>CONCATENATE('3 pr-2'!A62)</f>
        <v>1.1.1.8</v>
      </c>
      <c r="B61" s="613"/>
      <c r="C61" s="1656" t="str">
        <f>CONCATENATE('3 pr-2'!D62)</f>
        <v/>
      </c>
      <c r="D61" s="1789" t="str">
        <f>CONCATENATE('3 pr-2'!E62)</f>
        <v/>
      </c>
      <c r="E61" s="1789" t="str">
        <f>CONCATENATE('3 pr-2'!F62)</f>
        <v/>
      </c>
      <c r="F61" s="1789" t="str">
        <f>CONCATENATE('3 pr-2'!G62)</f>
        <v/>
      </c>
      <c r="G61" s="1789" t="str">
        <f>CONCATENATE('3 pr-2'!H62)</f>
        <v/>
      </c>
      <c r="H61" s="1789" t="str">
        <f>CONCATENATE('3 pr-2'!I62)</f>
        <v/>
      </c>
      <c r="I61" s="1790" t="str">
        <f>CONCATENATE('3 pr-2'!J62)</f>
        <v/>
      </c>
      <c r="J61" s="629">
        <f>SUM(J62:J65)</f>
        <v>0</v>
      </c>
      <c r="K61" s="629">
        <f t="shared" ref="K61:O61" si="15">SUM(K62:K65)</f>
        <v>0</v>
      </c>
      <c r="L61" s="629">
        <f t="shared" si="15"/>
        <v>0</v>
      </c>
      <c r="M61" s="629">
        <f t="shared" si="15"/>
        <v>0</v>
      </c>
      <c r="N61" s="629">
        <f t="shared" si="15"/>
        <v>0</v>
      </c>
      <c r="O61" s="629">
        <f t="shared" si="15"/>
        <v>0</v>
      </c>
      <c r="P61" s="629"/>
      <c r="Q61" s="629"/>
      <c r="R61" s="629"/>
      <c r="S61" s="629"/>
    </row>
    <row r="62" spans="1:19" ht="36.75" x14ac:dyDescent="0.25">
      <c r="A62" s="255" t="str">
        <f>CONCATENATE('3 pr-2'!A63)</f>
        <v>1.1.1.8.1</v>
      </c>
      <c r="B62" s="473" t="str">
        <f>CONCATENATE('ketv. 2lent'!B62)</f>
        <v>07.1.1-CPVA-R-305-11-0001</v>
      </c>
      <c r="C62" s="255" t="str">
        <f>CONCATENATE('3 pr-2'!D63)</f>
        <v>Kultūros įstaigų infrastruktūros modernizavimas Varėnos mieste</v>
      </c>
      <c r="D62" s="255" t="str">
        <f>CONCATENATE('3 pr-2'!E63)</f>
        <v>Varėnos rajono savivaldybės administracija</v>
      </c>
      <c r="E62" s="255" t="str">
        <f>CONCATENATE('3 pr-2'!F63)</f>
        <v>Lietuvos Respublikos kultūros ministerija</v>
      </c>
      <c r="F62" s="255" t="str">
        <f>CONCATENATE('3 pr-2'!G63)</f>
        <v>Varėnos miestas</v>
      </c>
      <c r="G62" s="255" t="str">
        <f>CONCATENATE('3 pr-2'!H63)</f>
        <v>07.1.1-CPVA-R-305</v>
      </c>
      <c r="H62" s="255" t="str">
        <f>CONCATENATE('3 pr-2'!I63)</f>
        <v>R</v>
      </c>
      <c r="I62" s="255" t="str">
        <f>CONCATENATE('3 pr-2'!J63)</f>
        <v>ITI</v>
      </c>
      <c r="J62" s="474">
        <f>IF(V62&gt;0,'3 pr-2'!L63,0)</f>
        <v>0</v>
      </c>
      <c r="K62" s="474">
        <f>IF(V62&gt;0,'3 pr-2'!O63,0)</f>
        <v>0</v>
      </c>
      <c r="L62" s="474">
        <f>IF(V62&gt;0,'3 pr-2'!R63,0)</f>
        <v>0</v>
      </c>
      <c r="M62" s="474">
        <f>IF(V62&gt;0,'3 pr-2'!U63,0)</f>
        <v>0</v>
      </c>
      <c r="N62" s="474">
        <f>IF(V62&gt;0,'3 pr-2'!X63,0)</f>
        <v>0</v>
      </c>
      <c r="O62" s="474">
        <f>IF(V62&gt;0,'3 pr-2'!AA63,0)</f>
        <v>0</v>
      </c>
      <c r="P62" s="694" t="str">
        <f>CONCATENATE('3 pr-2'!AJ63)</f>
        <v>43465</v>
      </c>
      <c r="Q62" s="308"/>
      <c r="R62" s="291" t="str">
        <f t="shared" ref="R62:R65" si="16">IF(P62-Q62&lt;0,(P62-Q62)/365,"–")</f>
        <v>–</v>
      </c>
      <c r="S62" s="291"/>
    </row>
    <row r="63" spans="1:19" ht="36.75" x14ac:dyDescent="0.25">
      <c r="A63" s="255" t="str">
        <f>CONCATENATE('3 pr-2'!A64)</f>
        <v>1.1.1.8.2</v>
      </c>
      <c r="B63" s="473" t="str">
        <f>CONCATENATE('ketv. 2lent'!B63)</f>
        <v>07.1.1-CPVA-R-305-11-0002</v>
      </c>
      <c r="C63" s="255" t="str">
        <f>CONCATENATE('3 pr-2'!D64)</f>
        <v>VšĮ Alytaus kultūros ir komunikacijos centro pastato Alytuje, Pramonės g. 1B, rekonstravimas</v>
      </c>
      <c r="D63" s="255" t="str">
        <f>CONCATENATE('3 pr-2'!E64)</f>
        <v>Alytaus miesto savivaldybės administracija</v>
      </c>
      <c r="E63" s="255" t="str">
        <f>CONCATENATE('3 pr-2'!F64)</f>
        <v>Lietuvos Respublikos kultūros ministerija</v>
      </c>
      <c r="F63" s="255" t="str">
        <f>CONCATENATE('3 pr-2'!G64)</f>
        <v>Alytaus miestas</v>
      </c>
      <c r="G63" s="255" t="str">
        <f>CONCATENATE('3 pr-2'!H64)</f>
        <v>07.1.1-CPVA-R-305</v>
      </c>
      <c r="H63" s="255" t="str">
        <f>CONCATENATE('3 pr-2'!I64)</f>
        <v>R</v>
      </c>
      <c r="I63" s="255" t="str">
        <f>CONCATENATE('3 pr-2'!J64)</f>
        <v>ITI</v>
      </c>
      <c r="J63" s="474">
        <f>IF(V63&gt;0,'3 pr-2'!L64,0)</f>
        <v>0</v>
      </c>
      <c r="K63" s="474">
        <f>IF(V63&gt;0,'3 pr-2'!O64,0)</f>
        <v>0</v>
      </c>
      <c r="L63" s="474">
        <f>IF(V63&gt;0,'3 pr-2'!R64,0)</f>
        <v>0</v>
      </c>
      <c r="M63" s="474">
        <f>IF(V63&gt;0,'3 pr-2'!U64,0)</f>
        <v>0</v>
      </c>
      <c r="N63" s="474">
        <f>IF(V63&gt;0,'3 pr-2'!X64,0)</f>
        <v>0</v>
      </c>
      <c r="O63" s="474">
        <f>IF(V63&gt;0,'3 pr-2'!AA64,0)</f>
        <v>0</v>
      </c>
      <c r="P63" s="636">
        <f>SUM('3 pr-2'!AJ64)</f>
        <v>43465</v>
      </c>
      <c r="Q63" s="308"/>
      <c r="R63" s="291" t="str">
        <f t="shared" si="16"/>
        <v>–</v>
      </c>
      <c r="S63" s="291"/>
    </row>
    <row r="64" spans="1:19" ht="36.75" x14ac:dyDescent="0.25">
      <c r="A64" s="255" t="str">
        <f>CONCATENATE('3 pr-2'!A65)</f>
        <v>1.1.1.8.3</v>
      </c>
      <c r="B64" s="473" t="str">
        <f>CONCATENATE('ketv. 2lent'!B64)</f>
        <v>07.1.1-CPVA-R-305-11-0003</v>
      </c>
      <c r="C64" s="255" t="str">
        <f>CONCATENATE('3 pr-2'!D65)</f>
        <v>Druskininkų kultūros centro lauko scenos, Vilniaus al. 24, Druskininkai, modernizavimas ir pritaikymas kultūros  poreikiams</v>
      </c>
      <c r="D64" s="255" t="str">
        <f>CONCATENATE('3 pr-2'!E65)</f>
        <v xml:space="preserve">Druskininkų savivaldybės administracija  </v>
      </c>
      <c r="E64" s="255" t="str">
        <f>CONCATENATE('3 pr-2'!F65)</f>
        <v>Lietuvos Respublikos kultūros ministerija</v>
      </c>
      <c r="F64" s="255" t="str">
        <f>CONCATENATE('3 pr-2'!G65)</f>
        <v>Druskininkų  miestas</v>
      </c>
      <c r="G64" s="255" t="str">
        <f>CONCATENATE('3 pr-2'!H65)</f>
        <v>07.1.1-CPVA-R-305</v>
      </c>
      <c r="H64" s="255" t="str">
        <f>CONCATENATE('3 pr-2'!I65)</f>
        <v>R</v>
      </c>
      <c r="I64" s="255" t="str">
        <f>CONCATENATE('3 pr-2'!J65)</f>
        <v>ITI</v>
      </c>
      <c r="J64" s="474">
        <f>IF(V64&gt;0,'3 pr-2'!L65,0)</f>
        <v>0</v>
      </c>
      <c r="K64" s="474">
        <f>IF(V64&gt;0,'3 pr-2'!O65,0)</f>
        <v>0</v>
      </c>
      <c r="L64" s="474">
        <f>IF(V64&gt;0,'3 pr-2'!R65,0)</f>
        <v>0</v>
      </c>
      <c r="M64" s="474">
        <f>IF(V64&gt;0,'3 pr-2'!U65,0)</f>
        <v>0</v>
      </c>
      <c r="N64" s="474">
        <f>IF(V64&gt;0,'3 pr-2'!X65,0)</f>
        <v>0</v>
      </c>
      <c r="O64" s="474">
        <f>IF(V64&gt;0,'3 pr-2'!AA65,0)</f>
        <v>0</v>
      </c>
      <c r="P64" s="636">
        <f>SUM('3 pr-2'!AJ65)</f>
        <v>43465</v>
      </c>
      <c r="Q64" s="308"/>
      <c r="R64" s="291" t="str">
        <f t="shared" si="16"/>
        <v>–</v>
      </c>
      <c r="S64" s="291"/>
    </row>
    <row r="65" spans="1:19" ht="37.5" thickBot="1" x14ac:dyDescent="0.3">
      <c r="A65" s="255" t="str">
        <f>CONCATENATE('3 pr-2'!A66)</f>
        <v>1.1.1.8.4</v>
      </c>
      <c r="B65" s="473" t="str">
        <f>CONCATENATE('ketv. 2lent'!B65)</f>
        <v>07.1.1-CPVA-R-305-11-0004</v>
      </c>
      <c r="C65" s="255" t="str">
        <f>CONCATENATE('3 pr-2'!D66)</f>
        <v>Pastato rekonstrukcija ir pritaikymas kultūrinėms, muziejinėms ir edukacinėms reikmėms</v>
      </c>
      <c r="D65" s="255" t="str">
        <f>CONCATENATE('3 pr-2'!E66)</f>
        <v>Lazdijų rajono savivaldybės administracija</v>
      </c>
      <c r="E65" s="255" t="str">
        <f>CONCATENATE('3 pr-2'!F66)</f>
        <v>Lietuvos Respublikos kultūros ministerija</v>
      </c>
      <c r="F65" s="255" t="str">
        <f>CONCATENATE('3 pr-2'!G66)</f>
        <v>Lazdijų miestas</v>
      </c>
      <c r="G65" s="255" t="str">
        <f>CONCATENATE('3 pr-2'!H66)</f>
        <v>07.1.1-CPVA-R-305</v>
      </c>
      <c r="H65" s="255" t="str">
        <f>CONCATENATE('3 pr-2'!I66)</f>
        <v>R</v>
      </c>
      <c r="I65" s="255" t="str">
        <f>CONCATENATE('3 pr-2'!J66)</f>
        <v>ITI</v>
      </c>
      <c r="J65" s="474">
        <f>IF(V65&gt;0,'3 pr-2'!L66,0)</f>
        <v>0</v>
      </c>
      <c r="K65" s="474">
        <f>IF(V65&gt;0,'3 pr-2'!O66,0)</f>
        <v>0</v>
      </c>
      <c r="L65" s="474">
        <f>IF(V65&gt;0,'3 pr-2'!R66,0)</f>
        <v>0</v>
      </c>
      <c r="M65" s="474">
        <f>IF(V65&gt;0,'3 pr-2'!U66,0)</f>
        <v>0</v>
      </c>
      <c r="N65" s="474">
        <f>IF(V65&gt;0,'3 pr-2'!X66,0)</f>
        <v>0</v>
      </c>
      <c r="O65" s="474">
        <f>IF(V65&gt;0,'3 pr-2'!AA66,0)</f>
        <v>0</v>
      </c>
      <c r="P65" s="636">
        <f>SUM('3 pr-2'!AJ66)</f>
        <v>44196</v>
      </c>
      <c r="Q65" s="308"/>
      <c r="R65" s="291" t="str">
        <f t="shared" si="16"/>
        <v>–</v>
      </c>
      <c r="S65" s="291"/>
    </row>
    <row r="66" spans="1:19" ht="34.5" customHeight="1" thickBot="1" x14ac:dyDescent="0.3">
      <c r="A66" s="497" t="str">
        <f>CONCATENATE('3 pr-2'!A67)</f>
        <v>1.1.1.9</v>
      </c>
      <c r="B66" s="613"/>
      <c r="C66" s="1656" t="str">
        <f>CONCATENATE('3 pr-2'!D67)</f>
        <v/>
      </c>
      <c r="D66" s="1789" t="str">
        <f>CONCATENATE('3 pr-2'!E67)</f>
        <v/>
      </c>
      <c r="E66" s="1789" t="str">
        <f>CONCATENATE('3 pr-2'!F67)</f>
        <v/>
      </c>
      <c r="F66" s="1789" t="str">
        <f>CONCATENATE('3 pr-2'!G67)</f>
        <v/>
      </c>
      <c r="G66" s="1789" t="str">
        <f>CONCATENATE('3 pr-2'!H67)</f>
        <v/>
      </c>
      <c r="H66" s="1789" t="str">
        <f>CONCATENATE('3 pr-2'!I67)</f>
        <v/>
      </c>
      <c r="I66" s="1790" t="str">
        <f>CONCATENATE('3 pr-2'!J67)</f>
        <v/>
      </c>
      <c r="J66" s="629">
        <f>SUM(J67:J71)</f>
        <v>0</v>
      </c>
      <c r="K66" s="629">
        <f t="shared" ref="K66:O66" si="17">SUM(K67:K71)</f>
        <v>0</v>
      </c>
      <c r="L66" s="629">
        <f t="shared" si="17"/>
        <v>0</v>
      </c>
      <c r="M66" s="629">
        <f t="shared" si="17"/>
        <v>0</v>
      </c>
      <c r="N66" s="629">
        <f t="shared" si="17"/>
        <v>0</v>
      </c>
      <c r="O66" s="629">
        <f t="shared" si="17"/>
        <v>0</v>
      </c>
      <c r="P66" s="629"/>
      <c r="Q66" s="629"/>
      <c r="R66" s="629"/>
      <c r="S66" s="629"/>
    </row>
    <row r="67" spans="1:19" ht="36.75" x14ac:dyDescent="0.25">
      <c r="A67" s="255" t="str">
        <f>CONCATENATE('3 pr-2'!A68)</f>
        <v>1.1.1.9.1</v>
      </c>
      <c r="B67" s="473" t="str">
        <f>CONCATENATE('ketv. 2lent'!B67)</f>
        <v/>
      </c>
      <c r="C67" s="255" t="str">
        <f>CONCATENATE('3 pr-2'!D68)</f>
        <v>Buvusios sinagogos pastato Kauno g. 9A Alytuje rekonstravimas ir aplinkinės teritorijos sutvarkymas</v>
      </c>
      <c r="D67" s="255" t="str">
        <f>CONCATENATE('3 pr-2'!E68)</f>
        <v>Alytaus miesto savivaldybės administracija</v>
      </c>
      <c r="E67" s="255" t="str">
        <f>CONCATENATE('3 pr-2'!F68)</f>
        <v>Lietuvos Respublikos kultūros ministerija</v>
      </c>
      <c r="F67" s="255" t="str">
        <f>CONCATENATE('3 pr-2'!G68)</f>
        <v>Alytaus  miestas</v>
      </c>
      <c r="G67" s="255" t="str">
        <f>CONCATENATE('3 pr-2'!H68)</f>
        <v>05.4.1-CPVA-R-302</v>
      </c>
      <c r="H67" s="255" t="str">
        <f>CONCATENATE('3 pr-2'!I68)</f>
        <v>R</v>
      </c>
      <c r="I67" s="255" t="str">
        <f>CONCATENATE('3 pr-2'!J68)</f>
        <v>ITI</v>
      </c>
      <c r="J67" s="474">
        <f>IF(V67&gt;0,'3 pr-2'!L68,0)</f>
        <v>0</v>
      </c>
      <c r="K67" s="474">
        <f>IF(V67&gt;0,'3 pr-2'!O68,0)</f>
        <v>0</v>
      </c>
      <c r="L67" s="474">
        <f>IF(V67&gt;0,'3 pr-2'!R68,0)</f>
        <v>0</v>
      </c>
      <c r="M67" s="474">
        <f>IF(V67&gt;0,'3 pr-2'!U68,0)</f>
        <v>0</v>
      </c>
      <c r="N67" s="474">
        <f>IF(V67&gt;0,'3 pr-2'!X68,0)</f>
        <v>0</v>
      </c>
      <c r="O67" s="474">
        <f>IF(V67&gt;0,'3 pr-2'!AA68,0)</f>
        <v>0</v>
      </c>
      <c r="P67" s="636">
        <f>SUM('3 pr-2'!AJ68)</f>
        <v>44196</v>
      </c>
      <c r="Q67" s="290"/>
      <c r="R67" s="291" t="str">
        <f t="shared" ref="R67:R71" si="18">IF(P67-Q67&lt;0,(P67-Q67)/365,"–")</f>
        <v>–</v>
      </c>
      <c r="S67" s="291"/>
    </row>
    <row r="68" spans="1:19" ht="36.75" x14ac:dyDescent="0.25">
      <c r="A68" s="255" t="str">
        <f>CONCATENATE('3 pr-2'!A69)</f>
        <v>1.1.1.9.2</v>
      </c>
      <c r="B68" s="473" t="str">
        <f>CONCATENATE('ketv. 2lent'!B68)</f>
        <v/>
      </c>
      <c r="C68" s="255" t="str">
        <f>CONCATENATE('3 pr-2'!D69)</f>
        <v>Mažosios dailės galerijos, M.K.Čiurlionio g. 37, Druskininkai, modernizavimas ir pritaikymas kultūros poreikiams</v>
      </c>
      <c r="D68" s="255" t="str">
        <f>CONCATENATE('3 pr-2'!E69)</f>
        <v xml:space="preserve">Druskininkų savivaldybės administracija  </v>
      </c>
      <c r="E68" s="255" t="str">
        <f>CONCATENATE('3 pr-2'!F69)</f>
        <v>Lietuvos Respublikos kultūros ministerija</v>
      </c>
      <c r="F68" s="255" t="str">
        <f>CONCATENATE('3 pr-2'!G69)</f>
        <v>Druskininkų  miestas</v>
      </c>
      <c r="G68" s="255" t="str">
        <f>CONCATENATE('3 pr-2'!H69)</f>
        <v>05.4.1-CPVA-R-302</v>
      </c>
      <c r="H68" s="255" t="str">
        <f>CONCATENATE('3 pr-2'!I69)</f>
        <v>R</v>
      </c>
      <c r="I68" s="255" t="str">
        <f>CONCATENATE('3 pr-2'!J69)</f>
        <v>ITI</v>
      </c>
      <c r="J68" s="474">
        <f>IF(V68&gt;0,'3 pr-2'!L69,0)</f>
        <v>0</v>
      </c>
      <c r="K68" s="474">
        <f>IF(V68&gt;0,'3 pr-2'!O69,0)</f>
        <v>0</v>
      </c>
      <c r="L68" s="474">
        <f>IF(V68&gt;0,'3 pr-2'!R69,0)</f>
        <v>0</v>
      </c>
      <c r="M68" s="474">
        <f>IF(V68&gt;0,'3 pr-2'!U69,0)</f>
        <v>0</v>
      </c>
      <c r="N68" s="474">
        <f>IF(V68&gt;0,'3 pr-2'!X69,0)</f>
        <v>0</v>
      </c>
      <c r="O68" s="474">
        <f>IF(V68&gt;0,'3 pr-2'!AA69,0)</f>
        <v>0</v>
      </c>
      <c r="P68" s="636">
        <f>SUM('3 pr-2'!AJ69)</f>
        <v>43739</v>
      </c>
      <c r="Q68" s="290"/>
      <c r="R68" s="291" t="str">
        <f t="shared" si="18"/>
        <v>–</v>
      </c>
      <c r="S68" s="291"/>
    </row>
    <row r="69" spans="1:19" ht="36.75" x14ac:dyDescent="0.25">
      <c r="A69" s="255" t="str">
        <f>CONCATENATE('3 pr-2'!A70)</f>
        <v>1.1.1.9.3</v>
      </c>
      <c r="B69" s="473" t="str">
        <f>CONCATENATE('ketv. 2lent'!B69)</f>
        <v/>
      </c>
      <c r="C69" s="255" t="str">
        <f>CONCATENATE('3 pr-2'!D70)</f>
        <v>Motiejaus  Gustaičio  memorialinio  namo  kompleksinis sutvarkymas</v>
      </c>
      <c r="D69" s="255" t="str">
        <f>CONCATENATE('3 pr-2'!E70)</f>
        <v>Lazdijų rajono savivaldybės administracija</v>
      </c>
      <c r="E69" s="255" t="str">
        <f>CONCATENATE('3 pr-2'!F70)</f>
        <v>Lietuvos Respublikos kultūros ministerija</v>
      </c>
      <c r="F69" s="255" t="str">
        <f>CONCATENATE('3 pr-2'!G70)</f>
        <v>Lazdijų miestas</v>
      </c>
      <c r="G69" s="255" t="str">
        <f>CONCATENATE('3 pr-2'!H70)</f>
        <v>05.4.1-CPVA-R-302</v>
      </c>
      <c r="H69" s="255" t="str">
        <f>CONCATENATE('3 pr-2'!I70)</f>
        <v>R</v>
      </c>
      <c r="I69" s="255" t="str">
        <f>CONCATENATE('3 pr-2'!J70)</f>
        <v>ITI</v>
      </c>
      <c r="J69" s="474">
        <f>IF(V69&gt;0,'3 pr-2'!L70,0)</f>
        <v>0</v>
      </c>
      <c r="K69" s="474">
        <f>IF(V69&gt;0,'3 pr-2'!O70,0)</f>
        <v>0</v>
      </c>
      <c r="L69" s="474">
        <f>IF(V69&gt;0,'3 pr-2'!R70,0)</f>
        <v>0</v>
      </c>
      <c r="M69" s="474">
        <f>IF(V69&gt;0,'3 pr-2'!U70,0)</f>
        <v>0</v>
      </c>
      <c r="N69" s="474">
        <f>IF(V69&gt;0,'3 pr-2'!X70,0)</f>
        <v>0</v>
      </c>
      <c r="O69" s="474">
        <f>IF(V69&gt;0,'3 pr-2'!AA70,0)</f>
        <v>0</v>
      </c>
      <c r="P69" s="636">
        <f>SUM('3 pr-2'!AJ70)</f>
        <v>43830</v>
      </c>
      <c r="Q69" s="290"/>
      <c r="R69" s="291" t="str">
        <f t="shared" si="18"/>
        <v>–</v>
      </c>
      <c r="S69" s="291"/>
    </row>
    <row r="70" spans="1:19" ht="36.75" x14ac:dyDescent="0.25">
      <c r="A70" s="255" t="str">
        <f>CONCATENATE('3 pr-2'!A71)</f>
        <v>1.1.1.9.4</v>
      </c>
      <c r="B70" s="473" t="str">
        <f>CONCATENATE('ketv. 2lent'!B70)</f>
        <v/>
      </c>
      <c r="C70" s="255" t="str">
        <f>CONCATENATE('3 pr-2'!D71)</f>
        <v>Kurnėnų Lauryno Radziukyno mokyklos pritaikymas kultūrinėms ir turistinėms reikmėms</v>
      </c>
      <c r="D70" s="255" t="str">
        <f>CONCATENATE('3 pr-2'!E71)</f>
        <v>Alytaus rajono savivaldybės administracija</v>
      </c>
      <c r="E70" s="255" t="str">
        <f>CONCATENATE('3 pr-2'!F71)</f>
        <v>Lietuvos Respublikos kultūros ministerija</v>
      </c>
      <c r="F70" s="255" t="str">
        <f>CONCATENATE('3 pr-2'!G71)</f>
        <v>Alytaus  rajono savivaldybė</v>
      </c>
      <c r="G70" s="255" t="str">
        <f>CONCATENATE('3 pr-2'!H71)</f>
        <v>05.4.1-CPVA-R-302</v>
      </c>
      <c r="H70" s="255" t="str">
        <f>CONCATENATE('3 pr-2'!I71)</f>
        <v>R</v>
      </c>
      <c r="I70" s="255" t="str">
        <f>CONCATENATE('3 pr-2'!J71)</f>
        <v>-</v>
      </c>
      <c r="J70" s="474">
        <f>IF(V70&gt;0,'3 pr-2'!L71,0)</f>
        <v>0</v>
      </c>
      <c r="K70" s="474">
        <f>IF(V70&gt;0,'3 pr-2'!O71,0)</f>
        <v>0</v>
      </c>
      <c r="L70" s="474">
        <f>IF(V70&gt;0,'3 pr-2'!R71,0)</f>
        <v>0</v>
      </c>
      <c r="M70" s="474">
        <f>IF(V70&gt;0,'3 pr-2'!U71,0)</f>
        <v>0</v>
      </c>
      <c r="N70" s="474">
        <f>IF(V70&gt;0,'3 pr-2'!X71,0)</f>
        <v>0</v>
      </c>
      <c r="O70" s="474">
        <f>IF(V70&gt;0,'3 pr-2'!AA71,0)</f>
        <v>0</v>
      </c>
      <c r="P70" s="636">
        <f>SUM('3 pr-2'!AJ71)</f>
        <v>44196</v>
      </c>
      <c r="Q70" s="290"/>
      <c r="R70" s="291" t="str">
        <f t="shared" si="18"/>
        <v>–</v>
      </c>
      <c r="S70" s="291"/>
    </row>
    <row r="71" spans="1:19" ht="36.75" x14ac:dyDescent="0.25">
      <c r="A71" s="255" t="str">
        <f>CONCATENATE('3 pr-2'!A72)</f>
        <v>1.1.1.9.5</v>
      </c>
      <c r="B71" s="473" t="str">
        <f>CONCATENATE('ketv. 2lent'!B71)</f>
        <v/>
      </c>
      <c r="C71" s="255" t="str">
        <f>CONCATENATE('3 pr-2'!D72)</f>
        <v>Vinco Krėvės-Mickevičiaus memorialinio muziejaus atnaujinimas</v>
      </c>
      <c r="D71" s="255" t="str">
        <f>CONCATENATE('3 pr-2'!E72)</f>
        <v>Varėnos rajono savivaldybės administracija</v>
      </c>
      <c r="E71" s="255" t="str">
        <f>CONCATENATE('3 pr-2'!F72)</f>
        <v>Lietuvos Respublikos kultūros ministerija</v>
      </c>
      <c r="F71" s="255" t="str">
        <f>CONCATENATE('3 pr-2'!G72)</f>
        <v>Varėnos rajono savivaldybė</v>
      </c>
      <c r="G71" s="255" t="str">
        <f>CONCATENATE('3 pr-2'!H72)</f>
        <v>05.4.1-CPVA-R-302</v>
      </c>
      <c r="H71" s="255" t="str">
        <f>CONCATENATE('3 pr-2'!I72)</f>
        <v>R</v>
      </c>
      <c r="I71" s="255" t="str">
        <f>CONCATENATE('3 pr-2'!J72)</f>
        <v>-</v>
      </c>
      <c r="J71" s="474">
        <f>IF(V71&gt;0,'3 pr-2'!L72,0)</f>
        <v>0</v>
      </c>
      <c r="K71" s="474">
        <f>IF(V71&gt;0,'3 pr-2'!O72,0)</f>
        <v>0</v>
      </c>
      <c r="L71" s="474">
        <f>IF(V71&gt;0,'3 pr-2'!R72,0)</f>
        <v>0</v>
      </c>
      <c r="M71" s="474">
        <f>IF(V71&gt;0,'3 pr-2'!U72,0)</f>
        <v>0</v>
      </c>
      <c r="N71" s="474">
        <f>IF(V71&gt;0,'3 pr-2'!X72,0)</f>
        <v>0</v>
      </c>
      <c r="O71" s="474">
        <f>IF(V71&gt;0,'3 pr-2'!AA72,0)</f>
        <v>0</v>
      </c>
      <c r="P71" s="636">
        <f>SUM('3 pr-2'!AJ72)</f>
        <v>44196</v>
      </c>
      <c r="Q71" s="290"/>
      <c r="R71" s="291" t="str">
        <f t="shared" si="18"/>
        <v>–</v>
      </c>
      <c r="S71" s="291"/>
    </row>
    <row r="72" spans="1:19" ht="39.75" customHeight="1" thickBot="1" x14ac:dyDescent="0.3">
      <c r="A72" s="220" t="str">
        <f>CONCATENATE('3 pr-2'!A73)</f>
        <v>1.1.2.</v>
      </c>
      <c r="B72" s="322"/>
      <c r="C72" s="1821" t="str">
        <f>CONCATENATE('3 pr-2'!D73)</f>
        <v/>
      </c>
      <c r="D72" s="1822"/>
      <c r="E72" s="1822"/>
      <c r="F72" s="1822"/>
      <c r="G72" s="1822"/>
      <c r="H72" s="1822"/>
      <c r="I72" s="1823"/>
      <c r="J72" s="651">
        <f>SUM(J73+J79+J86+J92)</f>
        <v>17000</v>
      </c>
      <c r="K72" s="651">
        <f t="shared" ref="K72:O72" si="19">SUM(K73+K79+K86+K92)</f>
        <v>2550</v>
      </c>
      <c r="L72" s="651">
        <f t="shared" si="19"/>
        <v>0</v>
      </c>
      <c r="M72" s="651">
        <f t="shared" si="19"/>
        <v>0</v>
      </c>
      <c r="N72" s="651">
        <f t="shared" si="19"/>
        <v>0</v>
      </c>
      <c r="O72" s="651">
        <f t="shared" si="19"/>
        <v>14450</v>
      </c>
      <c r="P72" s="677"/>
      <c r="Q72" s="447"/>
      <c r="R72" s="448"/>
      <c r="S72" s="448"/>
    </row>
    <row r="73" spans="1:19" ht="37.5" customHeight="1" thickBot="1" x14ac:dyDescent="0.3">
      <c r="A73" s="497" t="str">
        <f>CONCATENATE('3 pr-2'!A74)</f>
        <v>1.1.2.1</v>
      </c>
      <c r="B73" s="613"/>
      <c r="C73" s="1656" t="str">
        <f>CONCATENATE('3 pr-2'!D74)</f>
        <v/>
      </c>
      <c r="D73" s="1789"/>
      <c r="E73" s="1789"/>
      <c r="F73" s="1789"/>
      <c r="G73" s="1789"/>
      <c r="H73" s="1789"/>
      <c r="I73" s="1790"/>
      <c r="J73" s="629">
        <f>SUM(J75:J78)</f>
        <v>0</v>
      </c>
      <c r="K73" s="629">
        <f t="shared" ref="K73:O73" si="20">SUM(K75:K78)</f>
        <v>0</v>
      </c>
      <c r="L73" s="629">
        <f t="shared" si="20"/>
        <v>0</v>
      </c>
      <c r="M73" s="629">
        <f t="shared" si="20"/>
        <v>0</v>
      </c>
      <c r="N73" s="629">
        <f t="shared" si="20"/>
        <v>0</v>
      </c>
      <c r="O73" s="629">
        <f t="shared" si="20"/>
        <v>0</v>
      </c>
      <c r="P73" s="629"/>
      <c r="Q73" s="629"/>
      <c r="R73" s="629"/>
      <c r="S73" s="629"/>
    </row>
    <row r="74" spans="1:19" hidden="1" x14ac:dyDescent="0.25">
      <c r="A74" s="254" t="e">
        <f>CONCATENATE('3 pr-2'!#REF!)</f>
        <v>#REF!</v>
      </c>
      <c r="B74" s="323" t="e">
        <f>CONCATENATE('ketv. 2lent'!#REF!)</f>
        <v>#REF!</v>
      </c>
      <c r="C74" s="255" t="e">
        <f>CONCATENATE('3 pr-2'!#REF!)</f>
        <v>#REF!</v>
      </c>
      <c r="D74" s="255" t="e">
        <f>CONCATENATE('3 pr-2'!#REF!)</f>
        <v>#REF!</v>
      </c>
      <c r="E74" s="255" t="e">
        <f>CONCATENATE('3 pr-2'!#REF!)</f>
        <v>#REF!</v>
      </c>
      <c r="F74" s="255" t="e">
        <f>CONCATENATE('3 pr-2'!#REF!)</f>
        <v>#REF!</v>
      </c>
      <c r="G74" s="255" t="e">
        <f>CONCATENATE('3 pr-2'!#REF!)</f>
        <v>#REF!</v>
      </c>
      <c r="H74" s="255" t="e">
        <f>CONCATENATE('3 pr-2'!#REF!)</f>
        <v>#REF!</v>
      </c>
      <c r="I74" s="265" t="e">
        <f>CONCATENATE('3 pr-2'!#REF!)</f>
        <v>#REF!</v>
      </c>
      <c r="J74" s="266" t="e">
        <f>SUM('3 pr-2'!#REF!)</f>
        <v>#REF!</v>
      </c>
      <c r="K74" s="267" t="e">
        <f>SUM('3 pr-2'!#REF!)</f>
        <v>#REF!</v>
      </c>
      <c r="L74" s="267" t="e">
        <f>SUM('3 pr-2'!#REF!)</f>
        <v>#REF!</v>
      </c>
      <c r="M74" s="267" t="e">
        <f>SUM('3 pr-2'!#REF!)</f>
        <v>#REF!</v>
      </c>
      <c r="N74" s="267" t="e">
        <f>SUM('3 pr-2'!#REF!)</f>
        <v>#REF!</v>
      </c>
      <c r="O74" s="268" t="e">
        <f>SUM('3 pr-2'!#REF!)</f>
        <v>#REF!</v>
      </c>
      <c r="P74" s="271" t="e">
        <f>SUM('3 pr-2'!#REF!)</f>
        <v>#REF!</v>
      </c>
      <c r="Q74" s="255"/>
      <c r="R74" s="256"/>
      <c r="S74" s="256"/>
    </row>
    <row r="75" spans="1:19" ht="36.75" x14ac:dyDescent="0.25">
      <c r="A75" s="255" t="str">
        <f>CONCATENATE('3 pr-2'!A75)</f>
        <v>1.1.2.1.1</v>
      </c>
      <c r="B75" s="473" t="str">
        <f>CONCATENATE('ketv. 2lent'!B74)</f>
        <v/>
      </c>
      <c r="C75" s="255" t="str">
        <f>CONCATENATE('3 pr-2'!D75)</f>
        <v xml:space="preserve">Nekenksmingų aplinkai viešojo transporto priemonių įsigijimas Alytaus mieste </v>
      </c>
      <c r="D75" s="255" t="str">
        <f>CONCATENATE('3 pr-2'!E75)</f>
        <v>Alytaus miesto savivaldybės administracija</v>
      </c>
      <c r="E75" s="255" t="str">
        <f>CONCATENATE('3 pr-2'!F75)</f>
        <v>Lietuvos Respublikos susisiekimo ministerija</v>
      </c>
      <c r="F75" s="255" t="str">
        <f>CONCATENATE('3 pr-2'!G75)</f>
        <v>Alytaus  miestas</v>
      </c>
      <c r="G75" s="255" t="str">
        <f>CONCATENATE('3 pr-2'!H75)</f>
        <v>04.5.1-TID-R-518</v>
      </c>
      <c r="H75" s="255" t="str">
        <f>CONCATENATE('3 pr-2'!I75)</f>
        <v>R</v>
      </c>
      <c r="I75" s="255" t="str">
        <f>CONCATENATE('3 pr-2'!J75)</f>
        <v>ITI</v>
      </c>
      <c r="J75" s="474">
        <f>IF(V75&gt;0,'3 pr-2'!L75,0)</f>
        <v>0</v>
      </c>
      <c r="K75" s="474">
        <f>IF(V75&gt;0,'3 pr-2'!O75,0)</f>
        <v>0</v>
      </c>
      <c r="L75" s="474">
        <f>IF(V75&gt;0,'3 pr-2'!R75,0)</f>
        <v>0</v>
      </c>
      <c r="M75" s="474">
        <f>IF(V75&gt;0,'3 pr-2'!U75,0)</f>
        <v>0</v>
      </c>
      <c r="N75" s="474">
        <f>IF(V75&gt;0,'3 pr-2'!X75,0)</f>
        <v>0</v>
      </c>
      <c r="O75" s="474">
        <f>IF(V75&gt;0,'3 pr-2'!AA75,0)</f>
        <v>0</v>
      </c>
      <c r="P75" s="636">
        <f>SUM('3 pr-2'!AJ75)</f>
        <v>43920</v>
      </c>
      <c r="Q75" s="255"/>
      <c r="R75" s="291" t="str">
        <f t="shared" ref="R75:R78" si="21">IF(P75-Q75&lt;0,(P75-Q75)/365,"–")</f>
        <v>–</v>
      </c>
      <c r="S75" s="255"/>
    </row>
    <row r="76" spans="1:19" ht="36.75" x14ac:dyDescent="0.25">
      <c r="A76" s="255" t="str">
        <f>CONCATENATE('3 pr-2'!A76)</f>
        <v>1.1.2.1.2</v>
      </c>
      <c r="B76" s="473" t="str">
        <f>CONCATENATE('ketv. 2lent'!B75)</f>
        <v/>
      </c>
      <c r="C76" s="255" t="str">
        <f>CONCATENATE('3 pr-2'!D76)</f>
        <v>Nekenksmingų aplinkai viešojo transporto priemonių įsigijimas Alytaus rajone</v>
      </c>
      <c r="D76" s="255" t="str">
        <f>CONCATENATE('3 pr-2'!E76)</f>
        <v>Alytaus rajono savivaldybės administracija</v>
      </c>
      <c r="E76" s="255" t="str">
        <f>CONCATENATE('3 pr-2'!F76)</f>
        <v>Lietuvos Respublikos susisiekimo ministerija</v>
      </c>
      <c r="F76" s="255" t="str">
        <f>CONCATENATE('3 pr-2'!G76)</f>
        <v>Alytaus  rajono savivaldybė</v>
      </c>
      <c r="G76" s="255" t="str">
        <f>CONCATENATE('3 pr-2'!H76)</f>
        <v>04.5.1-TID-R-518</v>
      </c>
      <c r="H76" s="255" t="str">
        <f>CONCATENATE('3 pr-2'!I76)</f>
        <v>R</v>
      </c>
      <c r="I76" s="255" t="str">
        <f>CONCATENATE('3 pr-2'!J76)</f>
        <v>-</v>
      </c>
      <c r="J76" s="474">
        <f>IF(V76&gt;0,'3 pr-2'!L76,0)</f>
        <v>0</v>
      </c>
      <c r="K76" s="474">
        <f>IF(V76&gt;0,'3 pr-2'!O76,0)</f>
        <v>0</v>
      </c>
      <c r="L76" s="474">
        <f>IF(V76&gt;0,'3 pr-2'!R76,0)</f>
        <v>0</v>
      </c>
      <c r="M76" s="474">
        <f>IF(V76&gt;0,'3 pr-2'!U76,0)</f>
        <v>0</v>
      </c>
      <c r="N76" s="474">
        <f>IF(V76&gt;0,'3 pr-2'!X76,0)</f>
        <v>0</v>
      </c>
      <c r="O76" s="474">
        <f>IF(V76&gt;0,'3 pr-2'!AA76,0)</f>
        <v>0</v>
      </c>
      <c r="P76" s="636">
        <f>SUM('3 pr-2'!AJ76)</f>
        <v>43920</v>
      </c>
      <c r="Q76" s="255"/>
      <c r="R76" s="291" t="str">
        <f t="shared" si="21"/>
        <v>–</v>
      </c>
      <c r="S76" s="255"/>
    </row>
    <row r="77" spans="1:19" ht="36.75" x14ac:dyDescent="0.25">
      <c r="A77" s="255" t="str">
        <f>CONCATENATE('3 pr-2'!A77)</f>
        <v>1.1.2.1.3</v>
      </c>
      <c r="B77" s="473" t="str">
        <f>CONCATENATE('ketv. 2lent'!B76)</f>
        <v/>
      </c>
      <c r="C77" s="255" t="str">
        <f>CONCATENATE('3 pr-2'!D77)</f>
        <v>Ekologiškų transporto priemonių įsigijimas Druskininkų savivaldybėje</v>
      </c>
      <c r="D77" s="255" t="str">
        <f>CONCATENATE('3 pr-2'!E77)</f>
        <v xml:space="preserve">Druskininkų savivaldybės administracija  </v>
      </c>
      <c r="E77" s="255" t="str">
        <f>CONCATENATE('3 pr-2'!F77)</f>
        <v>Lietuvos Respublikos susisiekimo ministerija</v>
      </c>
      <c r="F77" s="255" t="str">
        <f>CONCATENATE('3 pr-2'!G77)</f>
        <v>Druskininkų  miestas</v>
      </c>
      <c r="G77" s="255" t="str">
        <f>CONCATENATE('3 pr-2'!H77)</f>
        <v>04.5.1-TID-R-518</v>
      </c>
      <c r="H77" s="255" t="str">
        <f>CONCATENATE('3 pr-2'!I77)</f>
        <v>R</v>
      </c>
      <c r="I77" s="255" t="str">
        <f>CONCATENATE('3 pr-2'!J77)</f>
        <v>-</v>
      </c>
      <c r="J77" s="474">
        <f>IF(V77&gt;0,'3 pr-2'!L77,0)</f>
        <v>0</v>
      </c>
      <c r="K77" s="474">
        <f>IF(V77&gt;0,'3 pr-2'!O77,0)</f>
        <v>0</v>
      </c>
      <c r="L77" s="474">
        <f>IF(V77&gt;0,'3 pr-2'!R77,0)</f>
        <v>0</v>
      </c>
      <c r="M77" s="474">
        <f>IF(V77&gt;0,'3 pr-2'!U77,0)</f>
        <v>0</v>
      </c>
      <c r="N77" s="474">
        <f>IF(V77&gt;0,'3 pr-2'!X77,0)</f>
        <v>0</v>
      </c>
      <c r="O77" s="474">
        <f>IF(V77&gt;0,'3 pr-2'!AA77,0)</f>
        <v>0</v>
      </c>
      <c r="P77" s="636">
        <f>SUM('3 pr-2'!AJ77)</f>
        <v>43830</v>
      </c>
      <c r="Q77" s="255"/>
      <c r="R77" s="291" t="str">
        <f t="shared" si="21"/>
        <v>–</v>
      </c>
      <c r="S77" s="255"/>
    </row>
    <row r="78" spans="1:19" ht="37.5" thickBot="1" x14ac:dyDescent="0.3">
      <c r="A78" s="255" t="str">
        <f>CONCATENATE('3 pr-2'!A78)</f>
        <v>1.1.2.1.4</v>
      </c>
      <c r="B78" s="473" t="str">
        <f>CONCATENATE('ketv. 2lent'!B77)</f>
        <v/>
      </c>
      <c r="C78" s="255" t="str">
        <f>CONCATENATE('3 pr-2'!D78)</f>
        <v>Ekologiškų transporto priemonių įsigijimas  Lazdijų rajono savivaldybėje</v>
      </c>
      <c r="D78" s="255" t="str">
        <f>CONCATENATE('3 pr-2'!E78)</f>
        <v>Lazdijų rajono savivaldybės administracija</v>
      </c>
      <c r="E78" s="255" t="str">
        <f>CONCATENATE('3 pr-2'!F78)</f>
        <v>Lietuvos Respublikos susisiekimo ministerija</v>
      </c>
      <c r="F78" s="255" t="str">
        <f>CONCATENATE('3 pr-2'!G78)</f>
        <v>Lazdijų rajono savivaldybė</v>
      </c>
      <c r="G78" s="255" t="str">
        <f>CONCATENATE('3 pr-2'!H78)</f>
        <v>04.5.1-TID-R-518</v>
      </c>
      <c r="H78" s="255" t="str">
        <f>CONCATENATE('3 pr-2'!I78)</f>
        <v>R</v>
      </c>
      <c r="I78" s="255" t="str">
        <f>CONCATENATE('3 pr-2'!J78)</f>
        <v>-</v>
      </c>
      <c r="J78" s="474">
        <f>IF(V78&gt;0,'3 pr-2'!L78,0)</f>
        <v>0</v>
      </c>
      <c r="K78" s="474">
        <f>IF(V78&gt;0,'3 pr-2'!O78,0)</f>
        <v>0</v>
      </c>
      <c r="L78" s="474">
        <f>IF(V78&gt;0,'3 pr-2'!R78,0)</f>
        <v>0</v>
      </c>
      <c r="M78" s="474">
        <f>IF(V78&gt;0,'3 pr-2'!U78,0)</f>
        <v>0</v>
      </c>
      <c r="N78" s="474">
        <f>IF(V78&gt;0,'3 pr-2'!X78,0)</f>
        <v>0</v>
      </c>
      <c r="O78" s="474">
        <f>IF(V78&gt;0,'3 pr-2'!AA78,0)</f>
        <v>0</v>
      </c>
      <c r="P78" s="636">
        <f>SUM('3 pr-2'!AJ78)</f>
        <v>44165</v>
      </c>
      <c r="Q78" s="255"/>
      <c r="R78" s="291" t="str">
        <f t="shared" si="21"/>
        <v>–</v>
      </c>
      <c r="S78" s="255"/>
    </row>
    <row r="79" spans="1:19" ht="36" customHeight="1" thickBot="1" x14ac:dyDescent="0.3">
      <c r="A79" s="497" t="str">
        <f>CONCATENATE('3 pr-2'!A79)</f>
        <v>1.1.2.2</v>
      </c>
      <c r="B79" s="613"/>
      <c r="C79" s="1656" t="str">
        <f>CONCATENATE('3 pr-2'!D79)</f>
        <v/>
      </c>
      <c r="D79" s="1789"/>
      <c r="E79" s="1789"/>
      <c r="F79" s="1789"/>
      <c r="G79" s="1789"/>
      <c r="H79" s="1789"/>
      <c r="I79" s="1790"/>
      <c r="J79" s="629">
        <f t="shared" ref="J79:N79" si="22">SUM(J80:J85)</f>
        <v>17000</v>
      </c>
      <c r="K79" s="629">
        <f t="shared" si="22"/>
        <v>2550</v>
      </c>
      <c r="L79" s="629">
        <f t="shared" si="22"/>
        <v>0</v>
      </c>
      <c r="M79" s="629">
        <f t="shared" si="22"/>
        <v>0</v>
      </c>
      <c r="N79" s="629">
        <f t="shared" si="22"/>
        <v>0</v>
      </c>
      <c r="O79" s="629">
        <f>SUM(O80:O85)</f>
        <v>14450</v>
      </c>
      <c r="P79" s="629"/>
      <c r="Q79" s="629"/>
      <c r="R79" s="629"/>
      <c r="S79" s="629"/>
    </row>
    <row r="80" spans="1:19" ht="36.75" x14ac:dyDescent="0.25">
      <c r="A80" s="255" t="str">
        <f>CONCATENATE('3 pr-2'!A80)</f>
        <v>1.1.2.2.1</v>
      </c>
      <c r="B80" s="473" t="str">
        <f>CONCATENATE('ketv. 2lent'!B79)</f>
        <v/>
      </c>
      <c r="C80" s="255" t="str">
        <f>CONCATENATE('3 pr-2'!D80)</f>
        <v>Darnaus judumo priemonių diegimas Alytaus mieste</v>
      </c>
      <c r="D80" s="255" t="str">
        <f>CONCATENATE('3 pr-2'!E80)</f>
        <v>Alytaus miesto savivaldybės administracija</v>
      </c>
      <c r="E80" s="255" t="str">
        <f>CONCATENATE('3 pr-2'!F80)</f>
        <v>Lietuvos Respublikos susisiekimo ministerija</v>
      </c>
      <c r="F80" s="255" t="str">
        <f>CONCATENATE('3 pr-2'!G80)</f>
        <v>Alytaus  miestas</v>
      </c>
      <c r="G80" s="255" t="str">
        <f>CONCATENATE('3 pr-2'!H80)</f>
        <v>04.5.1.-TID-R-514</v>
      </c>
      <c r="H80" s="255" t="str">
        <f>CONCATENATE('3 pr-2'!I80)</f>
        <v>R</v>
      </c>
      <c r="I80" s="255" t="str">
        <f>CONCATENATE('3 pr-2'!J80)</f>
        <v>-</v>
      </c>
      <c r="J80" s="474">
        <f>IF(V80&gt;0,'3 pr-2'!L80,0)</f>
        <v>0</v>
      </c>
      <c r="K80" s="474">
        <f>IF(V80&gt;0,'3 pr-2'!O80,0)</f>
        <v>0</v>
      </c>
      <c r="L80" s="474">
        <f>IF(V80&gt;0,'3 pr-2'!R80,0)</f>
        <v>0</v>
      </c>
      <c r="M80" s="474">
        <f>IF(V80&gt;0,'3 pr-2'!U80,0)</f>
        <v>0</v>
      </c>
      <c r="N80" s="474">
        <f>IF(V80&gt;0,'3 pr-2'!X80,0)</f>
        <v>0</v>
      </c>
      <c r="O80" s="474">
        <f>IF(V80&gt;0,'3 pr-2'!AA80,0)</f>
        <v>0</v>
      </c>
      <c r="P80" s="636">
        <f>SUM('3 pr-2'!AJ80)</f>
        <v>44195</v>
      </c>
      <c r="Q80" s="307"/>
      <c r="R80" s="291" t="str">
        <f t="shared" ref="R80:R82" si="23">IF(P80-Q80&lt;0,(P80-Q80)/365,"–")</f>
        <v>–</v>
      </c>
      <c r="S80" s="307"/>
    </row>
    <row r="81" spans="1:19" ht="36.75" x14ac:dyDescent="0.25">
      <c r="A81" s="255" t="str">
        <f>CONCATENATE('3 pr-2'!A81)</f>
        <v>1.1.2.2.2</v>
      </c>
      <c r="B81" s="473" t="str">
        <f>CONCATENATE('ketv. 2lent'!B80)</f>
        <v>04.5.1-TID-V-513-01-0015</v>
      </c>
      <c r="C81" s="255" t="str">
        <f>CONCATENATE('3 pr-2'!D81)</f>
        <v>Alytaus miesto darnaus judumo plano parengimas</v>
      </c>
      <c r="D81" s="255" t="str">
        <f>CONCATENATE('3 pr-2'!E81)</f>
        <v>Alytaus miesto savivaldybės administracija</v>
      </c>
      <c r="E81" s="255" t="str">
        <f>CONCATENATE('3 pr-2'!F81)</f>
        <v>Lietuvos Respublikos susisiekimo ministerija</v>
      </c>
      <c r="F81" s="255" t="str">
        <f>CONCATENATE('3 pr-2'!G81)</f>
        <v>Alytaus  miestas</v>
      </c>
      <c r="G81" s="255" t="str">
        <f>CONCATENATE('3 pr-2'!H81)</f>
        <v>04.5.1-TID-V-513</v>
      </c>
      <c r="H81" s="255" t="str">
        <f>CONCATENATE('3 pr-2'!I81)</f>
        <v>V</v>
      </c>
      <c r="I81" s="255" t="str">
        <f>CONCATENATE('3 pr-2'!J81)</f>
        <v>ITI</v>
      </c>
      <c r="J81" s="474">
        <f>IF(V81&gt;0,'3 pr-2'!L81,0)</f>
        <v>0</v>
      </c>
      <c r="K81" s="474">
        <f>IF(V81&gt;0,'3 pr-2'!O81,0)</f>
        <v>0</v>
      </c>
      <c r="L81" s="474">
        <f>IF(V81&gt;0,'3 pr-2'!R81,0)</f>
        <v>0</v>
      </c>
      <c r="M81" s="474">
        <f>IF(V81&gt;0,'3 pr-2'!U81,0)</f>
        <v>0</v>
      </c>
      <c r="N81" s="474">
        <f>IF(V81&gt;0,'3 pr-2'!X81,0)</f>
        <v>0</v>
      </c>
      <c r="O81" s="474">
        <f>IF(V81&gt;0,'3 pr-2'!AA81,0)</f>
        <v>0</v>
      </c>
      <c r="P81" s="636">
        <f>SUM('3 pr-2'!AJ81)</f>
        <v>43281</v>
      </c>
      <c r="Q81" s="308"/>
      <c r="R81" s="291" t="str">
        <f t="shared" si="23"/>
        <v>–</v>
      </c>
      <c r="S81" s="291"/>
    </row>
    <row r="82" spans="1:19" ht="36.75" x14ac:dyDescent="0.25">
      <c r="A82" s="255" t="str">
        <f>CONCATENATE('3 pr-2'!A82)</f>
        <v>1.1.2.2.3</v>
      </c>
      <c r="B82" s="473" t="str">
        <f>CONCATENATE('ketv. 2lent'!B81)</f>
        <v/>
      </c>
      <c r="C82" s="255" t="str">
        <f>CONCATENATE('3 pr-2'!D82)</f>
        <v>Intelektinių transporto sistemų diegimas Druskininkuose</v>
      </c>
      <c r="D82" s="255" t="str">
        <f>CONCATENATE('3 pr-2'!E82)</f>
        <v>Druskininkų savivaldybės administracija</v>
      </c>
      <c r="E82" s="255" t="str">
        <f>CONCATENATE('3 pr-2'!F82)</f>
        <v>Lietuvos Respublikos susisiekimo ministerija</v>
      </c>
      <c r="F82" s="255" t="str">
        <f>CONCATENATE('3 pr-2'!G82)</f>
        <v>Druskininkų  miestas</v>
      </c>
      <c r="G82" s="255" t="str">
        <f>CONCATENATE('3 pr-2'!H82)</f>
        <v>04.5.1.-TID-R-514</v>
      </c>
      <c r="H82" s="255" t="str">
        <f>CONCATENATE('3 pr-2'!I82)</f>
        <v>R</v>
      </c>
      <c r="I82" s="255" t="str">
        <f>CONCATENATE('3 pr-2'!J82)</f>
        <v>-</v>
      </c>
      <c r="J82" s="474">
        <f>IF(V82&gt;0,'3 pr-2'!L82,0)</f>
        <v>0</v>
      </c>
      <c r="K82" s="474">
        <f>IF(V82&gt;0,'3 pr-2'!O82,0)</f>
        <v>0</v>
      </c>
      <c r="L82" s="474">
        <f>IF(V82&gt;0,'3 pr-2'!R82,0)</f>
        <v>0</v>
      </c>
      <c r="M82" s="474">
        <f>IF(V82&gt;0,'3 pr-2'!U82,0)</f>
        <v>0</v>
      </c>
      <c r="N82" s="474">
        <f>IF(V82&gt;0,'3 pr-2'!X82,0)</f>
        <v>0</v>
      </c>
      <c r="O82" s="474">
        <f>IF(V82&gt;0,'3 pr-2'!AA82,0)</f>
        <v>0</v>
      </c>
      <c r="P82" s="636">
        <f>SUM('3 pr-2'!AJ82)</f>
        <v>44136</v>
      </c>
      <c r="Q82" s="307"/>
      <c r="R82" s="291" t="str">
        <f t="shared" si="23"/>
        <v>–</v>
      </c>
      <c r="S82" s="307"/>
    </row>
    <row r="83" spans="1:19" ht="36.75" x14ac:dyDescent="0.25">
      <c r="A83" s="255" t="str">
        <f>CONCATENATE('3 pr-2'!A83)</f>
        <v>1.1.2.2.4</v>
      </c>
      <c r="B83" s="473" t="str">
        <f>CONCATENATE('ketv. 2lent'!B82)</f>
        <v>04.5.1-TID-V-513-01-0006</v>
      </c>
      <c r="C83" s="255" t="str">
        <f>CONCATENATE('3 pr-2'!D83)</f>
        <v>Darnaus judumo plano Druskininkuose parengimas</v>
      </c>
      <c r="D83" s="255" t="str">
        <f>CONCATENATE('3 pr-2'!E83)</f>
        <v>Druskininkų savivaldybės administracija</v>
      </c>
      <c r="E83" s="255" t="str">
        <f>CONCATENATE('3 pr-2'!F83)</f>
        <v>Lietuvos Respublikos susisiekimo ministerija</v>
      </c>
      <c r="F83" s="255" t="str">
        <f>CONCATENATE('3 pr-2'!G83)</f>
        <v>Druskininkų  miestas</v>
      </c>
      <c r="G83" s="255" t="str">
        <f>CONCATENATE('3 pr-2'!H83)</f>
        <v>04.5.1-TID-V-513</v>
      </c>
      <c r="H83" s="255" t="str">
        <f>CONCATENATE('3 pr-2'!I83)</f>
        <v>V</v>
      </c>
      <c r="I83" s="255" t="str">
        <f>CONCATENATE('3 pr-2'!J83)</f>
        <v>ITI</v>
      </c>
      <c r="J83" s="474">
        <f>IF(Q83&gt;0,'3 pr-2'!L83,0)</f>
        <v>17000</v>
      </c>
      <c r="K83" s="474">
        <f>IF(Q83&gt;0,'3 pr-2'!O83,0)</f>
        <v>2550</v>
      </c>
      <c r="L83" s="474">
        <f>IF(Q83&gt;0,'3 pr-2'!R83,0)</f>
        <v>0</v>
      </c>
      <c r="M83" s="474">
        <f>IF(Q83&gt;0,'3 pr-2'!U83,0)</f>
        <v>0</v>
      </c>
      <c r="N83" s="474">
        <f>IF(Q83&gt;0,'3 pr-2'!X83,0)</f>
        <v>0</v>
      </c>
      <c r="O83" s="474">
        <f>IF(Q83&gt;0,'3 pr-2'!AA83,0)</f>
        <v>14450</v>
      </c>
      <c r="P83" s="892">
        <f>SUM('3 pr-2'!AJ83)</f>
        <v>43100</v>
      </c>
      <c r="Q83" s="892">
        <v>43004</v>
      </c>
      <c r="R83" s="291" t="str">
        <f>IF(P83-Q83&lt;0,(P83-Q83)/365,"–")</f>
        <v>–</v>
      </c>
      <c r="S83" s="291"/>
    </row>
    <row r="84" spans="1:19" ht="36.75" x14ac:dyDescent="0.25">
      <c r="A84" s="255" t="str">
        <f>CONCATENATE('3 pr-2'!A84)</f>
        <v>1.1.2.2.5</v>
      </c>
      <c r="B84" s="473" t="str">
        <f>CONCATENATE('ketv. 2lent'!B83)</f>
        <v>04.5.1-TID-V-513-01-0006</v>
      </c>
      <c r="C84" s="255" t="str">
        <f>CONCATENATE('3 pr-2'!D84)</f>
        <v>Viešojo transporto organizavimo tobulinimas rekonstruojant Druskininkų miesto gatvių infrastruktūrą</v>
      </c>
      <c r="D84" s="255" t="str">
        <f>CONCATENATE('3 pr-2'!E84)</f>
        <v>Druskininkų savivaldybės administracija</v>
      </c>
      <c r="E84" s="255" t="str">
        <f>CONCATENATE('3 pr-2'!F84)</f>
        <v>Lietuvos Respublikos susisiekimo ministerija</v>
      </c>
      <c r="F84" s="255" t="str">
        <f>CONCATENATE('3 pr-2'!G84)</f>
        <v>Druskininkų  miestas</v>
      </c>
      <c r="G84" s="255" t="str">
        <f>CONCATENATE('3 pr-2'!H84)</f>
        <v>04.5.1.-TID-R-514</v>
      </c>
      <c r="H84" s="255" t="str">
        <f>CONCATENATE('3 pr-2'!I84)</f>
        <v>R</v>
      </c>
      <c r="I84" s="255" t="str">
        <f>CONCATENATE('3 pr-2'!J84)</f>
        <v>-</v>
      </c>
      <c r="J84" s="474">
        <f>IF(Q84&gt;0,'3 pr-2'!L84,0)</f>
        <v>0</v>
      </c>
      <c r="K84" s="474">
        <f>IF(Q84&gt;0,'3 pr-2'!O84,0)</f>
        <v>0</v>
      </c>
      <c r="L84" s="474">
        <f>IF(Q84&gt;0,'3 pr-2'!R84,0)</f>
        <v>0</v>
      </c>
      <c r="M84" s="474">
        <f>IF(Q84&gt;0,'3 pr-2'!U84,0)</f>
        <v>0</v>
      </c>
      <c r="N84" s="474">
        <f>IF(Q84&gt;0,'3 pr-2'!X84,0)</f>
        <v>0</v>
      </c>
      <c r="O84" s="474">
        <f>IF(Q84&gt;0,'3 pr-2'!AA84,0)</f>
        <v>0</v>
      </c>
      <c r="P84" s="892">
        <f>SUM('3 pr-2'!AJ84)</f>
        <v>43800</v>
      </c>
      <c r="Q84" s="892"/>
      <c r="R84" s="291" t="str">
        <f t="shared" ref="R84:R85" si="24">IF(P84-Q84&lt;0,(P84-Q84)/365,"–")</f>
        <v>–</v>
      </c>
      <c r="S84" s="291"/>
    </row>
    <row r="85" spans="1:19" ht="37.5" thickBot="1" x14ac:dyDescent="0.3">
      <c r="A85" s="255" t="str">
        <f>CONCATENATE('3 pr-2'!A85)</f>
        <v>1.1.2.2.6</v>
      </c>
      <c r="B85" s="473" t="str">
        <f>CONCATENATE('ketv. 2lent'!B84)</f>
        <v>04.5.1-TID-V-513-01-0006</v>
      </c>
      <c r="C85" s="255" t="str">
        <f>CONCATENATE('3 pr-2'!D85)</f>
        <v>Vandens transporto infrastruktūros įrengimas skatinant kitų rūšių transportą</v>
      </c>
      <c r="D85" s="255" t="str">
        <f>CONCATENATE('3 pr-2'!E85)</f>
        <v>Druskininkų savivaldybės administracija</v>
      </c>
      <c r="E85" s="255" t="str">
        <f>CONCATENATE('3 pr-2'!F85)</f>
        <v>Lietuvos Respublikos susisiekimo ministerija</v>
      </c>
      <c r="F85" s="255" t="str">
        <f>CONCATENATE('3 pr-2'!G85)</f>
        <v>Druskininkų  miestas</v>
      </c>
      <c r="G85" s="255" t="str">
        <f>CONCATENATE('3 pr-2'!H85)</f>
        <v>04.5.1.-TID-R-514</v>
      </c>
      <c r="H85" s="255" t="str">
        <f>CONCATENATE('3 pr-2'!I85)</f>
        <v>R</v>
      </c>
      <c r="I85" s="255" t="str">
        <f>CONCATENATE('3 pr-2'!J85)</f>
        <v>-</v>
      </c>
      <c r="J85" s="474">
        <f>IF(Q85&gt;0,'3 pr-2'!L85,0)</f>
        <v>0</v>
      </c>
      <c r="K85" s="474">
        <f>IF(Q85&gt;0,'3 pr-2'!O85,0)</f>
        <v>0</v>
      </c>
      <c r="L85" s="474">
        <f>IF(Q85&gt;0,'3 pr-2'!R85,0)</f>
        <v>0</v>
      </c>
      <c r="M85" s="474">
        <f>IF(Q85&gt;0,'3 pr-2'!U85,0)</f>
        <v>0</v>
      </c>
      <c r="N85" s="474">
        <f>IF(Q85&gt;0,'3 pr-2'!X85,0)</f>
        <v>0</v>
      </c>
      <c r="O85" s="474">
        <f>IF(Q85&gt;0,'3 pr-2'!AA85,0)</f>
        <v>0</v>
      </c>
      <c r="P85" s="892">
        <f>SUM('3 pr-2'!AJ85)</f>
        <v>44501</v>
      </c>
      <c r="Q85" s="892"/>
      <c r="R85" s="291" t="str">
        <f t="shared" si="24"/>
        <v>–</v>
      </c>
      <c r="S85" s="291"/>
    </row>
    <row r="86" spans="1:19" ht="36.75" customHeight="1" thickBot="1" x14ac:dyDescent="0.3">
      <c r="A86" s="497" t="str">
        <f>CONCATENATE('3 pr-2'!A86)</f>
        <v>1.1.2.3</v>
      </c>
      <c r="B86" s="613"/>
      <c r="C86" s="1656" t="str">
        <f>CONCATENATE('3 pr-2'!D86)</f>
        <v/>
      </c>
      <c r="D86" s="1789"/>
      <c r="E86" s="1789"/>
      <c r="F86" s="1789"/>
      <c r="G86" s="1789"/>
      <c r="H86" s="1789"/>
      <c r="I86" s="1790"/>
      <c r="J86" s="629">
        <f>SUM(J87:J91)</f>
        <v>0</v>
      </c>
      <c r="K86" s="629">
        <f t="shared" ref="K86:O86" si="25">SUM(K87:K91)</f>
        <v>0</v>
      </c>
      <c r="L86" s="629">
        <f t="shared" si="25"/>
        <v>0</v>
      </c>
      <c r="M86" s="629">
        <f t="shared" si="25"/>
        <v>0</v>
      </c>
      <c r="N86" s="629">
        <f t="shared" si="25"/>
        <v>0</v>
      </c>
      <c r="O86" s="629">
        <f t="shared" si="25"/>
        <v>0</v>
      </c>
      <c r="P86" s="629"/>
      <c r="Q86" s="629"/>
      <c r="R86" s="629"/>
      <c r="S86" s="629"/>
    </row>
    <row r="87" spans="1:19" ht="36.75" x14ac:dyDescent="0.25">
      <c r="A87" s="255" t="str">
        <f>CONCATENATE('3 pr-2'!A87)</f>
        <v>1.1.2.3.1</v>
      </c>
      <c r="B87" s="473" t="str">
        <f>CONCATENATE('ketv. 2lent'!B86)</f>
        <v>04.5.1-TID-R-516-11-0004</v>
      </c>
      <c r="C87" s="255" t="str">
        <f>CONCATENATE('3 pr-2'!D87)</f>
        <v>Dviračių ir pėsčiųjų takų įrengimas Varėnos miesto J. Basanavičiaus ir Žiedo gatvėse</v>
      </c>
      <c r="D87" s="255" t="str">
        <f>CONCATENATE('3 pr-2'!E87)</f>
        <v>Varėnos rajono savivaldybės administracija</v>
      </c>
      <c r="E87" s="255" t="str">
        <f>CONCATENATE('3 pr-2'!F87)</f>
        <v>Lietuvos Respublikos susisiekimo ministerija</v>
      </c>
      <c r="F87" s="255" t="str">
        <f>CONCATENATE('3 pr-2'!G87)</f>
        <v>Varėnos miestas</v>
      </c>
      <c r="G87" s="255" t="str">
        <f>CONCATENATE('3 pr-2'!H87)</f>
        <v>04.5.1-TID-R-516</v>
      </c>
      <c r="H87" s="255" t="str">
        <f>CONCATENATE('3 pr-2'!I87)</f>
        <v>R</v>
      </c>
      <c r="I87" s="255" t="str">
        <f>CONCATENATE('3 pr-2'!J87)</f>
        <v>ITI</v>
      </c>
      <c r="J87" s="474">
        <f>IF(V87&gt;0,'3 pr-2'!L87,0)</f>
        <v>0</v>
      </c>
      <c r="K87" s="474">
        <f>IF(V87&gt;0,'3 pr-2'!O87,0)</f>
        <v>0</v>
      </c>
      <c r="L87" s="474">
        <f>IF(V87&gt;0,'3 pr-2'!R87,0)</f>
        <v>0</v>
      </c>
      <c r="M87" s="474">
        <f>IF(V87&gt;0,'3 pr-2'!U87,0)</f>
        <v>0</v>
      </c>
      <c r="N87" s="474">
        <f>IF(V87&gt;0,'3 pr-2'!X87,0)</f>
        <v>0</v>
      </c>
      <c r="O87" s="474">
        <f>IF(V87&gt;0,'3 pr-2'!AA87,0)</f>
        <v>0</v>
      </c>
      <c r="P87" s="636">
        <f>SUM('3 pr-2'!AJ87)</f>
        <v>43465</v>
      </c>
      <c r="Q87" s="290"/>
      <c r="R87" s="291" t="str">
        <f t="shared" ref="R87:R91" si="26">IF(P87-Q87&lt;0,(P87-Q87)/365,"–")</f>
        <v>–</v>
      </c>
      <c r="S87" s="291"/>
    </row>
    <row r="88" spans="1:19" ht="36.75" x14ac:dyDescent="0.25">
      <c r="A88" s="255" t="str">
        <f>CONCATENATE('3 pr-2'!A88)</f>
        <v>1.1.2.3.2</v>
      </c>
      <c r="B88" s="473" t="str">
        <f>CONCATENATE('ketv. 2lent'!B87)</f>
        <v>04.5.1-TID-R-516-11-0001</v>
      </c>
      <c r="C88" s="255" t="str">
        <f>CONCATENATE('3 pr-2'!D88)</f>
        <v>Dviračių trasų infrastruktūros įrengimas nuo Putinų g. žiedo Pramonės gatvėje, Alytaus mieste</v>
      </c>
      <c r="D88" s="255" t="str">
        <f>CONCATENATE('3 pr-2'!E88)</f>
        <v>Alytaus miesto savivaldybės administracija</v>
      </c>
      <c r="E88" s="255" t="str">
        <f>CONCATENATE('3 pr-2'!F88)</f>
        <v>Lietuvos Respublikos susisiekimo ministerija</v>
      </c>
      <c r="F88" s="255" t="str">
        <f>CONCATENATE('3 pr-2'!G88)</f>
        <v>Alytaus  miestas</v>
      </c>
      <c r="G88" s="255" t="str">
        <f>CONCATENATE('3 pr-2'!H88)</f>
        <v>04.5.1-TID-R-516</v>
      </c>
      <c r="H88" s="255" t="str">
        <f>CONCATENATE('3 pr-2'!I88)</f>
        <v>R</v>
      </c>
      <c r="I88" s="255" t="str">
        <f>CONCATENATE('3 pr-2'!J88)</f>
        <v>ITI</v>
      </c>
      <c r="J88" s="474">
        <f>IF(V88&gt;0,'3 pr-2'!L88,0)</f>
        <v>0</v>
      </c>
      <c r="K88" s="474">
        <f>IF(V88&gt;0,'3 pr-2'!O88,0)</f>
        <v>0</v>
      </c>
      <c r="L88" s="474">
        <f>IF(V88&gt;0,'3 pr-2'!R88,0)</f>
        <v>0</v>
      </c>
      <c r="M88" s="474">
        <f>IF(V88&gt;0,'3 pr-2'!U88,0)</f>
        <v>0</v>
      </c>
      <c r="N88" s="474">
        <f>IF(V88&gt;0,'3 pr-2'!X88,0)</f>
        <v>0</v>
      </c>
      <c r="O88" s="474">
        <f>IF(V88&gt;0,'3 pr-2'!AA88,0)</f>
        <v>0</v>
      </c>
      <c r="P88" s="636">
        <f>SUM('3 pr-2'!AJ88)</f>
        <v>43465</v>
      </c>
      <c r="Q88" s="290"/>
      <c r="R88" s="291" t="str">
        <f t="shared" si="26"/>
        <v>–</v>
      </c>
      <c r="S88" s="291"/>
    </row>
    <row r="89" spans="1:19" ht="36.75" x14ac:dyDescent="0.25">
      <c r="A89" s="255" t="str">
        <f>CONCATENATE('3 pr-2'!A89)</f>
        <v>1.1.2.3.3</v>
      </c>
      <c r="B89" s="473" t="str">
        <f>CONCATENATE('ketv. 2lent'!B88)</f>
        <v>04.5.1-TID-R-516-11-0002</v>
      </c>
      <c r="C89" s="255" t="str">
        <f>CONCATENATE('3 pr-2'!D89)</f>
        <v>Dviračių ir pėsčiųjų takų plėtra Lazdijų miesto Turistų gatvėje iki sodų bendrijos „Baltasis“ Lazdijų seniūnijoje</v>
      </c>
      <c r="D89" s="255" t="str">
        <f>CONCATENATE('3 pr-2'!E89)</f>
        <v>Lazdijų rajono savivaldybės administracija</v>
      </c>
      <c r="E89" s="255" t="str">
        <f>CONCATENATE('3 pr-2'!F89)</f>
        <v>Lietuvos Respublikos susisiekimo ministerija</v>
      </c>
      <c r="F89" s="255" t="str">
        <f>CONCATENATE('3 pr-2'!G89)</f>
        <v>Lazdijų miestas</v>
      </c>
      <c r="G89" s="255" t="str">
        <f>CONCATENATE('3 pr-2'!H89)</f>
        <v>04.5.1-TID-R-516</v>
      </c>
      <c r="H89" s="255" t="str">
        <f>CONCATENATE('3 pr-2'!I89)</f>
        <v>R</v>
      </c>
      <c r="I89" s="255" t="str">
        <f>CONCATENATE('3 pr-2'!J89)</f>
        <v>ITI</v>
      </c>
      <c r="J89" s="474">
        <f>IF(V89&gt;0,'3 pr-2'!L89,0)</f>
        <v>0</v>
      </c>
      <c r="K89" s="474">
        <f>IF(V89&gt;0,'3 pr-2'!O89,0)</f>
        <v>0</v>
      </c>
      <c r="L89" s="474">
        <f>IF(V89&gt;0,'3 pr-2'!R89,0)</f>
        <v>0</v>
      </c>
      <c r="M89" s="474">
        <f>IF(V89&gt;0,'3 pr-2'!U89,0)</f>
        <v>0</v>
      </c>
      <c r="N89" s="474">
        <f>IF(V89&gt;0,'3 pr-2'!X89,0)</f>
        <v>0</v>
      </c>
      <c r="O89" s="474">
        <f>IF(V89&gt;0,'3 pr-2'!AA89,0)</f>
        <v>0</v>
      </c>
      <c r="P89" s="636">
        <f>SUM('3 pr-2'!AJ89)</f>
        <v>43830</v>
      </c>
      <c r="Q89" s="290"/>
      <c r="R89" s="291" t="str">
        <f t="shared" si="26"/>
        <v>–</v>
      </c>
      <c r="S89" s="291"/>
    </row>
    <row r="90" spans="1:19" ht="36.75" x14ac:dyDescent="0.25">
      <c r="A90" s="255" t="str">
        <f>CONCATENATE('3 pr-2'!A90)</f>
        <v>1.1.2.3.4</v>
      </c>
      <c r="B90" s="473" t="str">
        <f>CONCATENATE('ketv. 2lent'!B89)</f>
        <v/>
      </c>
      <c r="C90" s="255" t="str">
        <f>CONCATENATE('3 pr-2'!D90)</f>
        <v>Pėsčiųjų ir dviračių takų plėtra Simno seniūnijoje</v>
      </c>
      <c r="D90" s="255" t="str">
        <f>CONCATENATE('3 pr-2'!E90)</f>
        <v>Alytaus rajono savivaldybės administracija</v>
      </c>
      <c r="E90" s="255" t="str">
        <f>CONCATENATE('3 pr-2'!F90)</f>
        <v>Lietuvos Respublikos susisiekimo ministerija</v>
      </c>
      <c r="F90" s="255" t="str">
        <f>CONCATENATE('3 pr-2'!G90)</f>
        <v>Alytaus rajonas</v>
      </c>
      <c r="G90" s="255" t="str">
        <f>CONCATENATE('3 pr-2'!H90)</f>
        <v>04.5.1-TID-R-516</v>
      </c>
      <c r="H90" s="255" t="str">
        <f>CONCATENATE('3 pr-2'!I90)</f>
        <v>R</v>
      </c>
      <c r="I90" s="255" t="str">
        <f>CONCATENATE('3 pr-2'!J90)</f>
        <v>-</v>
      </c>
      <c r="J90" s="474">
        <f>IF(V90&gt;0,'3 pr-2'!L90,0)</f>
        <v>0</v>
      </c>
      <c r="K90" s="474">
        <f>IF(V90&gt;0,'3 pr-2'!O90,0)</f>
        <v>0</v>
      </c>
      <c r="L90" s="474">
        <f>IF(V90&gt;0,'3 pr-2'!R90,0)</f>
        <v>0</v>
      </c>
      <c r="M90" s="474">
        <f>IF(V90&gt;0,'3 pr-2'!U90,0)</f>
        <v>0</v>
      </c>
      <c r="N90" s="474">
        <f>IF(V90&gt;0,'3 pr-2'!X90,0)</f>
        <v>0</v>
      </c>
      <c r="O90" s="474">
        <f>IF(V90&gt;0,'3 pr-2'!AA90,0)</f>
        <v>0</v>
      </c>
      <c r="P90" s="636">
        <f>SUM('3 pr-2'!AJ90)</f>
        <v>43830</v>
      </c>
      <c r="Q90" s="290"/>
      <c r="R90" s="291" t="str">
        <f t="shared" si="26"/>
        <v>–</v>
      </c>
      <c r="S90" s="291"/>
    </row>
    <row r="91" spans="1:19" ht="37.5" thickBot="1" x14ac:dyDescent="0.3">
      <c r="A91" s="255" t="str">
        <f>CONCATENATE('3 pr-2'!A91)</f>
        <v>1.1.2.3.5</v>
      </c>
      <c r="B91" s="473" t="str">
        <f>CONCATENATE('ketv. 2lent'!B90)</f>
        <v/>
      </c>
      <c r="C91" s="255" t="str">
        <f>CONCATENATE('3 pr-2'!D91)</f>
        <v>Dviračių ir pėsčiųjų tako, esančio šalia Ratnyčios upelio, Druskininkų mieste, rekonstrukcija</v>
      </c>
      <c r="D91" s="255" t="str">
        <f>CONCATENATE('3 pr-2'!E91)</f>
        <v xml:space="preserve">Druskininkų savivaldybės administracija  </v>
      </c>
      <c r="E91" s="255" t="str">
        <f>CONCATENATE('3 pr-2'!F91)</f>
        <v>Lietuvos Respublikos susisiekimo ministerija</v>
      </c>
      <c r="F91" s="255" t="str">
        <f>CONCATENATE('3 pr-2'!G91)</f>
        <v>Druskininkų miestas</v>
      </c>
      <c r="G91" s="255" t="str">
        <f>CONCATENATE('3 pr-2'!H91)</f>
        <v>04.5.1-TID-R-516</v>
      </c>
      <c r="H91" s="255" t="str">
        <f>CONCATENATE('3 pr-2'!I91)</f>
        <v>R</v>
      </c>
      <c r="I91" s="255" t="str">
        <f>CONCATENATE('3 pr-2'!J91)</f>
        <v>-</v>
      </c>
      <c r="J91" s="474">
        <f>IF(V91&gt;0,'3 pr-2'!L91,0)</f>
        <v>0</v>
      </c>
      <c r="K91" s="474">
        <f>IF(V91&gt;0,'3 pr-2'!O91,0)</f>
        <v>0</v>
      </c>
      <c r="L91" s="474">
        <f>IF(V91&gt;0,'3 pr-2'!R91,0)</f>
        <v>0</v>
      </c>
      <c r="M91" s="474">
        <f>IF(V91&gt;0,'3 pr-2'!U91,0)</f>
        <v>0</v>
      </c>
      <c r="N91" s="474">
        <f>IF(V91&gt;0,'3 pr-2'!X91,0)</f>
        <v>0</v>
      </c>
      <c r="O91" s="474">
        <f>IF(V91&gt;0,'3 pr-2'!AA91,0)</f>
        <v>0</v>
      </c>
      <c r="P91" s="636">
        <f>SUM('3 pr-2'!AJ91)</f>
        <v>43830</v>
      </c>
      <c r="Q91" s="290"/>
      <c r="R91" s="291" t="str">
        <f t="shared" si="26"/>
        <v>–</v>
      </c>
      <c r="S91" s="291"/>
    </row>
    <row r="92" spans="1:19" ht="42.75" customHeight="1" thickBot="1" x14ac:dyDescent="0.3">
      <c r="A92" s="497" t="str">
        <f>CONCATENATE('3 pr-2'!A92)</f>
        <v>1.1.2.4</v>
      </c>
      <c r="B92" s="613" t="str">
        <f>CONCATENATE('ketv. 2lent'!B91)</f>
        <v/>
      </c>
      <c r="C92" s="1656" t="str">
        <f>CONCATENATE('3 pr-2'!D92)</f>
        <v/>
      </c>
      <c r="D92" s="1789"/>
      <c r="E92" s="1789"/>
      <c r="F92" s="1789"/>
      <c r="G92" s="1789"/>
      <c r="H92" s="1789"/>
      <c r="I92" s="1790"/>
      <c r="J92" s="629">
        <f>SUM(J93:J99)</f>
        <v>0</v>
      </c>
      <c r="K92" s="629">
        <f t="shared" ref="K92:O92" si="27">SUM(K93:K99)</f>
        <v>0</v>
      </c>
      <c r="L92" s="629">
        <f t="shared" si="27"/>
        <v>0</v>
      </c>
      <c r="M92" s="629">
        <f t="shared" si="27"/>
        <v>0</v>
      </c>
      <c r="N92" s="629">
        <f t="shared" si="27"/>
        <v>0</v>
      </c>
      <c r="O92" s="629">
        <f t="shared" si="27"/>
        <v>0</v>
      </c>
      <c r="P92" s="629"/>
      <c r="Q92" s="629"/>
      <c r="R92" s="629"/>
      <c r="S92" s="629"/>
    </row>
    <row r="93" spans="1:19" ht="36.75" x14ac:dyDescent="0.25">
      <c r="A93" s="255" t="str">
        <f>CONCATENATE('3 pr-2'!A93)</f>
        <v>1.1.2.4.1</v>
      </c>
      <c r="B93" s="473" t="str">
        <f>CONCATENATE('ketv. 2lent'!B92)</f>
        <v>06.2.1-TID-R-511-11-0002</v>
      </c>
      <c r="C93" s="255" t="str">
        <f>CONCATENATE('3 pr-2'!D93)</f>
        <v>Varėnos miesto J. Basanavičiaus, Savanorių ir M. K. Čiurlionio gatvių rekonstrukcija</v>
      </c>
      <c r="D93" s="255" t="str">
        <f>CONCATENATE('3 pr-2'!E93)</f>
        <v>Varėnos rajono savivaldybės administracija</v>
      </c>
      <c r="E93" s="255" t="str">
        <f>CONCATENATE('3 pr-2'!F93)</f>
        <v>Lietuvos Respublikos susisiekimo ministerija</v>
      </c>
      <c r="F93" s="255" t="str">
        <f>CONCATENATE('3 pr-2'!G93)</f>
        <v>Varėnos miestas</v>
      </c>
      <c r="G93" s="255" t="str">
        <f>CONCATENATE('3 pr-2'!H93)</f>
        <v>06.2.1-TID-R-511</v>
      </c>
      <c r="H93" s="255" t="str">
        <f>CONCATENATE('3 pr-2'!I93)</f>
        <v>R</v>
      </c>
      <c r="I93" s="255" t="str">
        <f>CONCATENATE('3 pr-2'!J93)</f>
        <v>ITI</v>
      </c>
      <c r="J93" s="474">
        <f>IF(V93&gt;0,'3 pr-2'!L93,0)</f>
        <v>0</v>
      </c>
      <c r="K93" s="474">
        <f>IF(V93&gt;0,'3 pr-2'!O93,0)</f>
        <v>0</v>
      </c>
      <c r="L93" s="474">
        <f>IF(V93&gt;0,'3 pr-2'!R93,0)</f>
        <v>0</v>
      </c>
      <c r="M93" s="474">
        <f>IF(V93&gt;0,'3 pr-2'!U93,0)</f>
        <v>0</v>
      </c>
      <c r="N93" s="474">
        <f>IF(V93&gt;0,'3 pr-2'!X93,0)</f>
        <v>0</v>
      </c>
      <c r="O93" s="474">
        <f>IF(V93&gt;0,'3 pr-2'!AA93,0)</f>
        <v>0</v>
      </c>
      <c r="P93" s="892">
        <f>SUM('3 pr-2'!AJ93)</f>
        <v>44196</v>
      </c>
      <c r="Q93" s="290"/>
      <c r="R93" s="291" t="str">
        <f t="shared" ref="R93:R98" si="28">IF(P93-Q93&lt;0,(P93-Q93)/365,"–")</f>
        <v>–</v>
      </c>
      <c r="S93" s="291"/>
    </row>
    <row r="94" spans="1:19" ht="36.75" x14ac:dyDescent="0.25">
      <c r="A94" s="255" t="str">
        <f>CONCATENATE('3 pr-2'!A94)</f>
        <v>1.1.2.4.2</v>
      </c>
      <c r="B94" s="473" t="str">
        <f>CONCATENATE('ketv. 2lent'!B93)</f>
        <v>06.2.1-TID-R-511-11-0001</v>
      </c>
      <c r="C94" s="255" t="str">
        <f>CONCATENATE('3 pr-2'!D94)</f>
        <v>Perspektyvinės gatvės nuo Pramonės  g. iki Naujosios g. Alytuje įrengimas</v>
      </c>
      <c r="D94" s="255" t="str">
        <f>CONCATENATE('3 pr-2'!E94)</f>
        <v>Alytaus miesto savivaldybės administracija</v>
      </c>
      <c r="E94" s="255" t="str">
        <f>CONCATENATE('3 pr-2'!F94)</f>
        <v>Lietuvos Respublikos susisiekimo ministerija</v>
      </c>
      <c r="F94" s="255" t="str">
        <f>CONCATENATE('3 pr-2'!G94)</f>
        <v>Alytaus  miestas</v>
      </c>
      <c r="G94" s="255" t="str">
        <f>CONCATENATE('3 pr-2'!H94)</f>
        <v>06.2.1-TID-R-511</v>
      </c>
      <c r="H94" s="255" t="str">
        <f>CONCATENATE('3 pr-2'!I94)</f>
        <v>R</v>
      </c>
      <c r="I94" s="255" t="str">
        <f>CONCATENATE('3 pr-2'!J94)</f>
        <v>ITI</v>
      </c>
      <c r="J94" s="474">
        <f>IF(V94&gt;0,'3 pr-2'!L94,0)</f>
        <v>0</v>
      </c>
      <c r="K94" s="474">
        <f>IF(V94&gt;0,'3 pr-2'!O94,0)</f>
        <v>0</v>
      </c>
      <c r="L94" s="474">
        <f>IF(V94&gt;0,'3 pr-2'!R94,0)</f>
        <v>0</v>
      </c>
      <c r="M94" s="474">
        <f>IF(V94&gt;0,'3 pr-2'!U94,0)</f>
        <v>0</v>
      </c>
      <c r="N94" s="474">
        <f>IF(V94&gt;0,'3 pr-2'!X94,0)</f>
        <v>0</v>
      </c>
      <c r="O94" s="474">
        <f>IF(V94&gt;0,'3 pr-2'!AA94,0)</f>
        <v>0</v>
      </c>
      <c r="P94" s="892">
        <f>SUM('3 pr-2'!AJ94)</f>
        <v>43465</v>
      </c>
      <c r="Q94" s="290"/>
      <c r="R94" s="291" t="str">
        <f t="shared" si="28"/>
        <v>–</v>
      </c>
      <c r="S94" s="291"/>
    </row>
    <row r="95" spans="1:19" ht="36.75" x14ac:dyDescent="0.25">
      <c r="A95" s="255" t="str">
        <f>CONCATENATE('3 pr-2'!A95)</f>
        <v>1.1.2.4.3.</v>
      </c>
      <c r="B95" s="473" t="str">
        <f>CONCATENATE('ketv. 2lent'!B94)</f>
        <v/>
      </c>
      <c r="C95" s="255" t="str">
        <f>CONCATENATE('3 pr-2'!D95)</f>
        <v>Saugaus eismo priemonių diegimas, Alytuje</v>
      </c>
      <c r="D95" s="255" t="str">
        <f>CONCATENATE('3 pr-2'!E95)</f>
        <v>Alytaus miesto savivaldybės administracija</v>
      </c>
      <c r="E95" s="255" t="str">
        <f>CONCATENATE('3 pr-2'!F95)</f>
        <v>Lietuvos Respublikos susisiekimo ministerija</v>
      </c>
      <c r="F95" s="255" t="str">
        <f>CONCATENATE('3 pr-2'!G95)</f>
        <v>Alytaus  miestas</v>
      </c>
      <c r="G95" s="255" t="str">
        <f>CONCATENATE('3 pr-2'!H95)</f>
        <v>06.2.1-TID-R-511</v>
      </c>
      <c r="H95" s="255" t="str">
        <f>CONCATENATE('3 pr-2'!I95)</f>
        <v>R</v>
      </c>
      <c r="I95" s="255" t="str">
        <f>CONCATENATE('3 pr-2'!J95)</f>
        <v>-</v>
      </c>
      <c r="J95" s="474">
        <f>IF(V95&gt;0,'3 pr-2'!L95,0)</f>
        <v>0</v>
      </c>
      <c r="K95" s="474">
        <f>IF(V95&gt;0,'3 pr-2'!O95,0)</f>
        <v>0</v>
      </c>
      <c r="L95" s="474">
        <f>IF(V95&gt;0,'3 pr-2'!R95,0)</f>
        <v>0</v>
      </c>
      <c r="M95" s="474">
        <f>IF(V95&gt;0,'3 pr-2'!U95,0)</f>
        <v>0</v>
      </c>
      <c r="N95" s="474">
        <f>IF(V95&gt;0,'3 pr-2'!X95,0)</f>
        <v>0</v>
      </c>
      <c r="O95" s="474">
        <f>IF(V95&gt;0,'3 pr-2'!AA95,0)</f>
        <v>0</v>
      </c>
      <c r="P95" s="892">
        <f>SUM('3 pr-2'!AJ95)</f>
        <v>43829</v>
      </c>
      <c r="Q95" s="290"/>
      <c r="R95" s="291" t="str">
        <f t="shared" si="28"/>
        <v>–</v>
      </c>
      <c r="S95" s="291"/>
    </row>
    <row r="96" spans="1:19" ht="36.75" x14ac:dyDescent="0.25">
      <c r="A96" s="255" t="str">
        <f>CONCATENATE('3 pr-2'!A96)</f>
        <v>1.1.2.4.4</v>
      </c>
      <c r="B96" s="473" t="str">
        <f>CONCATENATE('ketv. 2lent'!B95)</f>
        <v/>
      </c>
      <c r="C96" s="255" t="str">
        <f>CONCATENATE('3 pr-2'!D96)</f>
        <v>Eismo saugos priemonių diegimas Alytaus rajone</v>
      </c>
      <c r="D96" s="255" t="str">
        <f>CONCATENATE('3 pr-2'!E96)</f>
        <v>Alytaus rajono savivaldybės administracija</v>
      </c>
      <c r="E96" s="255" t="str">
        <f>CONCATENATE('3 pr-2'!F96)</f>
        <v>Lietuvos Respublikos susisiekimo ministerija</v>
      </c>
      <c r="F96" s="255" t="str">
        <f>CONCATENATE('3 pr-2'!G96)</f>
        <v>Alytaus  rajono savivaldybė</v>
      </c>
      <c r="G96" s="255" t="str">
        <f>CONCATENATE('3 pr-2'!H96)</f>
        <v>06.2.1-TID-R-511</v>
      </c>
      <c r="H96" s="255" t="str">
        <f>CONCATENATE('3 pr-2'!I96)</f>
        <v>R</v>
      </c>
      <c r="I96" s="255" t="str">
        <f>CONCATENATE('3 pr-2'!J96)</f>
        <v>-</v>
      </c>
      <c r="J96" s="474">
        <f>IF(V96&gt;0,'3 pr-2'!L96,0)</f>
        <v>0</v>
      </c>
      <c r="K96" s="474">
        <f>IF(V96&gt;0,'3 pr-2'!O96,0)</f>
        <v>0</v>
      </c>
      <c r="L96" s="474">
        <f>IF(V96&gt;0,'3 pr-2'!R96,0)</f>
        <v>0</v>
      </c>
      <c r="M96" s="474">
        <f>IF(V96&gt;0,'3 pr-2'!U96,0)</f>
        <v>0</v>
      </c>
      <c r="N96" s="474">
        <f>IF(V96&gt;0,'3 pr-2'!X96,0)</f>
        <v>0</v>
      </c>
      <c r="O96" s="474">
        <f>IF(V96&gt;0,'3 pr-2'!AA96,0)</f>
        <v>0</v>
      </c>
      <c r="P96" s="892">
        <f>SUM('3 pr-2'!AJ96)</f>
        <v>43921</v>
      </c>
      <c r="Q96" s="290"/>
      <c r="R96" s="291" t="str">
        <f t="shared" si="28"/>
        <v>–</v>
      </c>
      <c r="S96" s="291"/>
    </row>
    <row r="97" spans="1:19" ht="36.75" x14ac:dyDescent="0.25">
      <c r="A97" s="255" t="str">
        <f>CONCATENATE('3 pr-2'!A97)</f>
        <v>1.1.2.4.5</v>
      </c>
      <c r="B97" s="473" t="str">
        <f>CONCATENATE('ketv. 2lent'!B96)</f>
        <v/>
      </c>
      <c r="C97" s="255" t="str">
        <f>CONCATENATE('3 pr-2'!D97)</f>
        <v>M. K. Čiurlionio gatvės atkarpos Druskininkų m. rekonstrukcija</v>
      </c>
      <c r="D97" s="255" t="str">
        <f>CONCATENATE('3 pr-2'!E97)</f>
        <v xml:space="preserve">Druskininkų savivaldybės administracija  </v>
      </c>
      <c r="E97" s="255" t="str">
        <f>CONCATENATE('3 pr-2'!F97)</f>
        <v>Lietuvos Respublikos susisiekimo ministerija</v>
      </c>
      <c r="F97" s="255" t="str">
        <f>CONCATENATE('3 pr-2'!G97)</f>
        <v>Druskininkų miestas</v>
      </c>
      <c r="G97" s="255" t="str">
        <f>CONCATENATE('3 pr-2'!H97)</f>
        <v>06.2.1-TID-R-511</v>
      </c>
      <c r="H97" s="255" t="str">
        <f>CONCATENATE('3 pr-2'!I97)</f>
        <v>R</v>
      </c>
      <c r="I97" s="255" t="str">
        <f>CONCATENATE('3 pr-2'!J97)</f>
        <v>-</v>
      </c>
      <c r="J97" s="474">
        <f>IF(V97&gt;0,'3 pr-2'!L97,0)</f>
        <v>0</v>
      </c>
      <c r="K97" s="474">
        <f>IF(V97&gt;0,'3 pr-2'!O97,0)</f>
        <v>0</v>
      </c>
      <c r="L97" s="474">
        <f>IF(V97&gt;0,'3 pr-2'!R97,0)</f>
        <v>0</v>
      </c>
      <c r="M97" s="474">
        <f>IF(V97&gt;0,'3 pr-2'!U97,0)</f>
        <v>0</v>
      </c>
      <c r="N97" s="474">
        <f>IF(V97&gt;0,'3 pr-2'!X97,0)</f>
        <v>0</v>
      </c>
      <c r="O97" s="474">
        <f>IF(V97&gt;0,'3 pr-2'!AA97,0)</f>
        <v>0</v>
      </c>
      <c r="P97" s="892">
        <f>SUM('3 pr-2'!AJ97)</f>
        <v>43830</v>
      </c>
      <c r="Q97" s="290"/>
      <c r="R97" s="291" t="str">
        <f t="shared" si="28"/>
        <v>–</v>
      </c>
      <c r="S97" s="291"/>
    </row>
    <row r="98" spans="1:19" ht="36.75" x14ac:dyDescent="0.25">
      <c r="A98" s="255" t="str">
        <f>CONCATENATE('3 pr-2'!A98)</f>
        <v>1.1.2.4.6</v>
      </c>
      <c r="B98" s="473" t="str">
        <f>CONCATENATE('ketv. 2lent'!B97)</f>
        <v/>
      </c>
      <c r="C98" s="255" t="str">
        <f>CONCATENATE('3 pr-2'!D98)</f>
        <v>Lazdijų miesto Seinų ir Lazdijos gatvių bei vietinės reikšmės kelio nuo Janonio gatvės iki Lazdijų hipodromo rekonstravimas</v>
      </c>
      <c r="D98" s="255" t="str">
        <f>CONCATENATE('3 pr-2'!E98)</f>
        <v>Lazdijų rajono savivaldybės administracija</v>
      </c>
      <c r="E98" s="255" t="str">
        <f>CONCATENATE('3 pr-2'!F98)</f>
        <v>Lietuvos Respublikos susisiekimo ministerija</v>
      </c>
      <c r="F98" s="255" t="str">
        <f>CONCATENATE('3 pr-2'!G98)</f>
        <v>Lazdijų miestas</v>
      </c>
      <c r="G98" s="255" t="str">
        <f>CONCATENATE('3 pr-2'!H98)</f>
        <v>06.2.1-TID-R-511</v>
      </c>
      <c r="H98" s="255" t="str">
        <f>CONCATENATE('3 pr-2'!I98)</f>
        <v>R</v>
      </c>
      <c r="I98" s="255" t="str">
        <f>CONCATENATE('3 pr-2'!J98)</f>
        <v>ITI</v>
      </c>
      <c r="J98" s="474">
        <f>IF(V98&gt;0,'3 pr-2'!L98,0)</f>
        <v>0</v>
      </c>
      <c r="K98" s="474">
        <f>IF(V98&gt;0,'3 pr-2'!O98,0)</f>
        <v>0</v>
      </c>
      <c r="L98" s="474">
        <f>IF(V98&gt;0,'3 pr-2'!R98,0)</f>
        <v>0</v>
      </c>
      <c r="M98" s="474">
        <f>IF(V98&gt;0,'3 pr-2'!U98,0)</f>
        <v>0</v>
      </c>
      <c r="N98" s="474">
        <f>IF(V98&gt;0,'3 pr-2'!X98,0)</f>
        <v>0</v>
      </c>
      <c r="O98" s="474">
        <f>IF(V98&gt;0,'3 pr-2'!AA98,0)</f>
        <v>0</v>
      </c>
      <c r="P98" s="892">
        <f>SUM('3 pr-2'!AJ98)</f>
        <v>43830</v>
      </c>
      <c r="Q98" s="290"/>
      <c r="R98" s="291" t="str">
        <f t="shared" si="28"/>
        <v>–</v>
      </c>
      <c r="S98" s="291"/>
    </row>
    <row r="99" spans="1:19" ht="36.75" x14ac:dyDescent="0.25">
      <c r="A99" s="255" t="str">
        <f>CONCATENATE('3 pr-2'!A99)</f>
        <v>1.1.2.4.7</v>
      </c>
      <c r="B99" s="473" t="str">
        <f>CONCATENATE('ketv. 2lent'!B98)</f>
        <v/>
      </c>
      <c r="C99" s="255" t="str">
        <f>CONCATENATE('3 pr-2'!D99)</f>
        <v>Eismo saugumo priemonių diegimas Druskininkų savivaldybėje</v>
      </c>
      <c r="D99" s="255" t="str">
        <f>CONCATENATE('3 pr-2'!E99)</f>
        <v xml:space="preserve">Druskininkų savivaldybės administracija  </v>
      </c>
      <c r="E99" s="255" t="str">
        <f>CONCATENATE('3 pr-2'!F99)</f>
        <v>Lietuvos Respublikos susisiekimo ministerija</v>
      </c>
      <c r="F99" s="255" t="str">
        <f>CONCATENATE('3 pr-2'!G99)</f>
        <v>Druskininkų miestas</v>
      </c>
      <c r="G99" s="255" t="str">
        <f>CONCATENATE('3 pr-2'!H99)</f>
        <v>06.2.1-TID-R-511</v>
      </c>
      <c r="H99" s="255" t="str">
        <f>CONCATENATE('3 pr-2'!I99)</f>
        <v>R</v>
      </c>
      <c r="I99" s="255" t="str">
        <f>CONCATENATE('3 pr-2'!J99)</f>
        <v>-</v>
      </c>
      <c r="J99" s="474">
        <f>IF(V99&gt;0,'3 pr-2'!L99,0)</f>
        <v>0</v>
      </c>
      <c r="K99" s="474">
        <f>IF(V99&gt;0,'3 pr-2'!O99,0)</f>
        <v>0</v>
      </c>
      <c r="L99" s="474">
        <f>IF(V99&gt;0,'3 pr-2'!R99,0)</f>
        <v>0</v>
      </c>
      <c r="M99" s="474">
        <f>IF(V99&gt;0,'3 pr-2'!U99,0)</f>
        <v>0</v>
      </c>
      <c r="N99" s="474">
        <f>IF(V99&gt;0,'3 pr-2'!X99,0)</f>
        <v>0</v>
      </c>
      <c r="O99" s="474">
        <f>IF(V99&gt;0,'3 pr-2'!AA99,0)</f>
        <v>0</v>
      </c>
      <c r="P99" s="892">
        <f>SUM('3 pr-2'!AJ99)</f>
        <v>43830</v>
      </c>
      <c r="Q99" s="290"/>
      <c r="R99" s="291" t="str">
        <f t="shared" ref="R99" si="29">IF(P99-Q99&lt;0,(P99-Q99)/365,"–")</f>
        <v>–</v>
      </c>
      <c r="S99" s="291"/>
    </row>
    <row r="100" spans="1:19" ht="48" customHeight="1" thickBot="1" x14ac:dyDescent="0.3">
      <c r="A100" s="221" t="str">
        <f>CONCATENATE('3 pr-2'!A100)</f>
        <v>2.1.</v>
      </c>
      <c r="B100" s="471" t="str">
        <f>CONCATENATE('ketv. 2lent'!B99)</f>
        <v/>
      </c>
      <c r="C100" s="1824" t="str">
        <f>CONCATENATE('3 pr-2'!D100)</f>
        <v/>
      </c>
      <c r="D100" s="1825" t="str">
        <f>CONCATENATE('3 pr-2'!E100)</f>
        <v/>
      </c>
      <c r="E100" s="1825" t="str">
        <f>CONCATENATE('3 pr-2'!F100)</f>
        <v/>
      </c>
      <c r="F100" s="1825" t="str">
        <f>CONCATENATE('3 pr-2'!G100)</f>
        <v/>
      </c>
      <c r="G100" s="1825" t="str">
        <f>CONCATENATE('3 pr-2'!H100)</f>
        <v/>
      </c>
      <c r="H100" s="1825" t="str">
        <f>CONCATENATE('3 pr-2'!I100)</f>
        <v/>
      </c>
      <c r="I100" s="1825" t="str">
        <f>CONCATENATE('3 pr-2'!J100)</f>
        <v/>
      </c>
      <c r="J100" s="644">
        <f t="shared" ref="J100:O100" si="30">SUM(J101+J120+J146+J159)</f>
        <v>0</v>
      </c>
      <c r="K100" s="644">
        <f t="shared" si="30"/>
        <v>0</v>
      </c>
      <c r="L100" s="644">
        <f t="shared" si="30"/>
        <v>0</v>
      </c>
      <c r="M100" s="644">
        <f t="shared" si="30"/>
        <v>0</v>
      </c>
      <c r="N100" s="644">
        <f t="shared" si="30"/>
        <v>0</v>
      </c>
      <c r="O100" s="644">
        <f t="shared" si="30"/>
        <v>0</v>
      </c>
      <c r="P100" s="279" t="s">
        <v>725</v>
      </c>
      <c r="Q100" s="680" t="s">
        <v>725</v>
      </c>
      <c r="R100" s="645" t="s">
        <v>725</v>
      </c>
      <c r="S100" s="645"/>
    </row>
    <row r="101" spans="1:19" ht="59.25" customHeight="1" thickBot="1" x14ac:dyDescent="0.3">
      <c r="A101" s="220" t="str">
        <f>CONCATENATE('3 pr-2'!A101)</f>
        <v>2.1.1.</v>
      </c>
      <c r="B101" s="323" t="str">
        <f>CONCATENATE('ketv. 2lent'!B100)</f>
        <v/>
      </c>
      <c r="C101" s="1668" t="str">
        <f>CONCATENATE('3 pr-2'!D101)</f>
        <v/>
      </c>
      <c r="D101" s="1595" t="str">
        <f>CONCATENATE('3 pr-2'!E101)</f>
        <v/>
      </c>
      <c r="E101" s="1595" t="str">
        <f>CONCATENATE('3 pr-2'!F101)</f>
        <v/>
      </c>
      <c r="F101" s="1595" t="str">
        <f>CONCATENATE('3 pr-2'!G101)</f>
        <v/>
      </c>
      <c r="G101" s="1595" t="str">
        <f>CONCATENATE('3 pr-2'!H101)</f>
        <v/>
      </c>
      <c r="H101" s="1595" t="str">
        <f>CONCATENATE('3 pr-2'!I101)</f>
        <v/>
      </c>
      <c r="I101" s="1595" t="str">
        <f>CONCATENATE('3 pr-2'!J101)</f>
        <v/>
      </c>
      <c r="J101" s="295">
        <f>SUM(J102+J108+J114)</f>
        <v>0</v>
      </c>
      <c r="K101" s="295">
        <f t="shared" ref="K101:O101" si="31">SUM(K102+K108+K114)</f>
        <v>0</v>
      </c>
      <c r="L101" s="295">
        <f t="shared" si="31"/>
        <v>0</v>
      </c>
      <c r="M101" s="295">
        <f t="shared" si="31"/>
        <v>0</v>
      </c>
      <c r="N101" s="295">
        <f t="shared" si="31"/>
        <v>0</v>
      </c>
      <c r="O101" s="295">
        <f t="shared" si="31"/>
        <v>0</v>
      </c>
      <c r="P101" s="280" t="s">
        <v>725</v>
      </c>
      <c r="Q101" s="262" t="s">
        <v>725</v>
      </c>
      <c r="R101" s="263" t="s">
        <v>725</v>
      </c>
      <c r="S101" s="263"/>
    </row>
    <row r="102" spans="1:19" ht="37.5" customHeight="1" thickBot="1" x14ac:dyDescent="0.3">
      <c r="A102" s="497" t="str">
        <f>CONCATENATE('3 pr-2'!A102)</f>
        <v>2.1.1.1</v>
      </c>
      <c r="B102" s="613" t="str">
        <f>CONCATENATE('ketv. 2lent'!B101)</f>
        <v/>
      </c>
      <c r="C102" s="1656" t="str">
        <f>CONCATENATE('3 pr-2'!D102)</f>
        <v/>
      </c>
      <c r="D102" s="1789"/>
      <c r="E102" s="1789"/>
      <c r="F102" s="1789"/>
      <c r="G102" s="1789"/>
      <c r="H102" s="1789"/>
      <c r="I102" s="1790"/>
      <c r="J102" s="629">
        <f>SUM(J103:J107)</f>
        <v>0</v>
      </c>
      <c r="K102" s="629">
        <f t="shared" ref="K102:O102" si="32">SUM(K103:K107)</f>
        <v>0</v>
      </c>
      <c r="L102" s="629">
        <f t="shared" si="32"/>
        <v>0</v>
      </c>
      <c r="M102" s="629">
        <f t="shared" si="32"/>
        <v>0</v>
      </c>
      <c r="N102" s="629">
        <f t="shared" si="32"/>
        <v>0</v>
      </c>
      <c r="O102" s="629">
        <f t="shared" si="32"/>
        <v>0</v>
      </c>
      <c r="P102" s="629"/>
      <c r="Q102" s="629"/>
      <c r="R102" s="629"/>
      <c r="S102" s="629"/>
    </row>
    <row r="103" spans="1:19" ht="36.75" x14ac:dyDescent="0.25">
      <c r="A103" s="255" t="str">
        <f>CONCATENATE('3 pr-2'!A103)</f>
        <v>2.1.1.1.1</v>
      </c>
      <c r="B103" s="473" t="str">
        <f>CONCATENATE('ketv. 2lent'!B102)</f>
        <v xml:space="preserve">09.1.3-CPVA-R-724-11-0003 </v>
      </c>
      <c r="C103" s="255" t="str">
        <f>CONCATENATE('3 pr-2'!D103)</f>
        <v>Varėnos r. Merkinės Vinco Krėvės gimnazijos laisvų patalpų pritaikymas ikimokyklinio ir priešmokyklinio ugdymo grupėms įrengti</v>
      </c>
      <c r="D103" s="255" t="str">
        <f>CONCATENATE('3 pr-2'!E103)</f>
        <v>Varėnos rajono savivaldybės administracija</v>
      </c>
      <c r="E103" s="255" t="str">
        <f>CONCATENATE('3 pr-2'!F103)</f>
        <v>Lietuvos Respublikos švietimo ir mokslo ministerija</v>
      </c>
      <c r="F103" s="255" t="str">
        <f>CONCATENATE('3 pr-2'!G103)</f>
        <v>Varėnos miestas</v>
      </c>
      <c r="G103" s="255" t="str">
        <f>CONCATENATE('3 pr-2'!H103)</f>
        <v>09.1.3-CPVA-R-724</v>
      </c>
      <c r="H103" s="255" t="str">
        <f>CONCATENATE('3 pr-2'!I103)</f>
        <v>R</v>
      </c>
      <c r="I103" s="255" t="str">
        <f>CONCATENATE('3 pr-2'!J103)</f>
        <v>-</v>
      </c>
      <c r="J103" s="474">
        <f>IF(V103&gt;0,'3 pr-2'!L103,0)</f>
        <v>0</v>
      </c>
      <c r="K103" s="474">
        <f>IF(V103&gt;0,'3 pr-2'!O103,0)</f>
        <v>0</v>
      </c>
      <c r="L103" s="474">
        <f>IF(V103&gt;0,'3 pr-2'!R103,0)</f>
        <v>0</v>
      </c>
      <c r="M103" s="474">
        <f>IF(V103&gt;0,'3 pr-2'!U103,0)</f>
        <v>0</v>
      </c>
      <c r="N103" s="474">
        <f>IF(V103&gt;0,'3 pr-2'!X103,0)</f>
        <v>0</v>
      </c>
      <c r="O103" s="474">
        <f>IF(V103&gt;0,'3 pr-2'!AA103,0)</f>
        <v>0</v>
      </c>
      <c r="P103" s="892">
        <f>SUM('3 pr-2'!AJ103)</f>
        <v>43845</v>
      </c>
      <c r="Q103" s="308"/>
      <c r="R103" s="291" t="str">
        <f t="shared" ref="R103:R107" si="33">IF(P103-Q103&lt;0,(P103-Q103)/365,"–")</f>
        <v>–</v>
      </c>
      <c r="S103" s="291"/>
    </row>
    <row r="104" spans="1:19" ht="36.75" x14ac:dyDescent="0.25">
      <c r="A104" s="255" t="str">
        <f>CONCATENATE('3 pr-2'!A104)</f>
        <v>2.1.1.1.2</v>
      </c>
      <c r="B104" s="473" t="str">
        <f>CONCATENATE('ketv. 2lent'!B103)</f>
        <v>09.1.3-CPVA-R-724-11-0005</v>
      </c>
      <c r="C104" s="255" t="str">
        <f>CONCATENATE('3 pr-2'!D104)</f>
        <v>Alytaus rajono bendrojo ugdymo įstaigų aprūpinimas gamtos, technologijų, menų ir kitų mokslų laboratorijų įranga</v>
      </c>
      <c r="D104" s="255" t="str">
        <f>CONCATENATE('3 pr-2'!E104)</f>
        <v>Alytaus rajono savivaldybės administracija</v>
      </c>
      <c r="E104" s="255" t="str">
        <f>CONCATENATE('3 pr-2'!F104)</f>
        <v>Lietuvos Respublikos švietimo ir mokslo ministerija</v>
      </c>
      <c r="F104" s="255" t="str">
        <f>CONCATENATE('3 pr-2'!G104)</f>
        <v>Alytaus  rajono savivaldybė</v>
      </c>
      <c r="G104" s="255" t="str">
        <f>CONCATENATE('3 pr-2'!H104)</f>
        <v>09.1.3-CPVA-R-724</v>
      </c>
      <c r="H104" s="255" t="str">
        <f>CONCATENATE('3 pr-2'!I104)</f>
        <v>R</v>
      </c>
      <c r="I104" s="255" t="str">
        <f>CONCATENATE('3 pr-2'!J104)</f>
        <v>-</v>
      </c>
      <c r="J104" s="474">
        <f>IF(V104&gt;0,'3 pr-2'!L104,0)</f>
        <v>0</v>
      </c>
      <c r="K104" s="474">
        <f>IF(V104&gt;0,'3 pr-2'!O104,0)</f>
        <v>0</v>
      </c>
      <c r="L104" s="474">
        <f>IF(V104&gt;0,'3 pr-2'!R104,0)</f>
        <v>0</v>
      </c>
      <c r="M104" s="474">
        <f>IF(V104&gt;0,'3 pr-2'!U104,0)</f>
        <v>0</v>
      </c>
      <c r="N104" s="474">
        <f>IF(V104&gt;0,'3 pr-2'!X104,0)</f>
        <v>0</v>
      </c>
      <c r="O104" s="474">
        <f>IF(V104&gt;0,'3 pr-2'!AA104,0)</f>
        <v>0</v>
      </c>
      <c r="P104" s="892">
        <f>SUM('3 pr-2'!AJ104)</f>
        <v>43526</v>
      </c>
      <c r="Q104" s="308"/>
      <c r="R104" s="291" t="str">
        <f t="shared" si="33"/>
        <v>–</v>
      </c>
      <c r="S104" s="291"/>
    </row>
    <row r="105" spans="1:19" ht="36.75" x14ac:dyDescent="0.25">
      <c r="A105" s="255" t="str">
        <f>CONCATENATE('3 pr-2'!A105)</f>
        <v>2.1.1.1.3</v>
      </c>
      <c r="B105" s="473" t="str">
        <f>CONCATENATE('ketv. 2lent'!B104)</f>
        <v xml:space="preserve">09.1.3-CPVA-R-724-11-0002 </v>
      </c>
      <c r="C105" s="255" t="str">
        <f>CONCATENATE('3 pr-2'!D105)</f>
        <v>Modernių ir saugių erdvių kūrimas Dzūkijos pagrindinėje mokykloje, Alytuje</v>
      </c>
      <c r="D105" s="255" t="str">
        <f>CONCATENATE('3 pr-2'!E105)</f>
        <v>Alytaus miesto savivaldybės administracija</v>
      </c>
      <c r="E105" s="255" t="str">
        <f>CONCATENATE('3 pr-2'!F105)</f>
        <v>Lietuvos Respublikos švietimo ir mokslo ministerija</v>
      </c>
      <c r="F105" s="255" t="str">
        <f>CONCATENATE('3 pr-2'!G105)</f>
        <v>Alytaus  miestas</v>
      </c>
      <c r="G105" s="255" t="str">
        <f>CONCATENATE('3 pr-2'!H105)</f>
        <v>09.1.3-CPVA-R-724</v>
      </c>
      <c r="H105" s="255" t="str">
        <f>CONCATENATE('3 pr-2'!I105)</f>
        <v>R</v>
      </c>
      <c r="I105" s="255" t="str">
        <f>CONCATENATE('3 pr-2'!J105)</f>
        <v>-</v>
      </c>
      <c r="J105" s="474">
        <f>IF(V105&gt;0,'3 pr-2'!L105,0)</f>
        <v>0</v>
      </c>
      <c r="K105" s="474">
        <f>IF(V105&gt;0,'3 pr-2'!O105,0)</f>
        <v>0</v>
      </c>
      <c r="L105" s="474">
        <f>IF(V105&gt;0,'3 pr-2'!R105,0)</f>
        <v>0</v>
      </c>
      <c r="M105" s="474">
        <f>IF(V105&gt;0,'3 pr-2'!U105,0)</f>
        <v>0</v>
      </c>
      <c r="N105" s="474">
        <f>IF(V105&gt;0,'3 pr-2'!X105,0)</f>
        <v>0</v>
      </c>
      <c r="O105" s="474">
        <f>IF(V105&gt;0,'3 pr-2'!AA105,0)</f>
        <v>0</v>
      </c>
      <c r="P105" s="892">
        <f>SUM('3 pr-2'!AJ105)</f>
        <v>44012</v>
      </c>
      <c r="Q105" s="307"/>
      <c r="R105" s="291" t="str">
        <f t="shared" si="33"/>
        <v>–</v>
      </c>
      <c r="S105" s="307"/>
    </row>
    <row r="106" spans="1:19" ht="36.75" x14ac:dyDescent="0.25">
      <c r="A106" s="255" t="str">
        <f>CONCATENATE('3 pr-2'!A106)</f>
        <v>2.1.1.1.4</v>
      </c>
      <c r="B106" s="473" t="str">
        <f>CONCATENATE('ketv. 2lent'!B105)</f>
        <v>09.1.3-CPVA-R-724-11-0004</v>
      </c>
      <c r="C106" s="255" t="str">
        <f>CONCATENATE('3 pr-2'!D106)</f>
        <v>Modernių ir saugių erdvių sukūrimas bendrojo ugdymo mokyklose Druskininkų sav.</v>
      </c>
      <c r="D106" s="255" t="str">
        <f>CONCATENATE('3 pr-2'!E106)</f>
        <v>Druskininkų savivaldybės administracija</v>
      </c>
      <c r="E106" s="255" t="str">
        <f>CONCATENATE('3 pr-2'!F106)</f>
        <v>Lietuvos Respublikos švietimo ir mokslo ministerija</v>
      </c>
      <c r="F106" s="255" t="str">
        <f>CONCATENATE('3 pr-2'!G106)</f>
        <v>Druskininkų savivaldybė</v>
      </c>
      <c r="G106" s="255" t="str">
        <f>CONCATENATE('3 pr-2'!H106)</f>
        <v>09.1.3-CPVA-R-724</v>
      </c>
      <c r="H106" s="255" t="str">
        <f>CONCATENATE('3 pr-2'!I106)</f>
        <v>R</v>
      </c>
      <c r="I106" s="255" t="str">
        <f>CONCATENATE('3 pr-2'!J106)</f>
        <v>-</v>
      </c>
      <c r="J106" s="474">
        <f>IF(V106&gt;0,'3 pr-2'!L106,0)</f>
        <v>0</v>
      </c>
      <c r="K106" s="474">
        <f>IF(V106&gt;0,'3 pr-2'!O106,0)</f>
        <v>0</v>
      </c>
      <c r="L106" s="474">
        <f>IF(V106&gt;0,'3 pr-2'!R106,0)</f>
        <v>0</v>
      </c>
      <c r="M106" s="474">
        <f>IF(V106&gt;0,'3 pr-2'!U106,0)</f>
        <v>0</v>
      </c>
      <c r="N106" s="474">
        <f>IF(V106&gt;0,'3 pr-2'!X106,0)</f>
        <v>0</v>
      </c>
      <c r="O106" s="474">
        <f>IF(V106&gt;0,'3 pr-2'!AA106,0)</f>
        <v>0</v>
      </c>
      <c r="P106" s="892">
        <f>SUM('3 pr-2'!AJ106)</f>
        <v>43692.333333333336</v>
      </c>
      <c r="Q106" s="308"/>
      <c r="R106" s="291" t="str">
        <f t="shared" si="33"/>
        <v>–</v>
      </c>
      <c r="S106" s="291"/>
    </row>
    <row r="107" spans="1:19" ht="37.5" thickBot="1" x14ac:dyDescent="0.3">
      <c r="A107" s="255" t="str">
        <f>CONCATENATE('3 pr-2'!A107)</f>
        <v>2.1.1.1.5</v>
      </c>
      <c r="B107" s="473" t="str">
        <f>CONCATENATE('ketv. 2lent'!B106)</f>
        <v xml:space="preserve">09.1.3-CPVA-R-724-11-0001 </v>
      </c>
      <c r="C107" s="255" t="str">
        <f>CONCATENATE('3 pr-2'!D107)</f>
        <v>Modernių ir saugių erdvių sukūrimas bendrojo ugdymo įstaigose Lazdijų rajono savivaldybėje</v>
      </c>
      <c r="D107" s="255" t="str">
        <f>CONCATENATE('3 pr-2'!E107)</f>
        <v>Lazdijų rajono savivaldybės administracija</v>
      </c>
      <c r="E107" s="255" t="str">
        <f>CONCATENATE('3 pr-2'!F107)</f>
        <v>Lietuvos Respublikos švietimo ir mokslo ministerija</v>
      </c>
      <c r="F107" s="255" t="str">
        <f>CONCATENATE('3 pr-2'!G107)</f>
        <v>Lazdijų rajono savivaldybė</v>
      </c>
      <c r="G107" s="255" t="str">
        <f>CONCATENATE('3 pr-2'!H107)</f>
        <v>09.1.3-CPVA-R-724</v>
      </c>
      <c r="H107" s="255" t="str">
        <f>CONCATENATE('3 pr-2'!I107)</f>
        <v>R</v>
      </c>
      <c r="I107" s="255" t="str">
        <f>CONCATENATE('3 pr-2'!J107)</f>
        <v>-</v>
      </c>
      <c r="J107" s="474">
        <f>IF(V107&gt;0,'3 pr-2'!L107,0)</f>
        <v>0</v>
      </c>
      <c r="K107" s="474">
        <f>IF(V107&gt;0,'3 pr-2'!O107,0)</f>
        <v>0</v>
      </c>
      <c r="L107" s="474">
        <f>IF(V107&gt;0,'3 pr-2'!R107,0)</f>
        <v>0</v>
      </c>
      <c r="M107" s="474">
        <f>IF(V107&gt;0,'3 pr-2'!U107,0)</f>
        <v>0</v>
      </c>
      <c r="N107" s="474">
        <f>IF(V107&gt;0,'3 pr-2'!X107,0)</f>
        <v>0</v>
      </c>
      <c r="O107" s="474">
        <f>IF(V107&gt;0,'3 pr-2'!AA107,0)</f>
        <v>0</v>
      </c>
      <c r="P107" s="892">
        <f>SUM('3 pr-2'!AJ107)</f>
        <v>43709</v>
      </c>
      <c r="Q107" s="308"/>
      <c r="R107" s="291" t="str">
        <f t="shared" si="33"/>
        <v>–</v>
      </c>
      <c r="S107" s="291"/>
    </row>
    <row r="108" spans="1:19" ht="39.75" customHeight="1" thickBot="1" x14ac:dyDescent="0.3">
      <c r="A108" s="497" t="str">
        <f>CONCATENATE('3 pr-2'!A108)</f>
        <v>2.1.1.2</v>
      </c>
      <c r="B108" s="613" t="str">
        <f>CONCATENATE('ketv. 2lent'!B107)</f>
        <v/>
      </c>
      <c r="C108" s="1656" t="str">
        <f>CONCATENATE('3 pr-2'!D108)</f>
        <v/>
      </c>
      <c r="D108" s="1789"/>
      <c r="E108" s="1789"/>
      <c r="F108" s="1789"/>
      <c r="G108" s="1789"/>
      <c r="H108" s="1789"/>
      <c r="I108" s="1790"/>
      <c r="J108" s="629">
        <f>SUM(J109:J113)</f>
        <v>0</v>
      </c>
      <c r="K108" s="629">
        <f t="shared" ref="K108:O108" si="34">SUM(K109:K113)</f>
        <v>0</v>
      </c>
      <c r="L108" s="629">
        <f t="shared" si="34"/>
        <v>0</v>
      </c>
      <c r="M108" s="629">
        <f t="shared" si="34"/>
        <v>0</v>
      </c>
      <c r="N108" s="629">
        <f t="shared" si="34"/>
        <v>0</v>
      </c>
      <c r="O108" s="629">
        <f t="shared" si="34"/>
        <v>0</v>
      </c>
      <c r="P108" s="629"/>
      <c r="Q108" s="629"/>
      <c r="R108" s="629"/>
      <c r="S108" s="629"/>
    </row>
    <row r="109" spans="1:19" ht="36.75" x14ac:dyDescent="0.25">
      <c r="A109" s="255" t="str">
        <f>CONCATENATE('3 pr-2'!A109)</f>
        <v>2.1.1.2.1</v>
      </c>
      <c r="B109" s="473" t="str">
        <f>CONCATENATE('ketv. 2lent'!B108)</f>
        <v>09.1.3-CPVA-R-725-11-0003</v>
      </c>
      <c r="C109" s="255" t="str">
        <f>CONCATENATE('3 pr-2'!D109)</f>
        <v>Varėnos moksleivių kūrybos centro pastato J. Basanavičiaus g. 38, Varėnoje, modernizavimas</v>
      </c>
      <c r="D109" s="255" t="str">
        <f>CONCATENATE('3 pr-2'!E109)</f>
        <v>Varėnos rajono savivaldybės administracija</v>
      </c>
      <c r="E109" s="255" t="str">
        <f>CONCATENATE('3 pr-2'!F109)</f>
        <v>Lietuvos Respublikos švietimo ir mokslo ministerija</v>
      </c>
      <c r="F109" s="255" t="str">
        <f>CONCATENATE('3 pr-2'!G109)</f>
        <v>Varėnos miestas</v>
      </c>
      <c r="G109" s="255" t="str">
        <f>CONCATENATE('3 pr-2'!H109)</f>
        <v>09.13.CPVA-R-725</v>
      </c>
      <c r="H109" s="255" t="str">
        <f>CONCATENATE('3 pr-2'!I109)</f>
        <v>R</v>
      </c>
      <c r="I109" s="255" t="str">
        <f>CONCATENATE('3 pr-2'!J109)</f>
        <v>-</v>
      </c>
      <c r="J109" s="474">
        <f>IF(V109&gt;0,'3 pr-2'!L109,0)</f>
        <v>0</v>
      </c>
      <c r="K109" s="474">
        <f>IF(V109&gt;0,'3 pr-2'!O109,0)</f>
        <v>0</v>
      </c>
      <c r="L109" s="474">
        <f>IF(V109&gt;0,'3 pr-2'!R109,0)</f>
        <v>0</v>
      </c>
      <c r="M109" s="474">
        <f>IF(V109&gt;0,'3 pr-2'!U109,0)</f>
        <v>0</v>
      </c>
      <c r="N109" s="474">
        <f>IF(V109&gt;0,'3 pr-2'!X109,0)</f>
        <v>0</v>
      </c>
      <c r="O109" s="474">
        <f>IF(V109&gt;0,'3 pr-2'!AA109,0)</f>
        <v>0</v>
      </c>
      <c r="P109" s="892">
        <f>SUM('3 pr-2'!AJ109)</f>
        <v>43845</v>
      </c>
      <c r="Q109" s="308"/>
      <c r="R109" s="291" t="str">
        <f t="shared" ref="R109:R113" si="35">IF(P109-Q109&lt;0,(P109-Q109)/365,"–")</f>
        <v>–</v>
      </c>
      <c r="S109" s="291"/>
    </row>
    <row r="110" spans="1:19" ht="36.75" x14ac:dyDescent="0.25">
      <c r="A110" s="255" t="str">
        <f>CONCATENATE('3 pr-2'!A110)</f>
        <v>2.1.1.2.2</v>
      </c>
      <c r="B110" s="473" t="str">
        <f>CONCATENATE('ketv. 2lent'!B109)</f>
        <v>09.1.3-CPVA-R-725-11-0005</v>
      </c>
      <c r="C110" s="255" t="str">
        <f>CONCATENATE('3 pr-2'!D110)</f>
        <v>Alytaus r. meno ir sporto mokyklos edukacinių erdvių įkūrimas ir atnaujinimas</v>
      </c>
      <c r="D110" s="255" t="str">
        <f>CONCATENATE('3 pr-2'!E110)</f>
        <v>Alytaus rajono savivaldybės administracija</v>
      </c>
      <c r="E110" s="255" t="str">
        <f>CONCATENATE('3 pr-2'!F110)</f>
        <v>Lietuvos Respublikos švietimo ir mokslo ministerija</v>
      </c>
      <c r="F110" s="255" t="str">
        <f>CONCATENATE('3 pr-2'!G110)</f>
        <v>Alytaus  rajono savivaldybė</v>
      </c>
      <c r="G110" s="255" t="str">
        <f>CONCATENATE('3 pr-2'!H110)</f>
        <v>09.13.CPVA-R-725</v>
      </c>
      <c r="H110" s="255" t="str">
        <f>CONCATENATE('3 pr-2'!I110)</f>
        <v>R</v>
      </c>
      <c r="I110" s="255" t="str">
        <f>CONCATENATE('3 pr-2'!J110)</f>
        <v>-</v>
      </c>
      <c r="J110" s="474">
        <f>IF(V110&gt;0,'3 pr-2'!L110,0)</f>
        <v>0</v>
      </c>
      <c r="K110" s="474">
        <f>IF(V110&gt;0,'3 pr-2'!O110,0)</f>
        <v>0</v>
      </c>
      <c r="L110" s="474">
        <f>IF(V110&gt;0,'3 pr-2'!R110,0)</f>
        <v>0</v>
      </c>
      <c r="M110" s="474">
        <f>IF(V110&gt;0,'3 pr-2'!U110,0)</f>
        <v>0</v>
      </c>
      <c r="N110" s="474">
        <f>IF(V110&gt;0,'3 pr-2'!X110,0)</f>
        <v>0</v>
      </c>
      <c r="O110" s="474">
        <f>IF(V110&gt;0,'3 pr-2'!AA110,0)</f>
        <v>0</v>
      </c>
      <c r="P110" s="892">
        <f>SUM('3 pr-2'!AJ110)</f>
        <v>43832</v>
      </c>
      <c r="Q110" s="308"/>
      <c r="R110" s="291" t="str">
        <f t="shared" si="35"/>
        <v>–</v>
      </c>
      <c r="S110" s="291"/>
    </row>
    <row r="111" spans="1:19" ht="36.75" x14ac:dyDescent="0.25">
      <c r="A111" s="255" t="str">
        <f>CONCATENATE('3 pr-2'!A111)</f>
        <v>2.1.1.2.3</v>
      </c>
      <c r="B111" s="473" t="str">
        <f>CONCATENATE('ketv. 2lent'!B110)</f>
        <v>09.1.3-CPVA-R-725-11-0004</v>
      </c>
      <c r="C111" s="255" t="str">
        <f>CONCATENATE('3 pr-2'!D111)</f>
        <v>Alytaus muzikos mokyklos pastato modernizavimas ir ugdymo aplinkos gerinimas</v>
      </c>
      <c r="D111" s="255" t="str">
        <f>CONCATENATE('3 pr-2'!E111)</f>
        <v>Alytaus miesto savivaldybės administracija</v>
      </c>
      <c r="E111" s="255" t="str">
        <f>CONCATENATE('3 pr-2'!F111)</f>
        <v>Lietuvos Respublikos švietimo ir mokslo ministerija</v>
      </c>
      <c r="F111" s="255" t="str">
        <f>CONCATENATE('3 pr-2'!G111)</f>
        <v>Alytaus  miestas</v>
      </c>
      <c r="G111" s="255" t="str">
        <f>CONCATENATE('3 pr-2'!H111)</f>
        <v>09.13.CPVA-R-725</v>
      </c>
      <c r="H111" s="255" t="str">
        <f>CONCATENATE('3 pr-2'!I111)</f>
        <v>R</v>
      </c>
      <c r="I111" s="255" t="str">
        <f>CONCATENATE('3 pr-2'!J111)</f>
        <v>-</v>
      </c>
      <c r="J111" s="474">
        <f>IF(V111&gt;0,'3 pr-2'!L111,0)</f>
        <v>0</v>
      </c>
      <c r="K111" s="474">
        <f>IF(V111&gt;0,'3 pr-2'!O111,0)</f>
        <v>0</v>
      </c>
      <c r="L111" s="474">
        <f>IF(V111&gt;0,'3 pr-2'!R111,0)</f>
        <v>0</v>
      </c>
      <c r="M111" s="474">
        <f>IF(V111&gt;0,'3 pr-2'!U111,0)</f>
        <v>0</v>
      </c>
      <c r="N111" s="474">
        <f>IF(V111&gt;0,'3 pr-2'!X111,0)</f>
        <v>0</v>
      </c>
      <c r="O111" s="474">
        <f>IF(V111&gt;0,'3 pr-2'!AA111,0)</f>
        <v>0</v>
      </c>
      <c r="P111" s="892">
        <f>SUM('3 pr-2'!AJ111)</f>
        <v>43832</v>
      </c>
      <c r="Q111" s="308"/>
      <c r="R111" s="291" t="str">
        <f t="shared" si="35"/>
        <v>–</v>
      </c>
      <c r="S111" s="291"/>
    </row>
    <row r="112" spans="1:19" ht="36.75" x14ac:dyDescent="0.25">
      <c r="A112" s="255" t="str">
        <f>CONCATENATE('3 pr-2'!A112)</f>
        <v>2.1.1.2.4</v>
      </c>
      <c r="B112" s="473" t="str">
        <f>CONCATENATE('ketv. 2lent'!B111)</f>
        <v>09.1.3-CPVA-R-725-11-0002</v>
      </c>
      <c r="C112" s="255" t="str">
        <f>CONCATENATE('3 pr-2'!D112)</f>
        <v>Druskininkų M. K. Čiurlionio meno mokyklos infrastruktūros tobulinimas</v>
      </c>
      <c r="D112" s="255" t="str">
        <f>CONCATENATE('3 pr-2'!E112)</f>
        <v xml:space="preserve">Druskininkų savivaldybės administracija  </v>
      </c>
      <c r="E112" s="255" t="str">
        <f>CONCATENATE('3 pr-2'!F112)</f>
        <v>Lietuvos Respublikos švietimo ir mokslo ministerija</v>
      </c>
      <c r="F112" s="255" t="str">
        <f>CONCATENATE('3 pr-2'!G112)</f>
        <v>Druskininkų miestas</v>
      </c>
      <c r="G112" s="255" t="str">
        <f>CONCATENATE('3 pr-2'!H112)</f>
        <v>09.13.CPVA-R-725</v>
      </c>
      <c r="H112" s="255" t="str">
        <f>CONCATENATE('3 pr-2'!I112)</f>
        <v>R</v>
      </c>
      <c r="I112" s="255" t="str">
        <f>CONCATENATE('3 pr-2'!J112)</f>
        <v>-</v>
      </c>
      <c r="J112" s="474">
        <f>IF(V112&gt;0,'3 pr-2'!L112,0)</f>
        <v>0</v>
      </c>
      <c r="K112" s="474">
        <f>IF(V112&gt;0,'3 pr-2'!O112,0)</f>
        <v>0</v>
      </c>
      <c r="L112" s="474">
        <f>IF(V112&gt;0,'3 pr-2'!R112,0)</f>
        <v>0</v>
      </c>
      <c r="M112" s="474">
        <f>IF(V112&gt;0,'3 pr-2'!U112,0)</f>
        <v>0</v>
      </c>
      <c r="N112" s="474">
        <f>IF(V112&gt;0,'3 pr-2'!X112,0)</f>
        <v>0</v>
      </c>
      <c r="O112" s="474">
        <f>IF(V112&gt;0,'3 pr-2'!AA112,0)</f>
        <v>0</v>
      </c>
      <c r="P112" s="892">
        <f>SUM('3 pr-2'!AJ112)</f>
        <v>43449</v>
      </c>
      <c r="Q112" s="308"/>
      <c r="R112" s="291" t="str">
        <f t="shared" si="35"/>
        <v>–</v>
      </c>
      <c r="S112" s="291"/>
    </row>
    <row r="113" spans="1:19" ht="37.5" thickBot="1" x14ac:dyDescent="0.3">
      <c r="A113" s="255" t="str">
        <f>CONCATENATE('3 pr-2'!A113)</f>
        <v>2.1.1.2.5</v>
      </c>
      <c r="B113" s="473" t="str">
        <f>CONCATENATE('ketv. 2lent'!B112)</f>
        <v>09.1.3-CPVA-R-725-11-0001</v>
      </c>
      <c r="C113" s="255" t="str">
        <f>CONCATENATE('3 pr-2'!D113)</f>
        <v>Neformaliojo švietimo įstaigų Lazdijų rajono savivaldybėje infrastruktūros tobulinimas</v>
      </c>
      <c r="D113" s="255" t="str">
        <f>CONCATENATE('3 pr-2'!E113)</f>
        <v>VšĮ „Lazdijų sporto centras“</v>
      </c>
      <c r="E113" s="255" t="str">
        <f>CONCATENATE('3 pr-2'!F113)</f>
        <v>Lietuvos Respublikos švietimo ir mokslo ministerija</v>
      </c>
      <c r="F113" s="255" t="str">
        <f>CONCATENATE('3 pr-2'!G113)</f>
        <v>Lazdijų rajono savivaldybė</v>
      </c>
      <c r="G113" s="255" t="str">
        <f>CONCATENATE('3 pr-2'!H113)</f>
        <v>09.13.CPVA-R-725</v>
      </c>
      <c r="H113" s="255" t="str">
        <f>CONCATENATE('3 pr-2'!I113)</f>
        <v>R</v>
      </c>
      <c r="I113" s="255" t="str">
        <f>CONCATENATE('3 pr-2'!J113)</f>
        <v>-</v>
      </c>
      <c r="J113" s="474">
        <f>IF(V113&gt;0,'3 pr-2'!L113,0)</f>
        <v>0</v>
      </c>
      <c r="K113" s="474">
        <f>IF(V113&gt;0,'3 pr-2'!O113,0)</f>
        <v>0</v>
      </c>
      <c r="L113" s="474">
        <f>IF(V113&gt;0,'3 pr-2'!R113,0)</f>
        <v>0</v>
      </c>
      <c r="M113" s="474">
        <f>IF(V113&gt;0,'3 pr-2'!U113,0)</f>
        <v>0</v>
      </c>
      <c r="N113" s="474">
        <f>IF(V113&gt;0,'3 pr-2'!X113,0)</f>
        <v>0</v>
      </c>
      <c r="O113" s="474">
        <f>IF(V113&gt;0,'3 pr-2'!AA113,0)</f>
        <v>0</v>
      </c>
      <c r="P113" s="892">
        <f>SUM('3 pr-2'!AJ113)</f>
        <v>43465.25</v>
      </c>
      <c r="Q113" s="308"/>
      <c r="R113" s="291" t="str">
        <f t="shared" si="35"/>
        <v>–</v>
      </c>
      <c r="S113" s="291"/>
    </row>
    <row r="114" spans="1:19" ht="37.5" customHeight="1" thickBot="1" x14ac:dyDescent="0.3">
      <c r="A114" s="497" t="str">
        <f>CONCATENATE('3 pr-2'!A114)</f>
        <v>2.1.1.3</v>
      </c>
      <c r="B114" s="613" t="str">
        <f>CONCATENATE('ketv. 2lent'!B113)</f>
        <v/>
      </c>
      <c r="C114" s="1656" t="str">
        <f>CONCATENATE('3 pr-2'!D114)</f>
        <v/>
      </c>
      <c r="D114" s="1789"/>
      <c r="E114" s="1789"/>
      <c r="F114" s="1789"/>
      <c r="G114" s="1789"/>
      <c r="H114" s="1789"/>
      <c r="I114" s="1790"/>
      <c r="J114" s="629">
        <f>SUM(J115:J119)</f>
        <v>0</v>
      </c>
      <c r="K114" s="629">
        <f t="shared" ref="K114:O114" si="36">SUM(K115:K119)</f>
        <v>0</v>
      </c>
      <c r="L114" s="629">
        <f t="shared" si="36"/>
        <v>0</v>
      </c>
      <c r="M114" s="629">
        <f t="shared" si="36"/>
        <v>0</v>
      </c>
      <c r="N114" s="629">
        <f t="shared" si="36"/>
        <v>0</v>
      </c>
      <c r="O114" s="629">
        <f t="shared" si="36"/>
        <v>0</v>
      </c>
      <c r="P114" s="629"/>
      <c r="Q114" s="629"/>
      <c r="R114" s="629"/>
      <c r="S114" s="629"/>
    </row>
    <row r="115" spans="1:19" ht="36.75" x14ac:dyDescent="0.25">
      <c r="A115" s="255" t="str">
        <f>CONCATENATE('3 pr-2'!A115)</f>
        <v>2.1.1.3.1</v>
      </c>
      <c r="B115" s="473" t="str">
        <f>CONCATENATE('ketv. 2lent'!B114)</f>
        <v>09.1.3-CPVA-R-705-11-0003</v>
      </c>
      <c r="C115" s="255" t="str">
        <f>CONCATENATE('3 pr-2'!D115)</f>
        <v>Varėnos "Pasakos" vaikų lopšelio-darželio pastato modernizavimas</v>
      </c>
      <c r="D115" s="255" t="str">
        <f>CONCATENATE('3 pr-2'!E115)</f>
        <v>Varėnos rajono savivaldybės administracija</v>
      </c>
      <c r="E115" s="255" t="str">
        <f>CONCATENATE('3 pr-2'!F115)</f>
        <v>Lietuvos Respublikos švietimo ir mokslo ministerija</v>
      </c>
      <c r="F115" s="255" t="str">
        <f>CONCATENATE('3 pr-2'!G115)</f>
        <v>Varėnos miestas</v>
      </c>
      <c r="G115" s="255" t="str">
        <f>CONCATENATE('3 pr-2'!H115)</f>
        <v>09.1.3-CPVA-R-705</v>
      </c>
      <c r="H115" s="255" t="str">
        <f>CONCATENATE('3 pr-2'!I115)</f>
        <v>R</v>
      </c>
      <c r="I115" s="255" t="str">
        <f>CONCATENATE('3 pr-2'!J115)</f>
        <v>-</v>
      </c>
      <c r="J115" s="474">
        <f>IF(V115&gt;0,'3 pr-2'!L115,0)</f>
        <v>0</v>
      </c>
      <c r="K115" s="474">
        <f>IF(V115&gt;0,'3 pr-2'!O115,0)</f>
        <v>0</v>
      </c>
      <c r="L115" s="474">
        <f>IF(V115&gt;0,'3 pr-2'!R115,0)</f>
        <v>0</v>
      </c>
      <c r="M115" s="474">
        <f>IF(V115&gt;0,'3 pr-2'!U115,0)</f>
        <v>0</v>
      </c>
      <c r="N115" s="474">
        <f>IF(V115&gt;0,'3 pr-2'!X115,0)</f>
        <v>0</v>
      </c>
      <c r="O115" s="474">
        <f>IF(V115&gt;0,'3 pr-2'!AA115,0)</f>
        <v>0</v>
      </c>
      <c r="P115" s="892">
        <f>SUM('3 pr-2'!AJ115)</f>
        <v>43679.5</v>
      </c>
      <c r="Q115" s="255"/>
      <c r="R115" s="291" t="str">
        <f t="shared" ref="R115:R119" si="37">IF(P115-Q115&lt;0,(P115-Q115)/365,"–")</f>
        <v>–</v>
      </c>
      <c r="S115" s="255"/>
    </row>
    <row r="116" spans="1:19" ht="36.75" x14ac:dyDescent="0.25">
      <c r="A116" s="255" t="str">
        <f>CONCATENATE('3 pr-2'!A116)</f>
        <v>2.1.1.3.2</v>
      </c>
      <c r="B116" s="473" t="str">
        <f>CONCATENATE('ketv. 2lent'!B115)</f>
        <v>09.1.3-CPVA-R-705-11-0004</v>
      </c>
      <c r="C116" s="255" t="str">
        <f>CONCATENATE('3 pr-2'!D116)</f>
        <v>Alytaus r. ikimokyklinio ir priešmokyklinio ugdymo prieinamumo didinimas įkuriant ir atnaujinant edukacines erdves</v>
      </c>
      <c r="D116" s="255" t="str">
        <f>CONCATENATE('3 pr-2'!E116)</f>
        <v>Alytaus rajono savivaldybės administracija</v>
      </c>
      <c r="E116" s="255" t="str">
        <f>CONCATENATE('3 pr-2'!F116)</f>
        <v>Lietuvos Respublikos švietimo ir mokslo ministerija</v>
      </c>
      <c r="F116" s="255" t="str">
        <f>CONCATENATE('3 pr-2'!G116)</f>
        <v>Alytaus  rajono savivaldybė</v>
      </c>
      <c r="G116" s="255" t="str">
        <f>CONCATENATE('3 pr-2'!H116)</f>
        <v>09.1.3-CPVA-R-705</v>
      </c>
      <c r="H116" s="255" t="str">
        <f>CONCATENATE('3 pr-2'!I116)</f>
        <v>R</v>
      </c>
      <c r="I116" s="255" t="str">
        <f>CONCATENATE('3 pr-2'!J116)</f>
        <v/>
      </c>
      <c r="J116" s="474">
        <f>IF(V116&gt;0,'3 pr-2'!L116,0)</f>
        <v>0</v>
      </c>
      <c r="K116" s="474">
        <f>IF(V116&gt;0,'3 pr-2'!O116,0)</f>
        <v>0</v>
      </c>
      <c r="L116" s="474">
        <f>IF(V116&gt;0,'3 pr-2'!R116,0)</f>
        <v>0</v>
      </c>
      <c r="M116" s="474">
        <f>IF(V116&gt;0,'3 pr-2'!U116,0)</f>
        <v>0</v>
      </c>
      <c r="N116" s="474">
        <f>IF(V116&gt;0,'3 pr-2'!X116,0)</f>
        <v>0</v>
      </c>
      <c r="O116" s="474">
        <f>IF(V116&gt;0,'3 pr-2'!AA116,0)</f>
        <v>0</v>
      </c>
      <c r="P116" s="892">
        <f>SUM('3 pr-2'!AJ116)</f>
        <v>43845</v>
      </c>
      <c r="Q116" s="255"/>
      <c r="R116" s="291" t="str">
        <f t="shared" si="37"/>
        <v>–</v>
      </c>
      <c r="S116" s="255"/>
    </row>
    <row r="117" spans="1:19" ht="36.75" x14ac:dyDescent="0.25">
      <c r="A117" s="255" t="str">
        <f>CONCATENATE('3 pr-2'!A117)</f>
        <v>2.1.1.3.3</v>
      </c>
      <c r="B117" s="473" t="str">
        <f>CONCATENATE('ketv. 2lent'!B116)</f>
        <v>09.1.3-CPVA-R-705-11-0001</v>
      </c>
      <c r="C117" s="255" t="str">
        <f>CONCATENATE('3 pr-2'!D117)</f>
        <v>Alytaus lopšelio-darželio " Girinukas" ugdymo aplinkos modernizavimas</v>
      </c>
      <c r="D117" s="255" t="str">
        <f>CONCATENATE('3 pr-2'!E117)</f>
        <v>Alytaus miesto savivaldybės administracija</v>
      </c>
      <c r="E117" s="255" t="str">
        <f>CONCATENATE('3 pr-2'!F117)</f>
        <v>Lietuvos Respublikos švietimo ir mokslo ministerija</v>
      </c>
      <c r="F117" s="255" t="str">
        <f>CONCATENATE('3 pr-2'!G117)</f>
        <v>Alytaus  miestas</v>
      </c>
      <c r="G117" s="255" t="str">
        <f>CONCATENATE('3 pr-2'!H117)</f>
        <v>09.1.3-CPVA-R-705</v>
      </c>
      <c r="H117" s="255" t="str">
        <f>CONCATENATE('3 pr-2'!I117)</f>
        <v>R</v>
      </c>
      <c r="I117" s="255" t="str">
        <f>CONCATENATE('3 pr-2'!J117)</f>
        <v>-</v>
      </c>
      <c r="J117" s="474">
        <f>IF(V117&gt;0,'3 pr-2'!L117,0)</f>
        <v>0</v>
      </c>
      <c r="K117" s="474">
        <f>IF(V117&gt;0,'3 pr-2'!O117,0)</f>
        <v>0</v>
      </c>
      <c r="L117" s="474">
        <f>IF(V117&gt;0,'3 pr-2'!R117,0)</f>
        <v>0</v>
      </c>
      <c r="M117" s="474">
        <f>IF(V117&gt;0,'3 pr-2'!U117,0)</f>
        <v>0</v>
      </c>
      <c r="N117" s="474">
        <f>IF(V117&gt;0,'3 pr-2'!X117,0)</f>
        <v>0</v>
      </c>
      <c r="O117" s="474">
        <f>IF(V117&gt;0,'3 pr-2'!AA117,0)</f>
        <v>0</v>
      </c>
      <c r="P117" s="892">
        <f>SUM('3 pr-2'!AJ117)</f>
        <v>43739.5</v>
      </c>
      <c r="Q117" s="255"/>
      <c r="R117" s="291" t="str">
        <f t="shared" si="37"/>
        <v>–</v>
      </c>
      <c r="S117" s="255"/>
    </row>
    <row r="118" spans="1:19" ht="36.75" x14ac:dyDescent="0.25">
      <c r="A118" s="255" t="str">
        <f>CONCATENATE('3 pr-2'!A118)</f>
        <v>2.1.1.3.4</v>
      </c>
      <c r="B118" s="473" t="str">
        <f>CONCATENATE('ketv. 2lent'!B117)</f>
        <v>09.1.3-CPVA-R-705-11-0005</v>
      </c>
      <c r="C118" s="255" t="str">
        <f>CONCATENATE('3 pr-2'!D118)</f>
        <v>Druskininkų sav. Viečiūnų progimnazijos ikimokyklinio ugdymo skyriaus „Linelis“ ugdymo prieinamumo didinimas</v>
      </c>
      <c r="D118" s="255" t="str">
        <f>CONCATENATE('3 pr-2'!E118)</f>
        <v xml:space="preserve">Druskininkų savivaldybės administracija  </v>
      </c>
      <c r="E118" s="255" t="str">
        <f>CONCATENATE('3 pr-2'!F118)</f>
        <v>Lietuvos Respublikos švietimo ir mokslo ministerija</v>
      </c>
      <c r="F118" s="255" t="str">
        <f>CONCATENATE('3 pr-2'!G118)</f>
        <v>Druskininkų savivaldybė</v>
      </c>
      <c r="G118" s="255" t="str">
        <f>CONCATENATE('3 pr-2'!H118)</f>
        <v>09.1.3-CPVA-R-705</v>
      </c>
      <c r="H118" s="255" t="str">
        <f>CONCATENATE('3 pr-2'!I118)</f>
        <v>R</v>
      </c>
      <c r="I118" s="255" t="str">
        <f>CONCATENATE('3 pr-2'!J118)</f>
        <v>-</v>
      </c>
      <c r="J118" s="474">
        <f>IF(V118&gt;0,'3 pr-2'!L118,0)</f>
        <v>0</v>
      </c>
      <c r="K118" s="474">
        <f>IF(V118&gt;0,'3 pr-2'!O118,0)</f>
        <v>0</v>
      </c>
      <c r="L118" s="474">
        <f>IF(V118&gt;0,'3 pr-2'!R118,0)</f>
        <v>0</v>
      </c>
      <c r="M118" s="474">
        <f>IF(V118&gt;0,'3 pr-2'!U118,0)</f>
        <v>0</v>
      </c>
      <c r="N118" s="474">
        <f>IF(V118&gt;0,'3 pr-2'!X118,0)</f>
        <v>0</v>
      </c>
      <c r="O118" s="474">
        <f>IF(V118&gt;0,'3 pr-2'!AA118,0)</f>
        <v>0</v>
      </c>
      <c r="P118" s="892">
        <f>SUM('3 pr-2'!AJ118)</f>
        <v>43707</v>
      </c>
      <c r="Q118" s="255"/>
      <c r="R118" s="291" t="str">
        <f t="shared" si="37"/>
        <v>–</v>
      </c>
      <c r="S118" s="255"/>
    </row>
    <row r="119" spans="1:19" ht="36.75" x14ac:dyDescent="0.25">
      <c r="A119" s="255" t="str">
        <f>CONCATENATE('3 pr-2'!A119)</f>
        <v>2.1.1.3.5</v>
      </c>
      <c r="B119" s="473" t="str">
        <f>CONCATENATE('ketv. 2lent'!B118)</f>
        <v>09.1.3-CPVA-R-705-11-0002</v>
      </c>
      <c r="C119" s="255" t="str">
        <f>CONCATENATE('3 pr-2'!D119)</f>
        <v>Ikimokyklinio ir priešmokyklinio ugdymo įstaigų Lazdijų rajono savivaldybėje modernizavimas</v>
      </c>
      <c r="D119" s="255" t="str">
        <f>CONCATENATE('3 pr-2'!E119)</f>
        <v>Lazdijų rajono savivaldybės administracija</v>
      </c>
      <c r="E119" s="255" t="str">
        <f>CONCATENATE('3 pr-2'!F119)</f>
        <v>Lietuvos Respublikos švietimo ir mokslo ministerija</v>
      </c>
      <c r="F119" s="255" t="str">
        <f>CONCATENATE('3 pr-2'!G119)</f>
        <v>Lazdijų rajono savivaldybė</v>
      </c>
      <c r="G119" s="255" t="str">
        <f>CONCATENATE('3 pr-2'!H119)</f>
        <v>09.1.3-CPVA-R-705</v>
      </c>
      <c r="H119" s="255" t="str">
        <f>CONCATENATE('3 pr-2'!I119)</f>
        <v>R</v>
      </c>
      <c r="I119" s="255" t="str">
        <f>CONCATENATE('3 pr-2'!J119)</f>
        <v>-</v>
      </c>
      <c r="J119" s="474">
        <f>IF(V119&gt;0,'3 pr-2'!L119,0)</f>
        <v>0</v>
      </c>
      <c r="K119" s="474">
        <f>IF(V119&gt;0,'3 pr-2'!O119,0)</f>
        <v>0</v>
      </c>
      <c r="L119" s="474">
        <f>IF(V119&gt;0,'3 pr-2'!R119,0)</f>
        <v>0</v>
      </c>
      <c r="M119" s="474">
        <f>IF(V119&gt;0,'3 pr-2'!U119,0)</f>
        <v>0</v>
      </c>
      <c r="N119" s="474">
        <f>IF(V119&gt;0,'3 pr-2'!X119,0)</f>
        <v>0</v>
      </c>
      <c r="O119" s="474">
        <f>IF(V119&gt;0,'3 pr-2'!AA119,0)</f>
        <v>0</v>
      </c>
      <c r="P119" s="892">
        <f>SUM('3 pr-2'!AJ119)</f>
        <v>43739.5</v>
      </c>
      <c r="Q119" s="255"/>
      <c r="R119" s="291" t="str">
        <f t="shared" si="37"/>
        <v>–</v>
      </c>
      <c r="S119" s="255"/>
    </row>
    <row r="120" spans="1:19" ht="53.25" customHeight="1" thickBot="1" x14ac:dyDescent="0.3">
      <c r="A120" s="220" t="str">
        <f>CONCATENATE('3 pr-2'!A120)</f>
        <v>2.1.2.</v>
      </c>
      <c r="B120" s="471" t="str">
        <f>CONCATENATE('ketv. 2lent'!B119)</f>
        <v/>
      </c>
      <c r="C120" s="1821" t="str">
        <f>CONCATENATE('3 pr-2'!D120)</f>
        <v/>
      </c>
      <c r="D120" s="1822"/>
      <c r="E120" s="1822"/>
      <c r="F120" s="1822"/>
      <c r="G120" s="1822"/>
      <c r="H120" s="1822"/>
      <c r="I120" s="1822"/>
      <c r="J120" s="445">
        <f t="shared" ref="J120:O120" si="38">SUM(J121+J134+J140)</f>
        <v>0</v>
      </c>
      <c r="K120" s="445">
        <f t="shared" si="38"/>
        <v>0</v>
      </c>
      <c r="L120" s="445">
        <f t="shared" si="38"/>
        <v>0</v>
      </c>
      <c r="M120" s="445">
        <f t="shared" si="38"/>
        <v>0</v>
      </c>
      <c r="N120" s="445">
        <f t="shared" si="38"/>
        <v>0</v>
      </c>
      <c r="O120" s="445">
        <f t="shared" si="38"/>
        <v>0</v>
      </c>
      <c r="P120" s="446"/>
      <c r="Q120" s="447"/>
      <c r="R120" s="448"/>
      <c r="S120" s="448"/>
    </row>
    <row r="121" spans="1:19" ht="30" customHeight="1" thickBot="1" x14ac:dyDescent="0.3">
      <c r="A121" s="497" t="str">
        <f>CONCATENATE('3 pr-2'!A121)</f>
        <v>2.1.2.1</v>
      </c>
      <c r="B121" s="613" t="str">
        <f>CONCATENATE('ketv. 2lent'!B120)</f>
        <v/>
      </c>
      <c r="C121" s="1656" t="str">
        <f>CONCATENATE('3 pr-2'!D121)</f>
        <v/>
      </c>
      <c r="D121" s="1789"/>
      <c r="E121" s="1789"/>
      <c r="F121" s="1789"/>
      <c r="G121" s="1789"/>
      <c r="H121" s="1789"/>
      <c r="I121" s="1790"/>
      <c r="J121" s="629">
        <f>SUM(J122:J129)</f>
        <v>0</v>
      </c>
      <c r="K121" s="629">
        <f t="shared" ref="K121:O121" si="39">SUM(K122:K129)</f>
        <v>0</v>
      </c>
      <c r="L121" s="629">
        <f t="shared" si="39"/>
        <v>0</v>
      </c>
      <c r="M121" s="629">
        <f t="shared" si="39"/>
        <v>0</v>
      </c>
      <c r="N121" s="629">
        <f t="shared" si="39"/>
        <v>0</v>
      </c>
      <c r="O121" s="629">
        <f t="shared" si="39"/>
        <v>0</v>
      </c>
      <c r="P121" s="629">
        <f>SUM('3 pr-2'!AJ121)</f>
        <v>0</v>
      </c>
      <c r="Q121" s="629"/>
      <c r="R121" s="629"/>
      <c r="S121" s="629"/>
    </row>
    <row r="122" spans="1:19" ht="36.75" x14ac:dyDescent="0.25">
      <c r="A122" s="255" t="str">
        <f>CONCATENATE('3 pr-2'!A122)</f>
        <v>2.1.2.1.1</v>
      </c>
      <c r="B122" s="473" t="str">
        <f>CONCATENATE('ketv. 2lent'!B121)</f>
        <v/>
      </c>
      <c r="C122" s="255" t="str">
        <f>CONCATENATE('3 pr-2'!D122)</f>
        <v xml:space="preserve">Alytaus poliklinikos teikiamų pirminės sveikatos priežiūros paslaugų prieinamumo didinimas ir kokybės gerinimas </v>
      </c>
      <c r="D122" s="255" t="str">
        <f>CONCATENATE('3 pr-2'!E122)</f>
        <v>VšĮ Alytaus poliklinika</v>
      </c>
      <c r="E122" s="255" t="str">
        <f>CONCATENATE('3 pr-2'!F122)</f>
        <v>Lietuvos Respublikos Sveikatos apsaugos ministerija</v>
      </c>
      <c r="F122" s="255" t="str">
        <f>CONCATENATE('3 pr-2'!G122)</f>
        <v>Alytaus  miestas</v>
      </c>
      <c r="G122" s="255" t="str">
        <f>CONCATENATE('3 pr-2'!H122)</f>
        <v>08.1.3-CPVA-R-609</v>
      </c>
      <c r="H122" s="255" t="str">
        <f>CONCATENATE('3 pr-2'!I122)</f>
        <v>R</v>
      </c>
      <c r="I122" s="255" t="str">
        <f>CONCATENATE('3 pr-2'!J122)</f>
        <v>-</v>
      </c>
      <c r="J122" s="474">
        <f>IF(V122&gt;0,'3 pr-2'!L122,0)</f>
        <v>0</v>
      </c>
      <c r="K122" s="474">
        <f>IF(V122&gt;0,'3 pr-2'!O122,0)</f>
        <v>0</v>
      </c>
      <c r="L122" s="474">
        <f>IF(V122&gt;0,'3 pr-2'!R122,0)</f>
        <v>0</v>
      </c>
      <c r="M122" s="474">
        <f>IF(V122&gt;0,'3 pr-2'!U122,0)</f>
        <v>0</v>
      </c>
      <c r="N122" s="474">
        <f>IF(V122&gt;0,'3 pr-2'!X122,0)</f>
        <v>0</v>
      </c>
      <c r="O122" s="474">
        <f>IF(V122&gt;0,'3 pr-2'!AA122,0)</f>
        <v>0</v>
      </c>
      <c r="P122" s="892">
        <f>SUM('3 pr-2'!AJ122)</f>
        <v>44367</v>
      </c>
      <c r="Q122" s="289"/>
      <c r="R122" s="291" t="str">
        <f t="shared" ref="R122:R145" si="40">IF(P122-Q122&lt;0,(P122-Q122)/365,"–")</f>
        <v>–</v>
      </c>
      <c r="S122" s="291"/>
    </row>
    <row r="123" spans="1:19" ht="48.75" x14ac:dyDescent="0.25">
      <c r="A123" s="255" t="str">
        <f>CONCATENATE('3 pr-2'!A123)</f>
        <v>2.1.2.1.2</v>
      </c>
      <c r="B123" s="473" t="str">
        <f>CONCATENATE('ketv. 2lent'!B122)</f>
        <v/>
      </c>
      <c r="C123" s="255" t="str">
        <f>CONCATENATE('3 pr-2'!D123)</f>
        <v>Sveikatos priežiūros paslaugų modernizavimas bei optimizavimas pirminės sveikatos priežiūros centre</v>
      </c>
      <c r="D123" s="255" t="str">
        <f>CONCATENATE('3 pr-2'!E123)</f>
        <v xml:space="preserve">VšĮ Alytaus miesto savivaldybės pirminės sveikatos priežiūros centras </v>
      </c>
      <c r="E123" s="255" t="str">
        <f>CONCATENATE('3 pr-2'!F123)</f>
        <v>Lietuvos Respublikos Sveikatos apsaugos ministerija</v>
      </c>
      <c r="F123" s="255" t="str">
        <f>CONCATENATE('3 pr-2'!G123)</f>
        <v>Alytaus  miestas</v>
      </c>
      <c r="G123" s="255" t="str">
        <f>CONCATENATE('3 pr-2'!H123)</f>
        <v>08.1.3-CPVA-R-609</v>
      </c>
      <c r="H123" s="255" t="str">
        <f>CONCATENATE('3 pr-2'!I123)</f>
        <v>R</v>
      </c>
      <c r="I123" s="255" t="str">
        <f>CONCATENATE('3 pr-2'!J123)</f>
        <v>-</v>
      </c>
      <c r="J123" s="474">
        <f>IF(V123&gt;0,'3 pr-2'!L123,0)</f>
        <v>0</v>
      </c>
      <c r="K123" s="474">
        <f>IF(V123&gt;0,'3 pr-2'!O123,0)</f>
        <v>0</v>
      </c>
      <c r="L123" s="474">
        <f>IF(V123&gt;0,'3 pr-2'!R123,0)</f>
        <v>0</v>
      </c>
      <c r="M123" s="474">
        <f>IF(V123&gt;0,'3 pr-2'!U123,0)</f>
        <v>0</v>
      </c>
      <c r="N123" s="474">
        <f>IF(V123&gt;0,'3 pr-2'!X123,0)</f>
        <v>0</v>
      </c>
      <c r="O123" s="474">
        <f>IF(V123&gt;0,'3 pr-2'!AA123,0)</f>
        <v>0</v>
      </c>
      <c r="P123" s="892">
        <f>SUM('3 pr-2'!AJ123)</f>
        <v>44196</v>
      </c>
      <c r="Q123" s="289"/>
      <c r="R123" s="291" t="str">
        <f t="shared" si="40"/>
        <v>–</v>
      </c>
      <c r="S123" s="291"/>
    </row>
    <row r="124" spans="1:19" ht="36.75" x14ac:dyDescent="0.25">
      <c r="A124" s="255" t="str">
        <f>CONCATENATE('3 pr-2'!A124)</f>
        <v>2.1.2.1.3</v>
      </c>
      <c r="B124" s="473" t="str">
        <f>CONCATENATE('ketv. 2lent'!B123)</f>
        <v/>
      </c>
      <c r="C124" s="255" t="str">
        <f>CONCATENATE('3 pr-2'!D124)</f>
        <v>UAB „MediCA klinika“ teikiamų pirminės asmens sveikatos priežiūros paslaugų efektyvumo didinimas Alytaus miesto savivaldybėje</v>
      </c>
      <c r="D124" s="255" t="str">
        <f>CONCATENATE('3 pr-2'!E124)</f>
        <v>UAB „MediCA klinika“</v>
      </c>
      <c r="E124" s="255" t="str">
        <f>CONCATENATE('3 pr-2'!F124)</f>
        <v>Lietuvos Respublikos Sveikatos apsaugos ministerija</v>
      </c>
      <c r="F124" s="255" t="str">
        <f>CONCATENATE('3 pr-2'!G124)</f>
        <v>Alytaus  miestas</v>
      </c>
      <c r="G124" s="255" t="str">
        <f>CONCATENATE('3 pr-2'!H124)</f>
        <v>08.1.3-CPVA-R-609</v>
      </c>
      <c r="H124" s="255" t="str">
        <f>CONCATENATE('3 pr-2'!I124)</f>
        <v>R</v>
      </c>
      <c r="I124" s="255" t="str">
        <f>CONCATENATE('3 pr-2'!J124)</f>
        <v>-</v>
      </c>
      <c r="J124" s="474">
        <f>IF(V124&gt;0,'3 pr-2'!L124,0)</f>
        <v>0</v>
      </c>
      <c r="K124" s="474">
        <f>IF(V124&gt;0,'3 pr-2'!O124,0)</f>
        <v>0</v>
      </c>
      <c r="L124" s="474">
        <f>IF(V124&gt;0,'3 pr-2'!R124,0)</f>
        <v>0</v>
      </c>
      <c r="M124" s="474">
        <f>IF(V124&gt;0,'3 pr-2'!U124,0)</f>
        <v>0</v>
      </c>
      <c r="N124" s="474">
        <f>IF(V124&gt;0,'3 pr-2'!X124,0)</f>
        <v>0</v>
      </c>
      <c r="O124" s="474">
        <f>IF(V124&gt;0,'3 pr-2'!AA124,0)</f>
        <v>0</v>
      </c>
      <c r="P124" s="892">
        <f>SUM('3 pr-2'!AJ124)</f>
        <v>44196</v>
      </c>
      <c r="Q124" s="289"/>
      <c r="R124" s="291" t="str">
        <f t="shared" si="40"/>
        <v>–</v>
      </c>
      <c r="S124" s="291"/>
    </row>
    <row r="125" spans="1:19" ht="36.75" x14ac:dyDescent="0.25">
      <c r="A125" s="255" t="str">
        <f>CONCATENATE('3 pr-2'!A125)</f>
        <v>2.1.2.1.4</v>
      </c>
      <c r="B125" s="473" t="str">
        <f>CONCATENATE('ketv. 2lent'!B124)</f>
        <v/>
      </c>
      <c r="C125" s="255" t="str">
        <f>CONCATENATE('3 pr-2'!D125)</f>
        <v>UAB "Pagalba ligoniui" teikiamų paslaugų efektyvumo didinimas</v>
      </c>
      <c r="D125" s="255" t="str">
        <f>CONCATENATE('3 pr-2'!E125)</f>
        <v>UAB „Pagalba ligoniui“, Alytaus filialas</v>
      </c>
      <c r="E125" s="255" t="str">
        <f>CONCATENATE('3 pr-2'!F125)</f>
        <v>Lietuvos Respublikos Sveikatos apsaugos ministerija</v>
      </c>
      <c r="F125" s="255" t="str">
        <f>CONCATENATE('3 pr-2'!G125)</f>
        <v>Alytaus  miestas</v>
      </c>
      <c r="G125" s="255" t="str">
        <f>CONCATENATE('3 pr-2'!H125)</f>
        <v>08.1.3-CPVA-R-609</v>
      </c>
      <c r="H125" s="255" t="str">
        <f>CONCATENATE('3 pr-2'!I125)</f>
        <v>R</v>
      </c>
      <c r="I125" s="255" t="str">
        <f>CONCATENATE('3 pr-2'!J125)</f>
        <v>-</v>
      </c>
      <c r="J125" s="474">
        <f>IF(V125&gt;0,'3 pr-2'!L125,0)</f>
        <v>0</v>
      </c>
      <c r="K125" s="474">
        <f>IF(V125&gt;0,'3 pr-2'!O125,0)</f>
        <v>0</v>
      </c>
      <c r="L125" s="474">
        <f>IF(V125&gt;0,'3 pr-2'!R125,0)</f>
        <v>0</v>
      </c>
      <c r="M125" s="474">
        <f>IF(V125&gt;0,'3 pr-2'!U125,0)</f>
        <v>0</v>
      </c>
      <c r="N125" s="474">
        <f>IF(V125&gt;0,'3 pr-2'!X125,0)</f>
        <v>0</v>
      </c>
      <c r="O125" s="474">
        <f>IF(V125&gt;0,'3 pr-2'!AA125,0)</f>
        <v>0</v>
      </c>
      <c r="P125" s="892">
        <f>SUM('3 pr-2'!AJ125)</f>
        <v>44561</v>
      </c>
      <c r="Q125" s="289"/>
      <c r="R125" s="291" t="str">
        <f t="shared" si="40"/>
        <v>–</v>
      </c>
      <c r="S125" s="291"/>
    </row>
    <row r="126" spans="1:19" ht="48.75" x14ac:dyDescent="0.25">
      <c r="A126" s="255" t="str">
        <f>CONCATENATE('3 pr-2'!A126)</f>
        <v>2.1.2.1.5</v>
      </c>
      <c r="B126" s="473" t="str">
        <f>CONCATENATE('ketv. 2lent'!B125)</f>
        <v/>
      </c>
      <c r="C126" s="255" t="str">
        <f>CONCATENATE('3 pr-2'!D126)</f>
        <v>Pirminės asmens sveikatos priežiūros veiklos efektyvumo didinimas Alytaus rajono savivaldybėje</v>
      </c>
      <c r="D126" s="255" t="str">
        <f>CONCATENATE('3 pr-2'!E126)</f>
        <v>VšĮ Alytaus rajono savivaldybės pirminės sveikatos priežiūros centras</v>
      </c>
      <c r="E126" s="255" t="str">
        <f>CONCATENATE('3 pr-2'!F126)</f>
        <v>Lietuvos Respublikos Sveikatos apsaugos ministerija</v>
      </c>
      <c r="F126" s="255" t="str">
        <f>CONCATENATE('3 pr-2'!G126)</f>
        <v>Alytaus rajonas</v>
      </c>
      <c r="G126" s="255" t="str">
        <f>CONCATENATE('3 pr-2'!H126)</f>
        <v>08.1.3-CPVA-R-609</v>
      </c>
      <c r="H126" s="255" t="str">
        <f>CONCATENATE('3 pr-2'!I126)</f>
        <v>R</v>
      </c>
      <c r="I126" s="255" t="str">
        <f>CONCATENATE('3 pr-2'!J126)</f>
        <v>-</v>
      </c>
      <c r="J126" s="474">
        <f>IF(V126&gt;0,'3 pr-2'!L126,0)</f>
        <v>0</v>
      </c>
      <c r="K126" s="474">
        <f>IF(V126&gt;0,'3 pr-2'!O126,0)</f>
        <v>0</v>
      </c>
      <c r="L126" s="474">
        <f>IF(V126&gt;0,'3 pr-2'!R126,0)</f>
        <v>0</v>
      </c>
      <c r="M126" s="474">
        <f>IF(V126&gt;0,'3 pr-2'!U126,0)</f>
        <v>0</v>
      </c>
      <c r="N126" s="474">
        <f>IF(V126&gt;0,'3 pr-2'!X126,0)</f>
        <v>0</v>
      </c>
      <c r="O126" s="474">
        <f>IF(V126&gt;0,'3 pr-2'!AA126,0)</f>
        <v>0</v>
      </c>
      <c r="P126" s="892">
        <f>SUM('3 pr-2'!AJ126)</f>
        <v>44134</v>
      </c>
      <c r="Q126" s="289"/>
      <c r="R126" s="291" t="str">
        <f t="shared" si="40"/>
        <v>–</v>
      </c>
      <c r="S126" s="291"/>
    </row>
    <row r="127" spans="1:19" ht="36.75" x14ac:dyDescent="0.25">
      <c r="A127" s="255" t="str">
        <f>CONCATENATE('3 pr-2'!A127)</f>
        <v>2.1.2.1.6</v>
      </c>
      <c r="B127" s="473" t="str">
        <f>CONCATENATE('ketv. 2lent'!B126)</f>
        <v/>
      </c>
      <c r="C127" s="255" t="str">
        <f>CONCATENATE('3 pr-2'!D127)</f>
        <v>Sveikatos priežiūros paslaugų gerinimas "UAB "Disolis"</v>
      </c>
      <c r="D127" s="255" t="str">
        <f>CONCATENATE('3 pr-2'!E127)</f>
        <v>UAB „Disolis“</v>
      </c>
      <c r="E127" s="255" t="str">
        <f>CONCATENATE('3 pr-2'!F127)</f>
        <v>Lietuvos Respublikos Sveikatos apsaugos ministerija</v>
      </c>
      <c r="F127" s="255" t="str">
        <f>CONCATENATE('3 pr-2'!G127)</f>
        <v>Alytaus rajonas</v>
      </c>
      <c r="G127" s="255" t="str">
        <f>CONCATENATE('3 pr-2'!H127)</f>
        <v>08.1.3-CPVA-R-609</v>
      </c>
      <c r="H127" s="255" t="str">
        <f>CONCATENATE('3 pr-2'!I127)</f>
        <v>R</v>
      </c>
      <c r="I127" s="255" t="str">
        <f>CONCATENATE('3 pr-2'!J127)</f>
        <v>-</v>
      </c>
      <c r="J127" s="474">
        <f>IF(V127&gt;0,'3 pr-2'!L127,0)</f>
        <v>0</v>
      </c>
      <c r="K127" s="474">
        <f>IF(V127&gt;0,'3 pr-2'!O127,0)</f>
        <v>0</v>
      </c>
      <c r="L127" s="474">
        <f>IF(V127&gt;0,'3 pr-2'!R127,0)</f>
        <v>0</v>
      </c>
      <c r="M127" s="474">
        <f>IF(V127&gt;0,'3 pr-2'!U127,0)</f>
        <v>0</v>
      </c>
      <c r="N127" s="474">
        <f>IF(V127&gt;0,'3 pr-2'!X127,0)</f>
        <v>0</v>
      </c>
      <c r="O127" s="474">
        <f>IF(V127&gt;0,'3 pr-2'!AA127,0)</f>
        <v>0</v>
      </c>
      <c r="P127" s="892">
        <f>SUM('3 pr-2'!AJ127)</f>
        <v>43830</v>
      </c>
      <c r="Q127" s="289"/>
      <c r="R127" s="291" t="str">
        <f t="shared" si="40"/>
        <v>–</v>
      </c>
      <c r="S127" s="291"/>
    </row>
    <row r="128" spans="1:19" ht="36.75" x14ac:dyDescent="0.25">
      <c r="A128" s="255" t="str">
        <f>CONCATENATE('3 pr-2'!A128)</f>
        <v>2.1.2.1.7</v>
      </c>
      <c r="B128" s="473" t="str">
        <f>CONCATENATE('ketv. 2lent'!B127)</f>
        <v/>
      </c>
      <c r="C128" s="255" t="str">
        <f>CONCATENATE('3 pr-2'!D128)</f>
        <v>Pirminės asmens sveikatos priežiūros kokybės ir prieinamumo gerinimas Druskininkų savivaldybėje</v>
      </c>
      <c r="D128" s="255" t="str">
        <f>CONCATENATE('3 pr-2'!E128)</f>
        <v>VšĮ Druskininkų pirminės sveikatos priežiūros centras</v>
      </c>
      <c r="E128" s="255" t="str">
        <f>CONCATENATE('3 pr-2'!F128)</f>
        <v>Lietuvos Respublikos Sveikatos apsaugos ministerija</v>
      </c>
      <c r="F128" s="255" t="str">
        <f>CONCATENATE('3 pr-2'!G128)</f>
        <v>Druskininkų sav.</v>
      </c>
      <c r="G128" s="255" t="str">
        <f>CONCATENATE('3 pr-2'!H128)</f>
        <v>08.1.3-CPVA-R-609</v>
      </c>
      <c r="H128" s="255" t="str">
        <f>CONCATENATE('3 pr-2'!I128)</f>
        <v>R</v>
      </c>
      <c r="I128" s="255" t="str">
        <f>CONCATENATE('3 pr-2'!J128)</f>
        <v>-</v>
      </c>
      <c r="J128" s="474">
        <f>IF(V128&gt;0,'3 pr-2'!L128,0)</f>
        <v>0</v>
      </c>
      <c r="K128" s="474">
        <f>IF(V128&gt;0,'3 pr-2'!O128,0)</f>
        <v>0</v>
      </c>
      <c r="L128" s="474">
        <f>IF(V128&gt;0,'3 pr-2'!R128,0)</f>
        <v>0</v>
      </c>
      <c r="M128" s="474">
        <f>IF(V128&gt;0,'3 pr-2'!U128,0)</f>
        <v>0</v>
      </c>
      <c r="N128" s="474">
        <f>IF(V128&gt;0,'3 pr-2'!X128,0)</f>
        <v>0</v>
      </c>
      <c r="O128" s="474">
        <f>IF(V128&gt;0,'3 pr-2'!AA128,0)</f>
        <v>0</v>
      </c>
      <c r="P128" s="892">
        <f>SUM('3 pr-2'!AJ128)</f>
        <v>44196</v>
      </c>
      <c r="Q128" s="289"/>
      <c r="R128" s="291" t="str">
        <f t="shared" si="40"/>
        <v>–</v>
      </c>
      <c r="S128" s="291"/>
    </row>
    <row r="129" spans="1:19" ht="36.75" x14ac:dyDescent="0.25">
      <c r="A129" s="255" t="str">
        <f>CONCATENATE('3 pr-2'!A129)</f>
        <v>2.1.2.1.8</v>
      </c>
      <c r="B129" s="473" t="str">
        <f>CONCATENATE('ketv. 2lent'!B128)</f>
        <v/>
      </c>
      <c r="C129" s="255" t="str">
        <f>CONCATENATE('3 pr-2'!D129)</f>
        <v>UAB "Druskininkų šeimos klinika" asmens sveikatos priežiūros paslaugų prieinamumo ir efektyvumo didinimas</v>
      </c>
      <c r="D129" s="255" t="str">
        <f>CONCATENATE('3 pr-2'!E129)</f>
        <v>UAB „Druskininkų šeimos klinika“</v>
      </c>
      <c r="E129" s="255" t="str">
        <f>CONCATENATE('3 pr-2'!F129)</f>
        <v>Lietuvos Respublikos Sveikatos apsaugos ministerija</v>
      </c>
      <c r="F129" s="255" t="str">
        <f>CONCATENATE('3 pr-2'!G129)</f>
        <v>Druskininkų sav.</v>
      </c>
      <c r="G129" s="255" t="str">
        <f>CONCATENATE('3 pr-2'!H129)</f>
        <v>08.1.3-CPVA-R-609</v>
      </c>
      <c r="H129" s="255" t="str">
        <f>CONCATENATE('3 pr-2'!I129)</f>
        <v>R</v>
      </c>
      <c r="I129" s="255" t="str">
        <f>CONCATENATE('3 pr-2'!J129)</f>
        <v>-</v>
      </c>
      <c r="J129" s="474">
        <f>IF(V129&gt;0,'3 pr-2'!L129,0)</f>
        <v>0</v>
      </c>
      <c r="K129" s="474">
        <f>IF(V129&gt;0,'3 pr-2'!O129,0)</f>
        <v>0</v>
      </c>
      <c r="L129" s="474">
        <f>IF(V129&gt;0,'3 pr-2'!R129,0)</f>
        <v>0</v>
      </c>
      <c r="M129" s="474">
        <f>IF(V129&gt;0,'3 pr-2'!U129,0)</f>
        <v>0</v>
      </c>
      <c r="N129" s="474">
        <f>IF(V129&gt;0,'3 pr-2'!X129,0)</f>
        <v>0</v>
      </c>
      <c r="O129" s="474">
        <f>IF(V129&gt;0,'3 pr-2'!AA129,0)</f>
        <v>0</v>
      </c>
      <c r="P129" s="892">
        <f>SUM('3 pr-2'!AJ129)</f>
        <v>43922</v>
      </c>
      <c r="Q129" s="289"/>
      <c r="R129" s="291" t="str">
        <f t="shared" si="40"/>
        <v>–</v>
      </c>
      <c r="S129" s="291"/>
    </row>
    <row r="130" spans="1:19" ht="36.75" x14ac:dyDescent="0.25">
      <c r="A130" s="255" t="str">
        <f>CONCATENATE('3 pr-2'!A130)</f>
        <v>2.1.2.1.9</v>
      </c>
      <c r="B130" s="473" t="str">
        <f>CONCATENATE('ketv. 2lent'!B129)</f>
        <v/>
      </c>
      <c r="C130" s="255" t="str">
        <f>CONCATENATE('3 pr-2'!D130)</f>
        <v>I. S. Kavaliauskienės įmonės teikiamų pirminės ambulatorinės asmens sveikatos priežiūros paslaugų kokybės ir prieinamumo gerinimas.</v>
      </c>
      <c r="D130" s="255" t="str">
        <f>CONCATENATE('3 pr-2'!E130)</f>
        <v>Irenos Stanislavos Kavaliauskienės įmonė</v>
      </c>
      <c r="E130" s="255" t="str">
        <f>CONCATENATE('3 pr-2'!F130)</f>
        <v>Lietuvos Respublikos Sveikatos apsaugos ministerija</v>
      </c>
      <c r="F130" s="255" t="str">
        <f>CONCATENATE('3 pr-2'!G130)</f>
        <v>Druskininkų sav.</v>
      </c>
      <c r="G130" s="255" t="str">
        <f>CONCATENATE('3 pr-2'!H130)</f>
        <v>08.1.3-CPVA-R-609</v>
      </c>
      <c r="H130" s="255" t="str">
        <f>CONCATENATE('3 pr-2'!I130)</f>
        <v>R</v>
      </c>
      <c r="I130" s="255" t="str">
        <f>CONCATENATE('3 pr-2'!J130)</f>
        <v>-</v>
      </c>
      <c r="J130" s="474">
        <f>IF(V130&gt;0,'3 pr-2'!L130,0)</f>
        <v>0</v>
      </c>
      <c r="K130" s="474">
        <f>IF(V130&gt;0,'3 pr-2'!O130,0)</f>
        <v>0</v>
      </c>
      <c r="L130" s="474">
        <f>IF(V130&gt;0,'3 pr-2'!R130,0)</f>
        <v>0</v>
      </c>
      <c r="M130" s="474">
        <f>IF(V130&gt;0,'3 pr-2'!U130,0)</f>
        <v>0</v>
      </c>
      <c r="N130" s="474">
        <f>IF(V130&gt;0,'3 pr-2'!X130,0)</f>
        <v>0</v>
      </c>
      <c r="O130" s="474">
        <f>IF(V130&gt;0,'3 pr-2'!AA130,0)</f>
        <v>0</v>
      </c>
      <c r="P130" s="892">
        <f>SUM('3 pr-2'!AJ130)</f>
        <v>43830</v>
      </c>
      <c r="Q130" s="289"/>
      <c r="R130" s="291" t="str">
        <f t="shared" ref="R130:R133" si="41">IF(P130-Q130&lt;0,(P130-Q130)/365,"–")</f>
        <v>–</v>
      </c>
      <c r="S130" s="291"/>
    </row>
    <row r="131" spans="1:19" ht="36.75" x14ac:dyDescent="0.25">
      <c r="A131" s="255" t="str">
        <f>CONCATENATE('3 pr-2'!A131)</f>
        <v>2.1.2.1.10</v>
      </c>
      <c r="B131" s="473" t="str">
        <f>CONCATENATE('ketv. 2lent'!B130)</f>
        <v/>
      </c>
      <c r="C131" s="255" t="str">
        <f>CONCATENATE('3 pr-2'!D131)</f>
        <v>Pirminės ambulatorinės asmens sveikatos priežiūros efektyvumo didinimas R.Ambrazaitienės ir L. Puzinovienės šeimos gydytojų kabinetuose</v>
      </c>
      <c r="D131" s="255" t="str">
        <f>CONCATENATE('3 pr-2'!E131)</f>
        <v>UAB „Rasos Ambrazaitienės šeimos gydytojo kabinetas“</v>
      </c>
      <c r="E131" s="255" t="str">
        <f>CONCATENATE('3 pr-2'!F131)</f>
        <v>Lietuvos Respublikos Sveikatos apsaugos ministerija</v>
      </c>
      <c r="F131" s="255" t="str">
        <f>CONCATENATE('3 pr-2'!G131)</f>
        <v>Druskininkų sav.</v>
      </c>
      <c r="G131" s="255" t="str">
        <f>CONCATENATE('3 pr-2'!H131)</f>
        <v>08.1.3-CPVA-R-609</v>
      </c>
      <c r="H131" s="255" t="str">
        <f>CONCATENATE('3 pr-2'!I131)</f>
        <v>R</v>
      </c>
      <c r="I131" s="255" t="str">
        <f>CONCATENATE('3 pr-2'!J131)</f>
        <v>-</v>
      </c>
      <c r="J131" s="474">
        <f>IF(V131&gt;0,'3 pr-2'!L131,0)</f>
        <v>0</v>
      </c>
      <c r="K131" s="474">
        <f>IF(V131&gt;0,'3 pr-2'!O131,0)</f>
        <v>0</v>
      </c>
      <c r="L131" s="474">
        <f>IF(V131&gt;0,'3 pr-2'!R131,0)</f>
        <v>0</v>
      </c>
      <c r="M131" s="474">
        <f>IF(V131&gt;0,'3 pr-2'!U131,0)</f>
        <v>0</v>
      </c>
      <c r="N131" s="474">
        <f>IF(V131&gt;0,'3 pr-2'!X131,0)</f>
        <v>0</v>
      </c>
      <c r="O131" s="474">
        <f>IF(V131&gt;0,'3 pr-2'!AA131,0)</f>
        <v>0</v>
      </c>
      <c r="P131" s="892">
        <f>SUM('3 pr-2'!AJ131)</f>
        <v>44196</v>
      </c>
      <c r="Q131" s="289"/>
      <c r="R131" s="291" t="str">
        <f t="shared" si="41"/>
        <v>–</v>
      </c>
      <c r="S131" s="291"/>
    </row>
    <row r="132" spans="1:19" ht="36.75" x14ac:dyDescent="0.25">
      <c r="A132" s="255" t="str">
        <f>CONCATENATE('3 pr-2'!A132)</f>
        <v>2.1.2.1.11</v>
      </c>
      <c r="B132" s="473" t="str">
        <f>CONCATENATE('ketv. 2lent'!B131)</f>
        <v/>
      </c>
      <c r="C132" s="255" t="str">
        <f>CONCATENATE('3 pr-2'!D132)</f>
        <v xml:space="preserve">Pirminės asmens sveikatos priežiūros veiklos efektyvumo didinimas Lazdijų rajono savivaldybėje </v>
      </c>
      <c r="D132" s="255" t="str">
        <f>CONCATENATE('3 pr-2'!E132)</f>
        <v>Lazdijų rajono savivaldybės administracija</v>
      </c>
      <c r="E132" s="255" t="str">
        <f>CONCATENATE('3 pr-2'!F132)</f>
        <v>Lietuvos Respublikos Sveikatos apsaugos ministerija</v>
      </c>
      <c r="F132" s="255" t="str">
        <f>CONCATENATE('3 pr-2'!G132)</f>
        <v>Lazdijai</v>
      </c>
      <c r="G132" s="255" t="str">
        <f>CONCATENATE('3 pr-2'!H132)</f>
        <v>08.1.3-CPVA-R-609</v>
      </c>
      <c r="H132" s="255" t="str">
        <f>CONCATENATE('3 pr-2'!I132)</f>
        <v>R</v>
      </c>
      <c r="I132" s="255" t="str">
        <f>CONCATENATE('3 pr-2'!J132)</f>
        <v>-</v>
      </c>
      <c r="J132" s="474">
        <f>IF(V132&gt;0,'3 pr-2'!L132,0)</f>
        <v>0</v>
      </c>
      <c r="K132" s="474">
        <f>IF(V132&gt;0,'3 pr-2'!O132,0)</f>
        <v>0</v>
      </c>
      <c r="L132" s="474">
        <f>IF(V132&gt;0,'3 pr-2'!R132,0)</f>
        <v>0</v>
      </c>
      <c r="M132" s="474">
        <f>IF(V132&gt;0,'3 pr-2'!U132,0)</f>
        <v>0</v>
      </c>
      <c r="N132" s="474">
        <f>IF(V132&gt;0,'3 pr-2'!X132,0)</f>
        <v>0</v>
      </c>
      <c r="O132" s="474">
        <f>IF(V132&gt;0,'3 pr-2'!AA132,0)</f>
        <v>0</v>
      </c>
      <c r="P132" s="892">
        <f>SUM('3 pr-2'!AJ132)</f>
        <v>44531</v>
      </c>
      <c r="Q132" s="289"/>
      <c r="R132" s="291" t="str">
        <f t="shared" si="41"/>
        <v>–</v>
      </c>
      <c r="S132" s="291"/>
    </row>
    <row r="133" spans="1:19" ht="37.5" thickBot="1" x14ac:dyDescent="0.3">
      <c r="A133" s="255" t="str">
        <f>CONCATENATE('3 pr-2'!A133)</f>
        <v>2.1.2.1.12</v>
      </c>
      <c r="B133" s="473" t="str">
        <f>CONCATENATE('ketv. 2lent'!B132)</f>
        <v/>
      </c>
      <c r="C133" s="255" t="str">
        <f>CONCATENATE('3 pr-2'!D133)</f>
        <v>Pirminės asmens sveikatos priežiūros veiklos efektyvumo didinimas Varėnos rajono savivaldybėje</v>
      </c>
      <c r="D133" s="255" t="str">
        <f>CONCATENATE('3 pr-2'!E133)</f>
        <v>VšĮ Varėnos pirminės sveikatos priežiūros centras</v>
      </c>
      <c r="E133" s="255" t="str">
        <f>CONCATENATE('3 pr-2'!F133)</f>
        <v>Lietuvos Respublikos Sveikatos apsaugos ministerija</v>
      </c>
      <c r="F133" s="255" t="str">
        <f>CONCATENATE('3 pr-2'!G133)</f>
        <v>Varėnos r. sav.</v>
      </c>
      <c r="G133" s="255" t="str">
        <f>CONCATENATE('3 pr-2'!H133)</f>
        <v>08.1.3-CPVA-R-609</v>
      </c>
      <c r="H133" s="255" t="str">
        <f>CONCATENATE('3 pr-2'!I133)</f>
        <v>R</v>
      </c>
      <c r="I133" s="255" t="str">
        <f>CONCATENATE('3 pr-2'!J133)</f>
        <v>-</v>
      </c>
      <c r="J133" s="474">
        <f>IF(V133&gt;0,'3 pr-2'!L133,0)</f>
        <v>0</v>
      </c>
      <c r="K133" s="474">
        <f>IF(V133&gt;0,'3 pr-2'!O133,0)</f>
        <v>0</v>
      </c>
      <c r="L133" s="474">
        <f>IF(V133&gt;0,'3 pr-2'!R133,0)</f>
        <v>0</v>
      </c>
      <c r="M133" s="474">
        <f>IF(V133&gt;0,'3 pr-2'!U133,0)</f>
        <v>0</v>
      </c>
      <c r="N133" s="474">
        <f>IF(V133&gt;0,'3 pr-2'!X133,0)</f>
        <v>0</v>
      </c>
      <c r="O133" s="474">
        <f>IF(V133&gt;0,'3 pr-2'!AA133,0)</f>
        <v>0</v>
      </c>
      <c r="P133" s="892">
        <f>SUM('3 pr-2'!AJ133)</f>
        <v>44227</v>
      </c>
      <c r="Q133" s="289"/>
      <c r="R133" s="291" t="str">
        <f t="shared" si="41"/>
        <v>–</v>
      </c>
      <c r="S133" s="291"/>
    </row>
    <row r="134" spans="1:19" ht="41.25" customHeight="1" thickBot="1" x14ac:dyDescent="0.3">
      <c r="A134" s="497" t="str">
        <f>CONCATENATE('3 pr-2'!A135)</f>
        <v>2.1.2.2</v>
      </c>
      <c r="B134" s="613" t="str">
        <f>CONCATENATE('ketv. 2lent'!B133)</f>
        <v/>
      </c>
      <c r="C134" s="1656" t="str">
        <f>CONCATENATE('3 pr-2'!D135)</f>
        <v/>
      </c>
      <c r="D134" s="1787"/>
      <c r="E134" s="1787"/>
      <c r="F134" s="1787"/>
      <c r="G134" s="1787"/>
      <c r="H134" s="1787"/>
      <c r="I134" s="1788"/>
      <c r="J134" s="987">
        <f t="shared" ref="J134:O134" si="42">SUM(J135:J139)</f>
        <v>0</v>
      </c>
      <c r="K134" s="987">
        <f t="shared" si="42"/>
        <v>0</v>
      </c>
      <c r="L134" s="987">
        <f t="shared" si="42"/>
        <v>0</v>
      </c>
      <c r="M134" s="987">
        <f t="shared" si="42"/>
        <v>0</v>
      </c>
      <c r="N134" s="987">
        <f t="shared" si="42"/>
        <v>0</v>
      </c>
      <c r="O134" s="987">
        <f t="shared" si="42"/>
        <v>0</v>
      </c>
      <c r="P134" s="987"/>
      <c r="Q134" s="987"/>
      <c r="R134" s="291" t="str">
        <f t="shared" si="40"/>
        <v>–</v>
      </c>
      <c r="S134" s="629"/>
    </row>
    <row r="135" spans="1:19" ht="36.75" x14ac:dyDescent="0.25">
      <c r="A135" s="992" t="str">
        <f>CONCATENATE('3 pr-2'!A136)</f>
        <v>2.1.2.2.1</v>
      </c>
      <c r="B135" s="674" t="str">
        <f>CONCATENATE('ketv. 2lent'!B134)</f>
        <v/>
      </c>
      <c r="C135" s="992" t="str">
        <f>CONCATENATE('3 pr-2'!D136)</f>
        <v>Sveikos gyvensenos skatinimas Alytaus rajone</v>
      </c>
      <c r="D135" s="992" t="str">
        <f>CONCATENATE('3 pr-2'!E136)</f>
        <v>Alytaus rajono savivaldybės visuomenės sveikatos biuras</v>
      </c>
      <c r="E135" s="992" t="str">
        <f>CONCATENATE('3 pr-2'!F136)</f>
        <v>Lietuvos Respublikos Sveikatos apsaugos ministerija</v>
      </c>
      <c r="F135" s="992" t="str">
        <f>CONCATENATE('3 pr-2'!G136)</f>
        <v>Alytaus rajono savivaldybė</v>
      </c>
      <c r="G135" s="992" t="str">
        <f>CONCATENATE('3 pr-2'!H136)</f>
        <v>08.4.2-ESFA-R-630</v>
      </c>
      <c r="H135" s="992" t="str">
        <f>CONCATENATE('3 pr-2'!I136)</f>
        <v>R</v>
      </c>
      <c r="I135" s="992" t="str">
        <f>CONCATENATE('3 pr-2'!J136)</f>
        <v>-</v>
      </c>
      <c r="J135" s="994">
        <f>IF(V135&gt;0,'3 pr-2'!L136,0)</f>
        <v>0</v>
      </c>
      <c r="K135" s="994">
        <f>IF(V135&gt;0,'3 pr-2'!O136,0)</f>
        <v>0</v>
      </c>
      <c r="L135" s="994">
        <f>IF(V135&gt;0,'3 pr-2'!R136,0)</f>
        <v>0</v>
      </c>
      <c r="M135" s="994">
        <f>IF(V135&gt;0,'3 pr-2'!U136,0)</f>
        <v>0</v>
      </c>
      <c r="N135" s="994">
        <f>IF(V135&gt;0,'3 pr-2'!X136,0)</f>
        <v>0</v>
      </c>
      <c r="O135" s="994">
        <f>IF(V135&gt;0,'3 pr-2'!AA136,0)</f>
        <v>0</v>
      </c>
      <c r="P135" s="1002">
        <f>SUM('3 pr-2'!AJ136)</f>
        <v>44196</v>
      </c>
      <c r="Q135" s="992"/>
      <c r="R135" s="291" t="str">
        <f t="shared" si="40"/>
        <v>–</v>
      </c>
      <c r="S135" s="255"/>
    </row>
    <row r="136" spans="1:19" ht="36.75" x14ac:dyDescent="0.25">
      <c r="A136" s="992" t="str">
        <f>CONCATENATE('3 pr-2'!A137)</f>
        <v>2.1.2.2.2</v>
      </c>
      <c r="B136" s="674" t="str">
        <f>CONCATENATE('ketv. 2lent'!B135)</f>
        <v/>
      </c>
      <c r="C136" s="992" t="str">
        <f>CONCATENATE('3 pr-2'!D137)</f>
        <v>Mažais žingsneliais – sveikos gyvensenos link</v>
      </c>
      <c r="D136" s="992" t="str">
        <f>CONCATENATE('3 pr-2'!E137)</f>
        <v>Alytaus miesto savivaldybės administracija</v>
      </c>
      <c r="E136" s="992" t="str">
        <f>CONCATENATE('3 pr-2'!F137)</f>
        <v>Lietuvos Respublikos Sveikatos apsaugos ministerija</v>
      </c>
      <c r="F136" s="992" t="str">
        <f>CONCATENATE('3 pr-2'!G137)</f>
        <v>Alytaus  miestas</v>
      </c>
      <c r="G136" s="992" t="str">
        <f>CONCATENATE('3 pr-2'!H137)</f>
        <v>08.4.2-ESFA-R-630</v>
      </c>
      <c r="H136" s="992" t="str">
        <f>CONCATENATE('3 pr-2'!I137)</f>
        <v>R</v>
      </c>
      <c r="I136" s="992" t="str">
        <f>CONCATENATE('3 pr-2'!J137)</f>
        <v>-</v>
      </c>
      <c r="J136" s="994">
        <f>IF(V136&gt;0,'3 pr-2'!L137,0)</f>
        <v>0</v>
      </c>
      <c r="K136" s="994">
        <f>IF(V136&gt;0,'3 pr-2'!O137,0)</f>
        <v>0</v>
      </c>
      <c r="L136" s="994">
        <f>IF(V136&gt;0,'3 pr-2'!R137,0)</f>
        <v>0</v>
      </c>
      <c r="M136" s="994">
        <f>IF(V136&gt;0,'3 pr-2'!U137,0)</f>
        <v>0</v>
      </c>
      <c r="N136" s="994">
        <f>IF(V136&gt;0,'3 pr-2'!X137,0)</f>
        <v>0</v>
      </c>
      <c r="O136" s="994">
        <f>IF(V136&gt;0,'3 pr-2'!AA137,0)</f>
        <v>0</v>
      </c>
      <c r="P136" s="1002">
        <f>SUM('3 pr-2'!AJ137)</f>
        <v>44196</v>
      </c>
      <c r="Q136" s="992"/>
      <c r="R136" s="291" t="str">
        <f t="shared" si="40"/>
        <v>–</v>
      </c>
      <c r="S136" s="255"/>
    </row>
    <row r="137" spans="1:19" ht="36.75" x14ac:dyDescent="0.25">
      <c r="A137" s="992" t="str">
        <f>CONCATENATE('3 pr-2'!A138)</f>
        <v>2.1.2.2.3</v>
      </c>
      <c r="B137" s="674" t="str">
        <f>CONCATENATE('ketv. 2lent'!B136)</f>
        <v/>
      </c>
      <c r="C137" s="992" t="str">
        <f>CONCATENATE('3 pr-2'!D138)</f>
        <v>Sveikos gyvensenos skatinimas Varėnos rajono savivaldybėje</v>
      </c>
      <c r="D137" s="992" t="str">
        <f>CONCATENATE('3 pr-2'!E138)</f>
        <v>Varėnos rajono savivaldybės visuomenės sveikatos biuras</v>
      </c>
      <c r="E137" s="992" t="str">
        <f>CONCATENATE('3 pr-2'!F138)</f>
        <v>Lietuvos Respublikos Sveikatos apsaugos ministerija</v>
      </c>
      <c r="F137" s="992" t="str">
        <f>CONCATENATE('3 pr-2'!G138)</f>
        <v>Varėnos rajono savivaldybė</v>
      </c>
      <c r="G137" s="992" t="str">
        <f>CONCATENATE('3 pr-2'!H138)</f>
        <v>08.4.2-ESFA-R-630</v>
      </c>
      <c r="H137" s="992" t="str">
        <f>CONCATENATE('3 pr-2'!I138)</f>
        <v>R</v>
      </c>
      <c r="I137" s="992" t="str">
        <f>CONCATENATE('3 pr-2'!J138)</f>
        <v>-</v>
      </c>
      <c r="J137" s="994">
        <f>IF(V137&gt;0,'3 pr-2'!L138,0)</f>
        <v>0</v>
      </c>
      <c r="K137" s="994">
        <f>IF(V137&gt;0,'3 pr-2'!O138,0)</f>
        <v>0</v>
      </c>
      <c r="L137" s="994">
        <f>IF(V137&gt;0,'3 pr-2'!R138,0)</f>
        <v>0</v>
      </c>
      <c r="M137" s="994">
        <f>IF(V137&gt;0,'3 pr-2'!U138,0)</f>
        <v>0</v>
      </c>
      <c r="N137" s="994">
        <f>IF(V137&gt;0,'3 pr-2'!X138,0)</f>
        <v>0</v>
      </c>
      <c r="O137" s="994">
        <f>IF(V137&gt;0,'3 pr-2'!AA138,0)</f>
        <v>0</v>
      </c>
      <c r="P137" s="1002">
        <f>SUM('3 pr-2'!AJ138)</f>
        <v>44561</v>
      </c>
      <c r="Q137" s="992"/>
      <c r="R137" s="291" t="str">
        <f t="shared" si="40"/>
        <v>–</v>
      </c>
      <c r="S137" s="255"/>
    </row>
    <row r="138" spans="1:19" ht="36.75" x14ac:dyDescent="0.25">
      <c r="A138" s="992" t="str">
        <f>CONCATENATE('3 pr-2'!A139)</f>
        <v>2.1.2.2.4.</v>
      </c>
      <c r="B138" s="674" t="str">
        <f>CONCATENATE('ketv. 2lent'!B137)</f>
        <v/>
      </c>
      <c r="C138" s="992" t="str">
        <f>CONCATENATE('3 pr-2'!D139)</f>
        <v>Sveika bendruomenė – stipri visuomenė</v>
      </c>
      <c r="D138" s="992" t="str">
        <f>CONCATENATE('3 pr-2'!E139)</f>
        <v>Druskininkų savivaldybės visuomenės sveikatos biuras</v>
      </c>
      <c r="E138" s="992" t="str">
        <f>CONCATENATE('3 pr-2'!F139)</f>
        <v>Lietuvos Respublikos Sveikatos apsaugos ministerija</v>
      </c>
      <c r="F138" s="992" t="str">
        <f>CONCATENATE('3 pr-2'!G139)</f>
        <v>Druskininkų savivaldybė</v>
      </c>
      <c r="G138" s="992" t="str">
        <f>CONCATENATE('3 pr-2'!H139)</f>
        <v>08.4.2-ESFA-R-630</v>
      </c>
      <c r="H138" s="992" t="str">
        <f>CONCATENATE('3 pr-2'!I139)</f>
        <v>R</v>
      </c>
      <c r="I138" s="992" t="str">
        <f>CONCATENATE('3 pr-2'!J139)</f>
        <v>-</v>
      </c>
      <c r="J138" s="994">
        <f>IF(V138&gt;0,'3 pr-2'!L139,0)</f>
        <v>0</v>
      </c>
      <c r="K138" s="994">
        <f>IF(V138&gt;0,'3 pr-2'!O139,0)</f>
        <v>0</v>
      </c>
      <c r="L138" s="994">
        <f>IF(V138&gt;0,'3 pr-2'!R139,0)</f>
        <v>0</v>
      </c>
      <c r="M138" s="994">
        <f>IF(V138&gt;0,'3 pr-2'!U139,0)</f>
        <v>0</v>
      </c>
      <c r="N138" s="994">
        <f>IF(V138&gt;0,'3 pr-2'!X139,0)</f>
        <v>0</v>
      </c>
      <c r="O138" s="994">
        <f>IF(V138&gt;0,'3 pr-2'!AA139,0)</f>
        <v>0</v>
      </c>
      <c r="P138" s="1002">
        <f>SUM('3 pr-2'!AJ139)</f>
        <v>44561</v>
      </c>
      <c r="Q138" s="992"/>
      <c r="R138" s="291" t="str">
        <f t="shared" si="40"/>
        <v>–</v>
      </c>
      <c r="S138" s="255"/>
    </row>
    <row r="139" spans="1:19" ht="37.5" thickBot="1" x14ac:dyDescent="0.3">
      <c r="A139" s="992" t="str">
        <f>CONCATENATE('3 pr-2'!A140)</f>
        <v>2.1.2.2.5</v>
      </c>
      <c r="B139" s="674" t="str">
        <f>CONCATENATE('ketv. 2lent'!B138)</f>
        <v/>
      </c>
      <c r="C139" s="992" t="str">
        <f>CONCATENATE('3 pr-2'!D140)</f>
        <v>Sveikos gyvensenos skatinimas Lazdijų rajono savivaldybėje</v>
      </c>
      <c r="D139" s="992" t="str">
        <f>CONCATENATE('3 pr-2'!E140)</f>
        <v>Lazdijų rajono savivaldybės visuomenės sveikatos biuras</v>
      </c>
      <c r="E139" s="992" t="str">
        <f>CONCATENATE('3 pr-2'!F140)</f>
        <v>Lietuvos Respublikos Sveikatos apsaugos ministerija</v>
      </c>
      <c r="F139" s="992" t="str">
        <f>CONCATENATE('3 pr-2'!G140)</f>
        <v>Lazdijų rajono savivaldybė</v>
      </c>
      <c r="G139" s="992" t="str">
        <f>CONCATENATE('3 pr-2'!H140)</f>
        <v>08.4.2-ESFA-R-630</v>
      </c>
      <c r="H139" s="992" t="str">
        <f>CONCATENATE('3 pr-2'!I140)</f>
        <v>R</v>
      </c>
      <c r="I139" s="992" t="str">
        <f>CONCATENATE('3 pr-2'!J140)</f>
        <v>-</v>
      </c>
      <c r="J139" s="994">
        <f>IF(V139&gt;0,'3 pr-2'!L140,0)</f>
        <v>0</v>
      </c>
      <c r="K139" s="994">
        <f>IF(V139&gt;0,'3 pr-2'!O140,0)</f>
        <v>0</v>
      </c>
      <c r="L139" s="994">
        <f>IF(V139&gt;0,'3 pr-2'!R140,0)</f>
        <v>0</v>
      </c>
      <c r="M139" s="994">
        <f>IF(V139&gt;0,'3 pr-2'!U140,0)</f>
        <v>0</v>
      </c>
      <c r="N139" s="994">
        <f>IF(V139&gt;0,'3 pr-2'!X140,0)</f>
        <v>0</v>
      </c>
      <c r="O139" s="994">
        <f>IF(V139&gt;0,'3 pr-2'!AA140,0)</f>
        <v>0</v>
      </c>
      <c r="P139" s="1002">
        <f>SUM('3 pr-2'!AJ140)</f>
        <v>44561</v>
      </c>
      <c r="Q139" s="992"/>
      <c r="R139" s="291" t="str">
        <f t="shared" si="40"/>
        <v>–</v>
      </c>
      <c r="S139" s="255"/>
    </row>
    <row r="140" spans="1:19" ht="41.25" customHeight="1" thickBot="1" x14ac:dyDescent="0.3">
      <c r="A140" s="497" t="str">
        <f>CONCATENATE('3 pr-2'!A141)</f>
        <v>2.1.2.3</v>
      </c>
      <c r="B140" s="613" t="str">
        <f>CONCATENATE('ketv. 2lent'!B139)</f>
        <v/>
      </c>
      <c r="C140" s="1656" t="str">
        <f>CONCATENATE('3 pr-2'!D141)</f>
        <v/>
      </c>
      <c r="D140" s="1787"/>
      <c r="E140" s="1787"/>
      <c r="F140" s="1787"/>
      <c r="G140" s="1787"/>
      <c r="H140" s="1787"/>
      <c r="I140" s="1788"/>
      <c r="J140" s="987">
        <f>SUM(J141:J145)</f>
        <v>0</v>
      </c>
      <c r="K140" s="987">
        <f t="shared" ref="K140:O140" si="43">SUM(K141:K145)</f>
        <v>0</v>
      </c>
      <c r="L140" s="987">
        <f t="shared" si="43"/>
        <v>0</v>
      </c>
      <c r="M140" s="987">
        <f t="shared" si="43"/>
        <v>0</v>
      </c>
      <c r="N140" s="987">
        <f t="shared" si="43"/>
        <v>0</v>
      </c>
      <c r="O140" s="987">
        <f t="shared" si="43"/>
        <v>0</v>
      </c>
      <c r="P140" s="987"/>
      <c r="Q140" s="987"/>
      <c r="R140" s="291" t="str">
        <f t="shared" si="40"/>
        <v>–</v>
      </c>
      <c r="S140" s="629"/>
    </row>
    <row r="141" spans="1:19" ht="48.75" x14ac:dyDescent="0.25">
      <c r="A141" s="992" t="str">
        <f>CONCATENATE('3 pr-2'!A142)</f>
        <v>2.1.2.3.1</v>
      </c>
      <c r="B141" s="674" t="str">
        <f>CONCATENATE('ketv. 2lent'!B140)</f>
        <v/>
      </c>
      <c r="C141" s="992" t="str">
        <f>CONCATENATE('3 pr-2'!D142)</f>
        <v>Priemonių gerinančių ambulatorinių sveikatos priežiūros paslaugų prieinamumą tuberkulioze sergantiems asmenims, Alytaus rajone įgyvendinimas</v>
      </c>
      <c r="D141" s="992" t="str">
        <f>CONCATENATE('3 pr-2'!E142)</f>
        <v>VšĮ Alytaus rajono savivaldybės pirminės sveikatos priežiūros centras</v>
      </c>
      <c r="E141" s="992" t="str">
        <f>CONCATENATE('3 pr-2'!F142)</f>
        <v>Lietuvos Respublikos Sveikatos apsaugos ministerija</v>
      </c>
      <c r="F141" s="992" t="str">
        <f>CONCATENATE('3 pr-2'!G142)</f>
        <v>Alytaus rajono savivaldybė</v>
      </c>
      <c r="G141" s="1001" t="str">
        <f>CONCATENATE('3 pr-2'!H142)</f>
        <v>08.4.2-ESFA-R-615</v>
      </c>
      <c r="H141" s="1001" t="str">
        <f>CONCATENATE('3 pr-2'!I142)</f>
        <v>R</v>
      </c>
      <c r="I141" s="1001" t="str">
        <f>CONCATENATE('3 pr-2'!J142)</f>
        <v>-</v>
      </c>
      <c r="J141" s="994">
        <f>IF(V141&gt;0,'3 pr-2'!L142,0)</f>
        <v>0</v>
      </c>
      <c r="K141" s="994">
        <f>IF(V141&gt;0,'3 pr-2'!O142,0)</f>
        <v>0</v>
      </c>
      <c r="L141" s="994">
        <f>IF(V141&gt;0,'3 pr-2'!R142,0)</f>
        <v>0</v>
      </c>
      <c r="M141" s="994">
        <f>IF(V141&gt;0,'3 pr-2'!U142,0)</f>
        <v>0</v>
      </c>
      <c r="N141" s="994">
        <f>IF(V141&gt;0,'3 pr-2'!X142,0)</f>
        <v>0</v>
      </c>
      <c r="O141" s="994">
        <f>IF(V141&gt;0,'3 pr-2'!AA142,0)</f>
        <v>0</v>
      </c>
      <c r="P141" s="1002">
        <f>SUM('3 pr-2'!AJ142)</f>
        <v>44561</v>
      </c>
      <c r="Q141" s="992"/>
      <c r="R141" s="291" t="str">
        <f t="shared" si="40"/>
        <v>–</v>
      </c>
      <c r="S141" s="255"/>
    </row>
    <row r="142" spans="1:19" ht="36.75" x14ac:dyDescent="0.25">
      <c r="A142" s="992" t="str">
        <f>CONCATENATE('3 pr-2'!A143)</f>
        <v>2.1.2.3.2</v>
      </c>
      <c r="B142" s="674" t="str">
        <f>CONCATENATE('ketv. 2lent'!B141)</f>
        <v/>
      </c>
      <c r="C142" s="992" t="str">
        <f>CONCATENATE('3 pr-2'!D143)</f>
        <v>Ambulatorinių sveikatos priežiūros paslaugų gerinimas tuberkulioze sergantiems asmenims</v>
      </c>
      <c r="D142" s="992" t="str">
        <f>CONCATENATE('3 pr-2'!E143)</f>
        <v>Alytaus miesto savivaldybės administracija</v>
      </c>
      <c r="E142" s="992" t="str">
        <f>CONCATENATE('3 pr-2'!F143)</f>
        <v>Lietuvos Respublikos Sveikatos apsaugos ministerija</v>
      </c>
      <c r="F142" s="992" t="str">
        <f>CONCATENATE('3 pr-2'!G143)</f>
        <v>Alytaus  miestas</v>
      </c>
      <c r="G142" s="1001" t="str">
        <f>CONCATENATE('3 pr-2'!H143)</f>
        <v>08.4.2-ESFA-R-615</v>
      </c>
      <c r="H142" s="1001" t="str">
        <f>CONCATENATE('3 pr-2'!I143)</f>
        <v>R</v>
      </c>
      <c r="I142" s="1001" t="str">
        <f>CONCATENATE('3 pr-2'!J143)</f>
        <v>-</v>
      </c>
      <c r="J142" s="994">
        <f>IF(V142&gt;0,'3 pr-2'!L143,0)</f>
        <v>0</v>
      </c>
      <c r="K142" s="994">
        <f>IF(V142&gt;0,'3 pr-2'!O143,0)</f>
        <v>0</v>
      </c>
      <c r="L142" s="994">
        <f>IF(V142&gt;0,'3 pr-2'!R143,0)</f>
        <v>0</v>
      </c>
      <c r="M142" s="994">
        <f>IF(V142&gt;0,'3 pr-2'!U143,0)</f>
        <v>0</v>
      </c>
      <c r="N142" s="994">
        <f>IF(V142&gt;0,'3 pr-2'!X143,0)</f>
        <v>0</v>
      </c>
      <c r="O142" s="994">
        <f>IF(V142&gt;0,'3 pr-2'!AA143,0)</f>
        <v>0</v>
      </c>
      <c r="P142" s="1002">
        <f>SUM('3 pr-2'!AJ143)</f>
        <v>44196</v>
      </c>
      <c r="Q142" s="992"/>
      <c r="R142" s="291" t="str">
        <f t="shared" si="40"/>
        <v>–</v>
      </c>
      <c r="S142" s="255"/>
    </row>
    <row r="143" spans="1:19" ht="36.75" x14ac:dyDescent="0.25">
      <c r="A143" s="992" t="str">
        <f>CONCATENATE('3 pr-2'!A144)</f>
        <v>2.1.2.3.3</v>
      </c>
      <c r="B143" s="674" t="str">
        <f>CONCATENATE('ketv. 2lent'!B142)</f>
        <v/>
      </c>
      <c r="C143" s="992" t="str">
        <f>CONCATENATE('3 pr-2'!D144)</f>
        <v xml:space="preserve">Paslaugų tuberkulioze sergantiems asmenims gerinimas Lazdijų rajono savivaldybėje </v>
      </c>
      <c r="D143" s="992" t="str">
        <f>CONCATENATE('3 pr-2'!E144)</f>
        <v>Lazdijų rajono savivaldybės administracija</v>
      </c>
      <c r="E143" s="992" t="str">
        <f>CONCATENATE('3 pr-2'!F144)</f>
        <v>Lietuvos Respublikos Sveikatos apsaugos ministerija</v>
      </c>
      <c r="F143" s="992" t="str">
        <f>CONCATENATE('3 pr-2'!G144)</f>
        <v>Lazdijų rajono savivaldybė</v>
      </c>
      <c r="G143" s="1001" t="str">
        <f>CONCATENATE('3 pr-2'!H144)</f>
        <v>08.4.2-ESFA-R-615</v>
      </c>
      <c r="H143" s="1001" t="str">
        <f>CONCATENATE('3 pr-2'!I144)</f>
        <v>R</v>
      </c>
      <c r="I143" s="1001" t="str">
        <f>CONCATENATE('3 pr-2'!J144)</f>
        <v>-</v>
      </c>
      <c r="J143" s="994">
        <f>IF(V143&gt;0,'3 pr-2'!L144,0)</f>
        <v>0</v>
      </c>
      <c r="K143" s="994">
        <f>IF(V143&gt;0,'3 pr-2'!O144,0)</f>
        <v>0</v>
      </c>
      <c r="L143" s="994">
        <f>IF(V143&gt;0,'3 pr-2'!R144,0)</f>
        <v>0</v>
      </c>
      <c r="M143" s="994">
        <f>IF(V143&gt;0,'3 pr-2'!U144,0)</f>
        <v>0</v>
      </c>
      <c r="N143" s="994">
        <f>IF(V143&gt;0,'3 pr-2'!X144,0)</f>
        <v>0</v>
      </c>
      <c r="O143" s="994">
        <f>IF(V143&gt;0,'3 pr-2'!AA144,0)</f>
        <v>0</v>
      </c>
      <c r="P143" s="1002">
        <f>SUM('3 pr-2'!AJ144)</f>
        <v>44561</v>
      </c>
      <c r="Q143" s="992"/>
      <c r="R143" s="291" t="str">
        <f t="shared" si="40"/>
        <v>–</v>
      </c>
      <c r="S143" s="255"/>
    </row>
    <row r="144" spans="1:19" ht="36.75" x14ac:dyDescent="0.25">
      <c r="A144" s="992" t="str">
        <f>CONCATENATE('3 pr-2'!A145)</f>
        <v>2.1.2.3.4</v>
      </c>
      <c r="B144" s="674" t="str">
        <f>CONCATENATE('ketv. 2lent'!B143)</f>
        <v/>
      </c>
      <c r="C144" s="992" t="str">
        <f>CONCATENATE('3 pr-2'!D145)</f>
        <v>Ambulatorinių sveikatos priežiūros paslaugų tuberkulioze sergantiems asmenims prieinamumo gerinimas Druskininkų savivaldybėje</v>
      </c>
      <c r="D144" s="992" t="str">
        <f>CONCATENATE('3 pr-2'!E145)</f>
        <v>Druskininkų pirminės sveikatos priežiūros centras</v>
      </c>
      <c r="E144" s="992" t="str">
        <f>CONCATENATE('3 pr-2'!F145)</f>
        <v>Lietuvos Respublikos Sveikatos apsaugos ministerija</v>
      </c>
      <c r="F144" s="992" t="str">
        <f>CONCATENATE('3 pr-2'!G145)</f>
        <v>Druskininkų savivaldybė</v>
      </c>
      <c r="G144" s="1001" t="str">
        <f>CONCATENATE('3 pr-2'!H145)</f>
        <v>08.4.2-ESFA-R-615</v>
      </c>
      <c r="H144" s="1001" t="str">
        <f>CONCATENATE('3 pr-2'!I145)</f>
        <v>R</v>
      </c>
      <c r="I144" s="1001" t="str">
        <f>CONCATENATE('3 pr-2'!J145)</f>
        <v>-</v>
      </c>
      <c r="J144" s="994">
        <f>IF(V144&gt;0,'3 pr-2'!L145,0)</f>
        <v>0</v>
      </c>
      <c r="K144" s="994">
        <f>IF(V144&gt;0,'3 pr-2'!O145,0)</f>
        <v>0</v>
      </c>
      <c r="L144" s="994">
        <f>IF(V144&gt;0,'3 pr-2'!R145,0)</f>
        <v>0</v>
      </c>
      <c r="M144" s="994">
        <f>IF(V144&gt;0,'3 pr-2'!U145,0)</f>
        <v>0</v>
      </c>
      <c r="N144" s="994">
        <f>IF(V144&gt;0,'3 pr-2'!X145,0)</f>
        <v>0</v>
      </c>
      <c r="O144" s="994">
        <f>IF(V144&gt;0,'3 pr-2'!AA145,0)</f>
        <v>0</v>
      </c>
      <c r="P144" s="1002">
        <f>SUM('3 pr-2'!AJ145)</f>
        <v>44440</v>
      </c>
      <c r="Q144" s="992"/>
      <c r="R144" s="291" t="str">
        <f t="shared" si="40"/>
        <v>–</v>
      </c>
      <c r="S144" s="255"/>
    </row>
    <row r="145" spans="1:19" ht="36.75" x14ac:dyDescent="0.25">
      <c r="A145" s="992" t="str">
        <f>CONCATENATE('3 pr-2'!A146)</f>
        <v>2.1.2.3.5</v>
      </c>
      <c r="B145" s="674" t="str">
        <f>CONCATENATE('ketv. 2lent'!B144)</f>
        <v/>
      </c>
      <c r="C145" s="992" t="str">
        <f>CONCATENATE('3 pr-2'!D146)</f>
        <v>Ambulatorinių sveikatos priežiūros paslaugų prieinamumo gerinimas tuberkulioze sergantiems asmenims Varėnos rajono savivaldybėje</v>
      </c>
      <c r="D145" s="992" t="str">
        <f>CONCATENATE('3 pr-2'!E146)</f>
        <v>Varėnos rajono savivaldybės administracija</v>
      </c>
      <c r="E145" s="992" t="str">
        <f>CONCATENATE('3 pr-2'!F146)</f>
        <v>Lietuvos Respublikos Sveikatos apsaugos ministerija</v>
      </c>
      <c r="F145" s="992" t="str">
        <f>CONCATENATE('3 pr-2'!G146)</f>
        <v>Varėnos rajono savivaldybė</v>
      </c>
      <c r="G145" s="1001" t="str">
        <f>CONCATENATE('3 pr-2'!H146)</f>
        <v>08.4.2-ESFA-R-615</v>
      </c>
      <c r="H145" s="1001" t="str">
        <f>CONCATENATE('3 pr-2'!I146)</f>
        <v>R</v>
      </c>
      <c r="I145" s="1001" t="str">
        <f>CONCATENATE('3 pr-2'!J146)</f>
        <v>-</v>
      </c>
      <c r="J145" s="994">
        <f>IF(V145&gt;0,'3 pr-2'!L146,0)</f>
        <v>0</v>
      </c>
      <c r="K145" s="994">
        <f>IF(V145&gt;0,'3 pr-2'!O146,0)</f>
        <v>0</v>
      </c>
      <c r="L145" s="994">
        <f>IF(V145&gt;0,'3 pr-2'!R146,0)</f>
        <v>0</v>
      </c>
      <c r="M145" s="994">
        <f>IF(V145&gt;0,'3 pr-2'!U146,0)</f>
        <v>0</v>
      </c>
      <c r="N145" s="994">
        <f>IF(V145&gt;0,'3 pr-2'!X146,0)</f>
        <v>0</v>
      </c>
      <c r="O145" s="994">
        <f>IF(V145&gt;0,'3 pr-2'!AA146,0)</f>
        <v>0</v>
      </c>
      <c r="P145" s="1002">
        <f>SUM('3 pr-2'!AJ146)</f>
        <v>44561</v>
      </c>
      <c r="Q145" s="992"/>
      <c r="R145" s="291" t="str">
        <f t="shared" si="40"/>
        <v>–</v>
      </c>
      <c r="S145" s="255"/>
    </row>
    <row r="146" spans="1:19" ht="44.25" customHeight="1" thickBot="1" x14ac:dyDescent="0.3">
      <c r="A146" s="220" t="str">
        <f>CONCATENATE('3 pr-2'!A147)</f>
        <v>2.1.3.</v>
      </c>
      <c r="B146" s="471" t="str">
        <f>CONCATENATE('ketv. 2lent'!B145)</f>
        <v/>
      </c>
      <c r="C146" s="1821" t="str">
        <f>CONCATENATE('3 pr-2'!D147)</f>
        <v/>
      </c>
      <c r="D146" s="1822" t="str">
        <f>CONCATENATE('3 pr-2'!E147)</f>
        <v/>
      </c>
      <c r="E146" s="1822" t="str">
        <f>CONCATENATE('3 pr-2'!F147)</f>
        <v/>
      </c>
      <c r="F146" s="1822" t="str">
        <f>CONCATENATE('3 pr-2'!G147)</f>
        <v/>
      </c>
      <c r="G146" s="1822" t="str">
        <f>CONCATENATE('3 pr-2'!H147)</f>
        <v/>
      </c>
      <c r="H146" s="1822" t="str">
        <f>CONCATENATE('3 pr-2'!I147)</f>
        <v/>
      </c>
      <c r="I146" s="1822" t="str">
        <f>CONCATENATE('3 pr-2'!J147)</f>
        <v/>
      </c>
      <c r="J146" s="445">
        <f>SUM(J147+J153)</f>
        <v>0</v>
      </c>
      <c r="K146" s="445">
        <f t="shared" ref="K146:O146" si="44">SUM(K147+K153)</f>
        <v>0</v>
      </c>
      <c r="L146" s="445">
        <f t="shared" si="44"/>
        <v>0</v>
      </c>
      <c r="M146" s="445">
        <f t="shared" si="44"/>
        <v>0</v>
      </c>
      <c r="N146" s="445">
        <f t="shared" si="44"/>
        <v>0</v>
      </c>
      <c r="O146" s="445">
        <f t="shared" si="44"/>
        <v>0</v>
      </c>
      <c r="P146" s="446" t="s">
        <v>725</v>
      </c>
      <c r="Q146" s="447" t="s">
        <v>725</v>
      </c>
      <c r="R146" s="448" t="s">
        <v>725</v>
      </c>
      <c r="S146" s="448"/>
    </row>
    <row r="147" spans="1:19" ht="42.75" customHeight="1" thickBot="1" x14ac:dyDescent="0.3">
      <c r="A147" s="497" t="str">
        <f>CONCATENATE('3 pr-2'!A148)</f>
        <v>2.1.3.1</v>
      </c>
      <c r="B147" s="613" t="str">
        <f>CONCATENATE('ketv. 2lent'!B146)</f>
        <v/>
      </c>
      <c r="C147" s="1656" t="str">
        <f>CONCATENATE('3 pr-2'!D148)</f>
        <v/>
      </c>
      <c r="D147" s="1789"/>
      <c r="E147" s="1789"/>
      <c r="F147" s="1789"/>
      <c r="G147" s="1789"/>
      <c r="H147" s="1789"/>
      <c r="I147" s="1790"/>
      <c r="J147" s="629">
        <f>SUM(J148:J152)</f>
        <v>0</v>
      </c>
      <c r="K147" s="629">
        <f t="shared" ref="K147:O147" si="45">SUM(K148:K152)</f>
        <v>0</v>
      </c>
      <c r="L147" s="629">
        <f t="shared" si="45"/>
        <v>0</v>
      </c>
      <c r="M147" s="629">
        <f t="shared" si="45"/>
        <v>0</v>
      </c>
      <c r="N147" s="629">
        <f t="shared" si="45"/>
        <v>0</v>
      </c>
      <c r="O147" s="629">
        <f t="shared" si="45"/>
        <v>0</v>
      </c>
      <c r="P147" s="629"/>
      <c r="Q147" s="629"/>
      <c r="R147" s="629"/>
      <c r="S147" s="629"/>
    </row>
    <row r="148" spans="1:19" ht="36.75" x14ac:dyDescent="0.25">
      <c r="A148" s="255" t="str">
        <f>CONCATENATE('3 pr-2'!A149)</f>
        <v>2.1.3.1.1</v>
      </c>
      <c r="B148" s="473" t="str">
        <f>CONCATENATE('ketv. 2lent'!B147)</f>
        <v>08.1.1-CPVA-R-407-11-0002</v>
      </c>
      <c r="C148" s="255" t="str">
        <f>CONCATENATE('3 pr-2'!D149)</f>
        <v>Socialinių paslaugų infrastruktūros plėtra Varėnos rajono savivaldybėje</v>
      </c>
      <c r="D148" s="255" t="str">
        <f>CONCATENATE('3 pr-2'!E149)</f>
        <v>Varėnos rajono savivaldybės administracija</v>
      </c>
      <c r="E148" s="255" t="str">
        <f>CONCATENATE('3 pr-2'!F149)</f>
        <v>Lietuvos Respublikos socialinės apsaugos ir darbo ministerija</v>
      </c>
      <c r="F148" s="255" t="str">
        <f>CONCATENATE('3 pr-2'!G149)</f>
        <v>Varėnos rajono savivaldybė</v>
      </c>
      <c r="G148" s="255" t="str">
        <f>CONCATENATE('3 pr-2'!H149)</f>
        <v>08.1.2-CPVA-R-407</v>
      </c>
      <c r="H148" s="255" t="str">
        <f>CONCATENATE('3 pr-2'!I149)</f>
        <v>R</v>
      </c>
      <c r="I148" s="255" t="str">
        <f>CONCATENATE('3 pr-2'!J149)</f>
        <v>-</v>
      </c>
      <c r="J148" s="474">
        <f>IF(V148&gt;0,'3 pr-2'!L149,0)</f>
        <v>0</v>
      </c>
      <c r="K148" s="474">
        <f>IF(V148&gt;0,'3 pr-2'!O149,0)</f>
        <v>0</v>
      </c>
      <c r="L148" s="474">
        <f>IF(V148&gt;0,'3 pr-2'!R149,0)</f>
        <v>0</v>
      </c>
      <c r="M148" s="474">
        <f>IF(V148&gt;0,'3 pr-2'!U149,0)</f>
        <v>0</v>
      </c>
      <c r="N148" s="474">
        <f>IF(V148&gt;0,'3 pr-2'!X149,0)</f>
        <v>0</v>
      </c>
      <c r="O148" s="474">
        <f>IF(V148&gt;0,'3 pr-2'!AA149,0)</f>
        <v>0</v>
      </c>
      <c r="P148" s="892">
        <f>SUM('3 pr-2'!AJ149)</f>
        <v>43495</v>
      </c>
      <c r="Q148" s="290"/>
      <c r="R148" s="291" t="str">
        <f t="shared" ref="R148:R152" si="46">IF(P148-Q148&lt;0,(P148-Q148)/365,"–")</f>
        <v>–</v>
      </c>
      <c r="S148" s="291"/>
    </row>
    <row r="149" spans="1:19" ht="36.75" x14ac:dyDescent="0.25">
      <c r="A149" s="255" t="str">
        <f>CONCATENATE('3 pr-2'!A150)</f>
        <v>2.1.3.1.2</v>
      </c>
      <c r="B149" s="473" t="str">
        <f>CONCATENATE('ketv. 2lent'!B148)</f>
        <v>08.1.1-CPVA-R-407-11-0004</v>
      </c>
      <c r="C149" s="255" t="str">
        <f>CONCATENATE('3 pr-2'!D150)</f>
        <v>Psichosocialinės pagalbos centro įkūrimas</v>
      </c>
      <c r="D149" s="255" t="str">
        <f>CONCATENATE('3 pr-2'!E150)</f>
        <v>Alytaus rajono savivaldybės administracija</v>
      </c>
      <c r="E149" s="255" t="str">
        <f>CONCATENATE('3 pr-2'!F150)</f>
        <v>Lietuvos Respublikos socialinės apsaugos ir darbo ministerija</v>
      </c>
      <c r="F149" s="255" t="str">
        <f>CONCATENATE('3 pr-2'!G150)</f>
        <v>Alytaus  miestas</v>
      </c>
      <c r="G149" s="255" t="str">
        <f>CONCATENATE('3 pr-2'!H150)</f>
        <v>08.1.2-CPVA-R-407</v>
      </c>
      <c r="H149" s="255" t="str">
        <f>CONCATENATE('3 pr-2'!I150)</f>
        <v>R</v>
      </c>
      <c r="I149" s="255" t="str">
        <f>CONCATENATE('3 pr-2'!J150)</f>
        <v/>
      </c>
      <c r="J149" s="474">
        <f>IF(V149&gt;0,'3 pr-2'!L150,0)</f>
        <v>0</v>
      </c>
      <c r="K149" s="474">
        <f>IF(V149&gt;0,'3 pr-2'!O150,0)</f>
        <v>0</v>
      </c>
      <c r="L149" s="474">
        <f>IF(V149&gt;0,'3 pr-2'!R150,0)</f>
        <v>0</v>
      </c>
      <c r="M149" s="474">
        <f>IF(V149&gt;0,'3 pr-2'!U150,0)</f>
        <v>0</v>
      </c>
      <c r="N149" s="474">
        <f>IF(V149&gt;0,'3 pr-2'!X150,0)</f>
        <v>0</v>
      </c>
      <c r="O149" s="474">
        <f>IF(V149&gt;0,'3 pr-2'!AA150,0)</f>
        <v>0</v>
      </c>
      <c r="P149" s="892">
        <f>SUM('3 pr-2'!AJ150)</f>
        <v>43646</v>
      </c>
      <c r="Q149" s="290"/>
      <c r="R149" s="291" t="str">
        <f t="shared" si="46"/>
        <v>–</v>
      </c>
      <c r="S149" s="291"/>
    </row>
    <row r="150" spans="1:19" ht="36.75" x14ac:dyDescent="0.25">
      <c r="A150" s="255" t="str">
        <f>CONCATENATE('3 pr-2'!A151)</f>
        <v>2.1.3.1.3</v>
      </c>
      <c r="B150" s="473" t="str">
        <f>CONCATENATE('ketv. 2lent'!B149)</f>
        <v>08.1.1-CPVA-R-407-11-0005</v>
      </c>
      <c r="C150" s="255" t="str">
        <f>CONCATENATE('3 pr-2'!D151)</f>
        <v>Socialinių paslaugų plėtra Alytaus mieste</v>
      </c>
      <c r="D150" s="255" t="str">
        <f>CONCATENATE('3 pr-2'!E151)</f>
        <v>Alytaus miesto savivaldybės administracija</v>
      </c>
      <c r="E150" s="255" t="str">
        <f>CONCATENATE('3 pr-2'!F151)</f>
        <v>Lietuvos Respublikos socialinės apsaugos ir darbo ministerija</v>
      </c>
      <c r="F150" s="255" t="str">
        <f>CONCATENATE('3 pr-2'!G151)</f>
        <v>Alytaus  miestas</v>
      </c>
      <c r="G150" s="255" t="str">
        <f>CONCATENATE('3 pr-2'!H151)</f>
        <v>08.1.2-CPVA-R-407</v>
      </c>
      <c r="H150" s="255" t="str">
        <f>CONCATENATE('3 pr-2'!I151)</f>
        <v>R</v>
      </c>
      <c r="I150" s="255" t="str">
        <f>CONCATENATE('3 pr-2'!J151)</f>
        <v>-</v>
      </c>
      <c r="J150" s="474">
        <f>IF(V150&gt;0,'3 pr-2'!L151,0)</f>
        <v>0</v>
      </c>
      <c r="K150" s="474">
        <f>IF(V150&gt;0,'3 pr-2'!O151,0)</f>
        <v>0</v>
      </c>
      <c r="L150" s="474">
        <f>IF(V150&gt;0,'3 pr-2'!R151,0)</f>
        <v>0</v>
      </c>
      <c r="M150" s="474">
        <f>IF(V150&gt;0,'3 pr-2'!U151,0)</f>
        <v>0</v>
      </c>
      <c r="N150" s="474">
        <f>IF(V150&gt;0,'3 pr-2'!X151,0)</f>
        <v>0</v>
      </c>
      <c r="O150" s="474">
        <f>IF(V150&gt;0,'3 pr-2'!AA151,0)</f>
        <v>0</v>
      </c>
      <c r="P150" s="892">
        <f>SUM('3 pr-2'!AJ151)</f>
        <v>43646</v>
      </c>
      <c r="Q150" s="290"/>
      <c r="R150" s="291" t="str">
        <f t="shared" si="46"/>
        <v>–</v>
      </c>
      <c r="S150" s="291"/>
    </row>
    <row r="151" spans="1:19" ht="36.75" x14ac:dyDescent="0.25">
      <c r="A151" s="255" t="str">
        <f>CONCATENATE('3 pr-2'!A152)</f>
        <v>2.1.3.1.4</v>
      </c>
      <c r="B151" s="473" t="str">
        <f>CONCATENATE('ketv. 2lent'!B150)</f>
        <v>08.1.1-CPVA-R-407-11-0001</v>
      </c>
      <c r="C151" s="255" t="str">
        <f>CONCATENATE('3 pr-2'!D152)</f>
        <v>Socialinių paslaugų infrastruktūros plėtra Druskininkų savivaldybėje</v>
      </c>
      <c r="D151" s="255" t="str">
        <f>CONCATENATE('3 pr-2'!E152)</f>
        <v>Druskininkų savivaldybės administracija</v>
      </c>
      <c r="E151" s="255" t="str">
        <f>CONCATENATE('3 pr-2'!F152)</f>
        <v>Lietuvos Respublikos socialinės apsaugos ir darbo ministerija</v>
      </c>
      <c r="F151" s="255" t="str">
        <f>CONCATENATE('3 pr-2'!G152)</f>
        <v>Druskininkų savivaldybė</v>
      </c>
      <c r="G151" s="255" t="str">
        <f>CONCATENATE('3 pr-2'!H152)</f>
        <v>08.1.2-CPVA-R-407</v>
      </c>
      <c r="H151" s="255" t="str">
        <f>CONCATENATE('3 pr-2'!I152)</f>
        <v>R</v>
      </c>
      <c r="I151" s="255" t="str">
        <f>CONCATENATE('3 pr-2'!J152)</f>
        <v>-</v>
      </c>
      <c r="J151" s="474">
        <f>IF(V151&gt;0,'3 pr-2'!L152,0)</f>
        <v>0</v>
      </c>
      <c r="K151" s="474">
        <f>IF(V151&gt;0,'3 pr-2'!O152,0)</f>
        <v>0</v>
      </c>
      <c r="L151" s="474">
        <f>IF(V151&gt;0,'3 pr-2'!R152,0)</f>
        <v>0</v>
      </c>
      <c r="M151" s="474">
        <f>IF(V151&gt;0,'3 pr-2'!U152,0)</f>
        <v>0</v>
      </c>
      <c r="N151" s="474">
        <f>IF(V151&gt;0,'3 pr-2'!X152,0)</f>
        <v>0</v>
      </c>
      <c r="O151" s="474">
        <f>IF(V151&gt;0,'3 pr-2'!AA152,0)</f>
        <v>0</v>
      </c>
      <c r="P151" s="892">
        <f>SUM('3 pr-2'!AJ152)</f>
        <v>43738</v>
      </c>
      <c r="Q151" s="290"/>
      <c r="R151" s="291" t="str">
        <f t="shared" si="46"/>
        <v>–</v>
      </c>
      <c r="S151" s="291"/>
    </row>
    <row r="152" spans="1:19" ht="37.5" thickBot="1" x14ac:dyDescent="0.3">
      <c r="A152" s="255" t="str">
        <f>CONCATENATE('3 pr-2'!A153)</f>
        <v>2.1.3.1.5</v>
      </c>
      <c r="B152" s="473" t="str">
        <f>CONCATENATE('ketv. 2lent'!B151)</f>
        <v>08.1.1-CPVA-R-407-11-0003</v>
      </c>
      <c r="C152" s="255" t="str">
        <f>CONCATENATE('3 pr-2'!D153)</f>
        <v>Socialinių paslaugų infrastruktūros modernizavimas ir plėtra VšĮ Kapčiamiesčio globos namuose</v>
      </c>
      <c r="D152" s="255" t="str">
        <f>CONCATENATE('3 pr-2'!E153)</f>
        <v>VšĮ Kapčiamiesčio globos namai</v>
      </c>
      <c r="E152" s="255" t="str">
        <f>CONCATENATE('3 pr-2'!F153)</f>
        <v>Lietuvos Respublikos socialinės apsaugos ir darbo ministerija</v>
      </c>
      <c r="F152" s="255" t="str">
        <f>CONCATENATE('3 pr-2'!G153)</f>
        <v>Lazdijų rajono savivaldybė</v>
      </c>
      <c r="G152" s="255" t="str">
        <f>CONCATENATE('3 pr-2'!H153)</f>
        <v>08.1.2-CPVA-R-407</v>
      </c>
      <c r="H152" s="255" t="str">
        <f>CONCATENATE('3 pr-2'!I153)</f>
        <v>R</v>
      </c>
      <c r="I152" s="255" t="str">
        <f>CONCATENATE('3 pr-2'!J153)</f>
        <v>-</v>
      </c>
      <c r="J152" s="474">
        <f>IF(V152&gt;0,'3 pr-2'!L153,0)</f>
        <v>0</v>
      </c>
      <c r="K152" s="474">
        <f>IF(V152&gt;0,'3 pr-2'!O153,0)</f>
        <v>0</v>
      </c>
      <c r="L152" s="474">
        <f>IF(V152&gt;0,'3 pr-2'!R153,0)</f>
        <v>0</v>
      </c>
      <c r="M152" s="474">
        <f>IF(V152&gt;0,'3 pr-2'!U153,0)</f>
        <v>0</v>
      </c>
      <c r="N152" s="474">
        <f>IF(V152&gt;0,'3 pr-2'!X153,0)</f>
        <v>0</v>
      </c>
      <c r="O152" s="474">
        <f>IF(V152&gt;0,'3 pr-2'!AA153,0)</f>
        <v>0</v>
      </c>
      <c r="P152" s="892">
        <f>SUM('3 pr-2'!AJ153)</f>
        <v>43615</v>
      </c>
      <c r="Q152" s="290"/>
      <c r="R152" s="291" t="str">
        <f t="shared" si="46"/>
        <v>–</v>
      </c>
      <c r="S152" s="291"/>
    </row>
    <row r="153" spans="1:19" ht="42" customHeight="1" thickBot="1" x14ac:dyDescent="0.3">
      <c r="A153" s="497" t="str">
        <f>CONCATENATE('3 pr-2'!A154)</f>
        <v>2.1.3.2</v>
      </c>
      <c r="B153" s="613" t="str">
        <f>CONCATENATE('ketv. 2lent'!B152)</f>
        <v/>
      </c>
      <c r="C153" s="1656" t="str">
        <f>CONCATENATE('3 pr-2'!D154)</f>
        <v/>
      </c>
      <c r="D153" s="1789"/>
      <c r="E153" s="1789"/>
      <c r="F153" s="1789"/>
      <c r="G153" s="1789"/>
      <c r="H153" s="1789"/>
      <c r="I153" s="1790"/>
      <c r="J153" s="629">
        <f>SUM(J154:J158)</f>
        <v>0</v>
      </c>
      <c r="K153" s="629">
        <f t="shared" ref="K153:O153" si="47">SUM(K154:K158)</f>
        <v>0</v>
      </c>
      <c r="L153" s="629">
        <f t="shared" si="47"/>
        <v>0</v>
      </c>
      <c r="M153" s="629">
        <f t="shared" si="47"/>
        <v>0</v>
      </c>
      <c r="N153" s="629">
        <f t="shared" si="47"/>
        <v>0</v>
      </c>
      <c r="O153" s="629">
        <f t="shared" si="47"/>
        <v>0</v>
      </c>
      <c r="P153" s="629"/>
      <c r="Q153" s="629"/>
      <c r="R153" s="629"/>
      <c r="S153" s="629"/>
    </row>
    <row r="154" spans="1:19" ht="36.75" x14ac:dyDescent="0.25">
      <c r="A154" s="255" t="str">
        <f>CONCATENATE('3 pr-2'!A155)</f>
        <v>2.1.3.2.1</v>
      </c>
      <c r="B154" s="473" t="str">
        <f>CONCATENATE('ketv. 2lent'!B153)</f>
        <v>08.1.2-CPVA-R-408-11-0001</v>
      </c>
      <c r="C154" s="255" t="str">
        <f>CONCATENATE('3 pr-2'!D155)</f>
        <v>Socialinio būsto plėtra Varėnos rajone</v>
      </c>
      <c r="D154" s="255" t="str">
        <f>CONCATENATE('3 pr-2'!E155)</f>
        <v>Varėnos rajono savivaldybės administracija</v>
      </c>
      <c r="E154" s="255" t="str">
        <f>CONCATENATE('3 pr-2'!F155)</f>
        <v>Lietuvos Respublikos socialinės apsaugos ir darbo ministerija</v>
      </c>
      <c r="F154" s="255" t="str">
        <f>CONCATENATE('3 pr-2'!G155)</f>
        <v>Varėnos rajono savivaldybė</v>
      </c>
      <c r="G154" s="255" t="str">
        <f>CONCATENATE('3 pr-2'!H155)</f>
        <v>08.1.1-CPVA·R-408</v>
      </c>
      <c r="H154" s="255" t="str">
        <f>CONCATENATE('3 pr-2'!I155)</f>
        <v>R</v>
      </c>
      <c r="I154" s="255" t="str">
        <f>CONCATENATE('3 pr-2'!J155)</f>
        <v>-</v>
      </c>
      <c r="J154" s="474">
        <f>IF(V154&gt;0,'3 pr-2'!L155,0)</f>
        <v>0</v>
      </c>
      <c r="K154" s="474">
        <f>IF(V154&gt;0,'3 pr-2'!O155,0)</f>
        <v>0</v>
      </c>
      <c r="L154" s="474">
        <f>IF(V154&gt;0,'3 pr-2'!R155,0)</f>
        <v>0</v>
      </c>
      <c r="M154" s="474">
        <f>IF(V154&gt;0,'3 pr-2'!U155,0)</f>
        <v>0</v>
      </c>
      <c r="N154" s="474">
        <f>IF(V154&gt;0,'3 pr-2'!X155,0)</f>
        <v>0</v>
      </c>
      <c r="O154" s="474">
        <f>IF(V154&gt;0,'3 pr-2'!AA155,0)</f>
        <v>0</v>
      </c>
      <c r="P154" s="892">
        <f>SUM('3 pr-2'!AJ155)</f>
        <v>43738</v>
      </c>
      <c r="Q154" s="308"/>
      <c r="R154" s="291" t="str">
        <f t="shared" ref="R154:R158" si="48">IF(P154-Q154&lt;0,(P154-Q154)/365,"–")</f>
        <v>–</v>
      </c>
      <c r="S154" s="291"/>
    </row>
    <row r="155" spans="1:19" ht="36.75" x14ac:dyDescent="0.25">
      <c r="A155" s="255" t="str">
        <f>CONCATENATE('3 pr-2'!A156)</f>
        <v>2.1.3.2.2</v>
      </c>
      <c r="B155" s="473" t="str">
        <f>CONCATENATE('ketv. 2lent'!B154)</f>
        <v>08.1.2-CPVA-R-408-11-0005</v>
      </c>
      <c r="C155" s="255" t="str">
        <f>CONCATENATE('3 pr-2'!D156)</f>
        <v>Būsto prieinamumo pažeidžiamoms gyventojų grupėms didinimas Alytaus rajone</v>
      </c>
      <c r="D155" s="255" t="str">
        <f>CONCATENATE('3 pr-2'!E156)</f>
        <v>Alytaus rajono savivaldybės administracija</v>
      </c>
      <c r="E155" s="255" t="str">
        <f>CONCATENATE('3 pr-2'!F156)</f>
        <v>Lietuvos Respublikos socialinės apsaugos ir darbo ministerija</v>
      </c>
      <c r="F155" s="255" t="str">
        <f>CONCATENATE('3 pr-2'!G156)</f>
        <v>Alytaus  rajono savivaldybė</v>
      </c>
      <c r="G155" s="255" t="str">
        <f>CONCATENATE('3 pr-2'!H156)</f>
        <v>08.1.1-CPVA·R-408</v>
      </c>
      <c r="H155" s="255" t="str">
        <f>CONCATENATE('3 pr-2'!I156)</f>
        <v>R</v>
      </c>
      <c r="I155" s="255" t="str">
        <f>CONCATENATE('3 pr-2'!J156)</f>
        <v>-</v>
      </c>
      <c r="J155" s="474">
        <f>IF(V155&gt;0,'3 pr-2'!L156,0)</f>
        <v>0</v>
      </c>
      <c r="K155" s="474">
        <f>IF(V155&gt;0,'3 pr-2'!O156,0)</f>
        <v>0</v>
      </c>
      <c r="L155" s="474">
        <f>IF(V155&gt;0,'3 pr-2'!R156,0)</f>
        <v>0</v>
      </c>
      <c r="M155" s="474">
        <f>IF(V155&gt;0,'3 pr-2'!U156,0)</f>
        <v>0</v>
      </c>
      <c r="N155" s="474">
        <f>IF(V155&gt;0,'3 pr-2'!X156,0)</f>
        <v>0</v>
      </c>
      <c r="O155" s="474">
        <f>IF(V155&gt;0,'3 pr-2'!AA156,0)</f>
        <v>0</v>
      </c>
      <c r="P155" s="892">
        <f>SUM('3 pr-2'!AJ156)</f>
        <v>43373</v>
      </c>
      <c r="Q155" s="308"/>
      <c r="R155" s="291" t="str">
        <f t="shared" si="48"/>
        <v>–</v>
      </c>
      <c r="S155" s="291"/>
    </row>
    <row r="156" spans="1:19" ht="36.75" x14ac:dyDescent="0.25">
      <c r="A156" s="255" t="str">
        <f>CONCATENATE('3 pr-2'!A157)</f>
        <v>2.1.3.1.3</v>
      </c>
      <c r="B156" s="473" t="str">
        <f>CONCATENATE('ketv. 2lent'!B155)</f>
        <v>08.1.2-CPVA-R-408-11-0002</v>
      </c>
      <c r="C156" s="255" t="str">
        <f>CONCATENATE('3 pr-2'!D157)</f>
        <v>Socialinio būsto plėtra Alytaus mieste</v>
      </c>
      <c r="D156" s="255" t="str">
        <f>CONCATENATE('3 pr-2'!E157)</f>
        <v>Alytaus miesto savivaldybės administracija</v>
      </c>
      <c r="E156" s="255" t="str">
        <f>CONCATENATE('3 pr-2'!F157)</f>
        <v>Lietuvos Respublikos socialinės apsaugos ir darbo ministerija</v>
      </c>
      <c r="F156" s="255" t="str">
        <f>CONCATENATE('3 pr-2'!G157)</f>
        <v>Alytaus miestas</v>
      </c>
      <c r="G156" s="255" t="str">
        <f>CONCATENATE('3 pr-2'!H157)</f>
        <v>08.1.1-CPVA·R-408</v>
      </c>
      <c r="H156" s="255" t="str">
        <f>CONCATENATE('3 pr-2'!I157)</f>
        <v>R</v>
      </c>
      <c r="I156" s="255" t="str">
        <f>CONCATENATE('3 pr-2'!J157)</f>
        <v>-</v>
      </c>
      <c r="J156" s="474">
        <f>IF(V156&gt;0,'3 pr-2'!L157,0)</f>
        <v>0</v>
      </c>
      <c r="K156" s="474">
        <f>IF(V156&gt;0,'3 pr-2'!O157,0)</f>
        <v>0</v>
      </c>
      <c r="L156" s="474">
        <f>IF(V156&gt;0,'3 pr-2'!R157,0)</f>
        <v>0</v>
      </c>
      <c r="M156" s="474">
        <f>IF(V156&gt;0,'3 pr-2'!U157,0)</f>
        <v>0</v>
      </c>
      <c r="N156" s="474">
        <f>IF(V156&gt;0,'3 pr-2'!X157,0)</f>
        <v>0</v>
      </c>
      <c r="O156" s="474">
        <f>IF(V156&gt;0,'3 pr-2'!AA157,0)</f>
        <v>0</v>
      </c>
      <c r="P156" s="892">
        <f>SUM('3 pr-2'!AJ157)</f>
        <v>43464</v>
      </c>
      <c r="Q156" s="308"/>
      <c r="R156" s="291" t="str">
        <f t="shared" si="48"/>
        <v>–</v>
      </c>
      <c r="S156" s="291"/>
    </row>
    <row r="157" spans="1:19" ht="36.75" x14ac:dyDescent="0.25">
      <c r="A157" s="255" t="str">
        <f>CONCATENATE('3 pr-2'!A158)</f>
        <v>2.1.3.2.4</v>
      </c>
      <c r="B157" s="473" t="str">
        <f>CONCATENATE('ketv. 2lent'!B156)</f>
        <v>08.1.2-CPVA-R-408-11-0003</v>
      </c>
      <c r="C157" s="255" t="str">
        <f>CONCATENATE('3 pr-2'!D158)</f>
        <v>Socialinio būsto fondo plėtra Druskininkų savivaldybėje</v>
      </c>
      <c r="D157" s="255" t="str">
        <f>CONCATENATE('3 pr-2'!E158)</f>
        <v>Druskininkų savivaldybės administracija</v>
      </c>
      <c r="E157" s="255" t="str">
        <f>CONCATENATE('3 pr-2'!F158)</f>
        <v>Lietuvos Respublikos socialinės apsaugos ir darbo ministerija</v>
      </c>
      <c r="F157" s="255" t="str">
        <f>CONCATENATE('3 pr-2'!G158)</f>
        <v>Druskininkų savivaldybė</v>
      </c>
      <c r="G157" s="255" t="str">
        <f>CONCATENATE('3 pr-2'!H158)</f>
        <v>08.1.1-CPVA·R-408</v>
      </c>
      <c r="H157" s="255" t="str">
        <f>CONCATENATE('3 pr-2'!I158)</f>
        <v>R</v>
      </c>
      <c r="I157" s="255" t="str">
        <f>CONCATENATE('3 pr-2'!J158)</f>
        <v>-</v>
      </c>
      <c r="J157" s="474">
        <f>IF(V157&gt;0,'3 pr-2'!L158,0)</f>
        <v>0</v>
      </c>
      <c r="K157" s="474">
        <f>IF(V157&gt;0,'3 pr-2'!O158,0)</f>
        <v>0</v>
      </c>
      <c r="L157" s="474">
        <f>IF(V157&gt;0,'3 pr-2'!R158,0)</f>
        <v>0</v>
      </c>
      <c r="M157" s="474">
        <f>IF(V157&gt;0,'3 pr-2'!U158,0)</f>
        <v>0</v>
      </c>
      <c r="N157" s="474">
        <f>IF(V157&gt;0,'3 pr-2'!X158,0)</f>
        <v>0</v>
      </c>
      <c r="O157" s="474">
        <f>IF(V157&gt;0,'3 pr-2'!AA158,0)</f>
        <v>0</v>
      </c>
      <c r="P157" s="892">
        <f>SUM('3 pr-2'!AJ158)</f>
        <v>43250</v>
      </c>
      <c r="Q157" s="308"/>
      <c r="R157" s="291" t="str">
        <f t="shared" si="48"/>
        <v>–</v>
      </c>
      <c r="S157" s="291"/>
    </row>
    <row r="158" spans="1:19" ht="36.75" x14ac:dyDescent="0.25">
      <c r="A158" s="255" t="str">
        <f>CONCATENATE('3 pr-2'!A159)</f>
        <v>2.1.3.2.5</v>
      </c>
      <c r="B158" s="473" t="str">
        <f>CONCATENATE('ketv. 2lent'!B157)</f>
        <v>08.1.2-CPVA-R-408-11-0004</v>
      </c>
      <c r="C158" s="255" t="str">
        <f>CONCATENATE('3 pr-2'!D159)</f>
        <v>Socialinio būsto fondo plėtra Lazdijų rajono savivaldybėje</v>
      </c>
      <c r="D158" s="255" t="str">
        <f>CONCATENATE('3 pr-2'!E159)</f>
        <v>Lazdijų rajono savivaldybės administracija</v>
      </c>
      <c r="E158" s="255" t="str">
        <f>CONCATENATE('3 pr-2'!F159)</f>
        <v>Lietuvos Respublikos socialinės apsaugos ir darbo ministerija</v>
      </c>
      <c r="F158" s="255" t="str">
        <f>CONCATENATE('3 pr-2'!G159)</f>
        <v>Lazdijų rajono savivaldybė</v>
      </c>
      <c r="G158" s="255" t="str">
        <f>CONCATENATE('3 pr-2'!H159)</f>
        <v>08.1.1-CPVA·R-408</v>
      </c>
      <c r="H158" s="255" t="str">
        <f>CONCATENATE('3 pr-2'!I159)</f>
        <v>R</v>
      </c>
      <c r="I158" s="255" t="str">
        <f>CONCATENATE('3 pr-2'!J159)</f>
        <v>-</v>
      </c>
      <c r="J158" s="474">
        <f>IF(V158&gt;0,'3 pr-2'!L159,0)</f>
        <v>0</v>
      </c>
      <c r="K158" s="474">
        <f>IF(V158&gt;0,'3 pr-2'!O159,0)</f>
        <v>0</v>
      </c>
      <c r="L158" s="474">
        <f>IF(V158&gt;0,'3 pr-2'!R159,0)</f>
        <v>0</v>
      </c>
      <c r="M158" s="474">
        <f>IF(V158&gt;0,'3 pr-2'!U159,0)</f>
        <v>0</v>
      </c>
      <c r="N158" s="474">
        <f>IF(V158&gt;0,'3 pr-2'!X159,0)</f>
        <v>0</v>
      </c>
      <c r="O158" s="474">
        <f>IF(V158&gt;0,'3 pr-2'!AA159,0)</f>
        <v>0</v>
      </c>
      <c r="P158" s="892">
        <f>SUM('3 pr-2'!AJ159)</f>
        <v>43554</v>
      </c>
      <c r="Q158" s="308"/>
      <c r="R158" s="291" t="str">
        <f t="shared" si="48"/>
        <v>–</v>
      </c>
      <c r="S158" s="291"/>
    </row>
    <row r="159" spans="1:19" ht="40.5" customHeight="1" thickBot="1" x14ac:dyDescent="0.3">
      <c r="A159" s="220" t="str">
        <f>CONCATENATE('3 pr-2'!A160)</f>
        <v>2.1.4.</v>
      </c>
      <c r="B159" s="471" t="str">
        <f>CONCATENATE('ketv. 2lent'!B158)</f>
        <v/>
      </c>
      <c r="C159" s="1821" t="str">
        <f>CONCATENATE('3 pr-2'!D160)</f>
        <v/>
      </c>
      <c r="D159" s="1822" t="str">
        <f>CONCATENATE('3 pr-2'!E160)</f>
        <v/>
      </c>
      <c r="E159" s="1822" t="str">
        <f>CONCATENATE('3 pr-2'!F160)</f>
        <v/>
      </c>
      <c r="F159" s="1822" t="str">
        <f>CONCATENATE('3 pr-2'!G160)</f>
        <v/>
      </c>
      <c r="G159" s="1822" t="str">
        <f>CONCATENATE('3 pr-2'!H160)</f>
        <v/>
      </c>
      <c r="H159" s="1822" t="str">
        <f>CONCATENATE('3 pr-2'!I160)</f>
        <v/>
      </c>
      <c r="I159" s="1822" t="str">
        <f>CONCATENATE('3 pr-2'!J160)</f>
        <v/>
      </c>
      <c r="J159" s="651">
        <f>SUM(J160)</f>
        <v>0</v>
      </c>
      <c r="K159" s="651">
        <f t="shared" ref="K159:O159" si="49">SUM(K160)</f>
        <v>0</v>
      </c>
      <c r="L159" s="651">
        <f t="shared" si="49"/>
        <v>0</v>
      </c>
      <c r="M159" s="651">
        <f t="shared" si="49"/>
        <v>0</v>
      </c>
      <c r="N159" s="651">
        <f t="shared" si="49"/>
        <v>0</v>
      </c>
      <c r="O159" s="651">
        <f t="shared" si="49"/>
        <v>0</v>
      </c>
      <c r="P159" s="652" t="s">
        <v>725</v>
      </c>
      <c r="Q159" s="681" t="s">
        <v>725</v>
      </c>
      <c r="R159" s="682" t="s">
        <v>725</v>
      </c>
      <c r="S159" s="653"/>
    </row>
    <row r="160" spans="1:19" ht="38.25" customHeight="1" thickBot="1" x14ac:dyDescent="0.3">
      <c r="A160" s="497" t="str">
        <f>CONCATENATE('3 pr-2'!A161)</f>
        <v>2.1.4.1</v>
      </c>
      <c r="B160" s="613" t="str">
        <f>CONCATENATE('ketv. 2lent'!B159)</f>
        <v/>
      </c>
      <c r="C160" s="1656" t="str">
        <f>CONCATENATE('3 pr-2'!D161)</f>
        <v/>
      </c>
      <c r="D160" s="1789"/>
      <c r="E160" s="1789"/>
      <c r="F160" s="1789"/>
      <c r="G160" s="1789"/>
      <c r="H160" s="1789"/>
      <c r="I160" s="1790"/>
      <c r="J160" s="629">
        <f>SUM(J161:J166)</f>
        <v>0</v>
      </c>
      <c r="K160" s="629">
        <f t="shared" ref="K160:O160" si="50">SUM(K161:K166)</f>
        <v>0</v>
      </c>
      <c r="L160" s="629">
        <f t="shared" si="50"/>
        <v>0</v>
      </c>
      <c r="M160" s="629">
        <f t="shared" si="50"/>
        <v>0</v>
      </c>
      <c r="N160" s="629">
        <f t="shared" si="50"/>
        <v>0</v>
      </c>
      <c r="O160" s="629">
        <f t="shared" si="50"/>
        <v>0</v>
      </c>
      <c r="P160" s="629"/>
      <c r="Q160" s="629"/>
      <c r="R160" s="629"/>
      <c r="S160" s="629"/>
    </row>
    <row r="161" spans="1:19" ht="36.75" x14ac:dyDescent="0.25">
      <c r="A161" s="255" t="str">
        <f>CONCATENATE('3 pr-2'!A162)</f>
        <v>2.1.4.1.1</v>
      </c>
      <c r="B161" s="473" t="str">
        <f>CONCATENATE('ketv. 2lent'!B160)</f>
        <v>10.1.3-ESFA-R-920-11-0001</v>
      </c>
      <c r="C161" s="255" t="str">
        <f>CONCATENATE('3 pr-2'!D162)</f>
        <v>Paslaugų teikimo ir asmenų aptarnavimo kokybės gerinimas Varėnos rajono savivaldybėje</v>
      </c>
      <c r="D161" s="255" t="str">
        <f>CONCATENATE('3 pr-2'!E162)</f>
        <v>Varėnos rajono savivaldybės administracija</v>
      </c>
      <c r="E161" s="255" t="str">
        <f>CONCATENATE('3 pr-2'!F162)</f>
        <v>Lietuvos Respublikos vidaus reikalų ministerija</v>
      </c>
      <c r="F161" s="255" t="str">
        <f>CONCATENATE('3 pr-2'!G162)</f>
        <v>Varėnos miestas</v>
      </c>
      <c r="G161" s="255" t="str">
        <f>CONCATENATE('3 pr-2'!H162)</f>
        <v>10.1.3-ESFA-R-920</v>
      </c>
      <c r="H161" s="255" t="str">
        <f>CONCATENATE('3 pr-2'!I162)</f>
        <v>R</v>
      </c>
      <c r="I161" s="255" t="str">
        <f>CONCATENATE('3 pr-2'!J162)</f>
        <v>-</v>
      </c>
      <c r="J161" s="474">
        <f>IF(V161&gt;0,'3 pr-2'!L162,0)</f>
        <v>0</v>
      </c>
      <c r="K161" s="474">
        <f>IF(V161&gt;0,'3 pr-2'!O162,0)</f>
        <v>0</v>
      </c>
      <c r="L161" s="474">
        <f>IF(V161&gt;0,'3 pr-2'!R162,0)</f>
        <v>0</v>
      </c>
      <c r="M161" s="474">
        <f>IF(V161&gt;0,'3 pr-2'!U162,0)</f>
        <v>0</v>
      </c>
      <c r="N161" s="474">
        <f>IF(V161&gt;0,'3 pr-2'!X162,0)</f>
        <v>0</v>
      </c>
      <c r="O161" s="474">
        <f>IF(V161&gt;0,'3 pr-2'!AA162,0)</f>
        <v>0</v>
      </c>
      <c r="P161" s="290">
        <f>SUM('3 pr-2'!AJ162)</f>
        <v>43830</v>
      </c>
      <c r="Q161" s="255"/>
      <c r="R161" s="291" t="str">
        <f t="shared" ref="R161:R166" si="51">IF(P161-Q161&lt;0,(P161-Q161)/365,"–")</f>
        <v>–</v>
      </c>
      <c r="S161" s="255"/>
    </row>
    <row r="162" spans="1:19" ht="36.75" x14ac:dyDescent="0.25">
      <c r="A162" s="255" t="str">
        <f>CONCATENATE('3 pr-2'!A163)</f>
        <v>2.1.4.1.2</v>
      </c>
      <c r="B162" s="473" t="str">
        <f>CONCATENATE('ketv. 2lent'!B161)</f>
        <v/>
      </c>
      <c r="C162" s="255" t="str">
        <f>CONCATENATE('3 pr-2'!D163)</f>
        <v>Paslaugų ir asmenų aptarnavimo kokybės gerinimas Alytaus rajono savivaldybėje</v>
      </c>
      <c r="D162" s="255" t="str">
        <f>CONCATENATE('3 pr-2'!E163)</f>
        <v>Alytaus rajono savivaldybės administracija</v>
      </c>
      <c r="E162" s="255" t="str">
        <f>CONCATENATE('3 pr-2'!F163)</f>
        <v>Lietuvos Respublikos vidaus reikalų ministerija</v>
      </c>
      <c r="F162" s="255" t="str">
        <f>CONCATENATE('3 pr-2'!G163)</f>
        <v>Alytaus  rajono savivaldybė</v>
      </c>
      <c r="G162" s="255" t="str">
        <f>CONCATENATE('3 pr-2'!H163)</f>
        <v>10.1.3-ESFA-R-920</v>
      </c>
      <c r="H162" s="255" t="str">
        <f>CONCATENATE('3 pr-2'!I163)</f>
        <v>R</v>
      </c>
      <c r="I162" s="255" t="str">
        <f>CONCATENATE('3 pr-2'!J163)</f>
        <v>-</v>
      </c>
      <c r="J162" s="474">
        <f>IF(V162&gt;0,'3 pr-2'!L163,0)</f>
        <v>0</v>
      </c>
      <c r="K162" s="474">
        <f>IF(V162&gt;0,'3 pr-2'!O163,0)</f>
        <v>0</v>
      </c>
      <c r="L162" s="474">
        <f>IF(V162&gt;0,'3 pr-2'!R163,0)</f>
        <v>0</v>
      </c>
      <c r="M162" s="474">
        <f>IF(V162&gt;0,'3 pr-2'!U163,0)</f>
        <v>0</v>
      </c>
      <c r="N162" s="474">
        <f>IF(V162&gt;0,'3 pr-2'!X163,0)</f>
        <v>0</v>
      </c>
      <c r="O162" s="474">
        <f>IF(V162&gt;0,'3 pr-2'!AA163,0)</f>
        <v>0</v>
      </c>
      <c r="P162" s="290">
        <f>SUM('3 pr-2'!AJ163)</f>
        <v>44561</v>
      </c>
      <c r="Q162" s="255"/>
      <c r="R162" s="291" t="str">
        <f t="shared" si="51"/>
        <v>–</v>
      </c>
      <c r="S162" s="255"/>
    </row>
    <row r="163" spans="1:19" ht="36.75" x14ac:dyDescent="0.25">
      <c r="A163" s="255" t="str">
        <f>CONCATENATE('3 pr-2'!A164)</f>
        <v>2.1.4.1.3</v>
      </c>
      <c r="B163" s="473" t="str">
        <f>CONCATENATE('ketv. 2lent'!B162)</f>
        <v>10.1.3-ESFA-R-920-11-0003</v>
      </c>
      <c r="C163" s="255" t="str">
        <f>CONCATENATE('3 pr-2'!D164)</f>
        <v>Lazdijų rajono savivaldybės administracijos ir jos viešojo valdymo institucijų teikiamų paslaugų procesų tobulinimas</v>
      </c>
      <c r="D163" s="255" t="str">
        <f>CONCATENATE('3 pr-2'!E164)</f>
        <v>Lazdijų rajono savivaldybės administracija</v>
      </c>
      <c r="E163" s="255" t="str">
        <f>CONCATENATE('3 pr-2'!F164)</f>
        <v>Lietuvos Respublikos vidaus reikalų ministerija</v>
      </c>
      <c r="F163" s="255" t="str">
        <f>CONCATENATE('3 pr-2'!G164)</f>
        <v>Lazdijų rajono savivaldybė</v>
      </c>
      <c r="G163" s="255" t="str">
        <f>CONCATENATE('3 pr-2'!H164)</f>
        <v>10.1.3-ESFA-R-920</v>
      </c>
      <c r="H163" s="255" t="str">
        <f>CONCATENATE('3 pr-2'!I164)</f>
        <v>R</v>
      </c>
      <c r="I163" s="255" t="str">
        <f>CONCATENATE('3 pr-2'!J164)</f>
        <v>-</v>
      </c>
      <c r="J163" s="474">
        <f>IF(V163&gt;0,'3 pr-2'!L164,0)</f>
        <v>0</v>
      </c>
      <c r="K163" s="474">
        <f>IF(V163&gt;0,'3 pr-2'!O164,0)</f>
        <v>0</v>
      </c>
      <c r="L163" s="474">
        <f>IF(V163&gt;0,'3 pr-2'!R164,0)</f>
        <v>0</v>
      </c>
      <c r="M163" s="474">
        <f>IF(V163&gt;0,'3 pr-2'!U164,0)</f>
        <v>0</v>
      </c>
      <c r="N163" s="474">
        <f>IF(V163&gt;0,'3 pr-2'!X164,0)</f>
        <v>0</v>
      </c>
      <c r="O163" s="474">
        <f>IF(V163&gt;0,'3 pr-2'!AA164,0)</f>
        <v>0</v>
      </c>
      <c r="P163" s="290">
        <f>SUM('3 pr-2'!AJ164)</f>
        <v>44196</v>
      </c>
      <c r="Q163" s="255"/>
      <c r="R163" s="291" t="str">
        <f t="shared" si="51"/>
        <v>–</v>
      </c>
      <c r="S163" s="255"/>
    </row>
    <row r="164" spans="1:19" ht="36.75" x14ac:dyDescent="0.25">
      <c r="A164" s="255" t="str">
        <f>CONCATENATE('3 pr-2'!A165)</f>
        <v>2.1.4.1.4</v>
      </c>
      <c r="B164" s="473" t="str">
        <f>CONCATENATE('ketv. 2lent'!B163)</f>
        <v/>
      </c>
      <c r="C164" s="255" t="str">
        <f>CONCATENATE('3 pr-2'!D165)</f>
        <v>Teikiamų paslaugų procesų tobulinimas ir asmenų aptarnavimo kokybės gerinimas Alytaus miesto savivaldybės administracijoje ir jai pavaldžiose įstaigose. I etapas</v>
      </c>
      <c r="D164" s="255" t="str">
        <f>CONCATENATE('3 pr-2'!E165)</f>
        <v>Alytaus miesto savivaldybės administracija</v>
      </c>
      <c r="E164" s="255" t="str">
        <f>CONCATENATE('3 pr-2'!F165)</f>
        <v>Lietuvos Respublikos vidaus reikalų ministerija</v>
      </c>
      <c r="F164" s="255" t="str">
        <f>CONCATENATE('3 pr-2'!G165)</f>
        <v>Alytaus miestas</v>
      </c>
      <c r="G164" s="255" t="str">
        <f>CONCATENATE('3 pr-2'!H165)</f>
        <v>10.1.3-ESFA-R-920</v>
      </c>
      <c r="H164" s="255" t="str">
        <f>CONCATENATE('3 pr-2'!I165)</f>
        <v>R</v>
      </c>
      <c r="I164" s="255" t="str">
        <f>CONCATENATE('3 pr-2'!J165)</f>
        <v>-</v>
      </c>
      <c r="J164" s="474">
        <f>IF(V164&gt;0,'3 pr-2'!L165,0)</f>
        <v>0</v>
      </c>
      <c r="K164" s="474">
        <f>IF(V164&gt;0,'3 pr-2'!O165,0)</f>
        <v>0</v>
      </c>
      <c r="L164" s="474">
        <f>IF(V164&gt;0,'3 pr-2'!R165,0)</f>
        <v>0</v>
      </c>
      <c r="M164" s="474">
        <f>IF(V164&gt;0,'3 pr-2'!U165,0)</f>
        <v>0</v>
      </c>
      <c r="N164" s="474">
        <f>IF(V164&gt;0,'3 pr-2'!X165,0)</f>
        <v>0</v>
      </c>
      <c r="O164" s="474">
        <f>IF(V164&gt;0,'3 pr-2'!AA165,0)</f>
        <v>0</v>
      </c>
      <c r="P164" s="290">
        <f>SUM('3 pr-2'!AJ165)</f>
        <v>43830</v>
      </c>
      <c r="Q164" s="255"/>
      <c r="R164" s="291" t="str">
        <f t="shared" si="51"/>
        <v>–</v>
      </c>
      <c r="S164" s="255"/>
    </row>
    <row r="165" spans="1:19" ht="36.75" x14ac:dyDescent="0.25">
      <c r="A165" s="255" t="str">
        <f>CONCATENATE('3 pr-2'!A166)</f>
        <v>2.1.4.1.5</v>
      </c>
      <c r="B165" s="473" t="str">
        <f>CONCATENATE('ketv. 2lent'!B164)</f>
        <v/>
      </c>
      <c r="C165" s="255" t="str">
        <f>CONCATENATE('3 pr-2'!D166)</f>
        <v>Paslaugų teikimo ir asmenų aptarnavimo kokybės gerinimas Druskininkų savivaldybėje</v>
      </c>
      <c r="D165" s="255" t="str">
        <f>CONCATENATE('3 pr-2'!E166)</f>
        <v>Druskininkų savivaldybės administracija</v>
      </c>
      <c r="E165" s="255" t="str">
        <f>CONCATENATE('3 pr-2'!F166)</f>
        <v>Lietuvos Respublikos vidaus reikalų ministerija</v>
      </c>
      <c r="F165" s="255" t="str">
        <f>CONCATENATE('3 pr-2'!G166)</f>
        <v>Druskininkų savivaldybė</v>
      </c>
      <c r="G165" s="255" t="str">
        <f>CONCATENATE('3 pr-2'!H166)</f>
        <v>10.1.3-ESFA-R-920</v>
      </c>
      <c r="H165" s="255" t="str">
        <f>CONCATENATE('3 pr-2'!I166)</f>
        <v>R</v>
      </c>
      <c r="I165" s="255" t="str">
        <f>CONCATENATE('3 pr-2'!J166)</f>
        <v>-</v>
      </c>
      <c r="J165" s="474">
        <f>IF(V165&gt;0,'3 pr-2'!L166,0)</f>
        <v>0</v>
      </c>
      <c r="K165" s="474">
        <f>IF(V165&gt;0,'3 pr-2'!O166,0)</f>
        <v>0</v>
      </c>
      <c r="L165" s="474">
        <f>IF(V165&gt;0,'3 pr-2'!R166,0)</f>
        <v>0</v>
      </c>
      <c r="M165" s="474">
        <f>IF(V165&gt;0,'3 pr-2'!U166,0)</f>
        <v>0</v>
      </c>
      <c r="N165" s="474">
        <f>IF(V165&gt;0,'3 pr-2'!X166,0)</f>
        <v>0</v>
      </c>
      <c r="O165" s="474">
        <f>IF(V165&gt;0,'3 pr-2'!AA166,0)</f>
        <v>0</v>
      </c>
      <c r="P165" s="290">
        <f>SUM('3 pr-2'!AJ166)</f>
        <v>44103.5</v>
      </c>
      <c r="Q165" s="255"/>
      <c r="R165" s="291" t="str">
        <f t="shared" si="51"/>
        <v>–</v>
      </c>
      <c r="S165" s="255"/>
    </row>
    <row r="166" spans="1:19" ht="36.75" x14ac:dyDescent="0.25">
      <c r="A166" s="255" t="str">
        <f>CONCATENATE('3 pr-2'!A167)</f>
        <v>2.1.4.1.6</v>
      </c>
      <c r="B166" s="473" t="str">
        <f>CONCATENATE('ketv. 2lent'!B165)</f>
        <v/>
      </c>
      <c r="C166" s="255" t="str">
        <f>CONCATENATE('3 pr-2'!D167)</f>
        <v>Teikiamų paslaugų procesų tobulinimas ir asmenų aptarnavimo kokybės gerinimas Alytaus miesto savivaldybės administracijoje ir jai pavaldžiose įstaigose. II etapas</v>
      </c>
      <c r="D166" s="255" t="str">
        <f>CONCATENATE('3 pr-2'!E167)</f>
        <v>Alytaus miesto savivaldybės administracija</v>
      </c>
      <c r="E166" s="255" t="str">
        <f>CONCATENATE('3 pr-2'!F167)</f>
        <v>Lietuvos Respublikos vidaus reikalų ministerija</v>
      </c>
      <c r="F166" s="255" t="str">
        <f>CONCATENATE('3 pr-2'!G167)</f>
        <v>Alytaus miestas</v>
      </c>
      <c r="G166" s="255" t="str">
        <f>CONCATENATE('3 pr-2'!H167)</f>
        <v>10.1.3-ESFA-R-920</v>
      </c>
      <c r="H166" s="255" t="str">
        <f>CONCATENATE('3 pr-2'!I167)</f>
        <v>R</v>
      </c>
      <c r="I166" s="255" t="str">
        <f>CONCATENATE('3 pr-2'!J167)</f>
        <v>-</v>
      </c>
      <c r="J166" s="474">
        <f>IF(V166&gt;0,'3 pr-2'!L167,0)</f>
        <v>0</v>
      </c>
      <c r="K166" s="474">
        <f>IF(V166&gt;0,'3 pr-2'!O167,0)</f>
        <v>0</v>
      </c>
      <c r="L166" s="474">
        <f>IF(V166&gt;0,'3 pr-2'!R167,0)</f>
        <v>0</v>
      </c>
      <c r="M166" s="474">
        <f>IF(V166&gt;0,'3 pr-2'!U167,0)</f>
        <v>0</v>
      </c>
      <c r="N166" s="474">
        <f>IF(V166&gt;0,'3 pr-2'!X167,0)</f>
        <v>0</v>
      </c>
      <c r="O166" s="474">
        <f>IF(V166&gt;0,'3 pr-2'!AA167,0)</f>
        <v>0</v>
      </c>
      <c r="P166" s="290">
        <f>SUM('3 pr-2'!AJ167)</f>
        <v>44196</v>
      </c>
      <c r="Q166" s="255"/>
      <c r="R166" s="291" t="str">
        <f t="shared" si="51"/>
        <v>–</v>
      </c>
      <c r="S166" s="255"/>
    </row>
    <row r="167" spans="1:19" ht="42" customHeight="1" thickBot="1" x14ac:dyDescent="0.3">
      <c r="A167" s="221" t="str">
        <f>CONCATENATE('3 pr-2'!A168)</f>
        <v>3.1.</v>
      </c>
      <c r="B167" s="471" t="str">
        <f>CONCATENATE('ketv. 2lent'!B166)</f>
        <v/>
      </c>
      <c r="C167" s="1824" t="str">
        <f>CONCATENATE('3 pr-2'!D168)</f>
        <v/>
      </c>
      <c r="D167" s="1825" t="str">
        <f>CONCATENATE('3 pr-2'!E168)</f>
        <v/>
      </c>
      <c r="E167" s="1825" t="str">
        <f>CONCATENATE('3 pr-2'!F168)</f>
        <v/>
      </c>
      <c r="F167" s="1825" t="str">
        <f>CONCATENATE('3 pr-2'!G168)</f>
        <v/>
      </c>
      <c r="G167" s="1825" t="str">
        <f>CONCATENATE('3 pr-2'!H168)</f>
        <v/>
      </c>
      <c r="H167" s="1825" t="str">
        <f>CONCATENATE('3 pr-2'!I168)</f>
        <v/>
      </c>
      <c r="I167" s="1825" t="str">
        <f>CONCATENATE('3 pr-2'!J168)</f>
        <v/>
      </c>
      <c r="J167" s="644">
        <f>SUM(J168+J171)</f>
        <v>0</v>
      </c>
      <c r="K167" s="644">
        <f t="shared" ref="K167:O167" si="52">SUM(K168+K171)</f>
        <v>0</v>
      </c>
      <c r="L167" s="644">
        <f t="shared" si="52"/>
        <v>0</v>
      </c>
      <c r="M167" s="644">
        <f t="shared" si="52"/>
        <v>0</v>
      </c>
      <c r="N167" s="644">
        <f t="shared" si="52"/>
        <v>0</v>
      </c>
      <c r="O167" s="644">
        <f t="shared" si="52"/>
        <v>0</v>
      </c>
      <c r="P167" s="279" t="s">
        <v>725</v>
      </c>
      <c r="Q167" s="680" t="s">
        <v>725</v>
      </c>
      <c r="R167" s="645" t="s">
        <v>725</v>
      </c>
      <c r="S167" s="645"/>
    </row>
    <row r="168" spans="1:19" ht="32.25" customHeight="1" thickBot="1" x14ac:dyDescent="0.3">
      <c r="A168" s="220" t="str">
        <f>CONCATENATE('3 pr-2'!A169)</f>
        <v>3.1.1.</v>
      </c>
      <c r="B168" s="323" t="str">
        <f>CONCATENATE('ketv. 2lent'!B167)</f>
        <v/>
      </c>
      <c r="C168" s="1668" t="str">
        <f>CONCATENATE('3 pr-2'!D169)</f>
        <v/>
      </c>
      <c r="D168" s="1595" t="str">
        <f>CONCATENATE('3 pr-2'!E169)</f>
        <v/>
      </c>
      <c r="E168" s="1595" t="str">
        <f>CONCATENATE('3 pr-2'!F169)</f>
        <v/>
      </c>
      <c r="F168" s="1595" t="str">
        <f>CONCATENATE('3 pr-2'!G169)</f>
        <v/>
      </c>
      <c r="G168" s="1595" t="str">
        <f>CONCATENATE('3 pr-2'!H169)</f>
        <v/>
      </c>
      <c r="H168" s="1595" t="str">
        <f>CONCATENATE('3 pr-2'!I169)</f>
        <v/>
      </c>
      <c r="I168" s="1595" t="str">
        <f>CONCATENATE('3 pr-2'!J169)</f>
        <v/>
      </c>
      <c r="J168" s="295">
        <f>SUM(J169)</f>
        <v>0</v>
      </c>
      <c r="K168" s="295">
        <f t="shared" ref="K168:O168" si="53">SUM(K169)</f>
        <v>0</v>
      </c>
      <c r="L168" s="295">
        <f t="shared" si="53"/>
        <v>0</v>
      </c>
      <c r="M168" s="295">
        <f t="shared" si="53"/>
        <v>0</v>
      </c>
      <c r="N168" s="295">
        <f t="shared" si="53"/>
        <v>0</v>
      </c>
      <c r="O168" s="295">
        <f t="shared" si="53"/>
        <v>0</v>
      </c>
      <c r="P168" s="280" t="s">
        <v>725</v>
      </c>
      <c r="Q168" s="262" t="s">
        <v>725</v>
      </c>
      <c r="R168" s="263" t="s">
        <v>725</v>
      </c>
      <c r="S168" s="263"/>
    </row>
    <row r="169" spans="1:19" ht="33.75" customHeight="1" thickBot="1" x14ac:dyDescent="0.3">
      <c r="A169" s="497" t="str">
        <f>CONCATENATE('3 pr-2'!A170)</f>
        <v>3.1.1.1</v>
      </c>
      <c r="B169" s="613" t="str">
        <f>CONCATENATE('ketv. 2lent'!B168)</f>
        <v/>
      </c>
      <c r="C169" s="1656" t="str">
        <f>CONCATENATE('3 pr-2'!D170)</f>
        <v/>
      </c>
      <c r="D169" s="1789"/>
      <c r="E169" s="1789"/>
      <c r="F169" s="1789"/>
      <c r="G169" s="1789"/>
      <c r="H169" s="1789"/>
      <c r="I169" s="1790"/>
      <c r="J169" s="629">
        <f>SUM(J170)</f>
        <v>0</v>
      </c>
      <c r="K169" s="629">
        <f t="shared" ref="K169:O169" si="54">SUM(K170)</f>
        <v>0</v>
      </c>
      <c r="L169" s="629">
        <f t="shared" si="54"/>
        <v>0</v>
      </c>
      <c r="M169" s="629">
        <f t="shared" si="54"/>
        <v>0</v>
      </c>
      <c r="N169" s="629">
        <f t="shared" si="54"/>
        <v>0</v>
      </c>
      <c r="O169" s="629">
        <f t="shared" si="54"/>
        <v>0</v>
      </c>
      <c r="P169" s="629"/>
      <c r="Q169" s="629"/>
      <c r="R169" s="629"/>
      <c r="S169" s="629"/>
    </row>
    <row r="170" spans="1:19" ht="48.75" x14ac:dyDescent="0.25">
      <c r="A170" s="255" t="str">
        <f>CONCATENATE('3 pr-2'!A171)</f>
        <v>3.1.1.1.1</v>
      </c>
      <c r="B170" s="473" t="str">
        <f>CONCATENATE('ketv. 2lent'!B169)</f>
        <v>05.2.1-APVA-R-008-11-0001</v>
      </c>
      <c r="C170" s="255" t="str">
        <f>CONCATENATE('3 pr-2'!D171)</f>
        <v>Komunalinių atliekų tvarkymo sistemos plėtra Alytaus regione</v>
      </c>
      <c r="D170" s="255" t="str">
        <f>CONCATENATE('3 pr-2'!E171)</f>
        <v>Alytaus regiono atliekų tvarkymo centras</v>
      </c>
      <c r="E170" s="255" t="str">
        <f>CONCATENATE('3 pr-2'!F171)</f>
        <v>Lietuvos Respublikos aplinkos ministerija</v>
      </c>
      <c r="F170" s="255" t="str">
        <f>CONCATENATE('3 pr-2'!G171)</f>
        <v>Alytaus atliekų tvarkymo regionas</v>
      </c>
      <c r="G170" s="255" t="str">
        <f>CONCATENATE('3 pr-2'!H171)</f>
        <v>05.2.1-APVA-R-008</v>
      </c>
      <c r="H170" s="255" t="str">
        <f>CONCATENATE('3 pr-2'!I171)</f>
        <v>R</v>
      </c>
      <c r="I170" s="255" t="str">
        <f>CONCATENATE('3 pr-2'!J171)</f>
        <v>-</v>
      </c>
      <c r="J170" s="474">
        <f>IF(V170&gt;0,'3 pr-2'!L171,0)</f>
        <v>0</v>
      </c>
      <c r="K170" s="474">
        <f>IF(V170&gt;0,'3 pr-2'!O171,0)</f>
        <v>0</v>
      </c>
      <c r="L170" s="474">
        <f>IF(V170&gt;0,'3 pr-2'!R171,0)</f>
        <v>0</v>
      </c>
      <c r="M170" s="474">
        <f>IF(V170&gt;0,'3 pr-2'!U171,0)</f>
        <v>0</v>
      </c>
      <c r="N170" s="474">
        <f>IF(V170&gt;0,'3 pr-2'!X171,0)</f>
        <v>0</v>
      </c>
      <c r="O170" s="474">
        <f>IF(V170&gt;0,'3 pr-2'!AA171,0)</f>
        <v>0</v>
      </c>
      <c r="P170" s="636">
        <f>SUM('3 pr-2'!AJ171)</f>
        <v>43830</v>
      </c>
      <c r="Q170" s="290"/>
      <c r="R170" s="291" t="str">
        <f>IF(P170-Q170&lt;0,(P170-Q170)/365,"–")</f>
        <v>–</v>
      </c>
      <c r="S170" s="291"/>
    </row>
    <row r="171" spans="1:19" ht="39.75" customHeight="1" thickBot="1" x14ac:dyDescent="0.3">
      <c r="A171" s="220" t="str">
        <f>CONCATENATE('3 pr-2'!A172)</f>
        <v>3.1.2.</v>
      </c>
      <c r="B171" s="471" t="str">
        <f>CONCATENATE('ketv. 2lent'!B170)</f>
        <v/>
      </c>
      <c r="C171" s="1821" t="str">
        <f>CONCATENATE('3 pr-2'!D172)</f>
        <v/>
      </c>
      <c r="D171" s="1822" t="str">
        <f>CONCATENATE('3 pr-2'!E172)</f>
        <v/>
      </c>
      <c r="E171" s="1822" t="str">
        <f>CONCATENATE('3 pr-2'!F172)</f>
        <v/>
      </c>
      <c r="F171" s="1822" t="str">
        <f>CONCATENATE('3 pr-2'!G172)</f>
        <v/>
      </c>
      <c r="G171" s="1822" t="str">
        <f>CONCATENATE('3 pr-2'!H172)</f>
        <v/>
      </c>
      <c r="H171" s="1822" t="str">
        <f>CONCATENATE('3 pr-2'!I172)</f>
        <v/>
      </c>
      <c r="I171" s="1822" t="str">
        <f>CONCATENATE('3 pr-2'!J172)</f>
        <v/>
      </c>
      <c r="J171" s="445">
        <f>SUM(J172)</f>
        <v>0</v>
      </c>
      <c r="K171" s="445">
        <f t="shared" ref="K171:O171" si="55">SUM(K172)</f>
        <v>0</v>
      </c>
      <c r="L171" s="445">
        <f t="shared" si="55"/>
        <v>0</v>
      </c>
      <c r="M171" s="445">
        <f t="shared" si="55"/>
        <v>0</v>
      </c>
      <c r="N171" s="445">
        <f t="shared" si="55"/>
        <v>0</v>
      </c>
      <c r="O171" s="445">
        <f t="shared" si="55"/>
        <v>0</v>
      </c>
      <c r="P171" s="446" t="s">
        <v>725</v>
      </c>
      <c r="Q171" s="447" t="s">
        <v>725</v>
      </c>
      <c r="R171" s="448" t="s">
        <v>725</v>
      </c>
      <c r="S171" s="448"/>
    </row>
    <row r="172" spans="1:19" ht="33.75" customHeight="1" thickBot="1" x14ac:dyDescent="0.3">
      <c r="A172" s="497" t="str">
        <f>CONCATENATE('3 pr-2'!A173)</f>
        <v>3.1.2.1</v>
      </c>
      <c r="B172" s="613" t="str">
        <f>CONCATENATE('ketv. 2lent'!B171)</f>
        <v/>
      </c>
      <c r="C172" s="1656" t="str">
        <f>CONCATENATE('3 pr-2'!D173)</f>
        <v/>
      </c>
      <c r="D172" s="1789"/>
      <c r="E172" s="1789"/>
      <c r="F172" s="1789"/>
      <c r="G172" s="1789"/>
      <c r="H172" s="1789"/>
      <c r="I172" s="1790"/>
      <c r="J172" s="629">
        <f>SUM(J173:J180)</f>
        <v>0</v>
      </c>
      <c r="K172" s="629">
        <f t="shared" ref="K172:O172" si="56">SUM(K173:K180)</f>
        <v>0</v>
      </c>
      <c r="L172" s="629">
        <f t="shared" si="56"/>
        <v>0</v>
      </c>
      <c r="M172" s="629">
        <f t="shared" si="56"/>
        <v>0</v>
      </c>
      <c r="N172" s="629">
        <f t="shared" si="56"/>
        <v>0</v>
      </c>
      <c r="O172" s="629">
        <f t="shared" si="56"/>
        <v>0</v>
      </c>
      <c r="P172" s="629"/>
      <c r="Q172" s="629"/>
      <c r="R172" s="629"/>
      <c r="S172" s="629"/>
    </row>
    <row r="173" spans="1:19" ht="36.75" x14ac:dyDescent="0.25">
      <c r="A173" s="255" t="str">
        <f>CONCATENATE('3 pr-2'!A174)</f>
        <v>3.1.2.1.1</v>
      </c>
      <c r="B173" s="473" t="str">
        <f>CONCATENATE('ketv. 2lent'!B172)</f>
        <v>05.5.1-APVA-R-019-11-0002</v>
      </c>
      <c r="C173" s="255" t="str">
        <f>CONCATENATE('3 pr-2'!D174)</f>
        <v>Kraštovaizdžio formavimas ir tvarkymas Varėnos r. savivaldybėje (I etapas)</v>
      </c>
      <c r="D173" s="255" t="str">
        <f>CONCATENATE('3 pr-2'!E174)</f>
        <v>Varėnos rajono savivaldybės administracija</v>
      </c>
      <c r="E173" s="255" t="str">
        <f>CONCATENATE('3 pr-2'!F174)</f>
        <v>Lietuvos Respublikos aplinkos ministerija</v>
      </c>
      <c r="F173" s="255" t="str">
        <f>CONCATENATE('3 pr-2'!G174)</f>
        <v>Varėnos  rajono savivaldybė</v>
      </c>
      <c r="G173" s="255" t="str">
        <f>CONCATENATE('3 pr-2'!H174)</f>
        <v>05.5.1-APVA-R-019</v>
      </c>
      <c r="H173" s="255" t="str">
        <f>CONCATENATE('3 pr-2'!I174)</f>
        <v>R</v>
      </c>
      <c r="I173" s="255" t="str">
        <f>CONCATENATE('3 pr-2'!J174)</f>
        <v>-</v>
      </c>
      <c r="J173" s="474">
        <f>IF(V173&gt;0,'3 pr-2'!L174,0)</f>
        <v>0</v>
      </c>
      <c r="K173" s="474">
        <f>IF(V173&gt;0,'3 pr-2'!O174,0)</f>
        <v>0</v>
      </c>
      <c r="L173" s="474">
        <f>IF(V173&gt;0,'3 pr-2'!R174,0)</f>
        <v>0</v>
      </c>
      <c r="M173" s="474">
        <f>IF(V173&gt;0,'3 pr-2'!U174,0)</f>
        <v>0</v>
      </c>
      <c r="N173" s="474">
        <f>IF(V173&gt;0,'3 pr-2'!X174,0)</f>
        <v>0</v>
      </c>
      <c r="O173" s="474">
        <f>IF(V173&gt;0,'3 pr-2'!AA174,0)</f>
        <v>0</v>
      </c>
      <c r="P173" s="636">
        <f>SUM('3 pr-2'!AJ174)</f>
        <v>43646</v>
      </c>
      <c r="Q173" s="290"/>
      <c r="R173" s="291" t="str">
        <f t="shared" ref="R173:R180" si="57">IF(P173-Q173&lt;0,(P173-Q173)/365,"–")</f>
        <v>–</v>
      </c>
      <c r="S173" s="291"/>
    </row>
    <row r="174" spans="1:19" ht="36.75" x14ac:dyDescent="0.25">
      <c r="A174" s="255" t="str">
        <f>CONCATENATE('3 pr-2'!A175)</f>
        <v>3.1.2.1.2</v>
      </c>
      <c r="B174" s="473" t="str">
        <f>CONCATENATE('ketv. 2lent'!B173)</f>
        <v/>
      </c>
      <c r="C174" s="255" t="str">
        <f>CONCATENATE('3 pr-2'!D175)</f>
        <v>Kraštovaizdžio formavimas ir tvarkymas Varėnos r. savivaldybėje (II etapas)</v>
      </c>
      <c r="D174" s="255" t="str">
        <f>CONCATENATE('3 pr-2'!E175)</f>
        <v>Varėnos rajono savivaldybės administracija</v>
      </c>
      <c r="E174" s="255" t="str">
        <f>CONCATENATE('3 pr-2'!F175)</f>
        <v>Lietuvos Respublikos aplinkos ministerija</v>
      </c>
      <c r="F174" s="255" t="str">
        <f>CONCATENATE('3 pr-2'!G175)</f>
        <v>Varėnos  rajono savivaldybė</v>
      </c>
      <c r="G174" s="255" t="str">
        <f>CONCATENATE('3 pr-2'!H175)</f>
        <v>05.5.1-APVA-R-019</v>
      </c>
      <c r="H174" s="255" t="str">
        <f>CONCATENATE('3 pr-2'!I175)</f>
        <v>R</v>
      </c>
      <c r="I174" s="255" t="str">
        <f>CONCATENATE('3 pr-2'!J175)</f>
        <v>-</v>
      </c>
      <c r="J174" s="474">
        <f>IF(V174&gt;0,'3 pr-2'!L175,0)</f>
        <v>0</v>
      </c>
      <c r="K174" s="474">
        <f>IF(V174&gt;0,'3 pr-2'!O175,0)</f>
        <v>0</v>
      </c>
      <c r="L174" s="474">
        <f>IF(V174&gt;0,'3 pr-2'!R175,0)</f>
        <v>0</v>
      </c>
      <c r="M174" s="474">
        <f>IF(V174&gt;0,'3 pr-2'!U175,0)</f>
        <v>0</v>
      </c>
      <c r="N174" s="474">
        <f>IF(V174&gt;0,'3 pr-2'!X175,0)</f>
        <v>0</v>
      </c>
      <c r="O174" s="474">
        <f>IF(V174&gt;0,'3 pr-2'!AA175,0)</f>
        <v>0</v>
      </c>
      <c r="P174" s="636">
        <f>SUM('3 pr-2'!AJ175)</f>
        <v>45291</v>
      </c>
      <c r="Q174" s="290"/>
      <c r="R174" s="291" t="str">
        <f t="shared" si="57"/>
        <v>–</v>
      </c>
      <c r="S174" s="291"/>
    </row>
    <row r="175" spans="1:19" ht="36.75" x14ac:dyDescent="0.25">
      <c r="A175" s="255" t="str">
        <f>CONCATENATE('3 pr-2'!A176)</f>
        <v>3.1.2.1.3</v>
      </c>
      <c r="B175" s="473" t="str">
        <f>CONCATENATE('ketv. 2lent'!B174)</f>
        <v>05.5.1-APVA-R-019-11-0001</v>
      </c>
      <c r="C175" s="255" t="str">
        <f>CONCATENATE('3 pr-2'!D176)</f>
        <v>Bešeimininkių apleistų pastatų ir įrenginių tvarkymas Alytaus rajono savivaldybėje</v>
      </c>
      <c r="D175" s="255" t="str">
        <f>CONCATENATE('3 pr-2'!E176)</f>
        <v>Alytaus rajono savivaldybės administracija</v>
      </c>
      <c r="E175" s="255" t="str">
        <f>CONCATENATE('3 pr-2'!F176)</f>
        <v>Lietuvos Respublikos aplinkos ministerija</v>
      </c>
      <c r="F175" s="255" t="str">
        <f>CONCATENATE('3 pr-2'!G176)</f>
        <v>Alytaus rajonas</v>
      </c>
      <c r="G175" s="255" t="str">
        <f>CONCATENATE('3 pr-2'!H176)</f>
        <v>05.5.1-APVA-R-019</v>
      </c>
      <c r="H175" s="255" t="str">
        <f>CONCATENATE('3 pr-2'!I176)</f>
        <v>R</v>
      </c>
      <c r="I175" s="255" t="str">
        <f>CONCATENATE('3 pr-2'!J176)</f>
        <v/>
      </c>
      <c r="J175" s="474">
        <f>IF(V175&gt;0,'3 pr-2'!L176,0)</f>
        <v>0</v>
      </c>
      <c r="K175" s="474">
        <f>IF(V175&gt;0,'3 pr-2'!O176,0)</f>
        <v>0</v>
      </c>
      <c r="L175" s="474">
        <f>IF(V175&gt;0,'3 pr-2'!R176,0)</f>
        <v>0</v>
      </c>
      <c r="M175" s="474">
        <f>IF(V175&gt;0,'3 pr-2'!U176,0)</f>
        <v>0</v>
      </c>
      <c r="N175" s="474">
        <f>IF(V175&gt;0,'3 pr-2'!X176,0)</f>
        <v>0</v>
      </c>
      <c r="O175" s="474">
        <f>IF(V175&gt;0,'3 pr-2'!AA176,0)</f>
        <v>0</v>
      </c>
      <c r="P175" s="636">
        <f>SUM('3 pr-2'!AJ176)</f>
        <v>43465</v>
      </c>
      <c r="Q175" s="290"/>
      <c r="R175" s="291" t="str">
        <f t="shared" si="57"/>
        <v>–</v>
      </c>
      <c r="S175" s="291"/>
    </row>
    <row r="176" spans="1:19" ht="36.75" x14ac:dyDescent="0.25">
      <c r="A176" s="255" t="str">
        <f>CONCATENATE('3 pr-2'!A177)</f>
        <v>3.1.2.1.4</v>
      </c>
      <c r="B176" s="473" t="str">
        <f>CONCATENATE('ketv. 2lent'!B175)</f>
        <v>05.5.1-APVA-R-019-11-0004</v>
      </c>
      <c r="C176" s="255" t="str">
        <f>CONCATENATE('3 pr-2'!D177)</f>
        <v>Alytaus miesto bendrojo plano korektūra zonuojant kraštovaizdžio struktūrą, nustatant reglamentus ir principus</v>
      </c>
      <c r="D176" s="255" t="str">
        <f>CONCATENATE('3 pr-2'!E177)</f>
        <v>Alytaus miesto savivaldybės administracija</v>
      </c>
      <c r="E176" s="255" t="str">
        <f>CONCATENATE('3 pr-2'!F177)</f>
        <v>Lietuvos Respublikos aplinkos ministerija</v>
      </c>
      <c r="F176" s="255" t="str">
        <f>CONCATENATE('3 pr-2'!G177)</f>
        <v>Alytaus miestas</v>
      </c>
      <c r="G176" s="255" t="str">
        <f>CONCATENATE('3 pr-2'!H177)</f>
        <v>05.5.1-APVA-R-019</v>
      </c>
      <c r="H176" s="255" t="str">
        <f>CONCATENATE('3 pr-2'!I177)</f>
        <v>R</v>
      </c>
      <c r="I176" s="255" t="str">
        <f>CONCATENATE('3 pr-2'!J177)</f>
        <v/>
      </c>
      <c r="J176" s="474">
        <f>IF(V176&gt;0,'3 pr-2'!L177,0)</f>
        <v>0</v>
      </c>
      <c r="K176" s="474">
        <f>IF(V176&gt;0,'3 pr-2'!O177,0)</f>
        <v>0</v>
      </c>
      <c r="L176" s="474">
        <f>IF(V176&gt;0,'3 pr-2'!R177,0)</f>
        <v>0</v>
      </c>
      <c r="M176" s="474">
        <f>IF(V176&gt;0,'3 pr-2'!U177,0)</f>
        <v>0</v>
      </c>
      <c r="N176" s="474">
        <f>IF(V176&gt;0,'3 pr-2'!X177,0)</f>
        <v>0</v>
      </c>
      <c r="O176" s="474">
        <f>IF(V176&gt;0,'3 pr-2'!AA177,0)</f>
        <v>0</v>
      </c>
      <c r="P176" s="636">
        <f>SUM('3 pr-2'!AJ177)</f>
        <v>43465</v>
      </c>
      <c r="Q176" s="290"/>
      <c r="R176" s="291" t="str">
        <f t="shared" si="57"/>
        <v>–</v>
      </c>
      <c r="S176" s="291"/>
    </row>
    <row r="177" spans="1:19" ht="36.75" x14ac:dyDescent="0.25">
      <c r="A177" s="255" t="str">
        <f>CONCATENATE('3 pr-2'!A178)</f>
        <v>3.1.2.1.5</v>
      </c>
      <c r="B177" s="473" t="str">
        <f>CONCATENATE('ketv. 2lent'!B176)</f>
        <v>05.5.1-APVA-R-019-11-0005</v>
      </c>
      <c r="C177" s="255" t="str">
        <f>CONCATENATE('3 pr-2'!D178)</f>
        <v>Bešeimininkių apleistų pastatų Druskininkų savivaldybės teritorijoje likvidavimas</v>
      </c>
      <c r="D177" s="255" t="str">
        <f>CONCATENATE('3 pr-2'!E178)</f>
        <v>Druskininkų savivaldybės administracija</v>
      </c>
      <c r="E177" s="255" t="str">
        <f>CONCATENATE('3 pr-2'!F178)</f>
        <v>Lietuvos Respublikos aplinkos ministerija</v>
      </c>
      <c r="F177" s="255" t="str">
        <f>CONCATENATE('3 pr-2'!G178)</f>
        <v>Druskininkų savivaldybė</v>
      </c>
      <c r="G177" s="255" t="str">
        <f>CONCATENATE('3 pr-2'!H178)</f>
        <v>05.5.1-APVA-R-019</v>
      </c>
      <c r="H177" s="255" t="str">
        <f>CONCATENATE('3 pr-2'!I178)</f>
        <v>R</v>
      </c>
      <c r="I177" s="255" t="str">
        <f>CONCATENATE('3 pr-2'!J178)</f>
        <v>-</v>
      </c>
      <c r="J177" s="474">
        <f>IF(V177&gt;0,'3 pr-2'!L178,0)</f>
        <v>0</v>
      </c>
      <c r="K177" s="474">
        <f>IF(V177&gt;0,'3 pr-2'!O178,0)</f>
        <v>0</v>
      </c>
      <c r="L177" s="474">
        <f>IF(V177&gt;0,'3 pr-2'!R178,0)</f>
        <v>0</v>
      </c>
      <c r="M177" s="474">
        <f>IF(V177&gt;0,'3 pr-2'!U178,0)</f>
        <v>0</v>
      </c>
      <c r="N177" s="474">
        <f>IF(V177&gt;0,'3 pr-2'!X178,0)</f>
        <v>0</v>
      </c>
      <c r="O177" s="474">
        <f>IF(V177&gt;0,'3 pr-2'!AA178,0)</f>
        <v>0</v>
      </c>
      <c r="P177" s="636">
        <f>SUM('3 pr-2'!AJ178)</f>
        <v>43465</v>
      </c>
      <c r="Q177" s="290"/>
      <c r="R177" s="291" t="str">
        <f t="shared" si="57"/>
        <v>–</v>
      </c>
      <c r="S177" s="291"/>
    </row>
    <row r="178" spans="1:19" ht="36.75" x14ac:dyDescent="0.25">
      <c r="A178" s="255" t="str">
        <f>CONCATENATE('3 pr-2'!A179)</f>
        <v>3.1.2.1.6</v>
      </c>
      <c r="B178" s="473" t="str">
        <f>CONCATENATE('ketv. 2lent'!B177)</f>
        <v>05.5.1-APVA-R-019-11-0003</v>
      </c>
      <c r="C178" s="255" t="str">
        <f>CONCATENATE('3 pr-2'!D179)</f>
        <v>Kraštovaizdžio formavimas Lazdijų rajono savivaldybėje</v>
      </c>
      <c r="D178" s="255" t="str">
        <f>CONCATENATE('3 pr-2'!E179)</f>
        <v>Lazdijų rajono savivaldybės administracija</v>
      </c>
      <c r="E178" s="255" t="str">
        <f>CONCATENATE('3 pr-2'!F179)</f>
        <v>Lietuvos Respublikos aplinkos ministerija</v>
      </c>
      <c r="F178" s="255" t="str">
        <f>CONCATENATE('3 pr-2'!G179)</f>
        <v>Lazdijų rajono savivaldybė</v>
      </c>
      <c r="G178" s="255" t="str">
        <f>CONCATENATE('3 pr-2'!H179)</f>
        <v>05.5.1-APVA-R-019</v>
      </c>
      <c r="H178" s="255" t="str">
        <f>CONCATENATE('3 pr-2'!I179)</f>
        <v>R</v>
      </c>
      <c r="I178" s="255" t="str">
        <f>CONCATENATE('3 pr-2'!J179)</f>
        <v>-</v>
      </c>
      <c r="J178" s="474">
        <f>IF(V178&gt;0,'3 pr-2'!L179,0)</f>
        <v>0</v>
      </c>
      <c r="K178" s="474">
        <f>IF(V178&gt;0,'3 pr-2'!O179,0)</f>
        <v>0</v>
      </c>
      <c r="L178" s="474">
        <f>IF(V178&gt;0,'3 pr-2'!R179,0)</f>
        <v>0</v>
      </c>
      <c r="M178" s="474">
        <f>IF(V178&gt;0,'3 pr-2'!U179,0)</f>
        <v>0</v>
      </c>
      <c r="N178" s="474">
        <f>IF(V178&gt;0,'3 pr-2'!X179,0)</f>
        <v>0</v>
      </c>
      <c r="O178" s="474">
        <f>IF(V178&gt;0,'3 pr-2'!AA179,0)</f>
        <v>0</v>
      </c>
      <c r="P178" s="636">
        <f>SUM('3 pr-2'!AJ179)</f>
        <v>43646</v>
      </c>
      <c r="Q178" s="290"/>
      <c r="R178" s="291" t="str">
        <f t="shared" si="57"/>
        <v>–</v>
      </c>
      <c r="S178" s="291"/>
    </row>
    <row r="179" spans="1:19" ht="36.75" x14ac:dyDescent="0.25">
      <c r="A179" s="255" t="str">
        <f>CONCATENATE('3 pr-2'!A180)</f>
        <v>3.1.2.1.7</v>
      </c>
      <c r="B179" s="473" t="str">
        <f>CONCATENATE('ketv. 2lent'!B178)</f>
        <v/>
      </c>
      <c r="C179" s="255" t="str">
        <f>CONCATENATE('3 pr-2'!D180)</f>
        <v>Kraštovaizdžio formavimas Lazdijų rajono savivaldybėje (II etapas)</v>
      </c>
      <c r="D179" s="255" t="str">
        <f>CONCATENATE('3 pr-2'!E180)</f>
        <v>Lazdijų rajono savivaldybės administracija</v>
      </c>
      <c r="E179" s="255" t="str">
        <f>CONCATENATE('3 pr-2'!F180)</f>
        <v>Lietuvos Respublikos aplinkos ministerija</v>
      </c>
      <c r="F179" s="255" t="str">
        <f>CONCATENATE('3 pr-2'!G180)</f>
        <v>Lazdijų rajono savivaldybė</v>
      </c>
      <c r="G179" s="255" t="str">
        <f>CONCATENATE('3 pr-2'!H180)</f>
        <v>05.5.1-APVA-R-019</v>
      </c>
      <c r="H179" s="255" t="str">
        <f>CONCATENATE('3 pr-2'!I180)</f>
        <v>R</v>
      </c>
      <c r="I179" s="255" t="str">
        <f>CONCATENATE('3 pr-2'!J180)</f>
        <v>-</v>
      </c>
      <c r="J179" s="474">
        <f>IF(V179&gt;0,'3 pr-2'!L180,0)</f>
        <v>0</v>
      </c>
      <c r="K179" s="474">
        <f>IF(V179&gt;0,'3 pr-2'!O180,0)</f>
        <v>0</v>
      </c>
      <c r="L179" s="474">
        <f>IF(V179&gt;0,'3 pr-2'!R180,0)</f>
        <v>0</v>
      </c>
      <c r="M179" s="474">
        <f>IF(V179&gt;0,'3 pr-2'!U180,0)</f>
        <v>0</v>
      </c>
      <c r="N179" s="474">
        <f>IF(V179&gt;0,'3 pr-2'!X180,0)</f>
        <v>0</v>
      </c>
      <c r="O179" s="474">
        <f>IF(V179&gt;0,'3 pr-2'!AA180,0)</f>
        <v>0</v>
      </c>
      <c r="P179" s="636">
        <f>SUM('3 pr-2'!AJ180)</f>
        <v>44469</v>
      </c>
      <c r="Q179" s="290"/>
      <c r="R179" s="291" t="str">
        <f t="shared" si="57"/>
        <v>–</v>
      </c>
      <c r="S179" s="291"/>
    </row>
    <row r="180" spans="1:19" ht="36.75" x14ac:dyDescent="0.25">
      <c r="A180" s="255" t="str">
        <f>CONCATENATE('3 pr-2'!A181)</f>
        <v>3.1.2.1.8</v>
      </c>
      <c r="B180" s="473" t="str">
        <f>CONCATENATE('ketv. 2lent'!B179)</f>
        <v/>
      </c>
      <c r="C180" s="255" t="str">
        <f>CONCATENATE('3 pr-2'!D181)</f>
        <v>Bešeimininkių apleistų pastatų ir įrenginių tvarkymas Alytaus rajono savivaldybėje (II etapas)</v>
      </c>
      <c r="D180" s="255" t="str">
        <f>CONCATENATE('3 pr-2'!E181)</f>
        <v>Alytaus rajono savivaldybės administracija</v>
      </c>
      <c r="E180" s="255" t="str">
        <f>CONCATENATE('3 pr-2'!F181)</f>
        <v>Lietuvos Respublikos aplinkos ministerija</v>
      </c>
      <c r="F180" s="255" t="str">
        <f>CONCATENATE('3 pr-2'!G181)</f>
        <v>Alytaus rajono savivaldybė</v>
      </c>
      <c r="G180" s="255" t="str">
        <f>CONCATENATE('3 pr-2'!H181)</f>
        <v>05.5.1-APVA-R-019</v>
      </c>
      <c r="H180" s="255" t="str">
        <f>CONCATENATE('3 pr-2'!I181)</f>
        <v>R</v>
      </c>
      <c r="I180" s="255" t="str">
        <f>CONCATENATE('3 pr-2'!J181)</f>
        <v>-</v>
      </c>
      <c r="J180" s="474">
        <f>IF(V180&gt;0,'3 pr-2'!L181,0)</f>
        <v>0</v>
      </c>
      <c r="K180" s="474">
        <f>IF(V180&gt;0,'3 pr-2'!O181,0)</f>
        <v>0</v>
      </c>
      <c r="L180" s="474">
        <f>IF(V180&gt;0,'3 pr-2'!R181,0)</f>
        <v>0</v>
      </c>
      <c r="M180" s="474">
        <f>IF(V180&gt;0,'3 pr-2'!U181,0)</f>
        <v>0</v>
      </c>
      <c r="N180" s="474">
        <f>IF(V180&gt;0,'3 pr-2'!X181,0)</f>
        <v>0</v>
      </c>
      <c r="O180" s="474">
        <f>IF(V180&gt;0,'3 pr-2'!AA181,0)</f>
        <v>0</v>
      </c>
      <c r="P180" s="636">
        <f>SUM('3 pr-2'!AJ181)</f>
        <v>43830</v>
      </c>
      <c r="Q180" s="291"/>
      <c r="R180" s="291" t="str">
        <f t="shared" si="57"/>
        <v>–</v>
      </c>
      <c r="S180" s="291"/>
    </row>
  </sheetData>
  <autoFilter ref="A1:S181">
    <filterColumn colId="0" showButton="0"/>
    <filterColumn colId="1" showButton="0"/>
    <filterColumn colId="2" showButton="0"/>
    <filterColumn colId="3" showButton="0"/>
    <filterColumn colId="4" showButton="0"/>
    <filterColumn colId="5" showButton="0"/>
    <filterColumn colId="6" showButton="0"/>
    <filterColumn colId="7" showButton="0"/>
    <filterColumn colId="8" showButton="0"/>
    <filterColumn colId="9" showButton="0"/>
  </autoFilter>
  <mergeCells count="53">
    <mergeCell ref="C153:I153"/>
    <mergeCell ref="C86:I86"/>
    <mergeCell ref="C92:I92"/>
    <mergeCell ref="C100:I100"/>
    <mergeCell ref="C101:I101"/>
    <mergeCell ref="C146:I146"/>
    <mergeCell ref="C147:I147"/>
    <mergeCell ref="C121:I121"/>
    <mergeCell ref="C140:I140"/>
    <mergeCell ref="C134:I134"/>
    <mergeCell ref="C172:I172"/>
    <mergeCell ref="C159:I159"/>
    <mergeCell ref="C160:I160"/>
    <mergeCell ref="C167:I167"/>
    <mergeCell ref="C168:I168"/>
    <mergeCell ref="C169:I169"/>
    <mergeCell ref="C171:I171"/>
    <mergeCell ref="C79:I79"/>
    <mergeCell ref="C102:I102"/>
    <mergeCell ref="C108:I108"/>
    <mergeCell ref="C114:I114"/>
    <mergeCell ref="C120:I120"/>
    <mergeCell ref="C73:I73"/>
    <mergeCell ref="C7:I7"/>
    <mergeCell ref="A1:K1"/>
    <mergeCell ref="A2:I2"/>
    <mergeCell ref="J2:O2"/>
    <mergeCell ref="A3:A4"/>
    <mergeCell ref="C55:I55"/>
    <mergeCell ref="C57:I57"/>
    <mergeCell ref="C61:I61"/>
    <mergeCell ref="C66:I66"/>
    <mergeCell ref="C72:I72"/>
    <mergeCell ref="C8:I8"/>
    <mergeCell ref="C32:I32"/>
    <mergeCell ref="C38:I38"/>
    <mergeCell ref="C45:I45"/>
    <mergeCell ref="C49:I49"/>
    <mergeCell ref="P2:S2"/>
    <mergeCell ref="C6:I6"/>
    <mergeCell ref="J3:J4"/>
    <mergeCell ref="K3:K4"/>
    <mergeCell ref="L3:L4"/>
    <mergeCell ref="M3:M4"/>
    <mergeCell ref="N3:N4"/>
    <mergeCell ref="O3:O4"/>
    <mergeCell ref="I3:I4"/>
    <mergeCell ref="H3:H4"/>
    <mergeCell ref="G3:G4"/>
    <mergeCell ref="F3:F4"/>
    <mergeCell ref="E3:E4"/>
    <mergeCell ref="D3:D4"/>
    <mergeCell ref="C3:C4"/>
  </mergeCells>
  <pageMargins left="0.25" right="0.25" top="0.75" bottom="0.75" header="0.3" footer="0.3"/>
  <pageSetup paperSize="8" scale="79" fitToHeight="0"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apas1">
    <pageSetUpPr fitToPage="1"/>
  </sheetPr>
  <dimension ref="A2:AH181"/>
  <sheetViews>
    <sheetView topLeftCell="D1" workbookViewId="0">
      <pane ySplit="2280" topLeftCell="A169" activePane="bottomLeft"/>
      <selection activeCell="AE1" sqref="AE1:AH1048576"/>
      <selection pane="bottomLeft" activeCell="O178" sqref="O178"/>
    </sheetView>
  </sheetViews>
  <sheetFormatPr defaultRowHeight="15" x14ac:dyDescent="0.25"/>
  <cols>
    <col min="1" max="1" width="9.28515625" bestFit="1" customWidth="1"/>
    <col min="2" max="2" width="15" customWidth="1"/>
    <col min="3" max="3" width="39.28515625" style="10" customWidth="1"/>
    <col min="4" max="4" width="15.140625" customWidth="1"/>
    <col min="5" max="5" width="16.7109375" customWidth="1"/>
    <col min="6" max="6" width="13.140625" customWidth="1"/>
    <col min="7" max="7" width="20.5703125" customWidth="1"/>
    <col min="8" max="8" width="4.5703125" bestFit="1" customWidth="1"/>
    <col min="9" max="9" width="5" bestFit="1" customWidth="1"/>
    <col min="10" max="10" width="13" customWidth="1"/>
    <col min="11" max="11" width="14.28515625" bestFit="1" customWidth="1"/>
    <col min="12" max="12" width="14.42578125" style="333" hidden="1" customWidth="1"/>
    <col min="13" max="13" width="12.42578125" hidden="1" customWidth="1"/>
    <col min="14" max="14" width="12.42578125" customWidth="1"/>
    <col min="15" max="15" width="12.28515625" customWidth="1"/>
    <col min="16" max="16" width="12.7109375" style="333" hidden="1" customWidth="1"/>
    <col min="17" max="17" width="12.42578125" hidden="1" customWidth="1"/>
    <col min="18" max="18" width="11.7109375" customWidth="1"/>
    <col min="19" max="19" width="10.5703125" bestFit="1" customWidth="1"/>
    <col min="20" max="20" width="14.28515625" style="333" hidden="1" customWidth="1"/>
    <col min="21" max="21" width="12.42578125" hidden="1" customWidth="1"/>
    <col min="22" max="23" width="12.7109375" bestFit="1" customWidth="1"/>
    <col min="24" max="24" width="12.7109375" style="333" hidden="1" customWidth="1"/>
    <col min="25" max="25" width="12.42578125" hidden="1" customWidth="1"/>
    <col min="26" max="26" width="9.42578125" bestFit="1" customWidth="1"/>
    <col min="27" max="27" width="9.28515625" customWidth="1"/>
    <col min="28" max="28" width="9.140625" style="333" hidden="1" customWidth="1"/>
    <col min="29" max="29" width="12.42578125" hidden="1" customWidth="1"/>
    <col min="30" max="30" width="13.5703125" customWidth="1"/>
    <col min="31" max="31" width="13.42578125" customWidth="1"/>
    <col min="32" max="32" width="14.28515625" style="333" customWidth="1"/>
    <col min="33" max="33" width="12.42578125" customWidth="1"/>
    <col min="34" max="34" width="12" bestFit="1" customWidth="1"/>
  </cols>
  <sheetData>
    <row r="2" spans="1:33" ht="16.5" thickBot="1" x14ac:dyDescent="0.3">
      <c r="A2" s="155" t="s">
        <v>745</v>
      </c>
      <c r="B2" s="326"/>
      <c r="E2" s="326"/>
    </row>
    <row r="3" spans="1:33" ht="16.5" thickTop="1" thickBot="1" x14ac:dyDescent="0.3">
      <c r="A3" s="1832" t="s">
        <v>46</v>
      </c>
      <c r="B3" s="1833"/>
      <c r="C3" s="1833"/>
      <c r="D3" s="1833"/>
      <c r="E3" s="1833"/>
      <c r="F3" s="1833"/>
      <c r="G3" s="1833"/>
      <c r="H3" s="1833"/>
      <c r="I3" s="1834"/>
      <c r="J3" s="1826" t="s">
        <v>47</v>
      </c>
      <c r="K3" s="1826"/>
      <c r="L3" s="1826"/>
      <c r="M3" s="1826"/>
      <c r="N3" s="1826"/>
      <c r="O3" s="1826"/>
      <c r="P3" s="1826"/>
      <c r="Q3" s="1826"/>
      <c r="R3" s="1826"/>
      <c r="S3" s="1826"/>
      <c r="T3" s="1826"/>
      <c r="U3" s="1826"/>
      <c r="V3" s="1826"/>
      <c r="W3" s="1826"/>
      <c r="X3" s="1826"/>
      <c r="Y3" s="1826"/>
      <c r="Z3" s="1826"/>
      <c r="AA3" s="1826"/>
      <c r="AB3" s="1826"/>
      <c r="AC3" s="1826"/>
      <c r="AD3" s="1826"/>
      <c r="AE3" s="1826"/>
      <c r="AF3" s="1827"/>
    </row>
    <row r="4" spans="1:33" ht="48.75" thickBot="1" x14ac:dyDescent="0.3">
      <c r="A4" s="1032" t="s">
        <v>7</v>
      </c>
      <c r="B4" s="1033"/>
      <c r="C4" s="1034" t="s">
        <v>49</v>
      </c>
      <c r="D4" s="1035" t="s">
        <v>50</v>
      </c>
      <c r="E4" s="1035" t="s">
        <v>51</v>
      </c>
      <c r="F4" s="1035" t="s">
        <v>52</v>
      </c>
      <c r="G4" s="1035" t="s">
        <v>722</v>
      </c>
      <c r="H4" s="1035" t="s">
        <v>54</v>
      </c>
      <c r="I4" s="1036" t="s">
        <v>55</v>
      </c>
      <c r="J4" s="1828" t="s">
        <v>57</v>
      </c>
      <c r="K4" s="1829"/>
      <c r="L4" s="1829"/>
      <c r="M4" s="1830"/>
      <c r="N4" s="1828" t="s">
        <v>58</v>
      </c>
      <c r="O4" s="1829"/>
      <c r="P4" s="1829"/>
      <c r="Q4" s="1830"/>
      <c r="R4" s="1828" t="s">
        <v>59</v>
      </c>
      <c r="S4" s="1829"/>
      <c r="T4" s="1829"/>
      <c r="U4" s="1830"/>
      <c r="V4" s="1828" t="s">
        <v>60</v>
      </c>
      <c r="W4" s="1829"/>
      <c r="X4" s="1829"/>
      <c r="Y4" s="1830"/>
      <c r="Z4" s="1828" t="s">
        <v>61</v>
      </c>
      <c r="AA4" s="1829"/>
      <c r="AB4" s="1829"/>
      <c r="AC4" s="1830"/>
      <c r="AD4" s="1828" t="s">
        <v>10</v>
      </c>
      <c r="AE4" s="1829"/>
      <c r="AF4" s="1829"/>
      <c r="AG4" s="1831"/>
    </row>
    <row r="5" spans="1:33" ht="49.5" thickBot="1" x14ac:dyDescent="0.3">
      <c r="A5" s="327"/>
      <c r="B5" s="328"/>
      <c r="C5" s="1017"/>
      <c r="D5" s="259"/>
      <c r="E5" s="259"/>
      <c r="F5" s="259"/>
      <c r="G5" s="259"/>
      <c r="H5" s="259"/>
      <c r="I5" s="269"/>
      <c r="J5" s="340" t="s">
        <v>746</v>
      </c>
      <c r="K5" s="339" t="s">
        <v>747</v>
      </c>
      <c r="L5" s="334" t="s">
        <v>399</v>
      </c>
      <c r="M5" s="459" t="s">
        <v>839</v>
      </c>
      <c r="N5" s="330" t="s">
        <v>746</v>
      </c>
      <c r="O5" s="331" t="s">
        <v>747</v>
      </c>
      <c r="P5" s="334" t="s">
        <v>399</v>
      </c>
      <c r="Q5" s="459" t="s">
        <v>839</v>
      </c>
      <c r="R5" s="330" t="s">
        <v>746</v>
      </c>
      <c r="S5" s="331" t="s">
        <v>747</v>
      </c>
      <c r="T5" s="334" t="s">
        <v>399</v>
      </c>
      <c r="U5" s="459" t="s">
        <v>839</v>
      </c>
      <c r="V5" s="330" t="s">
        <v>746</v>
      </c>
      <c r="W5" s="331" t="s">
        <v>747</v>
      </c>
      <c r="X5" s="334" t="s">
        <v>399</v>
      </c>
      <c r="Y5" s="459" t="s">
        <v>839</v>
      </c>
      <c r="Z5" s="330" t="s">
        <v>746</v>
      </c>
      <c r="AA5" s="331" t="s">
        <v>747</v>
      </c>
      <c r="AB5" s="334" t="s">
        <v>399</v>
      </c>
      <c r="AC5" s="459" t="s">
        <v>839</v>
      </c>
      <c r="AD5" s="330" t="s">
        <v>746</v>
      </c>
      <c r="AE5" s="331" t="s">
        <v>747</v>
      </c>
      <c r="AF5" s="460" t="s">
        <v>840</v>
      </c>
      <c r="AG5" s="459" t="s">
        <v>839</v>
      </c>
    </row>
    <row r="6" spans="1:33" ht="71.25" customHeight="1" thickBot="1" x14ac:dyDescent="0.35">
      <c r="A6" s="714" t="str">
        <f>CONCATENATE('3 pr-2'!A7)</f>
        <v>1.1.</v>
      </c>
      <c r="B6" s="715"/>
      <c r="C6" s="1813" t="str">
        <f>CONCATENATE('3 pr-2'!D7)</f>
        <v/>
      </c>
      <c r="D6" s="1814"/>
      <c r="E6" s="1814"/>
      <c r="F6" s="1814"/>
      <c r="G6" s="1814"/>
      <c r="H6" s="1814"/>
      <c r="I6" s="1815"/>
      <c r="J6" s="1020">
        <f>SUM('3 pr-2'!L7)</f>
        <v>47273678.625294112</v>
      </c>
      <c r="K6" s="1021">
        <f>SUM(K7+K72)</f>
        <v>26130914.140000001</v>
      </c>
      <c r="L6" s="1022" t="e">
        <f>SUM(L7+L72)</f>
        <v>#REF!</v>
      </c>
      <c r="M6" s="1023" t="e">
        <f>SUM(M7+M72)</f>
        <v>#REF!</v>
      </c>
      <c r="N6" s="1020">
        <f>SUM('3 pr-2'!O7)</f>
        <v>4499762.6952941176</v>
      </c>
      <c r="O6" s="1020">
        <f>SUM(O7+O72)</f>
        <v>1199195.27</v>
      </c>
      <c r="P6" s="1020" t="e">
        <f>SUM(P7+P72)</f>
        <v>#REF!</v>
      </c>
      <c r="Q6" s="1020" t="e">
        <f>SUM(Q7+Q72)</f>
        <v>#REF!</v>
      </c>
      <c r="R6" s="1020">
        <f>SUM('3 pr-2'!R7)</f>
        <v>1600234.9300000002</v>
      </c>
      <c r="S6" s="1020">
        <f>SUM(S7+S72)</f>
        <v>836130.78</v>
      </c>
      <c r="T6" s="1020" t="e">
        <f>SUM(T7+T72)</f>
        <v>#REF!</v>
      </c>
      <c r="U6" s="1020" t="e">
        <f>SUM(U7+U72)</f>
        <v>#REF!</v>
      </c>
      <c r="V6" s="1020">
        <f>SUM('3 pr-2'!U7)</f>
        <v>8638955.3399999999</v>
      </c>
      <c r="W6" s="1020">
        <f>SUM(W7+W72)</f>
        <v>6624263.0899999999</v>
      </c>
      <c r="X6" s="1020" t="e">
        <f>SUM(X7+X72)</f>
        <v>#REF!</v>
      </c>
      <c r="Y6" s="1020" t="e">
        <f>SUM(Y7+Y72)</f>
        <v>#REF!</v>
      </c>
      <c r="Z6" s="1020">
        <f>SUM('3 pr-2'!X7)</f>
        <v>62660</v>
      </c>
      <c r="AA6" s="1020">
        <f>SUM(AA7+AA72)</f>
        <v>62660</v>
      </c>
      <c r="AB6" s="1020" t="e">
        <f>SUM(AB7+AB72)</f>
        <v>#REF!</v>
      </c>
      <c r="AC6" s="1020" t="e">
        <f>SUM(AC7+AC72)</f>
        <v>#REF!</v>
      </c>
      <c r="AD6" s="1020">
        <f>SUM('3 pr-2'!AA7)</f>
        <v>32300292.659999996</v>
      </c>
      <c r="AE6" s="1020">
        <f>SUM(AE7+AE72)</f>
        <v>17408665</v>
      </c>
      <c r="AF6" s="356">
        <f>SUM(AF7+AF72)</f>
        <v>14104912.66</v>
      </c>
      <c r="AG6" s="457">
        <f>SUM(AG7+AG72)</f>
        <v>2425135.6599999997</v>
      </c>
    </row>
    <row r="7" spans="1:33" ht="57.75" customHeight="1" thickBot="1" x14ac:dyDescent="0.3">
      <c r="A7" s="345" t="str">
        <f>CONCATENATE('3 pr-2'!A8)</f>
        <v>1.1.1.</v>
      </c>
      <c r="B7" s="648"/>
      <c r="C7" s="1668" t="str">
        <f>CONCATENATE('3 pr-2'!D8)</f>
        <v/>
      </c>
      <c r="D7" s="1669"/>
      <c r="E7" s="1669"/>
      <c r="F7" s="1669"/>
      <c r="G7" s="1669"/>
      <c r="H7" s="1669"/>
      <c r="I7" s="1670"/>
      <c r="J7" s="303">
        <f>SUM('3 pr-2'!L8)</f>
        <v>38611337.177058816</v>
      </c>
      <c r="K7" s="355">
        <f>SUM(K8+K32+K38+K45+K49+K55+K57+K61+K66)</f>
        <v>24197215.010000002</v>
      </c>
      <c r="L7" s="356">
        <f>SUM(L8+L32+L38+L45+L49+L55+L57+L61+L66)</f>
        <v>13989730.167058822</v>
      </c>
      <c r="M7" s="457">
        <f>SUM(M8+M32+M38+M45+M49+M55+M57+M61+M66)</f>
        <v>4131161.5817647055</v>
      </c>
      <c r="N7" s="303">
        <f>SUM('3 pr-2'!O8)</f>
        <v>2665278.1070588236</v>
      </c>
      <c r="O7" s="303">
        <f>SUM(O8+O32+O38+O45+O49+O55+O57+O61+O66)</f>
        <v>942900</v>
      </c>
      <c r="P7" s="303">
        <f>SUM(P8+P32+P38+P45+P49+P55+P57+P61+P66)</f>
        <v>1703431.1070588233</v>
      </c>
      <c r="Q7" s="303">
        <f>SUM(Q8+Q32+Q38+Q45+Q49+Q55+Q57+Q61+Q66)</f>
        <v>114001.52176470582</v>
      </c>
      <c r="R7" s="303">
        <f>SUM('3 pr-2'!R8)</f>
        <v>1600234.9300000002</v>
      </c>
      <c r="S7" s="303">
        <f>SUM(S8+S32+S38+S45+S49+S55+S57+S61+S66)</f>
        <v>836130.78</v>
      </c>
      <c r="T7" s="303" t="e">
        <f>SUM(T8+T32+T38+T45+T49+T55+T57+T61+T66)</f>
        <v>#REF!</v>
      </c>
      <c r="U7" s="303" t="e">
        <f>SUM(U8+U32+U38+U45+U49+U55+U57+U61+U66)</f>
        <v>#REF!</v>
      </c>
      <c r="V7" s="303">
        <f>SUM('3 pr-2'!U8)</f>
        <v>8216263.3399999999</v>
      </c>
      <c r="W7" s="303">
        <f>SUM(W8+W32+W38+W45+W49+W55+W57+W61+W66)</f>
        <v>6624263.0899999999</v>
      </c>
      <c r="X7" s="303">
        <f>SUM(X8+X32+X38+X45+X49+X55+X57+X61+X66)</f>
        <v>1592000.25</v>
      </c>
      <c r="Y7" s="303">
        <f>SUM(Y8+Y32+Y38+Y45+Y49+Y55+Y57+Y61+Y66)</f>
        <v>1592000.25</v>
      </c>
      <c r="Z7" s="303">
        <f>SUM('3 pr-2'!X8)</f>
        <v>0</v>
      </c>
      <c r="AA7" s="303">
        <f>SUM(AA8+AA32+AA38+AA45+AA49+AA55+AA57+AA61+AA66)</f>
        <v>0</v>
      </c>
      <c r="AB7" s="303">
        <f>SUM(AB8+AB32+AB38+AB45+AB49+AB55+AB57+AB61+AB66)</f>
        <v>0</v>
      </c>
      <c r="AC7" s="303">
        <f>SUM(AC8+AC32+AC38+AC45+AC49+AC55+AC57+AC61+AC66)</f>
        <v>0</v>
      </c>
      <c r="AD7" s="303">
        <f>SUM('3 pr-2'!AA8)</f>
        <v>25957787.799999997</v>
      </c>
      <c r="AE7" s="303">
        <f>SUM(AE8+AE32+AE38+AE45+AE49+AE55+AE57+AE61+AE66)</f>
        <v>15793921.139999999</v>
      </c>
      <c r="AF7" s="356">
        <f>SUM(AF8+AF32+AF38+AF45+AF49+AF55+AF57+AF61+AF66)</f>
        <v>9949140.6600000001</v>
      </c>
      <c r="AG7" s="457">
        <f>SUM(AG8+AG32+AG38+AG45+AG49+AG55+AG57+AG61+AG66)</f>
        <v>2425135.6599999997</v>
      </c>
    </row>
    <row r="8" spans="1:33" s="329" customFormat="1" ht="36" customHeight="1" thickBot="1" x14ac:dyDescent="0.25">
      <c r="A8" s="497" t="str">
        <f>CONCATENATE('3 pr-2'!A9)</f>
        <v>1.1.1.1</v>
      </c>
      <c r="B8" s="613"/>
      <c r="C8" s="1656" t="str">
        <f>CONCATENATE('3 pr-2'!D9)</f>
        <v/>
      </c>
      <c r="D8" s="1789"/>
      <c r="E8" s="1789"/>
      <c r="F8" s="1789"/>
      <c r="G8" s="1789"/>
      <c r="H8" s="1789"/>
      <c r="I8" s="1790"/>
      <c r="J8" s="629">
        <f>SUM('3 pr-2'!L9)</f>
        <v>4379520</v>
      </c>
      <c r="K8" s="629">
        <f>SUM(K9:K31)</f>
        <v>535932.75</v>
      </c>
      <c r="L8" s="722">
        <f>SUM(L9:L31)</f>
        <v>3671814.25</v>
      </c>
      <c r="M8" s="723">
        <f>SUM(M9:M31)</f>
        <v>200.25</v>
      </c>
      <c r="N8" s="629">
        <f>SUM('3 pr-2'!O9)</f>
        <v>908274</v>
      </c>
      <c r="O8" s="629">
        <f>SUM(O9:O31)</f>
        <v>107433.75</v>
      </c>
      <c r="P8" s="629">
        <f>SUM(P9:P31)</f>
        <v>800840.25</v>
      </c>
      <c r="Q8" s="629">
        <f>SUM(Q9:Q31)</f>
        <v>40.25</v>
      </c>
      <c r="R8" s="629">
        <f>SUM('3 pr-2'!R9)</f>
        <v>494922</v>
      </c>
      <c r="S8" s="629">
        <f>SUM(S9:S31)</f>
        <v>64274.85</v>
      </c>
      <c r="T8" s="629" t="e">
        <f>SUM(T9:T31)</f>
        <v>#REF!</v>
      </c>
      <c r="U8" s="629" t="e">
        <f>SUM(U9:U31)</f>
        <v>#REF!</v>
      </c>
      <c r="V8" s="629">
        <f>SUM('3 pr-2'!AA9)</f>
        <v>2804551</v>
      </c>
      <c r="W8" s="629">
        <f>SUM(W9:W31)</f>
        <v>0</v>
      </c>
      <c r="X8" s="629">
        <f>SUM(X9:X31)</f>
        <v>0</v>
      </c>
      <c r="Y8" s="629">
        <f>SUM(Y9:Y31)</f>
        <v>0</v>
      </c>
      <c r="Z8" s="629">
        <f>SUM('3 pr-2'!X9)</f>
        <v>0</v>
      </c>
      <c r="AA8" s="629">
        <f>SUM(AA9:AA31)</f>
        <v>0</v>
      </c>
      <c r="AB8" s="629">
        <f>SUM(AB9:AB31)</f>
        <v>0</v>
      </c>
      <c r="AC8" s="629">
        <f>SUM(AC9:AC31)</f>
        <v>0</v>
      </c>
      <c r="AD8" s="629">
        <f>SUM('3 pr-2'!AA9)</f>
        <v>2804551</v>
      </c>
      <c r="AE8" s="629">
        <f>SUM(AE9:AE31)</f>
        <v>364224.15</v>
      </c>
      <c r="AF8" s="365">
        <f>SUM(AF9:AF31)</f>
        <v>2440326.85</v>
      </c>
      <c r="AG8" s="458">
        <f>SUM(AG9:AG31)</f>
        <v>135.85000000000582</v>
      </c>
    </row>
    <row r="9" spans="1:33" ht="36.75" x14ac:dyDescent="0.25">
      <c r="A9" s="255" t="str">
        <f>CONCATENATE('3 pr-2'!A10)</f>
        <v>1.1.1.1.1</v>
      </c>
      <c r="B9" s="1015" t="str">
        <f>IF('ketv. 4 lent'!V10&gt;0,'ketv. 4 lent'!B10,"-")</f>
        <v>-</v>
      </c>
      <c r="C9" s="580" t="str">
        <f>CONCATENATE('3 pr-2'!D10)</f>
        <v xml:space="preserve">Druskininkų savivaldybės Viečiūnų seniūnijos Ilgio ir Raigardo seniūnaitijų kelių būklės gerinimas  </v>
      </c>
      <c r="D9" s="255" t="str">
        <f>CONCATENATE('3 pr-2'!E10)</f>
        <v xml:space="preserve">Druskininkų savivaldybės administracija  </v>
      </c>
      <c r="E9" s="255" t="str">
        <f>CONCATENATE('3 pr-2'!F10)</f>
        <v>Lietuvos Respublikos žemės ūkio ministerija</v>
      </c>
      <c r="F9" s="255" t="str">
        <f>CONCATENATE('3 pr-2'!G10)</f>
        <v>Druskininkų savivaldybė</v>
      </c>
      <c r="G9" s="255" t="str">
        <f>CONCATENATE('3 pr-2'!H10)</f>
        <v xml:space="preserve">Pagrindinės paslaugos ir kaimų atnaujinimas kaimo vietovėse </v>
      </c>
      <c r="H9" s="255" t="str">
        <f>CONCATENATE('3 pr-2'!I10)</f>
        <v>R</v>
      </c>
      <c r="I9" s="255" t="str">
        <f>CONCATENATE('3 pr-2'!J10)</f>
        <v>-</v>
      </c>
      <c r="J9" s="474">
        <f>SUM('3 pr-2'!L10)</f>
        <v>198893</v>
      </c>
      <c r="K9" s="474">
        <v>0</v>
      </c>
      <c r="L9" s="475">
        <f t="shared" ref="L9:L71" si="0">SUM(J9-K9)</f>
        <v>198893</v>
      </c>
      <c r="M9" s="724">
        <f t="shared" ref="M9:M31" si="1">IF(K9&gt;0,J9-K9,0)</f>
        <v>0</v>
      </c>
      <c r="N9" s="474">
        <f>SUM('3 pr-2'!O10)</f>
        <v>39779</v>
      </c>
      <c r="O9" s="474">
        <v>0</v>
      </c>
      <c r="P9" s="475">
        <f t="shared" ref="P9:P71" si="2">SUM(N9-O9)</f>
        <v>39779</v>
      </c>
      <c r="Q9" s="724">
        <f t="shared" ref="Q9:Q31" si="3">IF(O9&gt;0,N9-O9,0)</f>
        <v>0</v>
      </c>
      <c r="R9" s="474">
        <f>SUM('3 pr-2'!R10)</f>
        <v>23867</v>
      </c>
      <c r="S9" s="474">
        <v>0</v>
      </c>
      <c r="T9" s="475">
        <f t="shared" ref="T9:T31" si="4">SUM(R9-S9)</f>
        <v>23867</v>
      </c>
      <c r="U9" s="724">
        <f t="shared" ref="U9:U31" si="5">IF(S9&gt;0,R9-S9,0)</f>
        <v>0</v>
      </c>
      <c r="V9" s="474">
        <f>SUM('3 pr-2'!U10)</f>
        <v>0</v>
      </c>
      <c r="W9" s="474">
        <v>0</v>
      </c>
      <c r="X9" s="475">
        <f t="shared" ref="X9" si="6">SUM(V9-W9)</f>
        <v>0</v>
      </c>
      <c r="Y9" s="724">
        <f t="shared" ref="Y9:Y31" si="7">IF(W9&gt;0,V9-W9,0)</f>
        <v>0</v>
      </c>
      <c r="Z9" s="474">
        <f>SUM('3 pr-2'!X10)</f>
        <v>0</v>
      </c>
      <c r="AA9" s="474">
        <v>0</v>
      </c>
      <c r="AB9" s="475">
        <f t="shared" ref="AB9:AB31" si="8">SUM(Z9-AA9)</f>
        <v>0</v>
      </c>
      <c r="AC9" s="724">
        <f t="shared" ref="AC9:AC31" si="9">IF(AA9&gt;0,Z9-AA9,0)</f>
        <v>0</v>
      </c>
      <c r="AD9" s="474">
        <f>SUM('3 pr-2'!AA10)</f>
        <v>135247</v>
      </c>
      <c r="AE9" s="474">
        <v>0</v>
      </c>
      <c r="AF9" s="721">
        <f t="shared" ref="AF9:AF31" si="10">SUM(AD9-AE9)</f>
        <v>135247</v>
      </c>
      <c r="AG9" s="454">
        <f t="shared" ref="AG9:AG31" si="11">IF(AE9&gt;0,AD9-AE9,0)</f>
        <v>0</v>
      </c>
    </row>
    <row r="10" spans="1:33" ht="36.75" x14ac:dyDescent="0.25">
      <c r="A10" s="255" t="str">
        <f>CONCATENATE('3 pr-2'!A11)</f>
        <v>1.1.1.1.2</v>
      </c>
      <c r="B10" s="1015" t="str">
        <f>IF('ketv. 4 lent'!V11&gt;0,'ketv. 4 lent'!B11,"-")</f>
        <v>-</v>
      </c>
      <c r="C10" s="580" t="str">
        <f>CONCATENATE('3 pr-2'!D11)</f>
        <v>Druskininkų savivaldybės Viečiūnų seniūnijos Ratnyčėlės seniūnaitijos kelių būklės gerinimas</v>
      </c>
      <c r="D10" s="255" t="str">
        <f>CONCATENATE('3 pr-2'!E11)</f>
        <v xml:space="preserve">Druskininkų savivaldybės administracija  </v>
      </c>
      <c r="E10" s="255" t="str">
        <f>CONCATENATE('3 pr-2'!F11)</f>
        <v>Lietuvos Respublikos žemės ūkio ministerija</v>
      </c>
      <c r="F10" s="255" t="str">
        <f>CONCATENATE('3 pr-2'!G11)</f>
        <v>Druskininkų savivaldybė</v>
      </c>
      <c r="G10" s="255" t="str">
        <f>CONCATENATE('3 pr-2'!H11)</f>
        <v xml:space="preserve">Pagrindinės paslaugos ir kaimų atnaujinimas kaimo vietovėse </v>
      </c>
      <c r="H10" s="255" t="str">
        <f>CONCATENATE('3 pr-2'!I11)</f>
        <v>R</v>
      </c>
      <c r="I10" s="255" t="str">
        <f>CONCATENATE('3 pr-2'!J11)</f>
        <v>-</v>
      </c>
      <c r="J10" s="474">
        <f>SUM('3 pr-2'!L11)</f>
        <v>151340</v>
      </c>
      <c r="K10" s="474">
        <v>0</v>
      </c>
      <c r="L10" s="475">
        <f t="shared" si="0"/>
        <v>151340</v>
      </c>
      <c r="M10" s="724">
        <f t="shared" si="1"/>
        <v>0</v>
      </c>
      <c r="N10" s="474">
        <f>SUM('3 pr-2'!O11)</f>
        <v>30268</v>
      </c>
      <c r="O10" s="474">
        <v>0</v>
      </c>
      <c r="P10" s="475">
        <f t="shared" si="2"/>
        <v>30268</v>
      </c>
      <c r="Q10" s="724">
        <f t="shared" si="3"/>
        <v>0</v>
      </c>
      <c r="R10" s="474">
        <f>SUM('3 pr-2'!R11)</f>
        <v>18161</v>
      </c>
      <c r="S10" s="474">
        <v>0</v>
      </c>
      <c r="T10" s="475">
        <f t="shared" si="4"/>
        <v>18161</v>
      </c>
      <c r="U10" s="724">
        <f t="shared" si="5"/>
        <v>0</v>
      </c>
      <c r="V10" s="474">
        <f>SUM('3 pr-2'!U11)</f>
        <v>0</v>
      </c>
      <c r="W10" s="474">
        <v>0</v>
      </c>
      <c r="X10" s="475">
        <f t="shared" ref="X10:X31" si="12">SUM(V10-W10)</f>
        <v>0</v>
      </c>
      <c r="Y10" s="724">
        <f t="shared" si="7"/>
        <v>0</v>
      </c>
      <c r="Z10" s="474">
        <f>SUM('3 pr-2'!X11)</f>
        <v>0</v>
      </c>
      <c r="AA10" s="474">
        <v>0</v>
      </c>
      <c r="AB10" s="475">
        <f t="shared" si="8"/>
        <v>0</v>
      </c>
      <c r="AC10" s="724">
        <f t="shared" si="9"/>
        <v>0</v>
      </c>
      <c r="AD10" s="474">
        <f>SUM('3 pr-2'!AA11)</f>
        <v>102911</v>
      </c>
      <c r="AE10" s="474">
        <v>0</v>
      </c>
      <c r="AF10" s="721">
        <f t="shared" si="10"/>
        <v>102911</v>
      </c>
      <c r="AG10" s="454">
        <f t="shared" si="11"/>
        <v>0</v>
      </c>
    </row>
    <row r="11" spans="1:33" ht="36.75" x14ac:dyDescent="0.25">
      <c r="A11" s="255" t="str">
        <f>CONCATENATE('3 pr-2'!A12)</f>
        <v>1.1.1.1.3</v>
      </c>
      <c r="B11" s="1015" t="str">
        <f>IF('ketv. 4 lent'!V12&gt;0,'ketv. 4 lent'!B12,"-")</f>
        <v>-</v>
      </c>
      <c r="C11" s="580" t="str">
        <f>CONCATENATE('3 pr-2'!D12)</f>
        <v>Druskininkų savivaldybės Leipalingio seniūnijos Klonio seniūnaitijos kelių būklės gerinimas</v>
      </c>
      <c r="D11" s="255" t="str">
        <f>CONCATENATE('3 pr-2'!E12)</f>
        <v xml:space="preserve">Druskininkų savivaldybės administracija  </v>
      </c>
      <c r="E11" s="255" t="str">
        <f>CONCATENATE('3 pr-2'!F12)</f>
        <v>Lietuvos Respublikos žemės ūkio ministerija</v>
      </c>
      <c r="F11" s="255" t="str">
        <f>CONCATENATE('3 pr-2'!G12)</f>
        <v>Druskininkų savivaldybė</v>
      </c>
      <c r="G11" s="255" t="str">
        <f>CONCATENATE('3 pr-2'!H12)</f>
        <v xml:space="preserve">Pagrindinės paslaugos ir kaimų atnaujinimas kaimo vietovėse </v>
      </c>
      <c r="H11" s="255" t="str">
        <f>CONCATENATE('3 pr-2'!I12)</f>
        <v>R</v>
      </c>
      <c r="I11" s="255" t="str">
        <f>CONCATENATE('3 pr-2'!J12)</f>
        <v>-</v>
      </c>
      <c r="J11" s="474">
        <f>SUM('3 pr-2'!L12)</f>
        <v>193059</v>
      </c>
      <c r="K11" s="474">
        <v>0</v>
      </c>
      <c r="L11" s="475">
        <f t="shared" si="0"/>
        <v>193059</v>
      </c>
      <c r="M11" s="724">
        <f t="shared" si="1"/>
        <v>0</v>
      </c>
      <c r="N11" s="474">
        <f>SUM('3 pr-2'!O12)</f>
        <v>38612</v>
      </c>
      <c r="O11" s="474">
        <v>0</v>
      </c>
      <c r="P11" s="475">
        <f t="shared" si="2"/>
        <v>38612</v>
      </c>
      <c r="Q11" s="724">
        <f t="shared" si="3"/>
        <v>0</v>
      </c>
      <c r="R11" s="474">
        <f>SUM('3 pr-2'!R12)</f>
        <v>23167</v>
      </c>
      <c r="S11" s="474">
        <v>0</v>
      </c>
      <c r="T11" s="475">
        <f t="shared" si="4"/>
        <v>23167</v>
      </c>
      <c r="U11" s="724">
        <f t="shared" si="5"/>
        <v>0</v>
      </c>
      <c r="V11" s="474">
        <f>SUM('3 pr-2'!U12)</f>
        <v>0</v>
      </c>
      <c r="W11" s="474">
        <v>0</v>
      </c>
      <c r="X11" s="475">
        <f t="shared" si="12"/>
        <v>0</v>
      </c>
      <c r="Y11" s="724">
        <f t="shared" si="7"/>
        <v>0</v>
      </c>
      <c r="Z11" s="474">
        <f>SUM('3 pr-2'!X12)</f>
        <v>0</v>
      </c>
      <c r="AA11" s="474">
        <v>0</v>
      </c>
      <c r="AB11" s="475">
        <f t="shared" si="8"/>
        <v>0</v>
      </c>
      <c r="AC11" s="724">
        <f t="shared" si="9"/>
        <v>0</v>
      </c>
      <c r="AD11" s="474">
        <f>SUM('3 pr-2'!AA12)</f>
        <v>131280</v>
      </c>
      <c r="AE11" s="474">
        <v>0</v>
      </c>
      <c r="AF11" s="721">
        <f t="shared" si="10"/>
        <v>131280</v>
      </c>
      <c r="AG11" s="454">
        <f t="shared" si="11"/>
        <v>0</v>
      </c>
    </row>
    <row r="12" spans="1:33" ht="36.75" x14ac:dyDescent="0.25">
      <c r="A12" s="255" t="str">
        <f>CONCATENATE('3 pr-2'!A13)</f>
        <v>1.1.1.1.4</v>
      </c>
      <c r="B12" s="1015" t="str">
        <f>IF('ketv. 4 lent'!V13&gt;0,'ketv. 4 lent'!B13,"-")</f>
        <v>-</v>
      </c>
      <c r="C12" s="580" t="str">
        <f>CONCATENATE('3 pr-2'!D13)</f>
        <v>Rudaminos laisvalaikio salės pritaikymas bendruomenės poreikiams ir liaudies amatų plėtrai</v>
      </c>
      <c r="D12" s="255" t="str">
        <f>CONCATENATE('3 pr-2'!E13)</f>
        <v>Viešoji įstaiga Lazdijų kultūros centras</v>
      </c>
      <c r="E12" s="255" t="str">
        <f>CONCATENATE('3 pr-2'!F13)</f>
        <v>Lietuvos Respublikos žemės ūkio ministerija</v>
      </c>
      <c r="F12" s="255" t="str">
        <f>CONCATENATE('3 pr-2'!G13)</f>
        <v>Lazdijų rajono savivaldybė</v>
      </c>
      <c r="G12" s="255" t="str">
        <f>CONCATENATE('3 pr-2'!H13)</f>
        <v xml:space="preserve">Pagrindinės paslaugos ir kaimų atnaujinimas kaimo vietovėse </v>
      </c>
      <c r="H12" s="255" t="str">
        <f>CONCATENATE('3 pr-2'!I13)</f>
        <v>R</v>
      </c>
      <c r="I12" s="255" t="str">
        <f>CONCATENATE('3 pr-2'!J13)</f>
        <v>-</v>
      </c>
      <c r="J12" s="474">
        <f>SUM('3 pr-2'!L13)</f>
        <v>125000</v>
      </c>
      <c r="K12" s="474">
        <v>0</v>
      </c>
      <c r="L12" s="475">
        <f t="shared" si="0"/>
        <v>125000</v>
      </c>
      <c r="M12" s="724">
        <f t="shared" si="1"/>
        <v>0</v>
      </c>
      <c r="N12" s="474">
        <f>SUM('3 pr-2'!O13)</f>
        <v>25000</v>
      </c>
      <c r="O12" s="474">
        <v>0</v>
      </c>
      <c r="P12" s="475">
        <f t="shared" si="2"/>
        <v>25000</v>
      </c>
      <c r="Q12" s="724">
        <f t="shared" si="3"/>
        <v>0</v>
      </c>
      <c r="R12" s="474">
        <f>SUM('3 pr-2'!R13)</f>
        <v>15000</v>
      </c>
      <c r="S12" s="474">
        <v>0</v>
      </c>
      <c r="T12" s="475">
        <f t="shared" si="4"/>
        <v>15000</v>
      </c>
      <c r="U12" s="724">
        <f t="shared" si="5"/>
        <v>0</v>
      </c>
      <c r="V12" s="474">
        <f>SUM('3 pr-2'!U13)</f>
        <v>0</v>
      </c>
      <c r="W12" s="474">
        <v>0</v>
      </c>
      <c r="X12" s="475">
        <f t="shared" si="12"/>
        <v>0</v>
      </c>
      <c r="Y12" s="724">
        <f t="shared" si="7"/>
        <v>0</v>
      </c>
      <c r="Z12" s="474">
        <f>SUM('3 pr-2'!X13)</f>
        <v>0</v>
      </c>
      <c r="AA12" s="474">
        <v>0</v>
      </c>
      <c r="AB12" s="475">
        <f t="shared" si="8"/>
        <v>0</v>
      </c>
      <c r="AC12" s="724">
        <f t="shared" si="9"/>
        <v>0</v>
      </c>
      <c r="AD12" s="474">
        <f>SUM('3 pr-2'!AA13)</f>
        <v>85000</v>
      </c>
      <c r="AE12" s="474">
        <v>0</v>
      </c>
      <c r="AF12" s="721">
        <f t="shared" si="10"/>
        <v>85000</v>
      </c>
      <c r="AG12" s="454">
        <f t="shared" si="11"/>
        <v>0</v>
      </c>
    </row>
    <row r="13" spans="1:33" ht="36.75" x14ac:dyDescent="0.25">
      <c r="A13" s="255" t="str">
        <f>CONCATENATE('3 pr-2'!A14)</f>
        <v>1.1.1.1.5</v>
      </c>
      <c r="B13" s="1015" t="str">
        <f>IF('ketv. 4 lent'!V14&gt;0,'ketv. 4 lent'!B14,"-")</f>
        <v>-</v>
      </c>
      <c r="C13" s="580" t="str">
        <f>CONCATENATE('3 pr-2'!D14)</f>
        <v>Druskininkų savivaldybės Leipalingio seniūnijos Bilso seniūnaitijos kelių būklės gerinimas</v>
      </c>
      <c r="D13" s="255" t="str">
        <f>CONCATENATE('3 pr-2'!E14)</f>
        <v xml:space="preserve">Druskininkų savivaldybės administracija  </v>
      </c>
      <c r="E13" s="255" t="str">
        <f>CONCATENATE('3 pr-2'!F14)</f>
        <v>Lietuvos Respublikos žemės ūkio ministerija</v>
      </c>
      <c r="F13" s="255" t="str">
        <f>CONCATENATE('3 pr-2'!G14)</f>
        <v>Druskininkų savivaldybė</v>
      </c>
      <c r="G13" s="255" t="str">
        <f>CONCATENATE('3 pr-2'!H14)</f>
        <v xml:space="preserve">Pagrindinės paslaugos ir kaimų atnaujinimas kaimo vietovėse </v>
      </c>
      <c r="H13" s="255" t="str">
        <f>CONCATENATE('3 pr-2'!I14)</f>
        <v>R</v>
      </c>
      <c r="I13" s="255" t="str">
        <f>CONCATENATE('3 pr-2'!J14)</f>
        <v>-</v>
      </c>
      <c r="J13" s="474">
        <f>SUM('3 pr-2'!L14)</f>
        <v>240940</v>
      </c>
      <c r="K13" s="474">
        <v>0</v>
      </c>
      <c r="L13" s="475">
        <f t="shared" si="0"/>
        <v>240940</v>
      </c>
      <c r="M13" s="724">
        <f t="shared" si="1"/>
        <v>0</v>
      </c>
      <c r="N13" s="474">
        <f>SUM('3 pr-2'!O14)</f>
        <v>112896</v>
      </c>
      <c r="O13" s="474">
        <v>0</v>
      </c>
      <c r="P13" s="475">
        <f t="shared" si="2"/>
        <v>112896</v>
      </c>
      <c r="Q13" s="724">
        <f t="shared" si="3"/>
        <v>0</v>
      </c>
      <c r="R13" s="474">
        <f>SUM('3 pr-2'!R14)</f>
        <v>19207</v>
      </c>
      <c r="S13" s="474">
        <v>0</v>
      </c>
      <c r="T13" s="475">
        <f t="shared" si="4"/>
        <v>19207</v>
      </c>
      <c r="U13" s="724">
        <f t="shared" si="5"/>
        <v>0</v>
      </c>
      <c r="V13" s="474">
        <f>SUM('3 pr-2'!U14)</f>
        <v>0</v>
      </c>
      <c r="W13" s="474">
        <v>0</v>
      </c>
      <c r="X13" s="475">
        <f t="shared" si="12"/>
        <v>0</v>
      </c>
      <c r="Y13" s="724">
        <f t="shared" si="7"/>
        <v>0</v>
      </c>
      <c r="Z13" s="474">
        <f>SUM('3 pr-2'!X14)</f>
        <v>0</v>
      </c>
      <c r="AA13" s="474">
        <v>0</v>
      </c>
      <c r="AB13" s="475">
        <f t="shared" si="8"/>
        <v>0</v>
      </c>
      <c r="AC13" s="724">
        <f t="shared" si="9"/>
        <v>0</v>
      </c>
      <c r="AD13" s="474">
        <f>SUM('3 pr-2'!AA14)</f>
        <v>108837</v>
      </c>
      <c r="AE13" s="474">
        <v>0</v>
      </c>
      <c r="AF13" s="721">
        <f t="shared" si="10"/>
        <v>108837</v>
      </c>
      <c r="AG13" s="454">
        <f t="shared" si="11"/>
        <v>0</v>
      </c>
    </row>
    <row r="14" spans="1:33" ht="48.75" x14ac:dyDescent="0.25">
      <c r="A14" s="255" t="str">
        <f>CONCATENATE('3 pr-2'!A15)</f>
        <v>1.1.1.1.6</v>
      </c>
      <c r="B14" s="1015" t="str">
        <f>IF('ketv. 4 lent'!V15&gt;0,'ketv. 4 lent'!B15,"-")</f>
        <v>-</v>
      </c>
      <c r="C14" s="580" t="str">
        <f>CONCATENATE('3 pr-2'!D15)</f>
        <v>Lazdijų rajono kaimų patrauklumo didinimas atnaujinant bibliotekas</v>
      </c>
      <c r="D14" s="255" t="str">
        <f>CONCATENATE('3 pr-2'!E15)</f>
        <v xml:space="preserve">Biudžetinė įstaiga Lazdijų rajono savivaldybės viešoji biblioteka </v>
      </c>
      <c r="E14" s="255" t="str">
        <f>CONCATENATE('3 pr-2'!F15)</f>
        <v>Lietuvos Respublikos žemės ūkio ministerija</v>
      </c>
      <c r="F14" s="255" t="str">
        <f>CONCATENATE('3 pr-2'!G15)</f>
        <v>Lazdijų rajono savivaldybė</v>
      </c>
      <c r="G14" s="255" t="str">
        <f>CONCATENATE('3 pr-2'!H15)</f>
        <v xml:space="preserve">Pagrindinės paslaugos ir kaimų atnaujinimas kaimo vietovėse </v>
      </c>
      <c r="H14" s="255" t="str">
        <f>CONCATENATE('3 pr-2'!I15)</f>
        <v>R</v>
      </c>
      <c r="I14" s="255" t="str">
        <f>CONCATENATE('3 pr-2'!J15)</f>
        <v>-</v>
      </c>
      <c r="J14" s="474">
        <f>SUM('3 pr-2'!L15)</f>
        <v>201000</v>
      </c>
      <c r="K14" s="474">
        <v>0</v>
      </c>
      <c r="L14" s="475">
        <f t="shared" si="0"/>
        <v>201000</v>
      </c>
      <c r="M14" s="724">
        <f t="shared" si="1"/>
        <v>0</v>
      </c>
      <c r="N14" s="474">
        <f>SUM('3 pr-2'!O15)</f>
        <v>40200</v>
      </c>
      <c r="O14" s="474">
        <v>0</v>
      </c>
      <c r="P14" s="475">
        <f t="shared" si="2"/>
        <v>40200</v>
      </c>
      <c r="Q14" s="724">
        <f t="shared" si="3"/>
        <v>0</v>
      </c>
      <c r="R14" s="474">
        <f>SUM('3 pr-2'!R15)</f>
        <v>24120</v>
      </c>
      <c r="S14" s="474">
        <v>0</v>
      </c>
      <c r="T14" s="475">
        <f t="shared" si="4"/>
        <v>24120</v>
      </c>
      <c r="U14" s="724">
        <f t="shared" si="5"/>
        <v>0</v>
      </c>
      <c r="V14" s="474">
        <f>SUM('3 pr-2'!U15)</f>
        <v>0</v>
      </c>
      <c r="W14" s="474">
        <v>0</v>
      </c>
      <c r="X14" s="475">
        <f t="shared" si="12"/>
        <v>0</v>
      </c>
      <c r="Y14" s="724">
        <f t="shared" si="7"/>
        <v>0</v>
      </c>
      <c r="Z14" s="474">
        <f>SUM('3 pr-2'!X15)</f>
        <v>0</v>
      </c>
      <c r="AA14" s="474">
        <v>0</v>
      </c>
      <c r="AB14" s="475">
        <f t="shared" si="8"/>
        <v>0</v>
      </c>
      <c r="AC14" s="724">
        <f t="shared" si="9"/>
        <v>0</v>
      </c>
      <c r="AD14" s="474">
        <f>SUM('3 pr-2'!AA15)</f>
        <v>136680</v>
      </c>
      <c r="AE14" s="474">
        <v>0</v>
      </c>
      <c r="AF14" s="721">
        <f t="shared" si="10"/>
        <v>136680</v>
      </c>
      <c r="AG14" s="454">
        <f t="shared" si="11"/>
        <v>0</v>
      </c>
    </row>
    <row r="15" spans="1:33" ht="36.75" x14ac:dyDescent="0.25">
      <c r="A15" s="255" t="str">
        <f>CONCATENATE('3 pr-2'!A16)</f>
        <v>1.1.1.1.7</v>
      </c>
      <c r="B15" s="1015" t="str">
        <f>IF('ketv. 4 lent'!V16&gt;0,'ketv. 4 lent'!B16,"-")</f>
        <v>-</v>
      </c>
      <c r="C15" s="580" t="str">
        <f>CONCATENATE('3 pr-2'!D16)</f>
        <v>Alytaus rajono Miroslavo kaimo multifunkcinės sporto aikštės įrengimas ir gatvių bei šaligatvių rekonstrukcija</v>
      </c>
      <c r="D15" s="255" t="str">
        <f>CONCATENATE('3 pr-2'!E16)</f>
        <v>Alytaus rajono savivaldybės administracija</v>
      </c>
      <c r="E15" s="255" t="str">
        <f>CONCATENATE('3 pr-2'!F16)</f>
        <v>Lietuvos Respublikos žemės ūkio ministerija</v>
      </c>
      <c r="F15" s="255" t="str">
        <f>CONCATENATE('3 pr-2'!G16)</f>
        <v>Alytaus rajono savivaldybė</v>
      </c>
      <c r="G15" s="255" t="str">
        <f>CONCATENATE('3 pr-2'!H16)</f>
        <v xml:space="preserve">Pagrindinės paslaugos ir kaimų atnaujinimas kaimo vietovėse </v>
      </c>
      <c r="H15" s="255" t="str">
        <f>CONCATENATE('3 pr-2'!I16)</f>
        <v>R</v>
      </c>
      <c r="I15" s="255" t="str">
        <f>CONCATENATE('3 pr-2'!J16)</f>
        <v>-</v>
      </c>
      <c r="J15" s="474">
        <f>SUM('3 pr-2'!L16)</f>
        <v>252212</v>
      </c>
      <c r="K15" s="474">
        <f>SUM(O15+S15+W15+AA15+AE15)</f>
        <v>0</v>
      </c>
      <c r="L15" s="475">
        <f t="shared" si="0"/>
        <v>252212</v>
      </c>
      <c r="M15" s="724">
        <f t="shared" si="1"/>
        <v>0</v>
      </c>
      <c r="N15" s="474">
        <f>SUM('3 pr-2'!O16)</f>
        <v>52212</v>
      </c>
      <c r="O15" s="474">
        <v>0</v>
      </c>
      <c r="P15" s="475">
        <f t="shared" si="2"/>
        <v>52212</v>
      </c>
      <c r="Q15" s="724">
        <f t="shared" si="3"/>
        <v>0</v>
      </c>
      <c r="R15" s="474">
        <f>SUM('3 pr-2'!R16)</f>
        <v>30000</v>
      </c>
      <c r="S15" s="474">
        <v>0</v>
      </c>
      <c r="T15" s="475" t="e">
        <f>SUM(R15-#REF!)</f>
        <v>#REF!</v>
      </c>
      <c r="U15" s="724" t="e">
        <f>IF(#REF!&gt;0,R15-#REF!,0)</f>
        <v>#REF!</v>
      </c>
      <c r="V15" s="474">
        <f>SUM('3 pr-2'!U16)</f>
        <v>0</v>
      </c>
      <c r="W15" s="474">
        <v>0</v>
      </c>
      <c r="X15" s="475">
        <f t="shared" si="12"/>
        <v>0</v>
      </c>
      <c r="Y15" s="724">
        <f t="shared" si="7"/>
        <v>0</v>
      </c>
      <c r="Z15" s="474">
        <f>SUM('3 pr-2'!X16)</f>
        <v>0</v>
      </c>
      <c r="AA15" s="474">
        <v>0</v>
      </c>
      <c r="AB15" s="475">
        <f t="shared" si="8"/>
        <v>0</v>
      </c>
      <c r="AC15" s="724">
        <f t="shared" si="9"/>
        <v>0</v>
      </c>
      <c r="AD15" s="474">
        <f>SUM('3 pr-2'!AA16)</f>
        <v>170000</v>
      </c>
      <c r="AE15" s="474">
        <v>0</v>
      </c>
      <c r="AF15" s="721">
        <f t="shared" si="10"/>
        <v>170000</v>
      </c>
      <c r="AG15" s="454">
        <f t="shared" si="11"/>
        <v>0</v>
      </c>
    </row>
    <row r="16" spans="1:33" ht="36.75" x14ac:dyDescent="0.25">
      <c r="A16" s="255" t="str">
        <f>CONCATENATE('3 pr-2'!A17)</f>
        <v>1.1.1.1.8</v>
      </c>
      <c r="B16" s="1015" t="str">
        <f>IF('ketv. 4 lent'!V17&gt;0,'ketv. 4 lent'!B17,"-")</f>
        <v>20KI-KA-17-1-02242-PR001</v>
      </c>
      <c r="C16" s="580" t="str">
        <f>CONCATENATE('3 pr-2'!D17)</f>
        <v>Alytaus rajono Luksnėnų kaimo multifunkcinės sporto aikštės įrengimas ir gatvių rekonstrukcija</v>
      </c>
      <c r="D16" s="255" t="str">
        <f>CONCATENATE('3 pr-2'!E17)</f>
        <v>Alytaus rajono savivaldybės administracija</v>
      </c>
      <c r="E16" s="255" t="str">
        <f>CONCATENATE('3 pr-2'!F17)</f>
        <v>Lietuvos Respublikos žemės ūkio ministerija</v>
      </c>
      <c r="F16" s="255" t="str">
        <f>CONCATENATE('3 pr-2'!G17)</f>
        <v>Alytaus rajono savivaldybė</v>
      </c>
      <c r="G16" s="255" t="str">
        <f>CONCATENATE('3 pr-2'!H17)</f>
        <v xml:space="preserve">Pagrindinės paslaugos ir kaimų atnaujinimas kaimo vietovėse </v>
      </c>
      <c r="H16" s="255" t="str">
        <f>CONCATENATE('3 pr-2'!I17)</f>
        <v>R</v>
      </c>
      <c r="I16" s="255" t="str">
        <f>CONCATENATE('3 pr-2'!J17)</f>
        <v>-</v>
      </c>
      <c r="J16" s="474">
        <f>SUM('3 pr-2'!L17)</f>
        <v>250309</v>
      </c>
      <c r="K16" s="986">
        <f>SUM(O16+S16+W16+AA16+AE16)</f>
        <v>250309</v>
      </c>
      <c r="L16" s="475">
        <f t="shared" si="0"/>
        <v>0</v>
      </c>
      <c r="M16" s="724">
        <f t="shared" si="1"/>
        <v>0</v>
      </c>
      <c r="N16" s="474">
        <f>SUM('3 pr-2'!O17)</f>
        <v>50309</v>
      </c>
      <c r="O16" s="986">
        <v>50309</v>
      </c>
      <c r="P16" s="475">
        <f t="shared" si="2"/>
        <v>0</v>
      </c>
      <c r="Q16" s="724">
        <f t="shared" si="3"/>
        <v>0</v>
      </c>
      <c r="R16" s="474">
        <f>SUM('3 pr-2'!R17)</f>
        <v>30000</v>
      </c>
      <c r="S16" s="986">
        <v>30000</v>
      </c>
      <c r="T16" s="475">
        <f t="shared" si="4"/>
        <v>0</v>
      </c>
      <c r="U16" s="724">
        <f t="shared" si="5"/>
        <v>0</v>
      </c>
      <c r="V16" s="474">
        <f>SUM('3 pr-2'!U17)</f>
        <v>0</v>
      </c>
      <c r="W16" s="474">
        <v>0</v>
      </c>
      <c r="X16" s="475">
        <f t="shared" si="12"/>
        <v>0</v>
      </c>
      <c r="Y16" s="724">
        <f t="shared" si="7"/>
        <v>0</v>
      </c>
      <c r="Z16" s="474">
        <f>SUM('3 pr-2'!X17)</f>
        <v>0</v>
      </c>
      <c r="AA16" s="474">
        <v>0</v>
      </c>
      <c r="AB16" s="475">
        <f t="shared" si="8"/>
        <v>0</v>
      </c>
      <c r="AC16" s="724">
        <f t="shared" si="9"/>
        <v>0</v>
      </c>
      <c r="AD16" s="474">
        <f>SUM('3 pr-2'!AA17)</f>
        <v>170000</v>
      </c>
      <c r="AE16" s="986">
        <v>170000</v>
      </c>
      <c r="AF16" s="721">
        <f t="shared" si="10"/>
        <v>0</v>
      </c>
      <c r="AG16" s="454">
        <f t="shared" si="11"/>
        <v>0</v>
      </c>
    </row>
    <row r="17" spans="1:33" ht="36.75" x14ac:dyDescent="0.25">
      <c r="A17" s="255" t="str">
        <f>CONCATENATE('3 pr-2'!A18)</f>
        <v>1.1.1.1.9</v>
      </c>
      <c r="B17" s="1015" t="str">
        <f>IF('ketv. 4 lent'!V18&gt;0,'ketv. 4 lent'!B18,"-")</f>
        <v>-</v>
      </c>
      <c r="C17" s="580" t="str">
        <f>CONCATENATE('3 pr-2'!D18)</f>
        <v>Krikštonių laisvalaikio salės pritaikymas bendruomenės poreikiams</v>
      </c>
      <c r="D17" s="255" t="str">
        <f>CONCATENATE('3 pr-2'!E18)</f>
        <v xml:space="preserve">Viešoji įstaiga Lazdijų kultūros centras </v>
      </c>
      <c r="E17" s="255" t="str">
        <f>CONCATENATE('3 pr-2'!F18)</f>
        <v>Lietuvos Respublikos žemės ūkio ministerija</v>
      </c>
      <c r="F17" s="255" t="str">
        <f>CONCATENATE('3 pr-2'!G18)</f>
        <v>Lazdijų rajono savivaldybė</v>
      </c>
      <c r="G17" s="255" t="str">
        <f>CONCATENATE('3 pr-2'!H18)</f>
        <v xml:space="preserve">Pagrindinės paslaugos ir kaimų atnaujinimas kaimo vietovėse </v>
      </c>
      <c r="H17" s="255" t="str">
        <f>CONCATENATE('3 pr-2'!I18)</f>
        <v>R</v>
      </c>
      <c r="I17" s="255" t="str">
        <f>CONCATENATE('3 pr-2'!J18)</f>
        <v>-</v>
      </c>
      <c r="J17" s="474">
        <f>SUM('3 pr-2'!L18)</f>
        <v>250000</v>
      </c>
      <c r="K17" s="474">
        <v>0</v>
      </c>
      <c r="L17" s="475">
        <f t="shared" si="0"/>
        <v>250000</v>
      </c>
      <c r="M17" s="724">
        <f t="shared" si="1"/>
        <v>0</v>
      </c>
      <c r="N17" s="474">
        <f>SUM('3 pr-2'!O18)</f>
        <v>50000</v>
      </c>
      <c r="O17" s="474">
        <v>0</v>
      </c>
      <c r="P17" s="475">
        <f t="shared" si="2"/>
        <v>50000</v>
      </c>
      <c r="Q17" s="724">
        <f t="shared" si="3"/>
        <v>0</v>
      </c>
      <c r="R17" s="474">
        <f>SUM('3 pr-2'!R18)</f>
        <v>30000</v>
      </c>
      <c r="S17" s="474">
        <v>0</v>
      </c>
      <c r="T17" s="475">
        <f t="shared" si="4"/>
        <v>30000</v>
      </c>
      <c r="U17" s="724">
        <f t="shared" si="5"/>
        <v>0</v>
      </c>
      <c r="V17" s="474">
        <f>SUM('3 pr-2'!U18)</f>
        <v>0</v>
      </c>
      <c r="W17" s="474">
        <v>0</v>
      </c>
      <c r="X17" s="475">
        <f t="shared" si="12"/>
        <v>0</v>
      </c>
      <c r="Y17" s="724">
        <f t="shared" si="7"/>
        <v>0</v>
      </c>
      <c r="Z17" s="474">
        <f>SUM('3 pr-2'!X18)</f>
        <v>0</v>
      </c>
      <c r="AA17" s="474">
        <v>0</v>
      </c>
      <c r="AB17" s="475">
        <f t="shared" si="8"/>
        <v>0</v>
      </c>
      <c r="AC17" s="724">
        <f t="shared" si="9"/>
        <v>0</v>
      </c>
      <c r="AD17" s="474">
        <f>SUM('3 pr-2'!AA18)</f>
        <v>170000</v>
      </c>
      <c r="AE17" s="474">
        <v>0</v>
      </c>
      <c r="AF17" s="721">
        <f t="shared" si="10"/>
        <v>170000</v>
      </c>
      <c r="AG17" s="454">
        <f t="shared" si="11"/>
        <v>0</v>
      </c>
    </row>
    <row r="18" spans="1:33" ht="36.75" x14ac:dyDescent="0.25">
      <c r="A18" s="255" t="str">
        <f>CONCATENATE('3 pr-2'!A19)</f>
        <v>1.1.1.1.10</v>
      </c>
      <c r="B18" s="1015" t="str">
        <f>IF('ketv. 4 lent'!V19&gt;0,'ketv. 4 lent'!B19,"-")</f>
        <v>-</v>
      </c>
      <c r="C18" s="580" t="str">
        <f>CONCATENATE('3 pr-2'!D19)</f>
        <v>Kučiūnų laisvalaikio salės pritaikymas bendruomenės poreikiams</v>
      </c>
      <c r="D18" s="255" t="str">
        <f>CONCATENATE('3 pr-2'!E19)</f>
        <v xml:space="preserve">Viešoji įstaiga Lazdijų kultūros centras </v>
      </c>
      <c r="E18" s="255" t="str">
        <f>CONCATENATE('3 pr-2'!F19)</f>
        <v>Lietuvos Respublikos žemės ūkio ministerija</v>
      </c>
      <c r="F18" s="255" t="str">
        <f>CONCATENATE('3 pr-2'!G19)</f>
        <v>Lazdijų rajono savivaldybė</v>
      </c>
      <c r="G18" s="255" t="str">
        <f>CONCATENATE('3 pr-2'!H19)</f>
        <v xml:space="preserve">Pagrindinės paslaugos ir kaimų atnaujinimas kaimo vietovėse </v>
      </c>
      <c r="H18" s="255" t="str">
        <f>CONCATENATE('3 pr-2'!I19)</f>
        <v>R</v>
      </c>
      <c r="I18" s="255" t="str">
        <f>CONCATENATE('3 pr-2'!J19)</f>
        <v>-</v>
      </c>
      <c r="J18" s="474">
        <f>SUM('3 pr-2'!L19)</f>
        <v>250000</v>
      </c>
      <c r="K18" s="474">
        <v>0</v>
      </c>
      <c r="L18" s="475">
        <f t="shared" si="0"/>
        <v>250000</v>
      </c>
      <c r="M18" s="724">
        <f t="shared" si="1"/>
        <v>0</v>
      </c>
      <c r="N18" s="474">
        <f>SUM('3 pr-2'!O19)</f>
        <v>50000</v>
      </c>
      <c r="O18" s="474">
        <v>0</v>
      </c>
      <c r="P18" s="475">
        <f t="shared" si="2"/>
        <v>50000</v>
      </c>
      <c r="Q18" s="724">
        <f t="shared" si="3"/>
        <v>0</v>
      </c>
      <c r="R18" s="474">
        <f>SUM('3 pr-2'!R19)</f>
        <v>30000</v>
      </c>
      <c r="S18" s="474">
        <v>0</v>
      </c>
      <c r="T18" s="475">
        <f t="shared" si="4"/>
        <v>30000</v>
      </c>
      <c r="U18" s="724">
        <f t="shared" si="5"/>
        <v>0</v>
      </c>
      <c r="V18" s="474">
        <f>SUM('3 pr-2'!U19)</f>
        <v>0</v>
      </c>
      <c r="W18" s="474">
        <v>0</v>
      </c>
      <c r="X18" s="475">
        <f t="shared" si="12"/>
        <v>0</v>
      </c>
      <c r="Y18" s="724">
        <f t="shared" si="7"/>
        <v>0</v>
      </c>
      <c r="Z18" s="474">
        <f>SUM('3 pr-2'!X19)</f>
        <v>0</v>
      </c>
      <c r="AA18" s="474">
        <v>0</v>
      </c>
      <c r="AB18" s="475">
        <f t="shared" si="8"/>
        <v>0</v>
      </c>
      <c r="AC18" s="724">
        <f t="shared" si="9"/>
        <v>0</v>
      </c>
      <c r="AD18" s="474">
        <f>SUM('3 pr-2'!AA19)</f>
        <v>170000</v>
      </c>
      <c r="AE18" s="474">
        <v>0</v>
      </c>
      <c r="AF18" s="721">
        <f t="shared" si="10"/>
        <v>170000</v>
      </c>
      <c r="AG18" s="454">
        <f t="shared" si="11"/>
        <v>0</v>
      </c>
    </row>
    <row r="19" spans="1:33" ht="36.75" x14ac:dyDescent="0.25">
      <c r="A19" s="255" t="str">
        <f>CONCATENATE('3 pr-2'!A20)</f>
        <v>1.1.1.1.11</v>
      </c>
      <c r="B19" s="1015" t="str">
        <f>IF('ketv. 4 lent'!V20&gt;0,'ketv. 4 lent'!B20,"-")</f>
        <v>-</v>
      </c>
      <c r="C19" s="580" t="str">
        <f>CONCATENATE('3 pr-2'!D20)</f>
        <v>Laisvalaikio infrastruktūros sukūrimas Lazdijų rajono kaimo gyvenamosiose vietovėse</v>
      </c>
      <c r="D19" s="255" t="str">
        <f>CONCATENATE('3 pr-2'!E20)</f>
        <v>Lazdijų rajono savivaldybės administracija</v>
      </c>
      <c r="E19" s="255" t="str">
        <f>CONCATENATE('3 pr-2'!F20)</f>
        <v>Lietuvos Respublikos žemės ūkio ministerija</v>
      </c>
      <c r="F19" s="255" t="str">
        <f>CONCATENATE('3 pr-2'!G20)</f>
        <v>Lazdijų rajono savivaldybė</v>
      </c>
      <c r="G19" s="255" t="str">
        <f>CONCATENATE('3 pr-2'!H20)</f>
        <v xml:space="preserve">Pagrindinės paslaugos ir kaimų atnaujinimas kaimo vietovėse </v>
      </c>
      <c r="H19" s="255" t="str">
        <f>CONCATENATE('3 pr-2'!I20)</f>
        <v>R</v>
      </c>
      <c r="I19" s="255" t="str">
        <f>CONCATENATE('3 pr-2'!J20)</f>
        <v>-</v>
      </c>
      <c r="J19" s="474">
        <f>SUM('3 pr-2'!L20)</f>
        <v>125000</v>
      </c>
      <c r="K19" s="474">
        <v>0</v>
      </c>
      <c r="L19" s="475">
        <f t="shared" si="0"/>
        <v>125000</v>
      </c>
      <c r="M19" s="724">
        <f t="shared" si="1"/>
        <v>0</v>
      </c>
      <c r="N19" s="474">
        <f>SUM('3 pr-2'!O20)</f>
        <v>25000</v>
      </c>
      <c r="O19" s="474">
        <v>0</v>
      </c>
      <c r="P19" s="475">
        <f t="shared" si="2"/>
        <v>25000</v>
      </c>
      <c r="Q19" s="724">
        <f t="shared" si="3"/>
        <v>0</v>
      </c>
      <c r="R19" s="474">
        <f>SUM('3 pr-2'!R20)</f>
        <v>15000</v>
      </c>
      <c r="S19" s="474">
        <v>0</v>
      </c>
      <c r="T19" s="475">
        <f t="shared" si="4"/>
        <v>15000</v>
      </c>
      <c r="U19" s="724">
        <f t="shared" si="5"/>
        <v>0</v>
      </c>
      <c r="V19" s="474">
        <f>SUM('3 pr-2'!U20)</f>
        <v>0</v>
      </c>
      <c r="W19" s="474">
        <v>0</v>
      </c>
      <c r="X19" s="475">
        <f t="shared" si="12"/>
        <v>0</v>
      </c>
      <c r="Y19" s="724">
        <f t="shared" si="7"/>
        <v>0</v>
      </c>
      <c r="Z19" s="474">
        <f>SUM('3 pr-2'!X20)</f>
        <v>0</v>
      </c>
      <c r="AA19" s="474">
        <v>0</v>
      </c>
      <c r="AB19" s="475">
        <f t="shared" si="8"/>
        <v>0</v>
      </c>
      <c r="AC19" s="724">
        <f t="shared" si="9"/>
        <v>0</v>
      </c>
      <c r="AD19" s="474">
        <f>SUM('3 pr-2'!AA20)</f>
        <v>85000</v>
      </c>
      <c r="AE19" s="474">
        <v>0</v>
      </c>
      <c r="AF19" s="721">
        <f t="shared" si="10"/>
        <v>85000</v>
      </c>
      <c r="AG19" s="454">
        <f t="shared" si="11"/>
        <v>0</v>
      </c>
    </row>
    <row r="20" spans="1:33" ht="36.75" x14ac:dyDescent="0.25">
      <c r="A20" s="255" t="str">
        <f>CONCATENATE('3 pr-2'!A21)</f>
        <v>1.1.1.1.12</v>
      </c>
      <c r="B20" s="1015" t="str">
        <f>IF('ketv. 4 lent'!V21&gt;0,'ketv. 4 lent'!B21,"-")</f>
        <v>-</v>
      </c>
      <c r="C20" s="580" t="str">
        <f>CONCATENATE('3 pr-2'!D21)</f>
        <v>Alytaus rajono Butrimonių miestelio šaligatvių kapitalinis remontas ir gyvenvietės apšvietimo įrengimas</v>
      </c>
      <c r="D20" s="255" t="str">
        <f>CONCATENATE('3 pr-2'!E21)</f>
        <v>Alytaus rajono savivaldybės administracija</v>
      </c>
      <c r="E20" s="255" t="str">
        <f>CONCATENATE('3 pr-2'!F21)</f>
        <v>Lietuvos Respublikos žemės ūkio ministerija</v>
      </c>
      <c r="F20" s="255" t="str">
        <f>CONCATENATE('3 pr-2'!G21)</f>
        <v>Alytaus rajono savivaldybė</v>
      </c>
      <c r="G20" s="255" t="str">
        <f>CONCATENATE('3 pr-2'!H21)</f>
        <v xml:space="preserve">Pagrindinės paslaugos ir kaimų atnaujinimas kaimo vietovėse </v>
      </c>
      <c r="H20" s="255" t="str">
        <f>CONCATENATE('3 pr-2'!I21)</f>
        <v>R</v>
      </c>
      <c r="I20" s="255" t="str">
        <f>CONCATENATE('3 pr-2'!J21)</f>
        <v>-</v>
      </c>
      <c r="J20" s="474">
        <f>SUM('3 pr-2'!L21)</f>
        <v>153566</v>
      </c>
      <c r="K20" s="474">
        <v>0</v>
      </c>
      <c r="L20" s="475">
        <f t="shared" si="0"/>
        <v>153566</v>
      </c>
      <c r="M20" s="724">
        <f t="shared" si="1"/>
        <v>0</v>
      </c>
      <c r="N20" s="474">
        <f>SUM('3 pr-2'!O21)</f>
        <v>30713</v>
      </c>
      <c r="O20" s="474">
        <v>0</v>
      </c>
      <c r="P20" s="475">
        <f t="shared" si="2"/>
        <v>30713</v>
      </c>
      <c r="Q20" s="724">
        <f t="shared" si="3"/>
        <v>0</v>
      </c>
      <c r="R20" s="474">
        <f>SUM('3 pr-2'!R21)</f>
        <v>18428</v>
      </c>
      <c r="S20" s="474">
        <v>0</v>
      </c>
      <c r="T20" s="475">
        <f t="shared" si="4"/>
        <v>18428</v>
      </c>
      <c r="U20" s="724">
        <f t="shared" si="5"/>
        <v>0</v>
      </c>
      <c r="V20" s="474">
        <f>SUM('3 pr-2'!U21)</f>
        <v>0</v>
      </c>
      <c r="W20" s="474">
        <v>0</v>
      </c>
      <c r="X20" s="475">
        <f t="shared" si="12"/>
        <v>0</v>
      </c>
      <c r="Y20" s="724">
        <f t="shared" si="7"/>
        <v>0</v>
      </c>
      <c r="Z20" s="474">
        <f>SUM('3 pr-2'!X21)</f>
        <v>0</v>
      </c>
      <c r="AA20" s="474">
        <v>0</v>
      </c>
      <c r="AB20" s="475">
        <f t="shared" si="8"/>
        <v>0</v>
      </c>
      <c r="AC20" s="724">
        <f t="shared" si="9"/>
        <v>0</v>
      </c>
      <c r="AD20" s="474">
        <f>SUM('3 pr-2'!AA21)</f>
        <v>104425</v>
      </c>
      <c r="AE20" s="474">
        <v>0</v>
      </c>
      <c r="AF20" s="721">
        <f t="shared" si="10"/>
        <v>104425</v>
      </c>
      <c r="AG20" s="454">
        <f t="shared" si="11"/>
        <v>0</v>
      </c>
    </row>
    <row r="21" spans="1:33" ht="36.75" x14ac:dyDescent="0.25">
      <c r="A21" s="255" t="str">
        <f>CONCATENATE('3 pr-2'!A22)</f>
        <v>1.1.1.1.13</v>
      </c>
      <c r="B21" s="1015" t="str">
        <f>IF('ketv. 4 lent'!V22&gt;0,'ketv. 4 lent'!B22,"-")</f>
        <v>-</v>
      </c>
      <c r="C21" s="580" t="str">
        <f>CONCATENATE('3 pr-2'!D22)</f>
        <v>Alytaus rajono Genių kaimo sporto aikštės įrengimas ir gatvių rekonstrukcija</v>
      </c>
      <c r="D21" s="255" t="str">
        <f>CONCATENATE('3 pr-2'!E22)</f>
        <v>Alytaus rajono savivaldybės administracija</v>
      </c>
      <c r="E21" s="255" t="str">
        <f>CONCATENATE('3 pr-2'!F22)</f>
        <v>Lietuvos Respublikos žemės ūkio ministerija</v>
      </c>
      <c r="F21" s="255" t="str">
        <f>CONCATENATE('3 pr-2'!G22)</f>
        <v>Alytaus rajono savivaldybė</v>
      </c>
      <c r="G21" s="255" t="str">
        <f>CONCATENATE('3 pr-2'!H22)</f>
        <v xml:space="preserve">Pagrindinės paslaugos ir kaimų atnaujinimas kaimo vietovėse </v>
      </c>
      <c r="H21" s="255" t="str">
        <f>CONCATENATE('3 pr-2'!I22)</f>
        <v>R</v>
      </c>
      <c r="I21" s="255" t="str">
        <f>CONCATENATE('3 pr-2'!J22)</f>
        <v>-</v>
      </c>
      <c r="J21" s="474">
        <f>SUM('3 pr-2'!L22)</f>
        <v>250000</v>
      </c>
      <c r="K21" s="474">
        <v>0</v>
      </c>
      <c r="L21" s="475">
        <f t="shared" si="0"/>
        <v>250000</v>
      </c>
      <c r="M21" s="724">
        <f t="shared" si="1"/>
        <v>0</v>
      </c>
      <c r="N21" s="474">
        <f>SUM('3 pr-2'!O22)</f>
        <v>50000</v>
      </c>
      <c r="O21" s="474">
        <v>0</v>
      </c>
      <c r="P21" s="475">
        <f t="shared" si="2"/>
        <v>50000</v>
      </c>
      <c r="Q21" s="724">
        <f t="shared" si="3"/>
        <v>0</v>
      </c>
      <c r="R21" s="474">
        <f>SUM('3 pr-2'!R22)</f>
        <v>30000</v>
      </c>
      <c r="S21" s="474">
        <v>0</v>
      </c>
      <c r="T21" s="475">
        <f t="shared" si="4"/>
        <v>30000</v>
      </c>
      <c r="U21" s="724">
        <f t="shared" si="5"/>
        <v>0</v>
      </c>
      <c r="V21" s="474">
        <f>SUM('3 pr-2'!U22)</f>
        <v>0</v>
      </c>
      <c r="W21" s="474">
        <v>0</v>
      </c>
      <c r="X21" s="475">
        <f t="shared" si="12"/>
        <v>0</v>
      </c>
      <c r="Y21" s="724">
        <f t="shared" si="7"/>
        <v>0</v>
      </c>
      <c r="Z21" s="474">
        <f>SUM('3 pr-2'!X22)</f>
        <v>0</v>
      </c>
      <c r="AA21" s="474">
        <v>0</v>
      </c>
      <c r="AB21" s="475">
        <f t="shared" si="8"/>
        <v>0</v>
      </c>
      <c r="AC21" s="724">
        <f t="shared" si="9"/>
        <v>0</v>
      </c>
      <c r="AD21" s="474">
        <f>SUM('3 pr-2'!AA22)</f>
        <v>170000</v>
      </c>
      <c r="AE21" s="474">
        <v>0</v>
      </c>
      <c r="AF21" s="721">
        <f t="shared" si="10"/>
        <v>170000</v>
      </c>
      <c r="AG21" s="454">
        <f t="shared" si="11"/>
        <v>0</v>
      </c>
    </row>
    <row r="22" spans="1:33" ht="36.75" x14ac:dyDescent="0.25">
      <c r="A22" s="255" t="str">
        <f>CONCATENATE('3 pr-2'!A23)</f>
        <v>1.1.1.1.14</v>
      </c>
      <c r="B22" s="1015" t="str">
        <f>IF('ketv. 4 lent'!V23&gt;0,'ketv. 4 lent'!B23,"-")</f>
        <v>-</v>
      </c>
      <c r="C22" s="580" t="str">
        <f>CONCATENATE('3 pr-2'!D23)</f>
        <v>Varėnos r. Dargužių kaimo Liepų gatvės ir viešosios erdvės įrengimas</v>
      </c>
      <c r="D22" s="255" t="str">
        <f>CONCATENATE('3 pr-2'!E23)</f>
        <v xml:space="preserve">Varėnos rajono savivaldybės administracija </v>
      </c>
      <c r="E22" s="255" t="str">
        <f>CONCATENATE('3 pr-2'!F23)</f>
        <v>Lietuvos Respublikos žemės ūkio ministerija</v>
      </c>
      <c r="F22" s="255" t="str">
        <f>CONCATENATE('3 pr-2'!G23)</f>
        <v>Varėnos rajono savivaldybė</v>
      </c>
      <c r="G22" s="255" t="str">
        <f>CONCATENATE('3 pr-2'!H23)</f>
        <v xml:space="preserve">Pagrindinės paslaugos ir kaimų atnaujinimas kaimo vietovėse </v>
      </c>
      <c r="H22" s="255" t="str">
        <f>CONCATENATE('3 pr-2'!I23)</f>
        <v>R</v>
      </c>
      <c r="I22" s="255" t="str">
        <f>CONCATENATE('3 pr-2'!J23)</f>
        <v>-</v>
      </c>
      <c r="J22" s="474">
        <f>SUM('3 pr-2'!L23)</f>
        <v>215626</v>
      </c>
      <c r="K22" s="474">
        <v>0</v>
      </c>
      <c r="L22" s="475">
        <f t="shared" si="0"/>
        <v>215626</v>
      </c>
      <c r="M22" s="724">
        <f t="shared" si="1"/>
        <v>0</v>
      </c>
      <c r="N22" s="474">
        <f>SUM('3 pr-2'!O23)</f>
        <v>43125</v>
      </c>
      <c r="O22" s="474">
        <v>0</v>
      </c>
      <c r="P22" s="475">
        <f t="shared" si="2"/>
        <v>43125</v>
      </c>
      <c r="Q22" s="724">
        <f t="shared" si="3"/>
        <v>0</v>
      </c>
      <c r="R22" s="474">
        <f>SUM('3 pr-2'!R23)</f>
        <v>25875</v>
      </c>
      <c r="S22" s="474">
        <v>0</v>
      </c>
      <c r="T22" s="475">
        <f t="shared" si="4"/>
        <v>25875</v>
      </c>
      <c r="U22" s="724">
        <f t="shared" si="5"/>
        <v>0</v>
      </c>
      <c r="V22" s="474">
        <f>SUM('3 pr-2'!U23)</f>
        <v>0</v>
      </c>
      <c r="W22" s="474">
        <v>0</v>
      </c>
      <c r="X22" s="475">
        <f t="shared" si="12"/>
        <v>0</v>
      </c>
      <c r="Y22" s="724">
        <f t="shared" si="7"/>
        <v>0</v>
      </c>
      <c r="Z22" s="474">
        <f>SUM('3 pr-2'!X23)</f>
        <v>0</v>
      </c>
      <c r="AA22" s="474">
        <v>0</v>
      </c>
      <c r="AB22" s="475">
        <f t="shared" si="8"/>
        <v>0</v>
      </c>
      <c r="AC22" s="724">
        <f t="shared" si="9"/>
        <v>0</v>
      </c>
      <c r="AD22" s="474">
        <f>SUM('3 pr-2'!AA23)</f>
        <v>146626</v>
      </c>
      <c r="AE22" s="474">
        <v>0</v>
      </c>
      <c r="AF22" s="721">
        <f t="shared" si="10"/>
        <v>146626</v>
      </c>
      <c r="AG22" s="454">
        <f t="shared" si="11"/>
        <v>0</v>
      </c>
    </row>
    <row r="23" spans="1:33" ht="36.75" x14ac:dyDescent="0.25">
      <c r="A23" s="255" t="str">
        <f>CONCATENATE('3 pr-2'!A24)</f>
        <v>1.1.1.1.15</v>
      </c>
      <c r="B23" s="1015" t="str">
        <f>IF('ketv. 4 lent'!V24&gt;0,'ketv. 4 lent'!B24,"-")</f>
        <v>-</v>
      </c>
      <c r="C23" s="580" t="str">
        <f>CONCATENATE('3 pr-2'!D24)</f>
        <v>Alytaus rajono Vaisodžių kaimo sporto aikštės įrengimas ir gatvių apšvietimo atnaujinimas bei plėtra</v>
      </c>
      <c r="D23" s="255" t="str">
        <f>CONCATENATE('3 pr-2'!E24)</f>
        <v>Alytaus rajono savivaldybės administracija</v>
      </c>
      <c r="E23" s="255" t="str">
        <f>CONCATENATE('3 pr-2'!F24)</f>
        <v>Lietuvos Respublikos žemės ūkio ministerija</v>
      </c>
      <c r="F23" s="255" t="str">
        <f>CONCATENATE('3 pr-2'!G24)</f>
        <v>Alytaus rajono savivaldybė</v>
      </c>
      <c r="G23" s="255" t="str">
        <f>CONCATENATE('3 pr-2'!H24)</f>
        <v xml:space="preserve">Pagrindinės paslaugos ir kaimų atnaujinimas kaimo vietovėse </v>
      </c>
      <c r="H23" s="255" t="str">
        <f>CONCATENATE('3 pr-2'!I24)</f>
        <v>R</v>
      </c>
      <c r="I23" s="255" t="str">
        <f>CONCATENATE('3 pr-2'!J24)</f>
        <v>-</v>
      </c>
      <c r="J23" s="474">
        <f>SUM('3 pr-2'!L24)</f>
        <v>76480</v>
      </c>
      <c r="K23" s="474">
        <v>0</v>
      </c>
      <c r="L23" s="475">
        <f t="shared" si="0"/>
        <v>76480</v>
      </c>
      <c r="M23" s="724">
        <f t="shared" si="1"/>
        <v>0</v>
      </c>
      <c r="N23" s="474">
        <f>SUM('3 pr-2'!O24)</f>
        <v>15296</v>
      </c>
      <c r="O23" s="474">
        <v>0</v>
      </c>
      <c r="P23" s="475">
        <f t="shared" si="2"/>
        <v>15296</v>
      </c>
      <c r="Q23" s="724">
        <f t="shared" si="3"/>
        <v>0</v>
      </c>
      <c r="R23" s="474">
        <f>SUM('3 pr-2'!R24)</f>
        <v>9178</v>
      </c>
      <c r="S23" s="474">
        <v>0</v>
      </c>
      <c r="T23" s="475">
        <f t="shared" si="4"/>
        <v>9178</v>
      </c>
      <c r="U23" s="724">
        <f t="shared" si="5"/>
        <v>0</v>
      </c>
      <c r="V23" s="474">
        <f>SUM('3 pr-2'!U24)</f>
        <v>0</v>
      </c>
      <c r="W23" s="474">
        <v>0</v>
      </c>
      <c r="X23" s="475">
        <f t="shared" si="12"/>
        <v>0</v>
      </c>
      <c r="Y23" s="724">
        <f t="shared" si="7"/>
        <v>0</v>
      </c>
      <c r="Z23" s="474">
        <f>SUM('3 pr-2'!X24)</f>
        <v>0</v>
      </c>
      <c r="AA23" s="474">
        <v>0</v>
      </c>
      <c r="AB23" s="475">
        <f t="shared" si="8"/>
        <v>0</v>
      </c>
      <c r="AC23" s="724">
        <f t="shared" si="9"/>
        <v>0</v>
      </c>
      <c r="AD23" s="474">
        <f>SUM('3 pr-2'!AA24)</f>
        <v>52006</v>
      </c>
      <c r="AE23" s="474">
        <v>0</v>
      </c>
      <c r="AF23" s="721">
        <f t="shared" si="10"/>
        <v>52006</v>
      </c>
      <c r="AG23" s="454">
        <f t="shared" si="11"/>
        <v>0</v>
      </c>
    </row>
    <row r="24" spans="1:33" ht="36.75" x14ac:dyDescent="0.25">
      <c r="A24" s="255" t="str">
        <f>CONCATENATE('3 pr-2'!A25)</f>
        <v>1.1.1.1.16</v>
      </c>
      <c r="B24" s="1015" t="str">
        <f>IF('ketv. 4 lent'!V25&gt;0,'ketv. 4 lent'!B25,"-")</f>
        <v>-</v>
      </c>
      <c r="C24" s="580" t="str">
        <f>CONCATENATE('3 pr-2'!D25)</f>
        <v>Alytaus rajono Talokių kaimo sporto aikštės įrengimas ir Plytinės gatvės apšvietimas</v>
      </c>
      <c r="D24" s="255" t="str">
        <f>CONCATENATE('3 pr-2'!E25)</f>
        <v>Alytaus rajono savivaldybės administracija</v>
      </c>
      <c r="E24" s="255" t="str">
        <f>CONCATENATE('3 pr-2'!F25)</f>
        <v>Lietuvos Respublikos žemės ūkio ministerija</v>
      </c>
      <c r="F24" s="255" t="str">
        <f>CONCATENATE('3 pr-2'!G25)</f>
        <v>Alytaus rajono savivaldybė</v>
      </c>
      <c r="G24" s="255" t="str">
        <f>CONCATENATE('3 pr-2'!H25)</f>
        <v xml:space="preserve">Pagrindinės paslaugos ir kaimų atnaujinimas kaimo vietovėse </v>
      </c>
      <c r="H24" s="255" t="str">
        <f>CONCATENATE('3 pr-2'!I25)</f>
        <v>R</v>
      </c>
      <c r="I24" s="255" t="str">
        <f>CONCATENATE('3 pr-2'!J25)</f>
        <v>-</v>
      </c>
      <c r="J24" s="474">
        <f>SUM('3 pr-2'!L25)</f>
        <v>139472</v>
      </c>
      <c r="K24" s="474">
        <v>0</v>
      </c>
      <c r="L24" s="475">
        <f t="shared" si="0"/>
        <v>139472</v>
      </c>
      <c r="M24" s="724">
        <f t="shared" si="1"/>
        <v>0</v>
      </c>
      <c r="N24" s="474">
        <f>SUM('3 pr-2'!O25)</f>
        <v>27894</v>
      </c>
      <c r="O24" s="474">
        <v>0</v>
      </c>
      <c r="P24" s="475">
        <f t="shared" si="2"/>
        <v>27894</v>
      </c>
      <c r="Q24" s="724">
        <f t="shared" si="3"/>
        <v>0</v>
      </c>
      <c r="R24" s="474">
        <f>SUM('3 pr-2'!R25)</f>
        <v>16737</v>
      </c>
      <c r="S24" s="474">
        <v>0</v>
      </c>
      <c r="T24" s="475">
        <f t="shared" si="4"/>
        <v>16737</v>
      </c>
      <c r="U24" s="724">
        <f t="shared" si="5"/>
        <v>0</v>
      </c>
      <c r="V24" s="474">
        <f>SUM('3 pr-2'!U25)</f>
        <v>0</v>
      </c>
      <c r="W24" s="474">
        <v>0</v>
      </c>
      <c r="X24" s="475">
        <f t="shared" si="12"/>
        <v>0</v>
      </c>
      <c r="Y24" s="724">
        <f t="shared" si="7"/>
        <v>0</v>
      </c>
      <c r="Z24" s="474">
        <f>SUM('3 pr-2'!X25)</f>
        <v>0</v>
      </c>
      <c r="AA24" s="474">
        <v>0</v>
      </c>
      <c r="AB24" s="475">
        <f t="shared" si="8"/>
        <v>0</v>
      </c>
      <c r="AC24" s="724">
        <f t="shared" si="9"/>
        <v>0</v>
      </c>
      <c r="AD24" s="474">
        <f>SUM('3 pr-2'!AA25)</f>
        <v>94841</v>
      </c>
      <c r="AE24" s="474">
        <v>0</v>
      </c>
      <c r="AF24" s="721">
        <f t="shared" si="10"/>
        <v>94841</v>
      </c>
      <c r="AG24" s="454">
        <f t="shared" si="11"/>
        <v>0</v>
      </c>
    </row>
    <row r="25" spans="1:33" ht="36.75" x14ac:dyDescent="0.25">
      <c r="A25" s="255" t="str">
        <f>CONCATENATE('3 pr-2'!A26)</f>
        <v>1.1.1.1.17</v>
      </c>
      <c r="B25" s="1015" t="str">
        <f>IF('ketv. 4 lent'!V26&gt;0,'ketv. 4 lent'!B26,"-")</f>
        <v>20KI-KA-17-1-01639-PR001</v>
      </c>
      <c r="C25" s="580" t="str">
        <f>CONCATENATE('3 pr-2'!D26)</f>
        <v>Varėnos r. Rudnios kaimo Pušyno gatvės įrengimas</v>
      </c>
      <c r="D25" s="255" t="str">
        <f>CONCATENATE('3 pr-2'!E26)</f>
        <v xml:space="preserve">Varėnos rajono savivaldybės administracija </v>
      </c>
      <c r="E25" s="255" t="str">
        <f>CONCATENATE('3 pr-2'!F26)</f>
        <v>Lietuvos Respublikos žemės ūkio ministerija</v>
      </c>
      <c r="F25" s="255" t="str">
        <f>CONCATENATE('3 pr-2'!G26)</f>
        <v>Varėnos rajono savivaldybė</v>
      </c>
      <c r="G25" s="255" t="str">
        <f>CONCATENATE('3 pr-2'!H26)</f>
        <v xml:space="preserve">Pagrindinės paslaugos ir kaimų atnaujinimas kaimo vietovėse </v>
      </c>
      <c r="H25" s="255" t="str">
        <f>CONCATENATE('3 pr-2'!I26)</f>
        <v>R</v>
      </c>
      <c r="I25" s="255" t="str">
        <f>CONCATENATE('3 pr-2'!J26)</f>
        <v>-</v>
      </c>
      <c r="J25" s="474">
        <f>SUM('3 pr-2'!L26)</f>
        <v>115824</v>
      </c>
      <c r="K25" s="1031">
        <f>SUM(O25+S25+W25+AA25+AE25)</f>
        <v>115623.75</v>
      </c>
      <c r="L25" s="475">
        <f t="shared" si="0"/>
        <v>200.25</v>
      </c>
      <c r="M25" s="724">
        <f t="shared" si="1"/>
        <v>200.25</v>
      </c>
      <c r="N25" s="474">
        <f>SUM('3 pr-2'!O26)</f>
        <v>23165</v>
      </c>
      <c r="O25" s="986">
        <v>23124.75</v>
      </c>
      <c r="P25" s="475">
        <f t="shared" si="2"/>
        <v>40.25</v>
      </c>
      <c r="Q25" s="724">
        <f t="shared" si="3"/>
        <v>40.25</v>
      </c>
      <c r="R25" s="474">
        <f>SUM('3 pr-2'!R26)</f>
        <v>13899</v>
      </c>
      <c r="S25" s="986">
        <v>13874.85</v>
      </c>
      <c r="T25" s="475">
        <f t="shared" si="4"/>
        <v>24.149999999999636</v>
      </c>
      <c r="U25" s="724">
        <f t="shared" si="5"/>
        <v>24.149999999999636</v>
      </c>
      <c r="V25" s="474">
        <f>SUM('3 pr-2'!U26)</f>
        <v>0</v>
      </c>
      <c r="W25" s="986">
        <v>0</v>
      </c>
      <c r="X25" s="475">
        <f t="shared" si="12"/>
        <v>0</v>
      </c>
      <c r="Y25" s="724">
        <f t="shared" si="7"/>
        <v>0</v>
      </c>
      <c r="Z25" s="474">
        <f>SUM('3 pr-2'!X26)</f>
        <v>0</v>
      </c>
      <c r="AA25" s="986">
        <v>0</v>
      </c>
      <c r="AB25" s="475">
        <f t="shared" si="8"/>
        <v>0</v>
      </c>
      <c r="AC25" s="724">
        <f t="shared" si="9"/>
        <v>0</v>
      </c>
      <c r="AD25" s="474">
        <f>SUM('3 pr-2'!AA26)</f>
        <v>78760</v>
      </c>
      <c r="AE25" s="1031">
        <v>78624.149999999994</v>
      </c>
      <c r="AF25" s="721">
        <f t="shared" si="10"/>
        <v>135.85000000000582</v>
      </c>
      <c r="AG25" s="454">
        <f t="shared" si="11"/>
        <v>135.85000000000582</v>
      </c>
    </row>
    <row r="26" spans="1:33" ht="36.75" x14ac:dyDescent="0.25">
      <c r="A26" s="255" t="str">
        <f>CONCATENATE('3 pr-2'!A27)</f>
        <v>1.1.1.1.18</v>
      </c>
      <c r="B26" s="1015" t="str">
        <f>IF('ketv. 4 lent'!V27&gt;0,'ketv. 4 lent'!B27,"-")</f>
        <v>-</v>
      </c>
      <c r="C26" s="580" t="str">
        <f>CONCATENATE('3 pr-2'!D27)</f>
        <v>Varėnos kultūros centro Žilinų filialo pastato atnaujinimas ir pritaikymas bendruomenės poreikiams</v>
      </c>
      <c r="D26" s="255" t="str">
        <f>CONCATENATE('3 pr-2'!E27)</f>
        <v xml:space="preserve">Varėnos rajono savivaldybės administracija </v>
      </c>
      <c r="E26" s="255" t="str">
        <f>CONCATENATE('3 pr-2'!F27)</f>
        <v>Lietuvos Respublikos žemės ūkio ministerija</v>
      </c>
      <c r="F26" s="255" t="str">
        <f>CONCATENATE('3 pr-2'!G27)</f>
        <v>Varėnos rajono savivaldybė</v>
      </c>
      <c r="G26" s="255" t="str">
        <f>CONCATENATE('3 pr-2'!H27)</f>
        <v xml:space="preserve">Pagrindinės paslaugos ir kaimų atnaujinimas kaimo vietovėse </v>
      </c>
      <c r="H26" s="255" t="str">
        <f>CONCATENATE('3 pr-2'!I27)</f>
        <v>R</v>
      </c>
      <c r="I26" s="255" t="str">
        <f>CONCATENATE('3 pr-2'!J27)</f>
        <v>-</v>
      </c>
      <c r="J26" s="474">
        <f>SUM('3 pr-2'!L27)</f>
        <v>250000</v>
      </c>
      <c r="K26" s="474">
        <v>0</v>
      </c>
      <c r="L26" s="475">
        <f t="shared" si="0"/>
        <v>250000</v>
      </c>
      <c r="M26" s="724">
        <f t="shared" si="1"/>
        <v>0</v>
      </c>
      <c r="N26" s="474">
        <f>SUM('3 pr-2'!O27)</f>
        <v>50000</v>
      </c>
      <c r="O26" s="474">
        <v>0</v>
      </c>
      <c r="P26" s="475">
        <f t="shared" si="2"/>
        <v>50000</v>
      </c>
      <c r="Q26" s="724">
        <f t="shared" si="3"/>
        <v>0</v>
      </c>
      <c r="R26" s="474">
        <f>SUM('3 pr-2'!R27)</f>
        <v>30000</v>
      </c>
      <c r="S26" s="474">
        <v>0</v>
      </c>
      <c r="T26" s="475">
        <f t="shared" si="4"/>
        <v>30000</v>
      </c>
      <c r="U26" s="724">
        <f t="shared" si="5"/>
        <v>0</v>
      </c>
      <c r="V26" s="474">
        <f>SUM('3 pr-2'!U27)</f>
        <v>0</v>
      </c>
      <c r="W26" s="474">
        <v>0</v>
      </c>
      <c r="X26" s="475">
        <f t="shared" si="12"/>
        <v>0</v>
      </c>
      <c r="Y26" s="724">
        <f t="shared" si="7"/>
        <v>0</v>
      </c>
      <c r="Z26" s="474">
        <f>SUM('3 pr-2'!X27)</f>
        <v>0</v>
      </c>
      <c r="AA26" s="474">
        <v>0</v>
      </c>
      <c r="AB26" s="475">
        <f t="shared" si="8"/>
        <v>0</v>
      </c>
      <c r="AC26" s="724">
        <f t="shared" si="9"/>
        <v>0</v>
      </c>
      <c r="AD26" s="474">
        <f>SUM('3 pr-2'!AA27)</f>
        <v>170000</v>
      </c>
      <c r="AE26" s="474">
        <v>0</v>
      </c>
      <c r="AF26" s="721">
        <f t="shared" si="10"/>
        <v>170000</v>
      </c>
      <c r="AG26" s="454">
        <f t="shared" si="11"/>
        <v>0</v>
      </c>
    </row>
    <row r="27" spans="1:33" ht="36.75" x14ac:dyDescent="0.25">
      <c r="A27" s="255" t="str">
        <f>CONCATENATE('3 pr-2'!A28)</f>
        <v>1.1.1.1.19</v>
      </c>
      <c r="B27" s="1015" t="str">
        <f>IF('ketv. 4 lent'!V28&gt;0,'ketv. 4 lent'!B28,"-")</f>
        <v>-</v>
      </c>
      <c r="C27" s="580" t="str">
        <f>CONCATENATE('3 pr-2'!D28)</f>
        <v>Alytaus rajono Pivašiūnų kaimo šaligatvių, laiptų kapitalinis remontas ir gyvenvietės apšvietimo įrengimas</v>
      </c>
      <c r="D27" s="255" t="str">
        <f>CONCATENATE('3 pr-2'!E28)</f>
        <v>Alytaus rajono savivaldybės administracija</v>
      </c>
      <c r="E27" s="255" t="str">
        <f>CONCATENATE('3 pr-2'!F28)</f>
        <v>Lietuvos Respublikos žemės ūkio ministerija</v>
      </c>
      <c r="F27" s="255" t="str">
        <f>CONCATENATE('3 pr-2'!G28)</f>
        <v>Alytaus rajono savivaldybė</v>
      </c>
      <c r="G27" s="255" t="str">
        <f>CONCATENATE('3 pr-2'!H28)</f>
        <v xml:space="preserve">Pagrindinės paslaugos ir kaimų atnaujinimas kaimo vietovėse </v>
      </c>
      <c r="H27" s="255" t="str">
        <f>CONCATENATE('3 pr-2'!I28)</f>
        <v>R</v>
      </c>
      <c r="I27" s="255" t="str">
        <f>CONCATENATE('3 pr-2'!J28)</f>
        <v>-</v>
      </c>
      <c r="J27" s="474">
        <f>SUM('3 pr-2'!L28)</f>
        <v>117986</v>
      </c>
      <c r="K27" s="474">
        <v>0</v>
      </c>
      <c r="L27" s="475">
        <f t="shared" si="0"/>
        <v>117986</v>
      </c>
      <c r="M27" s="724">
        <f t="shared" si="1"/>
        <v>0</v>
      </c>
      <c r="N27" s="474">
        <f>SUM('3 pr-2'!O28)</f>
        <v>23597</v>
      </c>
      <c r="O27" s="474">
        <v>0</v>
      </c>
      <c r="P27" s="475">
        <f t="shared" si="2"/>
        <v>23597</v>
      </c>
      <c r="Q27" s="724">
        <f t="shared" si="3"/>
        <v>0</v>
      </c>
      <c r="R27" s="474">
        <f>SUM('3 pr-2'!R28)</f>
        <v>14158</v>
      </c>
      <c r="S27" s="474">
        <v>0</v>
      </c>
      <c r="T27" s="475">
        <f t="shared" si="4"/>
        <v>14158</v>
      </c>
      <c r="U27" s="724">
        <f t="shared" si="5"/>
        <v>0</v>
      </c>
      <c r="V27" s="474">
        <f>SUM('3 pr-2'!U28)</f>
        <v>0</v>
      </c>
      <c r="W27" s="474">
        <v>0</v>
      </c>
      <c r="X27" s="475">
        <f t="shared" si="12"/>
        <v>0</v>
      </c>
      <c r="Y27" s="724">
        <f t="shared" si="7"/>
        <v>0</v>
      </c>
      <c r="Z27" s="474">
        <f>SUM('3 pr-2'!X28)</f>
        <v>0</v>
      </c>
      <c r="AA27" s="474">
        <v>0</v>
      </c>
      <c r="AB27" s="475">
        <f t="shared" si="8"/>
        <v>0</v>
      </c>
      <c r="AC27" s="724">
        <f t="shared" si="9"/>
        <v>0</v>
      </c>
      <c r="AD27" s="474">
        <f>SUM('3 pr-2'!AA28)</f>
        <v>80231</v>
      </c>
      <c r="AE27" s="474">
        <v>0</v>
      </c>
      <c r="AF27" s="721">
        <f t="shared" si="10"/>
        <v>80231</v>
      </c>
      <c r="AG27" s="454">
        <f t="shared" si="11"/>
        <v>0</v>
      </c>
    </row>
    <row r="28" spans="1:33" ht="36.75" x14ac:dyDescent="0.25">
      <c r="A28" s="255" t="str">
        <f>CONCATENATE('3 pr-2'!A29)</f>
        <v>1.1.1.1.20</v>
      </c>
      <c r="B28" s="1015" t="str">
        <f>IF('ketv. 4 lent'!V29&gt;0,'ketv. 4 lent'!B29,"-")</f>
        <v>-</v>
      </c>
      <c r="C28" s="580" t="str">
        <f>CONCATENATE('3 pr-2'!D29)</f>
        <v>Pastato, esančio Pušelės g. 11, Naujųjų Valkininkų k., Varėnos r., atnaujinimas ir pritaikymas bendruomenės poreikiams</v>
      </c>
      <c r="D28" s="255" t="str">
        <f>CONCATENATE('3 pr-2'!E29)</f>
        <v xml:space="preserve">Varėnos rajono savivaldybės administracija </v>
      </c>
      <c r="E28" s="255" t="str">
        <f>CONCATENATE('3 pr-2'!F29)</f>
        <v>Lietuvos Respublikos žemės ūkio ministerija</v>
      </c>
      <c r="F28" s="255" t="str">
        <f>CONCATENATE('3 pr-2'!G29)</f>
        <v>Varėnos rajono savivaldybė</v>
      </c>
      <c r="G28" s="255" t="str">
        <f>CONCATENATE('3 pr-2'!H29)</f>
        <v xml:space="preserve">Pagrindinės paslaugos ir kaimų atnaujinimas kaimo vietovėse </v>
      </c>
      <c r="H28" s="255" t="str">
        <f>CONCATENATE('3 pr-2'!I29)</f>
        <v>R</v>
      </c>
      <c r="I28" s="255" t="str">
        <f>CONCATENATE('3 pr-2'!J29)</f>
        <v>-</v>
      </c>
      <c r="J28" s="474">
        <f>SUM('3 pr-2'!L29)</f>
        <v>250000</v>
      </c>
      <c r="K28" s="474">
        <v>0</v>
      </c>
      <c r="L28" s="475">
        <f t="shared" si="0"/>
        <v>250000</v>
      </c>
      <c r="M28" s="724">
        <f t="shared" si="1"/>
        <v>0</v>
      </c>
      <c r="N28" s="474">
        <f>SUM('3 pr-2'!O29)</f>
        <v>50000</v>
      </c>
      <c r="O28" s="474">
        <v>0</v>
      </c>
      <c r="P28" s="475">
        <f t="shared" si="2"/>
        <v>50000</v>
      </c>
      <c r="Q28" s="724">
        <f t="shared" si="3"/>
        <v>0</v>
      </c>
      <c r="R28" s="474">
        <f>SUM('3 pr-2'!R29)</f>
        <v>30000</v>
      </c>
      <c r="S28" s="474">
        <v>0</v>
      </c>
      <c r="T28" s="475">
        <f t="shared" si="4"/>
        <v>30000</v>
      </c>
      <c r="U28" s="724">
        <f t="shared" si="5"/>
        <v>0</v>
      </c>
      <c r="V28" s="474">
        <f>SUM('3 pr-2'!U29)</f>
        <v>0</v>
      </c>
      <c r="W28" s="474">
        <v>0</v>
      </c>
      <c r="X28" s="475">
        <f t="shared" si="12"/>
        <v>0</v>
      </c>
      <c r="Y28" s="724">
        <f t="shared" si="7"/>
        <v>0</v>
      </c>
      <c r="Z28" s="474">
        <f>SUM('3 pr-2'!X29)</f>
        <v>0</v>
      </c>
      <c r="AA28" s="474">
        <v>0</v>
      </c>
      <c r="AB28" s="475">
        <f t="shared" si="8"/>
        <v>0</v>
      </c>
      <c r="AC28" s="724">
        <f t="shared" si="9"/>
        <v>0</v>
      </c>
      <c r="AD28" s="474">
        <f>SUM('3 pr-2'!AA29)</f>
        <v>170000</v>
      </c>
      <c r="AE28" s="474">
        <v>0</v>
      </c>
      <c r="AF28" s="721">
        <f t="shared" si="10"/>
        <v>170000</v>
      </c>
      <c r="AG28" s="454">
        <f t="shared" si="11"/>
        <v>0</v>
      </c>
    </row>
    <row r="29" spans="1:33" ht="36.75" x14ac:dyDescent="0.25">
      <c r="A29" s="255" t="str">
        <f>CONCATENATE('3 pr-2'!A30)</f>
        <v>1.1.1.1.21</v>
      </c>
      <c r="B29" s="1015" t="str">
        <f>IF('ketv. 4 lent'!V30&gt;0,'ketv. 4 lent'!B30,"-")</f>
        <v>20KI-KA-17-1-02364-PR001</v>
      </c>
      <c r="C29" s="580" t="str">
        <f>CONCATENATE('3 pr-2'!D30)</f>
        <v>Kaimo gyvenamųjų vietovių Lazdijų rajono savivaldybėje patrauklumo gerinimas</v>
      </c>
      <c r="D29" s="255" t="str">
        <f>CONCATENATE('3 pr-2'!E30)</f>
        <v>Lazdijų rajono savivaldybės administracija</v>
      </c>
      <c r="E29" s="255" t="str">
        <f>CONCATENATE('3 pr-2'!F30)</f>
        <v>Lietuvos Respublikos žemės ūkio ministerija</v>
      </c>
      <c r="F29" s="255" t="str">
        <f>CONCATENATE('3 pr-2'!G30)</f>
        <v>Lazdijų rajono savivaldybė</v>
      </c>
      <c r="G29" s="255" t="str">
        <f>CONCATENATE('3 pr-2'!H30)</f>
        <v xml:space="preserve">Pagrindinės paslaugos ir kaimų atnaujinimas kaimo vietovėse </v>
      </c>
      <c r="H29" s="255" t="str">
        <f>CONCATENATE('3 pr-2'!I30)</f>
        <v>R</v>
      </c>
      <c r="I29" s="255" t="str">
        <f>CONCATENATE('3 pr-2'!J30)</f>
        <v>-</v>
      </c>
      <c r="J29" s="474">
        <f>SUM('3 pr-2'!L30)</f>
        <v>170000</v>
      </c>
      <c r="K29" s="986">
        <f>SUM(O29+S29+W29+AA29+AE29)</f>
        <v>170000</v>
      </c>
      <c r="L29" s="475">
        <f t="shared" si="0"/>
        <v>0</v>
      </c>
      <c r="M29" s="724">
        <f t="shared" si="1"/>
        <v>0</v>
      </c>
      <c r="N29" s="474">
        <f>SUM('3 pr-2'!O30)</f>
        <v>34000</v>
      </c>
      <c r="O29" s="986">
        <v>34000</v>
      </c>
      <c r="P29" s="475">
        <f t="shared" si="2"/>
        <v>0</v>
      </c>
      <c r="Q29" s="724">
        <f t="shared" si="3"/>
        <v>0</v>
      </c>
      <c r="R29" s="474">
        <f>SUM('3 pr-2'!R30)</f>
        <v>20400</v>
      </c>
      <c r="S29" s="986">
        <v>20400</v>
      </c>
      <c r="T29" s="475">
        <f t="shared" si="4"/>
        <v>0</v>
      </c>
      <c r="U29" s="724">
        <f t="shared" si="5"/>
        <v>0</v>
      </c>
      <c r="V29" s="474">
        <f>SUM('3 pr-2'!U30)</f>
        <v>0</v>
      </c>
      <c r="W29" s="986">
        <v>0</v>
      </c>
      <c r="X29" s="475">
        <f t="shared" si="12"/>
        <v>0</v>
      </c>
      <c r="Y29" s="724">
        <f t="shared" si="7"/>
        <v>0</v>
      </c>
      <c r="Z29" s="474">
        <f>SUM('3 pr-2'!X30)</f>
        <v>0</v>
      </c>
      <c r="AA29" s="986">
        <v>0</v>
      </c>
      <c r="AB29" s="475">
        <f t="shared" si="8"/>
        <v>0</v>
      </c>
      <c r="AC29" s="724">
        <f t="shared" si="9"/>
        <v>0</v>
      </c>
      <c r="AD29" s="474">
        <f>SUM('3 pr-2'!AA30)</f>
        <v>115600</v>
      </c>
      <c r="AE29" s="986">
        <v>115600</v>
      </c>
      <c r="AF29" s="721">
        <f t="shared" si="10"/>
        <v>0</v>
      </c>
      <c r="AG29" s="454">
        <f t="shared" si="11"/>
        <v>0</v>
      </c>
    </row>
    <row r="30" spans="1:33" ht="36.75" x14ac:dyDescent="0.25">
      <c r="A30" s="255" t="str">
        <f>CONCATENATE('3 pr-2'!A31)</f>
        <v>1.1.1.1.22</v>
      </c>
      <c r="B30" s="1015" t="str">
        <f>IF('ketv. 4 lent'!V31&gt;0,'ketv. 4 lent'!B31,"-")</f>
        <v>-</v>
      </c>
      <c r="C30" s="580" t="str">
        <f>CONCATENATE('3 pr-2'!D31)</f>
        <v>Alytaus rajono Makniūnų kaimo šaligatvių atnaujinimas ir plėtra</v>
      </c>
      <c r="D30" s="255" t="str">
        <f>CONCATENATE('3 pr-2'!E31)</f>
        <v>Alytaus rajono savivaldybės administracija</v>
      </c>
      <c r="E30" s="255" t="str">
        <f>CONCATENATE('3 pr-2'!F31)</f>
        <v>Lietuvos Respublikos žemės ūkio ministerija</v>
      </c>
      <c r="F30" s="255" t="str">
        <f>CONCATENATE('3 pr-2'!G31)</f>
        <v>Alytaus rajono savivaldybė</v>
      </c>
      <c r="G30" s="255" t="str">
        <f>CONCATENATE('3 pr-2'!H31)</f>
        <v xml:space="preserve">Pagrindinės paslaugos ir kaimų atnaujinimas kaimo vietovėse </v>
      </c>
      <c r="H30" s="255" t="str">
        <f>CONCATENATE('3 pr-2'!I31)</f>
        <v>R</v>
      </c>
      <c r="I30" s="255" t="str">
        <f>CONCATENATE('3 pr-2'!J31)</f>
        <v>-</v>
      </c>
      <c r="J30" s="474">
        <f>SUM('3 pr-2'!L31)</f>
        <v>70991</v>
      </c>
      <c r="K30" s="474">
        <v>0</v>
      </c>
      <c r="L30" s="475">
        <f t="shared" si="0"/>
        <v>70991</v>
      </c>
      <c r="M30" s="724">
        <f t="shared" si="1"/>
        <v>0</v>
      </c>
      <c r="N30" s="476">
        <f>SUM('3 pr-2'!O31)</f>
        <v>14198</v>
      </c>
      <c r="O30" s="474">
        <v>0</v>
      </c>
      <c r="P30" s="475">
        <f t="shared" si="2"/>
        <v>14198</v>
      </c>
      <c r="Q30" s="724">
        <f t="shared" si="3"/>
        <v>0</v>
      </c>
      <c r="R30" s="476">
        <f>SUM('3 pr-2'!R31)</f>
        <v>8519</v>
      </c>
      <c r="S30" s="474">
        <v>0</v>
      </c>
      <c r="T30" s="475">
        <f t="shared" si="4"/>
        <v>8519</v>
      </c>
      <c r="U30" s="724">
        <f t="shared" si="5"/>
        <v>0</v>
      </c>
      <c r="V30" s="474">
        <f>SUM('3 pr-2'!U31)</f>
        <v>0</v>
      </c>
      <c r="W30" s="474">
        <v>0</v>
      </c>
      <c r="X30" s="475">
        <f t="shared" si="12"/>
        <v>0</v>
      </c>
      <c r="Y30" s="724">
        <f t="shared" si="7"/>
        <v>0</v>
      </c>
      <c r="Z30" s="476">
        <f>SUM('3 pr-2'!X31)</f>
        <v>0</v>
      </c>
      <c r="AA30" s="474">
        <v>0</v>
      </c>
      <c r="AB30" s="475">
        <f t="shared" si="8"/>
        <v>0</v>
      </c>
      <c r="AC30" s="724">
        <f t="shared" si="9"/>
        <v>0</v>
      </c>
      <c r="AD30" s="476">
        <f>SUM('3 pr-2'!AA31)</f>
        <v>48274</v>
      </c>
      <c r="AE30" s="474">
        <v>0</v>
      </c>
      <c r="AF30" s="721">
        <f t="shared" si="10"/>
        <v>48274</v>
      </c>
      <c r="AG30" s="454">
        <f t="shared" si="11"/>
        <v>0</v>
      </c>
    </row>
    <row r="31" spans="1:33" ht="37.5" thickBot="1" x14ac:dyDescent="0.3">
      <c r="A31" s="255" t="str">
        <f>CONCATENATE('3 pr-2'!A32)</f>
        <v>1.1.1.1.23</v>
      </c>
      <c r="B31" s="1015" t="str">
        <f>IF('ketv. 4 lent'!V32&gt;0,'ketv. 4 lent'!B32,"-")</f>
        <v>-</v>
      </c>
      <c r="C31" s="580" t="str">
        <f>CONCATENATE('3 pr-2'!D32)</f>
        <v>Varėnos r. Vazgirdonių kaimo Klevų gatvės įrengimas</v>
      </c>
      <c r="D31" s="255" t="str">
        <f>CONCATENATE('3 pr-2'!E32)</f>
        <v xml:space="preserve">Varėnos rajono savivaldybės administracija </v>
      </c>
      <c r="E31" s="255" t="str">
        <f>CONCATENATE('3 pr-2'!F32)</f>
        <v>Lietuvos Respublikos žemės ūkio ministerija</v>
      </c>
      <c r="F31" s="255" t="str">
        <f>CONCATENATE('3 pr-2'!G32)</f>
        <v>Varėnos rajono savivaldybė</v>
      </c>
      <c r="G31" s="255" t="str">
        <f>CONCATENATE('3 pr-2'!H32)</f>
        <v xml:space="preserve">Pagrindinės paslaugos ir kaimų atnaujinimas kaimo vietovėse </v>
      </c>
      <c r="H31" s="255" t="str">
        <f>CONCATENATE('3 pr-2'!I32)</f>
        <v>R</v>
      </c>
      <c r="I31" s="255" t="str">
        <f>CONCATENATE('3 pr-2'!J32)</f>
        <v>-</v>
      </c>
      <c r="J31" s="474">
        <f>SUM('3 pr-2'!L32)</f>
        <v>160049</v>
      </c>
      <c r="K31" s="474">
        <v>0</v>
      </c>
      <c r="L31" s="475">
        <f t="shared" si="0"/>
        <v>160049</v>
      </c>
      <c r="M31" s="724">
        <f t="shared" si="1"/>
        <v>0</v>
      </c>
      <c r="N31" s="476">
        <f>SUM('3 pr-2'!O32)</f>
        <v>32010</v>
      </c>
      <c r="O31" s="474">
        <v>0</v>
      </c>
      <c r="P31" s="475">
        <f t="shared" si="2"/>
        <v>32010</v>
      </c>
      <c r="Q31" s="724">
        <f t="shared" si="3"/>
        <v>0</v>
      </c>
      <c r="R31" s="476">
        <f>SUM('3 pr-2'!R32)</f>
        <v>19206</v>
      </c>
      <c r="S31" s="474">
        <v>0</v>
      </c>
      <c r="T31" s="475">
        <f t="shared" si="4"/>
        <v>19206</v>
      </c>
      <c r="U31" s="724">
        <f t="shared" si="5"/>
        <v>0</v>
      </c>
      <c r="V31" s="474">
        <f>SUM('3 pr-2'!U32)</f>
        <v>0</v>
      </c>
      <c r="W31" s="474">
        <v>0</v>
      </c>
      <c r="X31" s="475">
        <f t="shared" si="12"/>
        <v>0</v>
      </c>
      <c r="Y31" s="724">
        <f t="shared" si="7"/>
        <v>0</v>
      </c>
      <c r="Z31" s="476">
        <f>SUM('3 pr-2'!X32)</f>
        <v>0</v>
      </c>
      <c r="AA31" s="474">
        <v>0</v>
      </c>
      <c r="AB31" s="475">
        <f t="shared" si="8"/>
        <v>0</v>
      </c>
      <c r="AC31" s="724">
        <f t="shared" si="9"/>
        <v>0</v>
      </c>
      <c r="AD31" s="476">
        <f>SUM('3 pr-2'!AA32)</f>
        <v>108833</v>
      </c>
      <c r="AE31" s="474">
        <v>0</v>
      </c>
      <c r="AF31" s="721">
        <f t="shared" si="10"/>
        <v>108833</v>
      </c>
      <c r="AG31" s="454">
        <f t="shared" si="11"/>
        <v>0</v>
      </c>
    </row>
    <row r="32" spans="1:33" ht="40.5" customHeight="1" thickBot="1" x14ac:dyDescent="0.3">
      <c r="A32" s="497" t="str">
        <f>CONCATENATE('3 pr-2'!A33)</f>
        <v>1.1.1.2</v>
      </c>
      <c r="B32" s="613" t="str">
        <f>CONCATENATE('ketv. 2lent'!B32)</f>
        <v/>
      </c>
      <c r="C32" s="1656" t="str">
        <f>CONCATENATE('3 pr-2'!D33)</f>
        <v/>
      </c>
      <c r="D32" s="1789"/>
      <c r="E32" s="1789"/>
      <c r="F32" s="1789"/>
      <c r="G32" s="1789"/>
      <c r="H32" s="1789"/>
      <c r="I32" s="1790"/>
      <c r="J32" s="629">
        <f>SUM('3 pr-2'!L33)</f>
        <v>3386329</v>
      </c>
      <c r="K32" s="629">
        <f>SUM(K33:K37)</f>
        <v>0</v>
      </c>
      <c r="L32" s="722">
        <f>SUM(L33:L37)</f>
        <v>3386329</v>
      </c>
      <c r="M32" s="723">
        <f>SUM(M33:M37)</f>
        <v>0</v>
      </c>
      <c r="N32" s="629">
        <f>SUM('3 pr-2'!O33)</f>
        <v>321365</v>
      </c>
      <c r="O32" s="629">
        <f>SUM(O33:O37)</f>
        <v>0</v>
      </c>
      <c r="P32" s="629">
        <f>SUM(P33:P37)</f>
        <v>321365</v>
      </c>
      <c r="Q32" s="629">
        <f>SUM(Q33:Q37)</f>
        <v>0</v>
      </c>
      <c r="R32" s="629">
        <f>SUM('3 pr-2'!R33)</f>
        <v>248511</v>
      </c>
      <c r="S32" s="629">
        <f>SUM(S33:S37)</f>
        <v>0</v>
      </c>
      <c r="T32" s="629">
        <f>SUM(T33:T37)</f>
        <v>248511</v>
      </c>
      <c r="U32" s="629">
        <f>SUM(U33:U37)</f>
        <v>0</v>
      </c>
      <c r="V32" s="629">
        <f>SUM('3 pr-2'!U33)</f>
        <v>0</v>
      </c>
      <c r="W32" s="629">
        <f>SUM(W33:W37)</f>
        <v>0</v>
      </c>
      <c r="X32" s="629">
        <f>SUM(X33:X37)</f>
        <v>0</v>
      </c>
      <c r="Y32" s="629">
        <f>SUM(Y33:Y37)</f>
        <v>0</v>
      </c>
      <c r="Z32" s="629">
        <f>SUM('3 pr-2'!X33)</f>
        <v>0</v>
      </c>
      <c r="AA32" s="629">
        <f>SUM(AA33:AA37)</f>
        <v>0</v>
      </c>
      <c r="AB32" s="629">
        <f>SUM(AB33:AB37)</f>
        <v>0</v>
      </c>
      <c r="AC32" s="629">
        <f>SUM(AC33:AC37)</f>
        <v>0</v>
      </c>
      <c r="AD32" s="629">
        <f>SUM('3 pr-2'!AA33)</f>
        <v>2816453</v>
      </c>
      <c r="AE32" s="629">
        <f>SUM(AE33:AE37)</f>
        <v>0</v>
      </c>
      <c r="AF32" s="338">
        <f>SUM(AF33:AF37)</f>
        <v>2816453</v>
      </c>
      <c r="AG32" s="465">
        <f>SUM(AG33:AG37)</f>
        <v>0</v>
      </c>
    </row>
    <row r="33" spans="1:34" ht="36.75" x14ac:dyDescent="0.25">
      <c r="A33" s="255" t="str">
        <f>CONCATENATE('3 pr-2'!A34)</f>
        <v>1.1.1.2.1</v>
      </c>
      <c r="B33" s="1015" t="str">
        <f>IF('ketv. 4 lent'!V34&gt;0,'ketv. 4 lent'!B34,"-")</f>
        <v>-</v>
      </c>
      <c r="C33" s="580" t="str">
        <f>CONCATENATE('3 pr-2'!D34)</f>
        <v>Matuizų kaimo viešosios infrastruktūros atnaujinimas ir pritaikymas bendruomenės poreikiams</v>
      </c>
      <c r="D33" s="255" t="str">
        <f>CONCATENATE('3 pr-2'!E34)</f>
        <v>Varėnos rajono savivaldybės administracija</v>
      </c>
      <c r="E33" s="255" t="str">
        <f>CONCATENATE('3 pr-2'!F34)</f>
        <v>Lietuvos Respublikos vidaus reikalų ministerija</v>
      </c>
      <c r="F33" s="255" t="str">
        <f>CONCATENATE('3 pr-2'!G34)</f>
        <v>Varėnos rajono savivaldybė</v>
      </c>
      <c r="G33" s="255" t="str">
        <f>CONCATENATE('3 pr-2'!H34)</f>
        <v>8.2.1-CPVA-R-908</v>
      </c>
      <c r="H33" s="255" t="str">
        <f>CONCATENATE('3 pr-2'!I34)</f>
        <v>R</v>
      </c>
      <c r="I33" s="255" t="str">
        <f>CONCATENATE('3 pr-2'!J34)</f>
        <v>-</v>
      </c>
      <c r="J33" s="474">
        <f>SUM('3 pr-2'!L34)</f>
        <v>646197</v>
      </c>
      <c r="K33" s="474">
        <v>0</v>
      </c>
      <c r="L33" s="475">
        <f t="shared" si="0"/>
        <v>646197</v>
      </c>
      <c r="M33" s="724">
        <f t="shared" ref="M33:M37" si="13">IF(K33&gt;0,J33-K33,0)</f>
        <v>0</v>
      </c>
      <c r="N33" s="476">
        <f>SUM('3 pr-2'!O34)</f>
        <v>115855</v>
      </c>
      <c r="O33" s="474">
        <v>0</v>
      </c>
      <c r="P33" s="475">
        <f t="shared" si="2"/>
        <v>115855</v>
      </c>
      <c r="Q33" s="724">
        <f t="shared" ref="Q33:Q37" si="14">IF(O33&gt;0,N33-O33,0)</f>
        <v>0</v>
      </c>
      <c r="R33" s="476">
        <f>SUM('3 pr-2'!R34)</f>
        <v>43001</v>
      </c>
      <c r="S33" s="474">
        <v>0</v>
      </c>
      <c r="T33" s="475">
        <f t="shared" ref="T33:T37" si="15">SUM(R33-S33)</f>
        <v>43001</v>
      </c>
      <c r="U33" s="724">
        <f t="shared" ref="U33:U37" si="16">IF(S33&gt;0,R33-S33,0)</f>
        <v>0</v>
      </c>
      <c r="V33" s="476">
        <f>SUM('3 pr-2'!U34)</f>
        <v>0</v>
      </c>
      <c r="W33" s="474">
        <v>0</v>
      </c>
      <c r="X33" s="475">
        <f t="shared" ref="X33:X37" si="17">SUM(V33-W33)</f>
        <v>0</v>
      </c>
      <c r="Y33" s="724">
        <f t="shared" ref="Y33:Y37" si="18">IF(W33&gt;0,V33-W33,0)</f>
        <v>0</v>
      </c>
      <c r="Z33" s="476">
        <f>SUM('3 pr-2'!X34)</f>
        <v>0</v>
      </c>
      <c r="AA33" s="474">
        <v>0</v>
      </c>
      <c r="AB33" s="475">
        <f>SUM(Z33-AA33)</f>
        <v>0</v>
      </c>
      <c r="AC33" s="724">
        <f t="shared" ref="AC33:AC37" si="19">IF(AA33&gt;0,Z33-AA33,0)</f>
        <v>0</v>
      </c>
      <c r="AD33" s="476">
        <f>SUM('3 pr-2'!AA34)</f>
        <v>487341</v>
      </c>
      <c r="AE33" s="474">
        <v>0</v>
      </c>
      <c r="AF33" s="721">
        <f t="shared" ref="AF33:AF37" si="20">SUM(AD33-AE33)</f>
        <v>487341</v>
      </c>
      <c r="AG33" s="454">
        <f t="shared" ref="AG33:AG37" si="21">IF(AE33&gt;0,AD33-AE33,0)</f>
        <v>0</v>
      </c>
    </row>
    <row r="34" spans="1:34" ht="36.75" x14ac:dyDescent="0.25">
      <c r="A34" s="255" t="str">
        <f>CONCATENATE('3 pr-2'!A35)</f>
        <v>1.1.1.2.2</v>
      </c>
      <c r="B34" s="1015" t="str">
        <f>IF('ketv. 4 lent'!V35&gt;0,'ketv. 4 lent'!B35,"-")</f>
        <v>-</v>
      </c>
      <c r="C34" s="580" t="str">
        <f>CONCATENATE('3 pr-2'!D35)</f>
        <v>Senosios Varėnos kaimo viešosios infrastruktūros atnaujinimas ir pritaikymas bendruomenės poreikiams</v>
      </c>
      <c r="D34" s="255" t="str">
        <f>CONCATENATE('3 pr-2'!E35)</f>
        <v>Varėnos rajono savivaldybės administracija</v>
      </c>
      <c r="E34" s="255" t="str">
        <f>CONCATENATE('3 pr-2'!F35)</f>
        <v>Lietuvos Respublikos vidaus reikalų ministerija</v>
      </c>
      <c r="F34" s="255" t="str">
        <f>CONCATENATE('3 pr-2'!G35)</f>
        <v>Varėnos rajono savivaldybė</v>
      </c>
      <c r="G34" s="255" t="str">
        <f>CONCATENATE('3 pr-2'!H35)</f>
        <v>8.2.1-CPVA-R-908</v>
      </c>
      <c r="H34" s="255" t="str">
        <f>CONCATENATE('3 pr-2'!I35)</f>
        <v>R</v>
      </c>
      <c r="I34" s="255" t="str">
        <f>CONCATENATE('3 pr-2'!J35)</f>
        <v>-</v>
      </c>
      <c r="J34" s="474">
        <f>SUM('3 pr-2'!L35)</f>
        <v>605025</v>
      </c>
      <c r="K34" s="474">
        <v>0</v>
      </c>
      <c r="L34" s="475">
        <f t="shared" si="0"/>
        <v>605025</v>
      </c>
      <c r="M34" s="724">
        <f t="shared" si="13"/>
        <v>0</v>
      </c>
      <c r="N34" s="476">
        <f>SUM('3 pr-2'!O35)</f>
        <v>45377</v>
      </c>
      <c r="O34" s="474">
        <v>0</v>
      </c>
      <c r="P34" s="475">
        <f t="shared" si="2"/>
        <v>45377</v>
      </c>
      <c r="Q34" s="724">
        <f t="shared" si="14"/>
        <v>0</v>
      </c>
      <c r="R34" s="476">
        <f>SUM('3 pr-2'!R35)</f>
        <v>45377</v>
      </c>
      <c r="S34" s="474">
        <v>0</v>
      </c>
      <c r="T34" s="475">
        <f t="shared" si="15"/>
        <v>45377</v>
      </c>
      <c r="U34" s="724">
        <f t="shared" si="16"/>
        <v>0</v>
      </c>
      <c r="V34" s="476">
        <f>SUM('3 pr-2'!U35)</f>
        <v>0</v>
      </c>
      <c r="W34" s="474">
        <v>0</v>
      </c>
      <c r="X34" s="475">
        <f t="shared" si="17"/>
        <v>0</v>
      </c>
      <c r="Y34" s="724">
        <f t="shared" si="18"/>
        <v>0</v>
      </c>
      <c r="Z34" s="476">
        <f>SUM('3 pr-2'!X35)</f>
        <v>0</v>
      </c>
      <c r="AA34" s="474">
        <v>0</v>
      </c>
      <c r="AB34" s="475">
        <f>SUM(Z34-AA34)</f>
        <v>0</v>
      </c>
      <c r="AC34" s="724">
        <f t="shared" si="19"/>
        <v>0</v>
      </c>
      <c r="AD34" s="476">
        <f>SUM('3 pr-2'!AA35)</f>
        <v>514271</v>
      </c>
      <c r="AE34" s="474">
        <v>0</v>
      </c>
      <c r="AF34" s="721">
        <f t="shared" si="20"/>
        <v>514271</v>
      </c>
      <c r="AG34" s="454">
        <f t="shared" si="21"/>
        <v>0</v>
      </c>
    </row>
    <row r="35" spans="1:34" ht="36.75" x14ac:dyDescent="0.25">
      <c r="A35" s="255" t="str">
        <f>CONCATENATE('3 pr-2'!A36)</f>
        <v>1.1.1.2.3</v>
      </c>
      <c r="B35" s="1015" t="str">
        <f>IF('ketv. 4 lent'!V36&gt;0,'ketv. 4 lent'!B36,"-")</f>
        <v>-</v>
      </c>
      <c r="C35" s="580" t="str">
        <f>CONCATENATE('3 pr-2'!D36)</f>
        <v>Kompleksinė Miklusėnų gyvenvietės plėtra</v>
      </c>
      <c r="D35" s="255" t="str">
        <f>CONCATENATE('3 pr-2'!E36)</f>
        <v>Alytaus rajono savivaldybės administracija</v>
      </c>
      <c r="E35" s="255" t="str">
        <f>CONCATENATE('3 pr-2'!F36)</f>
        <v>Lietuvos Respublikos vidaus reikalų ministerija</v>
      </c>
      <c r="F35" s="255" t="str">
        <f>CONCATENATE('3 pr-2'!G36)</f>
        <v>Alytaus rajono  savivaldybė</v>
      </c>
      <c r="G35" s="255" t="str">
        <f>CONCATENATE('3 pr-2'!H36)</f>
        <v>8.2.1-CPVA-R-908</v>
      </c>
      <c r="H35" s="255" t="str">
        <f>CONCATENATE('3 pr-2'!I36)</f>
        <v>R</v>
      </c>
      <c r="I35" s="255" t="str">
        <f>CONCATENATE('3 pr-2'!J36)</f>
        <v>-</v>
      </c>
      <c r="J35" s="474">
        <f>SUM('3 pr-2'!L36)</f>
        <v>1043467</v>
      </c>
      <c r="K35" s="474">
        <v>0</v>
      </c>
      <c r="L35" s="475">
        <f t="shared" si="0"/>
        <v>1043467</v>
      </c>
      <c r="M35" s="724">
        <f t="shared" si="13"/>
        <v>0</v>
      </c>
      <c r="N35" s="476">
        <f>SUM('3 pr-2'!O36)</f>
        <v>78260</v>
      </c>
      <c r="O35" s="474">
        <v>0</v>
      </c>
      <c r="P35" s="475">
        <f t="shared" si="2"/>
        <v>78260</v>
      </c>
      <c r="Q35" s="724">
        <f t="shared" si="14"/>
        <v>0</v>
      </c>
      <c r="R35" s="476">
        <f>SUM('3 pr-2'!R36)</f>
        <v>78260</v>
      </c>
      <c r="S35" s="474">
        <v>0</v>
      </c>
      <c r="T35" s="475">
        <f t="shared" si="15"/>
        <v>78260</v>
      </c>
      <c r="U35" s="724">
        <f t="shared" si="16"/>
        <v>0</v>
      </c>
      <c r="V35" s="476">
        <f>SUM('3 pr-2'!U36)</f>
        <v>0</v>
      </c>
      <c r="W35" s="474">
        <v>0</v>
      </c>
      <c r="X35" s="475">
        <f t="shared" si="17"/>
        <v>0</v>
      </c>
      <c r="Y35" s="724">
        <f t="shared" si="18"/>
        <v>0</v>
      </c>
      <c r="Z35" s="476">
        <f>SUM('3 pr-2'!X36)</f>
        <v>0</v>
      </c>
      <c r="AA35" s="474">
        <v>0</v>
      </c>
      <c r="AB35" s="475">
        <f>SUM(Z35-AA35)</f>
        <v>0</v>
      </c>
      <c r="AC35" s="724">
        <f t="shared" si="19"/>
        <v>0</v>
      </c>
      <c r="AD35" s="476">
        <f>SUM('3 pr-2'!AA36)</f>
        <v>886947</v>
      </c>
      <c r="AE35" s="474">
        <v>0</v>
      </c>
      <c r="AF35" s="721">
        <f t="shared" si="20"/>
        <v>886947</v>
      </c>
      <c r="AG35" s="454">
        <f t="shared" si="21"/>
        <v>0</v>
      </c>
    </row>
    <row r="36" spans="1:34" ht="48.75" x14ac:dyDescent="0.25">
      <c r="A36" s="255" t="str">
        <f>CONCATENATE('3 pr-2'!A37)</f>
        <v>1.1.1.2.4</v>
      </c>
      <c r="B36" s="1015" t="str">
        <f>IF('ketv. 4 lent'!V37&gt;0,'ketv. 4 lent'!B37,"-")</f>
        <v>-</v>
      </c>
      <c r="C36" s="580" t="str">
        <f>CONCATENATE('3 pr-2'!D37)</f>
        <v>Leipalingio viešosios erdvės pritaikymas bendruomenės poreikiams</v>
      </c>
      <c r="D36" s="255" t="str">
        <f>CONCATENATE('3 pr-2'!E37)</f>
        <v xml:space="preserve">Druskininkų savivaldybės administracija  </v>
      </c>
      <c r="E36" s="255" t="str">
        <f>CONCATENATE('3 pr-2'!F37)</f>
        <v>Lietuvos Respublikos vidaus reikalų ministerija</v>
      </c>
      <c r="F36" s="255" t="str">
        <f>CONCATENATE('3 pr-2'!G37)</f>
        <v>Druskininkų savivaldybė, Leipalingio seniūnija</v>
      </c>
      <c r="G36" s="255" t="str">
        <f>CONCATENATE('3 pr-2'!H37)</f>
        <v>8.2.1-CPVA-R-908</v>
      </c>
      <c r="H36" s="255" t="str">
        <f>CONCATENATE('3 pr-2'!I37)</f>
        <v>R</v>
      </c>
      <c r="I36" s="255" t="str">
        <f>CONCATENATE('3 pr-2'!J37)</f>
        <v>-</v>
      </c>
      <c r="J36" s="474">
        <f>SUM('3 pr-2'!L37)</f>
        <v>417761</v>
      </c>
      <c r="K36" s="474">
        <v>0</v>
      </c>
      <c r="L36" s="475">
        <f t="shared" si="0"/>
        <v>417761</v>
      </c>
      <c r="M36" s="724">
        <f t="shared" si="13"/>
        <v>0</v>
      </c>
      <c r="N36" s="476">
        <f>SUM('3 pr-2'!O37)</f>
        <v>31332</v>
      </c>
      <c r="O36" s="474">
        <v>0</v>
      </c>
      <c r="P36" s="475">
        <f t="shared" si="2"/>
        <v>31332</v>
      </c>
      <c r="Q36" s="724">
        <f t="shared" si="14"/>
        <v>0</v>
      </c>
      <c r="R36" s="476">
        <f>SUM('3 pr-2'!R37)</f>
        <v>31332</v>
      </c>
      <c r="S36" s="474">
        <v>0</v>
      </c>
      <c r="T36" s="475">
        <f t="shared" si="15"/>
        <v>31332</v>
      </c>
      <c r="U36" s="724">
        <f t="shared" si="16"/>
        <v>0</v>
      </c>
      <c r="V36" s="476">
        <f>SUM('3 pr-2'!U37)</f>
        <v>0</v>
      </c>
      <c r="W36" s="474">
        <v>0</v>
      </c>
      <c r="X36" s="475">
        <f t="shared" si="17"/>
        <v>0</v>
      </c>
      <c r="Y36" s="724">
        <f t="shared" si="18"/>
        <v>0</v>
      </c>
      <c r="Z36" s="476">
        <f>SUM('3 pr-2'!X37)</f>
        <v>0</v>
      </c>
      <c r="AA36" s="474">
        <v>0</v>
      </c>
      <c r="AB36" s="475">
        <f>SUM(Z36-AA36)</f>
        <v>0</v>
      </c>
      <c r="AC36" s="724">
        <f t="shared" si="19"/>
        <v>0</v>
      </c>
      <c r="AD36" s="476">
        <f>SUM('3 pr-2'!AA37)</f>
        <v>355097</v>
      </c>
      <c r="AE36" s="474">
        <v>0</v>
      </c>
      <c r="AF36" s="721">
        <f t="shared" si="20"/>
        <v>355097</v>
      </c>
      <c r="AG36" s="454">
        <f t="shared" si="21"/>
        <v>0</v>
      </c>
    </row>
    <row r="37" spans="1:34" ht="49.5" thickBot="1" x14ac:dyDescent="0.3">
      <c r="A37" s="255" t="str">
        <f>CONCATENATE('3 pr-2'!A38)</f>
        <v>1.1.1.2.5</v>
      </c>
      <c r="B37" s="1015" t="str">
        <f>IF('ketv. 4 lent'!V38&gt;0,'ketv. 4 lent'!B38,"-")</f>
        <v>-</v>
      </c>
      <c r="C37" s="580" t="str">
        <f>CONCATENATE('3 pr-2'!D38)</f>
        <v>Viečiūnų viešosios erdvės pritaikymas bendruomenės poreikiams</v>
      </c>
      <c r="D37" s="255" t="str">
        <f>CONCATENATE('3 pr-2'!E38)</f>
        <v xml:space="preserve">Druskininkų savivaldybės administracija  </v>
      </c>
      <c r="E37" s="255" t="str">
        <f>CONCATENATE('3 pr-2'!F38)</f>
        <v>Lietuvos Respublikos vidaus reikalų ministerija</v>
      </c>
      <c r="F37" s="255" t="str">
        <f>CONCATENATE('3 pr-2'!G38)</f>
        <v>Druskininkų savivaldybė, Viečiūnų seniūnija</v>
      </c>
      <c r="G37" s="255" t="str">
        <f>CONCATENATE('3 pr-2'!H38)</f>
        <v>8.2.1-CPVA-R-908</v>
      </c>
      <c r="H37" s="255" t="str">
        <f>CONCATENATE('3 pr-2'!I38)</f>
        <v>R</v>
      </c>
      <c r="I37" s="255" t="str">
        <f>CONCATENATE('3 pr-2'!J38)</f>
        <v>-</v>
      </c>
      <c r="J37" s="474">
        <f>SUM('3 pr-2'!L38)</f>
        <v>673879</v>
      </c>
      <c r="K37" s="474">
        <v>0</v>
      </c>
      <c r="L37" s="475">
        <f t="shared" si="0"/>
        <v>673879</v>
      </c>
      <c r="M37" s="724">
        <f t="shared" si="13"/>
        <v>0</v>
      </c>
      <c r="N37" s="476">
        <f>SUM('3 pr-2'!O38)</f>
        <v>50541</v>
      </c>
      <c r="O37" s="474">
        <v>0</v>
      </c>
      <c r="P37" s="475">
        <f t="shared" si="2"/>
        <v>50541</v>
      </c>
      <c r="Q37" s="724">
        <f t="shared" si="14"/>
        <v>0</v>
      </c>
      <c r="R37" s="476">
        <f>SUM('3 pr-2'!R38)</f>
        <v>50541</v>
      </c>
      <c r="S37" s="474">
        <v>0</v>
      </c>
      <c r="T37" s="475">
        <f t="shared" si="15"/>
        <v>50541</v>
      </c>
      <c r="U37" s="724">
        <f t="shared" si="16"/>
        <v>0</v>
      </c>
      <c r="V37" s="476">
        <f>SUM('3 pr-2'!U38)</f>
        <v>0</v>
      </c>
      <c r="W37" s="474">
        <v>0</v>
      </c>
      <c r="X37" s="475">
        <f t="shared" si="17"/>
        <v>0</v>
      </c>
      <c r="Y37" s="724">
        <f t="shared" si="18"/>
        <v>0</v>
      </c>
      <c r="Z37" s="476">
        <f>SUM('3 pr-2'!X38)</f>
        <v>0</v>
      </c>
      <c r="AA37" s="474">
        <v>0</v>
      </c>
      <c r="AB37" s="475">
        <f>SUM(Z37-AA37)</f>
        <v>0</v>
      </c>
      <c r="AC37" s="724">
        <f t="shared" si="19"/>
        <v>0</v>
      </c>
      <c r="AD37" s="476">
        <f>SUM('3 pr-2'!AA38)</f>
        <v>572797</v>
      </c>
      <c r="AE37" s="474">
        <v>0</v>
      </c>
      <c r="AF37" s="721">
        <f t="shared" si="20"/>
        <v>572797</v>
      </c>
      <c r="AG37" s="454">
        <f t="shared" si="21"/>
        <v>0</v>
      </c>
    </row>
    <row r="38" spans="1:34" ht="36.75" customHeight="1" thickBot="1" x14ac:dyDescent="0.3">
      <c r="A38" s="497" t="str">
        <f>CONCATENATE('3 pr-2'!A39)</f>
        <v>1.1.1.3</v>
      </c>
      <c r="B38" s="613" t="str">
        <f>CONCATENATE('ketv. 2lent'!B38)</f>
        <v/>
      </c>
      <c r="C38" s="1656" t="str">
        <f>CONCATENATE('3 pr-2'!D39)</f>
        <v/>
      </c>
      <c r="D38" s="1789"/>
      <c r="E38" s="1789"/>
      <c r="F38" s="1789"/>
      <c r="G38" s="1789"/>
      <c r="H38" s="1789"/>
      <c r="I38" s="1790"/>
      <c r="J38" s="629">
        <f>SUM('3 pr-2'!L39)</f>
        <v>4402013.13</v>
      </c>
      <c r="K38" s="629">
        <f>SUM(K39:K43)</f>
        <v>3269394.13</v>
      </c>
      <c r="L38" s="722">
        <f>SUM(L39:L43)</f>
        <v>880000</v>
      </c>
      <c r="M38" s="723">
        <f>SUM(M39:M43)</f>
        <v>0</v>
      </c>
      <c r="N38" s="629">
        <f>SUM('3 pr-2'!O39)</f>
        <v>433824.5</v>
      </c>
      <c r="O38" s="629">
        <f>SUM(O39:O43)</f>
        <v>348877.5</v>
      </c>
      <c r="P38" s="629">
        <f>SUM(P39:P43)</f>
        <v>66000</v>
      </c>
      <c r="Q38" s="629">
        <f>SUM(Q39:Q43)</f>
        <v>0</v>
      </c>
      <c r="R38" s="629">
        <f>SUM('3 pr-2'!R39)</f>
        <v>356593.09</v>
      </c>
      <c r="S38" s="629">
        <f>SUM(S39:S43)</f>
        <v>271647.09000000003</v>
      </c>
      <c r="T38" s="629">
        <f>SUM(T39:T43)</f>
        <v>66000</v>
      </c>
      <c r="U38" s="629">
        <f>SUM(U39:U43)</f>
        <v>0</v>
      </c>
      <c r="V38" s="629">
        <f>SUM('3 pr-2'!U39)</f>
        <v>0</v>
      </c>
      <c r="W38" s="629">
        <f>SUM(W39:W43)</f>
        <v>0</v>
      </c>
      <c r="X38" s="629">
        <f>SUM(X39:X43)</f>
        <v>0</v>
      </c>
      <c r="Y38" s="629">
        <f>SUM(Y39:Y43)</f>
        <v>0</v>
      </c>
      <c r="Z38" s="629">
        <f>SUM('3 pr-2'!X39)</f>
        <v>0</v>
      </c>
      <c r="AA38" s="629">
        <f>SUM(AA39:AA43)</f>
        <v>0</v>
      </c>
      <c r="AB38" s="629">
        <f>SUM(AB39:AB43)</f>
        <v>0</v>
      </c>
      <c r="AC38" s="629">
        <f>SUM(AC39:AC43)</f>
        <v>0</v>
      </c>
      <c r="AD38" s="629">
        <f>SUM('3 pr-2'!AA39)</f>
        <v>3611595.5399999996</v>
      </c>
      <c r="AE38" s="629">
        <f>SUM(AE39:AE43)</f>
        <v>2648869.5399999996</v>
      </c>
      <c r="AF38" s="338">
        <f>SUM(AF39:AF43)</f>
        <v>748000</v>
      </c>
      <c r="AG38" s="465">
        <f>SUM(AG39:AG43)</f>
        <v>0</v>
      </c>
    </row>
    <row r="39" spans="1:34" ht="36.75" x14ac:dyDescent="0.25">
      <c r="A39" s="580" t="str">
        <f>CONCATENATE('3 pr-2'!A40)</f>
        <v>1.1.1.3.1</v>
      </c>
      <c r="B39" s="1015" t="str">
        <f>IF('ketv. 4 lent'!V40&gt;0,'ketv. 4 lent'!B40,"-")</f>
        <v>07.1.1-CPVA-R-905-11-0001</v>
      </c>
      <c r="C39" s="580" t="str">
        <f>CONCATENATE('3 pr-2'!D40)</f>
        <v>Varėnos miesto centrinės dalies modernizavimas ir pritaikymas visuomenės poreikiams (I etapas)</v>
      </c>
      <c r="D39" s="580" t="str">
        <f>CONCATENATE('3 pr-2'!E40)</f>
        <v>Varėnos rajono savivaldybės administracija</v>
      </c>
      <c r="E39" s="580" t="str">
        <f>CONCATENATE('3 pr-2'!F40)</f>
        <v>Lietuvos Respublikos vidaus reikalų ministerija</v>
      </c>
      <c r="F39" s="580" t="str">
        <f>CONCATENATE('3 pr-2'!G40)</f>
        <v>Varėnos miestas</v>
      </c>
      <c r="G39" s="580" t="str">
        <f>CONCATENATE('3 pr-2'!H40)</f>
        <v xml:space="preserve">07.1.1-CPVA-R-905 </v>
      </c>
      <c r="H39" s="580" t="str">
        <f>CONCATENATE('3 pr-2'!I40)</f>
        <v>R</v>
      </c>
      <c r="I39" s="580" t="str">
        <f>CONCATENATE('3 pr-2'!J40)</f>
        <v>ITI</v>
      </c>
      <c r="J39" s="476">
        <f>SUM('3 pr-2'!L40)</f>
        <v>1516932.01</v>
      </c>
      <c r="K39" s="476">
        <f>SUM(O39+S39+W39+AA39+AE39)</f>
        <v>1516932.01</v>
      </c>
      <c r="L39" s="476">
        <f t="shared" si="0"/>
        <v>0</v>
      </c>
      <c r="M39" s="476">
        <f t="shared" ref="M39:M43" si="22">IF(K39&gt;0,J39-K39,0)</f>
        <v>0</v>
      </c>
      <c r="N39" s="476">
        <f>SUM('3 pr-2'!O40)</f>
        <v>75846.61</v>
      </c>
      <c r="O39" s="476">
        <v>75846.61</v>
      </c>
      <c r="P39" s="476">
        <f t="shared" si="2"/>
        <v>0</v>
      </c>
      <c r="Q39" s="476">
        <f t="shared" ref="Q39:Q43" si="23">IF(O39&gt;0,N39-O39,0)</f>
        <v>0</v>
      </c>
      <c r="R39" s="476">
        <f>SUM('3 pr-2'!R40)</f>
        <v>151693.20000000001</v>
      </c>
      <c r="S39" s="476">
        <v>151693.20000000001</v>
      </c>
      <c r="T39" s="476">
        <f t="shared" ref="T39:T48" si="24">SUM(R39-S39)</f>
        <v>0</v>
      </c>
      <c r="U39" s="476">
        <f t="shared" ref="U39:U43" si="25">IF(S39&gt;0,R39-S39,0)</f>
        <v>0</v>
      </c>
      <c r="V39" s="476">
        <f>SUM('3 pr-2'!U40)</f>
        <v>0</v>
      </c>
      <c r="W39" s="476">
        <v>0</v>
      </c>
      <c r="X39" s="476">
        <f t="shared" ref="X39:X54" si="26">SUM(V39-W39)</f>
        <v>0</v>
      </c>
      <c r="Y39" s="476">
        <f t="shared" ref="Y39:Y43" si="27">IF(W39&gt;0,V39-W39,0)</f>
        <v>0</v>
      </c>
      <c r="Z39" s="476">
        <f>SUM('3 pr-2'!X40)</f>
        <v>0</v>
      </c>
      <c r="AA39" s="476">
        <v>0</v>
      </c>
      <c r="AB39" s="476">
        <f t="shared" ref="AB39:AB44" si="28">SUM(Z39-AA39)</f>
        <v>0</v>
      </c>
      <c r="AC39" s="476">
        <f t="shared" ref="AC39:AC43" si="29">IF(AA39&gt;0,Z39-AA39,0)</f>
        <v>0</v>
      </c>
      <c r="AD39" s="476">
        <f>SUM('3 pr-2'!AA40)</f>
        <v>1289392.2</v>
      </c>
      <c r="AE39" s="476">
        <v>1289392.2</v>
      </c>
      <c r="AF39" s="721">
        <f t="shared" ref="AF39:AF54" si="30">SUM(AD39-AE39)</f>
        <v>0</v>
      </c>
      <c r="AG39" s="454">
        <f t="shared" ref="AG39:AG40" si="31">IF(AE39&gt;0,AD39-AE39,0)</f>
        <v>0</v>
      </c>
    </row>
    <row r="40" spans="1:34" ht="36.75" x14ac:dyDescent="0.25">
      <c r="A40" s="580" t="str">
        <f>CONCATENATE('3 pr-2'!A41)</f>
        <v>1.1.1.3.2</v>
      </c>
      <c r="B40" s="1015" t="str">
        <f>IF('ketv. 4 lent'!V41&gt;0,'ketv. 4 lent'!B41,"-")</f>
        <v>07.1.1-CPVA-R-905-11-0002</v>
      </c>
      <c r="C40" s="580" t="str">
        <f>CONCATENATE('3 pr-2'!D41)</f>
        <v>Varėnos miesto centrinės dalies modernizavimas ir pritaikymas visuomenės poreikiams (II etapas)</v>
      </c>
      <c r="D40" s="580" t="str">
        <f>CONCATENATE('3 pr-2'!E41)</f>
        <v>Varėnos rajono savivaldybės administracija</v>
      </c>
      <c r="E40" s="580" t="str">
        <f>CONCATENATE('3 pr-2'!F41)</f>
        <v>Lietuvos Respublikos vidaus reikalų ministerija</v>
      </c>
      <c r="F40" s="580" t="str">
        <f>CONCATENATE('3 pr-2'!G41)</f>
        <v>Varėnos miestas</v>
      </c>
      <c r="G40" s="580" t="str">
        <f>CONCATENATE('3 pr-2'!H41)</f>
        <v xml:space="preserve">07.1.1-CPVA-R-905 </v>
      </c>
      <c r="H40" s="580" t="str">
        <f>CONCATENATE('3 pr-2'!I41)</f>
        <v>R</v>
      </c>
      <c r="I40" s="580" t="str">
        <f>CONCATENATE('3 pr-2'!J41)</f>
        <v>ITI</v>
      </c>
      <c r="J40" s="476">
        <f>SUM('3 pr-2'!L41)</f>
        <v>995216.11</v>
      </c>
      <c r="K40" s="476">
        <f>SUM(O40+S40+W40+AA40+AE40)</f>
        <v>995216.11</v>
      </c>
      <c r="L40" s="476">
        <f t="shared" si="0"/>
        <v>0</v>
      </c>
      <c r="M40" s="476">
        <f t="shared" si="22"/>
        <v>0</v>
      </c>
      <c r="N40" s="476">
        <f>SUM('3 pr-2'!O41)</f>
        <v>74641.210000000006</v>
      </c>
      <c r="O40" s="476">
        <v>74641.210000000006</v>
      </c>
      <c r="P40" s="476">
        <f t="shared" si="2"/>
        <v>0</v>
      </c>
      <c r="Q40" s="476">
        <f t="shared" si="23"/>
        <v>0</v>
      </c>
      <c r="R40" s="476">
        <f>SUM('3 pr-2'!R41)</f>
        <v>74641.210000000006</v>
      </c>
      <c r="S40" s="476">
        <v>74641.210000000006</v>
      </c>
      <c r="T40" s="476">
        <f t="shared" si="24"/>
        <v>0</v>
      </c>
      <c r="U40" s="476">
        <f t="shared" si="25"/>
        <v>0</v>
      </c>
      <c r="V40" s="476">
        <f>SUM('3 pr-2'!U41)</f>
        <v>0</v>
      </c>
      <c r="W40" s="476">
        <v>0</v>
      </c>
      <c r="X40" s="476">
        <f t="shared" si="26"/>
        <v>0</v>
      </c>
      <c r="Y40" s="476">
        <f t="shared" si="27"/>
        <v>0</v>
      </c>
      <c r="Z40" s="476">
        <f>SUM('3 pr-2'!X41)</f>
        <v>0</v>
      </c>
      <c r="AA40" s="476">
        <v>0</v>
      </c>
      <c r="AB40" s="476">
        <f t="shared" si="28"/>
        <v>0</v>
      </c>
      <c r="AC40" s="476">
        <f t="shared" si="29"/>
        <v>0</v>
      </c>
      <c r="AD40" s="476">
        <f>SUM('3 pr-2'!AA41)</f>
        <v>845933.69</v>
      </c>
      <c r="AE40" s="476">
        <v>845933.69</v>
      </c>
      <c r="AF40" s="721">
        <f t="shared" si="30"/>
        <v>0</v>
      </c>
      <c r="AG40" s="454">
        <f t="shared" si="31"/>
        <v>0</v>
      </c>
      <c r="AH40" s="336"/>
    </row>
    <row r="41" spans="1:34" ht="36.75" x14ac:dyDescent="0.25">
      <c r="A41" s="580" t="str">
        <f>CONCATENATE('3 pr-2'!A42)</f>
        <v>1.1.1.3.3</v>
      </c>
      <c r="B41" s="1015" t="str">
        <f>IF('ketv. 4 lent'!V42&gt;0,'ketv. 4 lent'!B42,"-")</f>
        <v>-</v>
      </c>
      <c r="C41" s="580" t="str">
        <f>CONCATENATE('3 pr-2'!D42)</f>
        <v xml:space="preserve">Varėnos miesto Dainų slėnio infrastruktūros atnaujinimas ir pritaikymas visuomenės poreikiams </v>
      </c>
      <c r="D41" s="580" t="str">
        <f>CONCATENATE('3 pr-2'!E42)</f>
        <v>Varėnos rajono savivaldybės administracija</v>
      </c>
      <c r="E41" s="580" t="str">
        <f>CONCATENATE('3 pr-2'!F42)</f>
        <v>Lietuvos Respublikos vidaus reikalų ministerija</v>
      </c>
      <c r="F41" s="580" t="str">
        <f>CONCATENATE('3 pr-2'!G42)</f>
        <v>Varėnos miestas</v>
      </c>
      <c r="G41" s="580" t="str">
        <f>CONCATENATE('3 pr-2'!H42)</f>
        <v xml:space="preserve">07.1.1-CPVA-R-905 </v>
      </c>
      <c r="H41" s="580" t="str">
        <f>CONCATENATE('3 pr-2'!I42)</f>
        <v>R</v>
      </c>
      <c r="I41" s="580" t="str">
        <f>CONCATENATE('3 pr-2'!J42)</f>
        <v>ITI</v>
      </c>
      <c r="J41" s="476">
        <f>SUM('3 pr-2'!L42)</f>
        <v>630000</v>
      </c>
      <c r="K41" s="476">
        <v>0</v>
      </c>
      <c r="L41" s="476">
        <f t="shared" si="0"/>
        <v>630000</v>
      </c>
      <c r="M41" s="476">
        <f t="shared" si="22"/>
        <v>0</v>
      </c>
      <c r="N41" s="476">
        <f>SUM('3 pr-2'!O42)</f>
        <v>47250</v>
      </c>
      <c r="O41" s="476">
        <v>0</v>
      </c>
      <c r="P41" s="476">
        <f t="shared" si="2"/>
        <v>47250</v>
      </c>
      <c r="Q41" s="476">
        <f t="shared" si="23"/>
        <v>0</v>
      </c>
      <c r="R41" s="476">
        <f>SUM('3 pr-2'!R42)</f>
        <v>47250</v>
      </c>
      <c r="S41" s="476">
        <v>0</v>
      </c>
      <c r="T41" s="476">
        <f t="shared" si="24"/>
        <v>47250</v>
      </c>
      <c r="U41" s="476">
        <f t="shared" si="25"/>
        <v>0</v>
      </c>
      <c r="V41" s="476">
        <f>SUM('3 pr-2'!U42)</f>
        <v>0</v>
      </c>
      <c r="W41" s="476">
        <v>0</v>
      </c>
      <c r="X41" s="476">
        <f t="shared" si="26"/>
        <v>0</v>
      </c>
      <c r="Y41" s="476">
        <f t="shared" si="27"/>
        <v>0</v>
      </c>
      <c r="Z41" s="476">
        <f>SUM('3 pr-2'!X42)</f>
        <v>0</v>
      </c>
      <c r="AA41" s="476">
        <v>0</v>
      </c>
      <c r="AB41" s="476">
        <f t="shared" si="28"/>
        <v>0</v>
      </c>
      <c r="AC41" s="476">
        <f t="shared" si="29"/>
        <v>0</v>
      </c>
      <c r="AD41" s="476">
        <f>SUM('3 pr-2'!AA42)</f>
        <v>535500</v>
      </c>
      <c r="AE41" s="476">
        <v>0</v>
      </c>
      <c r="AF41" s="721">
        <f t="shared" si="30"/>
        <v>535500</v>
      </c>
      <c r="AG41" s="454">
        <f t="shared" ref="AG41:AG43" si="32">IF(AE41&gt;0,AD41-AE41,0)</f>
        <v>0</v>
      </c>
    </row>
    <row r="42" spans="1:34" ht="36.75" x14ac:dyDescent="0.25">
      <c r="A42" s="580" t="str">
        <f>CONCATENATE('3 pr-2'!A43)</f>
        <v>1.1.1.3.4</v>
      </c>
      <c r="B42" s="1015" t="str">
        <f>IF('ketv. 4 lent'!V43&gt;0,'ketv. 4 lent'!B43,"-")</f>
        <v>07.1.1-CPVA-R-905-11-0003</v>
      </c>
      <c r="C42" s="580" t="str">
        <f>CONCATENATE('3 pr-2'!D43)</f>
        <v>Karloniškės ežero ir jo prieigų sutvarkymas ir pritaikymas aktyviam poilsiui</v>
      </c>
      <c r="D42" s="580" t="str">
        <f>CONCATENATE('3 pr-2'!E43)</f>
        <v>Varėnos rajono savivaldybės administracija</v>
      </c>
      <c r="E42" s="580" t="str">
        <f>CONCATENATE('3 pr-2'!F43)</f>
        <v>Lietuvos Respublikos vidaus reikalų ministerija</v>
      </c>
      <c r="F42" s="580" t="str">
        <f>CONCATENATE('3 pr-2'!G43)</f>
        <v>Varėnos miestas</v>
      </c>
      <c r="G42" s="580" t="str">
        <f>CONCATENATE('3 pr-2'!H43)</f>
        <v xml:space="preserve">07.1.1-CPVA-R-905 </v>
      </c>
      <c r="H42" s="580" t="str">
        <f>CONCATENATE('3 pr-2'!I43)</f>
        <v>R</v>
      </c>
      <c r="I42" s="580" t="str">
        <f>CONCATENATE('3 pr-2'!J43)</f>
        <v>ITI</v>
      </c>
      <c r="J42" s="476">
        <f>SUM('3 pr-2'!L43)</f>
        <v>757246.01</v>
      </c>
      <c r="K42" s="476">
        <f>SUM(O42+S42+W42+AA42+AE42)</f>
        <v>757246.01</v>
      </c>
      <c r="L42" s="476">
        <f t="shared" si="0"/>
        <v>0</v>
      </c>
      <c r="M42" s="476">
        <f t="shared" si="22"/>
        <v>0</v>
      </c>
      <c r="N42" s="476">
        <f>SUM('3 pr-2'!O43)</f>
        <v>198389.68</v>
      </c>
      <c r="O42" s="476">
        <v>198389.68</v>
      </c>
      <c r="P42" s="476">
        <f t="shared" si="2"/>
        <v>0</v>
      </c>
      <c r="Q42" s="476">
        <f t="shared" si="23"/>
        <v>0</v>
      </c>
      <c r="R42" s="476">
        <f>SUM('3 pr-2'!R43)</f>
        <v>45312.68</v>
      </c>
      <c r="S42" s="476">
        <v>45312.68</v>
      </c>
      <c r="T42" s="476">
        <f t="shared" si="24"/>
        <v>0</v>
      </c>
      <c r="U42" s="476">
        <f t="shared" si="25"/>
        <v>0</v>
      </c>
      <c r="V42" s="476">
        <f>SUM('3 pr-2'!U43)</f>
        <v>0</v>
      </c>
      <c r="W42" s="476">
        <v>0</v>
      </c>
      <c r="X42" s="476">
        <f t="shared" si="26"/>
        <v>0</v>
      </c>
      <c r="Y42" s="476">
        <f t="shared" si="27"/>
        <v>0</v>
      </c>
      <c r="Z42" s="476">
        <f>SUM('3 pr-2'!X43)</f>
        <v>0</v>
      </c>
      <c r="AA42" s="476">
        <v>0</v>
      </c>
      <c r="AB42" s="476">
        <f t="shared" si="28"/>
        <v>0</v>
      </c>
      <c r="AC42" s="476">
        <f t="shared" si="29"/>
        <v>0</v>
      </c>
      <c r="AD42" s="476">
        <f>SUM('3 pr-2'!AA43)</f>
        <v>513543.65</v>
      </c>
      <c r="AE42" s="476">
        <v>513543.65</v>
      </c>
      <c r="AF42" s="721">
        <f t="shared" si="30"/>
        <v>0</v>
      </c>
      <c r="AG42" s="454">
        <f t="shared" si="32"/>
        <v>0</v>
      </c>
    </row>
    <row r="43" spans="1:34" ht="36.75" x14ac:dyDescent="0.25">
      <c r="A43" s="580" t="str">
        <f>CONCATENATE('3 pr-2'!A44)</f>
        <v>1.1.1.3.5</v>
      </c>
      <c r="B43" s="1015" t="str">
        <f>IF('ketv. 4 lent'!V44&gt;0,'ketv. 4 lent'!B44,"-")</f>
        <v>-</v>
      </c>
      <c r="C43" s="580" t="str">
        <f>CONCATENATE('3 pr-2'!D44)</f>
        <v xml:space="preserve">Nenaudojamų teritorijų Varėnos mieste sutvarkymas ir pritaikymas verslui </v>
      </c>
      <c r="D43" s="580" t="str">
        <f>CONCATENATE('3 pr-2'!E44)</f>
        <v>Varėnos rajono savivaldybės administracija</v>
      </c>
      <c r="E43" s="580" t="str">
        <f>CONCATENATE('3 pr-2'!F44)</f>
        <v>Lietuvos Respublikos vidaus reikalų ministerija</v>
      </c>
      <c r="F43" s="580" t="str">
        <f>CONCATENATE('3 pr-2'!G44)</f>
        <v>Varėnos miestas</v>
      </c>
      <c r="G43" s="580" t="str">
        <f>CONCATENATE('3 pr-2'!H44)</f>
        <v xml:space="preserve">07.1.1-CPVA-R-905 </v>
      </c>
      <c r="H43" s="580" t="str">
        <f>CONCATENATE('3 pr-2'!I44)</f>
        <v>R</v>
      </c>
      <c r="I43" s="580" t="str">
        <f>CONCATENATE('3 pr-2'!J44)</f>
        <v>ITI</v>
      </c>
      <c r="J43" s="476">
        <f>SUM('3 pr-2'!L44)</f>
        <v>250000</v>
      </c>
      <c r="K43" s="476">
        <v>0</v>
      </c>
      <c r="L43" s="476">
        <f t="shared" si="0"/>
        <v>250000</v>
      </c>
      <c r="M43" s="476">
        <f t="shared" si="22"/>
        <v>0</v>
      </c>
      <c r="N43" s="476">
        <f>SUM('3 pr-2'!O44)</f>
        <v>18750</v>
      </c>
      <c r="O43" s="476">
        <v>0</v>
      </c>
      <c r="P43" s="476">
        <f t="shared" si="2"/>
        <v>18750</v>
      </c>
      <c r="Q43" s="476">
        <f t="shared" si="23"/>
        <v>0</v>
      </c>
      <c r="R43" s="476">
        <f>SUM('3 pr-2'!R44)</f>
        <v>18750</v>
      </c>
      <c r="S43" s="476">
        <v>0</v>
      </c>
      <c r="T43" s="476">
        <f t="shared" si="24"/>
        <v>18750</v>
      </c>
      <c r="U43" s="476">
        <f t="shared" si="25"/>
        <v>0</v>
      </c>
      <c r="V43" s="476">
        <f>SUM('3 pr-2'!U44)</f>
        <v>0</v>
      </c>
      <c r="W43" s="476">
        <v>0</v>
      </c>
      <c r="X43" s="476">
        <f t="shared" si="26"/>
        <v>0</v>
      </c>
      <c r="Y43" s="476">
        <f t="shared" si="27"/>
        <v>0</v>
      </c>
      <c r="Z43" s="476">
        <f>SUM('3 pr-2'!X44)</f>
        <v>0</v>
      </c>
      <c r="AA43" s="476">
        <v>0</v>
      </c>
      <c r="AB43" s="476">
        <f t="shared" si="28"/>
        <v>0</v>
      </c>
      <c r="AC43" s="476">
        <f t="shared" si="29"/>
        <v>0</v>
      </c>
      <c r="AD43" s="476">
        <f>SUM('3 pr-2'!AA44)</f>
        <v>212500</v>
      </c>
      <c r="AE43" s="476">
        <v>0</v>
      </c>
      <c r="AF43" s="721">
        <f t="shared" si="30"/>
        <v>212500</v>
      </c>
      <c r="AG43" s="454">
        <f t="shared" si="32"/>
        <v>0</v>
      </c>
    </row>
    <row r="44" spans="1:34" ht="37.5" thickBot="1" x14ac:dyDescent="0.3">
      <c r="A44" s="580" t="str">
        <f>CONCATENATE('3 pr-2'!A45)</f>
        <v>1.1.1.3.6</v>
      </c>
      <c r="B44" s="1015" t="str">
        <f>IF('ketv. 4 lent'!V45&gt;0,'ketv. 4 lent'!B45,"-")</f>
        <v>-</v>
      </c>
      <c r="C44" s="580" t="str">
        <f>CONCATENATE('3 pr-2'!D45)</f>
        <v xml:space="preserve">Teritorijų prie daugiabučių gyvenamųjų pastatų Varėnos mieste sutvarkymas ir pritaikymas visuomenės poreikiams  </v>
      </c>
      <c r="D44" s="580" t="str">
        <f>CONCATENATE('3 pr-2'!E45)</f>
        <v>Varėnos rajono savivaldybės administracija</v>
      </c>
      <c r="E44" s="580" t="str">
        <f>CONCATENATE('3 pr-2'!F45)</f>
        <v>Lietuvos Respublikos vidaus reikalų ministerija</v>
      </c>
      <c r="F44" s="580" t="str">
        <f>CONCATENATE('3 pr-2'!G45)</f>
        <v>Varėnos miestas</v>
      </c>
      <c r="G44" s="580" t="str">
        <f>CONCATENATE('3 pr-2'!H45)</f>
        <v xml:space="preserve">07.1.1-CPVA-R-905 </v>
      </c>
      <c r="H44" s="580" t="str">
        <f>CONCATENATE('3 pr-2'!I45)</f>
        <v>R</v>
      </c>
      <c r="I44" s="580" t="str">
        <f>CONCATENATE('3 pr-2'!J45)</f>
        <v>ITI</v>
      </c>
      <c r="J44" s="476">
        <f>SUM('3 pr-2'!L45)</f>
        <v>252619</v>
      </c>
      <c r="K44" s="476">
        <v>0</v>
      </c>
      <c r="L44" s="476">
        <f t="shared" ref="L44" si="33">SUM(J44-K44)</f>
        <v>252619</v>
      </c>
      <c r="M44" s="476">
        <f t="shared" ref="M44" si="34">IF(K44&gt;0,J44-K44,0)</f>
        <v>0</v>
      </c>
      <c r="N44" s="476">
        <f>SUM('3 pr-2'!O45)</f>
        <v>18947</v>
      </c>
      <c r="O44" s="476">
        <v>0</v>
      </c>
      <c r="P44" s="476">
        <f t="shared" ref="P44" si="35">SUM(N44-O44)</f>
        <v>18947</v>
      </c>
      <c r="Q44" s="476">
        <f t="shared" ref="Q44" si="36">IF(O44&gt;0,N44-O44,0)</f>
        <v>0</v>
      </c>
      <c r="R44" s="476">
        <f>SUM('3 pr-2'!R45)</f>
        <v>18946</v>
      </c>
      <c r="S44" s="476">
        <v>0</v>
      </c>
      <c r="T44" s="476">
        <f t="shared" ref="T44" si="37">SUM(R44-S44)</f>
        <v>18946</v>
      </c>
      <c r="U44" s="476">
        <f t="shared" ref="U44" si="38">IF(S44&gt;0,R44-S44,0)</f>
        <v>0</v>
      </c>
      <c r="V44" s="476">
        <f>SUM('3 pr-2'!U45)</f>
        <v>0</v>
      </c>
      <c r="W44" s="476">
        <v>0</v>
      </c>
      <c r="X44" s="476">
        <f t="shared" ref="X44" si="39">SUM(V44-W44)</f>
        <v>0</v>
      </c>
      <c r="Y44" s="476">
        <f t="shared" ref="Y44" si="40">IF(W44&gt;0,V44-W44,0)</f>
        <v>0</v>
      </c>
      <c r="Z44" s="476">
        <f>SUM('3 pr-2'!X45)</f>
        <v>0</v>
      </c>
      <c r="AA44" s="476">
        <v>0</v>
      </c>
      <c r="AB44" s="476">
        <f t="shared" si="28"/>
        <v>0</v>
      </c>
      <c r="AC44" s="476">
        <f t="shared" ref="AC44" si="41">IF(AA44&gt;0,Z44-AA44,0)</f>
        <v>0</v>
      </c>
      <c r="AD44" s="476">
        <f>SUM('3 pr-2'!AA45)</f>
        <v>214726</v>
      </c>
      <c r="AE44" s="476">
        <v>0</v>
      </c>
      <c r="AF44" s="721"/>
      <c r="AG44" s="454"/>
    </row>
    <row r="45" spans="1:34" ht="36.75" customHeight="1" thickBot="1" x14ac:dyDescent="0.3">
      <c r="A45" s="497" t="str">
        <f>CONCATENATE('3 pr-2'!A46)</f>
        <v>1.1.1.4</v>
      </c>
      <c r="B45" s="613" t="str">
        <f>CONCATENATE('ketv. 2lent'!B45)</f>
        <v/>
      </c>
      <c r="C45" s="1656" t="str">
        <f>CONCATENATE('3 pr-2'!D46)</f>
        <v/>
      </c>
      <c r="D45" s="1789"/>
      <c r="E45" s="1789"/>
      <c r="F45" s="1789"/>
      <c r="G45" s="1789"/>
      <c r="H45" s="1789"/>
      <c r="I45" s="1790"/>
      <c r="J45" s="629">
        <f>SUM('3 pr-2'!L46)</f>
        <v>2112023.5599999996</v>
      </c>
      <c r="K45" s="629">
        <f>SUM(K46:K48)</f>
        <v>1998062.27</v>
      </c>
      <c r="L45" s="722">
        <f>SUM(L46:L48)</f>
        <v>113961.28999999975</v>
      </c>
      <c r="M45" s="723">
        <f>SUM(M46:M48)</f>
        <v>113961.28999999975</v>
      </c>
      <c r="N45" s="629">
        <f>SUM('3 pr-2'!O46)</f>
        <v>289057.97000000003</v>
      </c>
      <c r="O45" s="629">
        <f>SUM(O46:O48)</f>
        <v>175096.68</v>
      </c>
      <c r="P45" s="629">
        <f>SUM(P46:P48)</f>
        <v>113961.29000000001</v>
      </c>
      <c r="Q45" s="629">
        <f>SUM(Q46:Q48)</f>
        <v>113961.29000000001</v>
      </c>
      <c r="R45" s="629">
        <f>SUM('3 pr-2'!R46)</f>
        <v>147808.01999999999</v>
      </c>
      <c r="S45" s="629">
        <f>SUM(S46:S48)</f>
        <v>147808.01999999999</v>
      </c>
      <c r="T45" s="629">
        <f>SUM(T46:T48)</f>
        <v>0</v>
      </c>
      <c r="U45" s="629">
        <f>SUM(U46:U48)</f>
        <v>0</v>
      </c>
      <c r="V45" s="629">
        <f>SUM('3 pr-2'!U46)</f>
        <v>0</v>
      </c>
      <c r="W45" s="629"/>
      <c r="X45" s="629">
        <f>SUM(X46:X48)</f>
        <v>0</v>
      </c>
      <c r="Y45" s="629">
        <f>SUM(Y46:Y48)</f>
        <v>0</v>
      </c>
      <c r="Z45" s="629">
        <f>SUM('3 pr-2'!X46)</f>
        <v>0</v>
      </c>
      <c r="AA45" s="629"/>
      <c r="AB45" s="629">
        <f>SUM(AB46:AB48)</f>
        <v>0</v>
      </c>
      <c r="AC45" s="629">
        <f>SUM(AC46:AC48)</f>
        <v>0</v>
      </c>
      <c r="AD45" s="629">
        <f>SUM('3 pr-2'!AA46)</f>
        <v>1675157.5699999998</v>
      </c>
      <c r="AE45" s="629">
        <f>SUM(AE46:AE48)</f>
        <v>1675157.5699999998</v>
      </c>
      <c r="AF45" s="338">
        <f>SUM(AF46:AF48)</f>
        <v>0</v>
      </c>
      <c r="AG45" s="465">
        <f>SUM(AG46:AG48)</f>
        <v>0</v>
      </c>
    </row>
    <row r="46" spans="1:34" ht="36.75" x14ac:dyDescent="0.25">
      <c r="A46" s="580" t="str">
        <f>CONCATENATE('3 pr-2'!A47)</f>
        <v>1.1.1.4.1</v>
      </c>
      <c r="B46" s="1015" t="str">
        <f>IF('ketv. 4 lent'!V47&gt;0,'ketv. 4 lent'!B47,"-")</f>
        <v>07.1.1-CPVA-V-902-01-0008</v>
      </c>
      <c r="C46" s="580" t="str">
        <f>CONCATENATE('3 pr-2'!D47)</f>
        <v>Buvusios pramoninės teritorijos Pramonės g. 1 Alytuje, pritaikymas verslo vystymui ir plėtrai.</v>
      </c>
      <c r="D46" s="580" t="str">
        <f>CONCATENATE('3 pr-2'!E47)</f>
        <v>Alytaus miesto savivaldybės administracija</v>
      </c>
      <c r="E46" s="580" t="str">
        <f>CONCATENATE('3 pr-2'!F47)</f>
        <v>Lietuvos Respublikos vidaus reikalų ministerija</v>
      </c>
      <c r="F46" s="580" t="str">
        <f>CONCATENATE('3 pr-2'!G47)</f>
        <v>Alytaus m.</v>
      </c>
      <c r="G46" s="580" t="str">
        <f>CONCATENATE('3 pr-2'!H47)</f>
        <v>07.1.1-CPVA-V-902</v>
      </c>
      <c r="H46" s="580" t="str">
        <f>CONCATENATE('3 pr-2'!I47)</f>
        <v>V</v>
      </c>
      <c r="I46" s="580" t="str">
        <f>CONCATENATE('3 pr-2'!J47)</f>
        <v>ITI</v>
      </c>
      <c r="J46" s="476">
        <f>SUM('3 pr-2'!L47)</f>
        <v>1293732.5699999998</v>
      </c>
      <c r="K46" s="476">
        <f>SUM(O46+S46+W46+AA46+AE46)</f>
        <v>1293732.56</v>
      </c>
      <c r="L46" s="476">
        <f t="shared" si="0"/>
        <v>9.9999997764825821E-3</v>
      </c>
      <c r="M46" s="476">
        <f t="shared" ref="M46:M48" si="42">IF(K46&gt;0,J46-K46,0)</f>
        <v>9.9999997764825821E-3</v>
      </c>
      <c r="N46" s="476">
        <f>SUM('3 pr-2'!O47)</f>
        <v>97029.95</v>
      </c>
      <c r="O46" s="476">
        <v>97029.94</v>
      </c>
      <c r="P46" s="476">
        <f t="shared" si="2"/>
        <v>9.9999999947613105E-3</v>
      </c>
      <c r="Q46" s="476">
        <f t="shared" ref="Q46:Q48" si="43">IF(O46&gt;0,N46-O46,0)</f>
        <v>9.9999999947613105E-3</v>
      </c>
      <c r="R46" s="476">
        <f>SUM('3 pr-2'!R47)</f>
        <v>97029.94</v>
      </c>
      <c r="S46" s="476">
        <v>97029.94</v>
      </c>
      <c r="T46" s="476">
        <f t="shared" si="24"/>
        <v>0</v>
      </c>
      <c r="U46" s="476">
        <f t="shared" ref="U46:U48" si="44">IF(S46&gt;0,R46-S46,0)</f>
        <v>0</v>
      </c>
      <c r="V46" s="476">
        <f>SUM('3 pr-2'!U47)</f>
        <v>0</v>
      </c>
      <c r="W46" s="476">
        <v>0</v>
      </c>
      <c r="X46" s="476">
        <f t="shared" si="26"/>
        <v>0</v>
      </c>
      <c r="Y46" s="476">
        <f t="shared" ref="Y46:Y48" si="45">IF(W46&gt;0,V46-W46,0)</f>
        <v>0</v>
      </c>
      <c r="Z46" s="476">
        <f>SUM('3 pr-2'!X47)</f>
        <v>0</v>
      </c>
      <c r="AA46" s="476">
        <v>0</v>
      </c>
      <c r="AB46" s="476">
        <f>SUM(Z46-AA46)</f>
        <v>0</v>
      </c>
      <c r="AC46" s="476">
        <f t="shared" ref="AC46:AC48" si="46">IF(AA46&gt;0,Z46-AA46,0)</f>
        <v>0</v>
      </c>
      <c r="AD46" s="476">
        <f>SUM('3 pr-2'!AA47)</f>
        <v>1099672.68</v>
      </c>
      <c r="AE46" s="476">
        <v>1099672.68</v>
      </c>
      <c r="AF46" s="721">
        <f t="shared" si="30"/>
        <v>0</v>
      </c>
      <c r="AG46" s="454">
        <f t="shared" ref="AG46:AG48" si="47">IF(AE46&gt;0,AD46-AE46,0)</f>
        <v>0</v>
      </c>
    </row>
    <row r="47" spans="1:34" ht="36.75" customHeight="1" x14ac:dyDescent="0.25">
      <c r="A47" s="580" t="str">
        <f>CONCATENATE('3 pr-2'!A48)</f>
        <v>1.1.1.4.2</v>
      </c>
      <c r="B47" s="1015" t="str">
        <f>IF('ketv. 4 lent'!V48&gt;0,'ketv. 4 lent'!B48,"-")</f>
        <v>07.1.1-CPVA-R-903-11-0001</v>
      </c>
      <c r="C47" s="580" t="str">
        <f>CONCATENATE('3 pr-2'!D48)</f>
        <v>Amatų centro „Menų kalvė“ Druskininkuose įkūrimas</v>
      </c>
      <c r="D47" s="580" t="str">
        <f>CONCATENATE('3 pr-2'!E48)</f>
        <v xml:space="preserve">Druskininkų savivaldybės administracija  </v>
      </c>
      <c r="E47" s="580" t="str">
        <f>CONCATENATE('3 pr-2'!F48)</f>
        <v>Lietuvos Respublikos vidaus reikalų ministerija</v>
      </c>
      <c r="F47" s="580" t="str">
        <f>CONCATENATE('3 pr-2'!G48)</f>
        <v>Druskininkų miestas</v>
      </c>
      <c r="G47" s="725" t="str">
        <f>CONCATENATE('3 pr-2'!H48)</f>
        <v>07.1.1-CPVA-R-903</v>
      </c>
      <c r="H47" s="580" t="str">
        <f>CONCATENATE('3 pr-2'!I48)</f>
        <v>R</v>
      </c>
      <c r="I47" s="580" t="str">
        <f>CONCATENATE('3 pr-2'!J48)</f>
        <v>ITI</v>
      </c>
      <c r="J47" s="476">
        <f>SUM('3 pr-2'!L48)</f>
        <v>474784</v>
      </c>
      <c r="K47" s="476">
        <f>SUM(O47+S47+W47+AA47+AE47)</f>
        <v>360822.71</v>
      </c>
      <c r="L47" s="476">
        <f t="shared" si="0"/>
        <v>113961.28999999998</v>
      </c>
      <c r="M47" s="476">
        <f t="shared" si="42"/>
        <v>113961.28999999998</v>
      </c>
      <c r="N47" s="476">
        <f>SUM('3 pr-2'!O48)</f>
        <v>166265</v>
      </c>
      <c r="O47" s="476">
        <v>52303.71</v>
      </c>
      <c r="P47" s="476">
        <f t="shared" si="2"/>
        <v>113961.29000000001</v>
      </c>
      <c r="Q47" s="476">
        <f t="shared" si="43"/>
        <v>113961.29000000001</v>
      </c>
      <c r="R47" s="476">
        <f>SUM('3 pr-2'!R48)</f>
        <v>25015.06</v>
      </c>
      <c r="S47" s="476">
        <v>25015.06</v>
      </c>
      <c r="T47" s="476">
        <f t="shared" si="24"/>
        <v>0</v>
      </c>
      <c r="U47" s="476">
        <f t="shared" si="44"/>
        <v>0</v>
      </c>
      <c r="V47" s="476">
        <f>SUM('3 pr-2'!U48)</f>
        <v>0</v>
      </c>
      <c r="W47" s="476"/>
      <c r="X47" s="476"/>
      <c r="Y47" s="476">
        <f t="shared" si="45"/>
        <v>0</v>
      </c>
      <c r="Z47" s="476">
        <f>SUM('3 pr-2'!X48)</f>
        <v>0</v>
      </c>
      <c r="AA47" s="476"/>
      <c r="AB47" s="476"/>
      <c r="AC47" s="476">
        <f t="shared" si="46"/>
        <v>0</v>
      </c>
      <c r="AD47" s="476">
        <f>SUM('3 pr-2'!AA48)</f>
        <v>283503.94</v>
      </c>
      <c r="AE47" s="476">
        <v>283503.94</v>
      </c>
      <c r="AF47" s="721">
        <f t="shared" si="30"/>
        <v>0</v>
      </c>
      <c r="AG47" s="454">
        <f t="shared" si="47"/>
        <v>0</v>
      </c>
    </row>
    <row r="48" spans="1:34" ht="37.5" customHeight="1" thickBot="1" x14ac:dyDescent="0.3">
      <c r="A48" s="580" t="str">
        <f>CONCATENATE('3 pr-2'!A49)</f>
        <v>1.1.1.4.3</v>
      </c>
      <c r="B48" s="1015" t="str">
        <f>IF('ketv. 4 lent'!V49&gt;0,'ketv. 4 lent'!B49,"-")</f>
        <v>07.1.1-CPVA-R-903-11-0002</v>
      </c>
      <c r="C48" s="580" t="str">
        <f>CONCATENATE('3 pr-2'!D49)</f>
        <v>Lazdijų miesto kompleksinė infrastruktūros plėtra, III etapas</v>
      </c>
      <c r="D48" s="580" t="str">
        <f>CONCATENATE('3 pr-2'!E49)</f>
        <v>Lazdijų rajono savivaldybės administracija</v>
      </c>
      <c r="E48" s="580" t="str">
        <f>CONCATENATE('3 pr-2'!F49)</f>
        <v>Lietuvos Respublikos vidaus reikalų ministerija</v>
      </c>
      <c r="F48" s="580" t="str">
        <f>CONCATENATE('3 pr-2'!G49)</f>
        <v>Lazdijų miestas</v>
      </c>
      <c r="G48" s="725" t="str">
        <f>CONCATENATE('3 pr-2'!H49)</f>
        <v>07.1.1-CPVA-R-903</v>
      </c>
      <c r="H48" s="580" t="str">
        <f>CONCATENATE('3 pr-2'!I49)</f>
        <v>R</v>
      </c>
      <c r="I48" s="580" t="str">
        <f>CONCATENATE('3 pr-2'!J49)</f>
        <v>ITI</v>
      </c>
      <c r="J48" s="476">
        <f>SUM('3 pr-2'!L49)</f>
        <v>343506.99</v>
      </c>
      <c r="K48" s="476">
        <f>SUM(O48+S48+W48+AA48+AE48)</f>
        <v>343507</v>
      </c>
      <c r="L48" s="476">
        <f t="shared" si="0"/>
        <v>-1.0000000009313226E-2</v>
      </c>
      <c r="M48" s="476">
        <f t="shared" si="42"/>
        <v>-1.0000000009313226E-2</v>
      </c>
      <c r="N48" s="476">
        <f>SUM('3 pr-2'!O49)</f>
        <v>25763.02</v>
      </c>
      <c r="O48" s="476">
        <v>25763.03</v>
      </c>
      <c r="P48" s="476">
        <f t="shared" si="2"/>
        <v>-9.9999999983992893E-3</v>
      </c>
      <c r="Q48" s="476">
        <f t="shared" si="43"/>
        <v>-9.9999999983992893E-3</v>
      </c>
      <c r="R48" s="476">
        <f>SUM('3 pr-2'!R49)</f>
        <v>25763.02</v>
      </c>
      <c r="S48" s="476">
        <v>25763.02</v>
      </c>
      <c r="T48" s="476">
        <f t="shared" si="24"/>
        <v>0</v>
      </c>
      <c r="U48" s="476">
        <f t="shared" si="44"/>
        <v>0</v>
      </c>
      <c r="V48" s="476">
        <f>SUM('3 pr-2'!U49)</f>
        <v>0</v>
      </c>
      <c r="W48" s="476"/>
      <c r="X48" s="476"/>
      <c r="Y48" s="476">
        <f t="shared" si="45"/>
        <v>0</v>
      </c>
      <c r="Z48" s="476">
        <f>SUM('3 pr-2'!X49)</f>
        <v>0</v>
      </c>
      <c r="AA48" s="476"/>
      <c r="AB48" s="476"/>
      <c r="AC48" s="476">
        <f t="shared" si="46"/>
        <v>0</v>
      </c>
      <c r="AD48" s="476">
        <f>SUM('3 pr-2'!AA49)</f>
        <v>291980.95</v>
      </c>
      <c r="AE48" s="476">
        <v>291980.95</v>
      </c>
      <c r="AF48" s="721">
        <f t="shared" si="30"/>
        <v>0</v>
      </c>
      <c r="AG48" s="454">
        <f t="shared" si="47"/>
        <v>0</v>
      </c>
    </row>
    <row r="49" spans="1:34" ht="38.25" customHeight="1" thickBot="1" x14ac:dyDescent="0.3">
      <c r="A49" s="497" t="str">
        <f>CONCATENATE('3 pr-2'!A50)</f>
        <v>1.1.1.5</v>
      </c>
      <c r="B49" s="613" t="str">
        <f>CONCATENATE('ketv. 2lent'!B49)</f>
        <v/>
      </c>
      <c r="C49" s="1656" t="str">
        <f>CONCATENATE('3 pr-2'!D50)</f>
        <v/>
      </c>
      <c r="D49" s="1789"/>
      <c r="E49" s="1789"/>
      <c r="F49" s="1789"/>
      <c r="G49" s="1789"/>
      <c r="H49" s="1789"/>
      <c r="I49" s="1790"/>
      <c r="J49" s="629">
        <f>SUM('3 pr-2'!L50)</f>
        <v>16427026.24</v>
      </c>
      <c r="K49" s="629">
        <f>SUM(K50:K54)</f>
        <v>13600026.08</v>
      </c>
      <c r="L49" s="722">
        <f>SUM(L50:L54)</f>
        <v>2827000.16</v>
      </c>
      <c r="M49" s="723">
        <f>SUM(M50:M54)</f>
        <v>2827000.16</v>
      </c>
      <c r="N49" s="629">
        <f>SUM('3 pr-2'!O50)</f>
        <v>0</v>
      </c>
      <c r="O49" s="629">
        <f>SUM(O50:O54)</f>
        <v>0</v>
      </c>
      <c r="P49" s="629">
        <f>SUM(P50:P54)</f>
        <v>0</v>
      </c>
      <c r="Q49" s="629">
        <f>SUM(Q50:Q54)</f>
        <v>0</v>
      </c>
      <c r="R49" s="629">
        <f>SUM('3 pr-2'!R50)</f>
        <v>0</v>
      </c>
      <c r="S49" s="629">
        <f>SUM(S50:S54)</f>
        <v>0</v>
      </c>
      <c r="T49" s="629">
        <f>SUM(T50:T54)</f>
        <v>0</v>
      </c>
      <c r="U49" s="629">
        <f>SUM(U50:U54)</f>
        <v>0</v>
      </c>
      <c r="V49" s="629">
        <f>SUM('3 pr-2'!U50)</f>
        <v>7616352.7299999995</v>
      </c>
      <c r="W49" s="629">
        <f>SUM(W50:W54)</f>
        <v>6202852.4799999995</v>
      </c>
      <c r="X49" s="629">
        <f>SUM(X50:X54)</f>
        <v>1413500.25</v>
      </c>
      <c r="Y49" s="629">
        <f>SUM(Y50:Y54)</f>
        <v>1413500.25</v>
      </c>
      <c r="Z49" s="629">
        <f>SUM('3 pr-2'!X50)</f>
        <v>0</v>
      </c>
      <c r="AA49" s="629">
        <f>SUM(AA50:AA54)</f>
        <v>0</v>
      </c>
      <c r="AB49" s="629"/>
      <c r="AC49" s="629">
        <f>SUM(AC50:AC54)</f>
        <v>0</v>
      </c>
      <c r="AD49" s="629">
        <f>SUM('3 pr-2'!AA50)</f>
        <v>8810673.5099999998</v>
      </c>
      <c r="AE49" s="629">
        <f>SUM(AE50:AE54)</f>
        <v>7397173.5999999996</v>
      </c>
      <c r="AF49" s="338">
        <f>SUM(AF50:AF54)</f>
        <v>1413499.91</v>
      </c>
      <c r="AG49" s="465">
        <f>SUM(AG50:AG54)</f>
        <v>1413499.91</v>
      </c>
    </row>
    <row r="50" spans="1:34" ht="24.75" x14ac:dyDescent="0.25">
      <c r="A50" s="580" t="str">
        <f>CONCATENATE('3 pr-2'!A51)</f>
        <v>1.1.1.5.1</v>
      </c>
      <c r="B50" s="1015" t="str">
        <f>IF('ketv. 4 lent'!V51&gt;0,'ketv. 4 lent'!B51,"-")</f>
        <v>05.3.2-APVA-R-014-11-0001</v>
      </c>
      <c r="C50" s="580" t="str">
        <f>CONCATENATE('3 pr-2'!D51)</f>
        <v>Geriamojo vandens tiekimo ir nuotekų tvarkymo sistemų renovavimas ir plėtra Varėnos rajone</v>
      </c>
      <c r="D50" s="580" t="str">
        <f>CONCATENATE('3 pr-2'!E51)</f>
        <v>UAB „Varėnos vandenys“</v>
      </c>
      <c r="E50" s="580" t="str">
        <f>CONCATENATE('3 pr-2'!F51)</f>
        <v>Lietuvos Respublikos aplinkos ministerija</v>
      </c>
      <c r="F50" s="580" t="str">
        <f>CONCATENATE('3 pr-2'!G51)</f>
        <v>Varėnos rajono savivaldybė</v>
      </c>
      <c r="G50" s="580" t="str">
        <f>CONCATENATE('3 pr-2'!H51)</f>
        <v>05.3.2-APVA-R-014</v>
      </c>
      <c r="H50" s="580" t="str">
        <f>CONCATENATE('3 pr-2'!I51)</f>
        <v>R</v>
      </c>
      <c r="I50" s="580" t="str">
        <f>CONCATENATE('3 pr-2'!J51)</f>
        <v>ITI</v>
      </c>
      <c r="J50" s="476">
        <f>SUM('3 pr-2'!L51)</f>
        <v>2477103.23</v>
      </c>
      <c r="K50" s="476">
        <f>SUM(O50+S50+W50+AA50+AE50)</f>
        <v>2477103.23</v>
      </c>
      <c r="L50" s="476">
        <f t="shared" si="0"/>
        <v>0</v>
      </c>
      <c r="M50" s="476">
        <f t="shared" ref="M50:M54" si="48">IF(K50&gt;0,J50-K50,0)</f>
        <v>0</v>
      </c>
      <c r="N50" s="476">
        <f>SUM('3 pr-2'!O51)</f>
        <v>0</v>
      </c>
      <c r="O50" s="476">
        <v>0</v>
      </c>
      <c r="P50" s="476">
        <f t="shared" si="2"/>
        <v>0</v>
      </c>
      <c r="Q50" s="476">
        <f t="shared" ref="Q50:Q54" si="49">IF(O50&gt;0,N50-O50,0)</f>
        <v>0</v>
      </c>
      <c r="R50" s="476">
        <f>SUM('3 pr-2'!R51)</f>
        <v>0</v>
      </c>
      <c r="S50" s="476">
        <v>0</v>
      </c>
      <c r="T50" s="476">
        <f t="shared" ref="T50:T54" si="50">SUM(R50-S50)</f>
        <v>0</v>
      </c>
      <c r="U50" s="476">
        <f t="shared" ref="U50:U54" si="51">IF(S50&gt;0,R50-S50,0)</f>
        <v>0</v>
      </c>
      <c r="V50" s="476">
        <f>SUM('3 pr-2'!U51)</f>
        <v>862874.97</v>
      </c>
      <c r="W50" s="476">
        <v>862874.97</v>
      </c>
      <c r="X50" s="476">
        <f t="shared" si="26"/>
        <v>0</v>
      </c>
      <c r="Y50" s="476">
        <f t="shared" ref="Y50:Y54" si="52">IF(W50&gt;0,V50-W50,0)</f>
        <v>0</v>
      </c>
      <c r="Z50" s="476">
        <f>SUM('3 pr-2'!X51)</f>
        <v>0</v>
      </c>
      <c r="AA50" s="476">
        <v>0</v>
      </c>
      <c r="AB50" s="476"/>
      <c r="AC50" s="476">
        <f t="shared" ref="AC50:AC54" si="53">IF(AA50&gt;0,Z50-AA50,0)</f>
        <v>0</v>
      </c>
      <c r="AD50" s="476">
        <f>SUM('3 pr-2'!AA51)</f>
        <v>1614228.26</v>
      </c>
      <c r="AE50" s="476">
        <v>1614228.26</v>
      </c>
      <c r="AF50" s="721">
        <f t="shared" si="30"/>
        <v>0</v>
      </c>
      <c r="AG50" s="1096">
        <f t="shared" ref="AG50:AG54" si="54">IF(AE50&gt;0,AD50-AE50,0)</f>
        <v>0</v>
      </c>
      <c r="AH50" s="1097"/>
    </row>
    <row r="51" spans="1:34" ht="24.75" x14ac:dyDescent="0.25">
      <c r="A51" s="580" t="str">
        <f>CONCATENATE('3 pr-2'!A52)</f>
        <v>1.1.1.5.2.</v>
      </c>
      <c r="B51" s="1015" t="str">
        <f>IF('ketv. 4 lent'!V52&gt;0,'ketv. 4 lent'!B52,"-")</f>
        <v>05.3.2-APVA-R-014-11-0002</v>
      </c>
      <c r="C51" s="580" t="str">
        <f>CONCATENATE('3 pr-2'!D52)</f>
        <v>Geriamojo vandens ir nuotekų tvarkymo sistemų renovavimas Alytaus mieste</v>
      </c>
      <c r="D51" s="580" t="str">
        <f>CONCATENATE('3 pr-2'!E52)</f>
        <v>UAB “Dzūkijos vandenys“</v>
      </c>
      <c r="E51" s="580" t="str">
        <f>CONCATENATE('3 pr-2'!F52)</f>
        <v>Lietuvos Respublikos aplinkos ministerija</v>
      </c>
      <c r="F51" s="580" t="str">
        <f>CONCATENATE('3 pr-2'!G52)</f>
        <v>Alytaus miestas</v>
      </c>
      <c r="G51" s="580" t="str">
        <f>CONCATENATE('3 pr-2'!H52)</f>
        <v xml:space="preserve">05.3.2-APVA-R-014 </v>
      </c>
      <c r="H51" s="580" t="str">
        <f>CONCATENATE('3 pr-2'!I52)</f>
        <v>R</v>
      </c>
      <c r="I51" s="580" t="str">
        <f>CONCATENATE('3 pr-2'!J52)</f>
        <v>ITI</v>
      </c>
      <c r="J51" s="476">
        <f>SUM('3 pr-2'!L52)</f>
        <v>5993883</v>
      </c>
      <c r="K51" s="476">
        <f>SUM(O51+S51+W51+AA51+AE51)</f>
        <v>5993883</v>
      </c>
      <c r="L51" s="476">
        <f t="shared" si="0"/>
        <v>0</v>
      </c>
      <c r="M51" s="476">
        <f t="shared" si="48"/>
        <v>0</v>
      </c>
      <c r="N51" s="476">
        <f>SUM('3 pr-2'!O52)</f>
        <v>0</v>
      </c>
      <c r="O51" s="476">
        <v>0</v>
      </c>
      <c r="P51" s="476">
        <f t="shared" si="2"/>
        <v>0</v>
      </c>
      <c r="Q51" s="476">
        <f t="shared" si="49"/>
        <v>0</v>
      </c>
      <c r="R51" s="476">
        <f>SUM('3 pr-2'!R52)</f>
        <v>0</v>
      </c>
      <c r="S51" s="476">
        <v>0</v>
      </c>
      <c r="T51" s="476">
        <f t="shared" si="50"/>
        <v>0</v>
      </c>
      <c r="U51" s="476">
        <f t="shared" si="51"/>
        <v>0</v>
      </c>
      <c r="V51" s="476">
        <f>SUM('3 pr-2'!U52)</f>
        <v>3347886.75</v>
      </c>
      <c r="W51" s="476">
        <v>3347886.75</v>
      </c>
      <c r="X51" s="476">
        <f t="shared" si="26"/>
        <v>0</v>
      </c>
      <c r="Y51" s="476">
        <f t="shared" si="52"/>
        <v>0</v>
      </c>
      <c r="Z51" s="476">
        <f>SUM('3 pr-2'!X52)</f>
        <v>0</v>
      </c>
      <c r="AA51" s="476">
        <v>0</v>
      </c>
      <c r="AB51" s="476"/>
      <c r="AC51" s="476">
        <f t="shared" si="53"/>
        <v>0</v>
      </c>
      <c r="AD51" s="476">
        <f>SUM('3 pr-2'!AA52)</f>
        <v>2645996.25</v>
      </c>
      <c r="AE51" s="476">
        <v>2645996.25</v>
      </c>
      <c r="AF51" s="721">
        <f t="shared" si="30"/>
        <v>0</v>
      </c>
      <c r="AG51" s="454">
        <f t="shared" si="54"/>
        <v>0</v>
      </c>
    </row>
    <row r="52" spans="1:34" ht="36.75" x14ac:dyDescent="0.25">
      <c r="A52" s="580" t="str">
        <f>CONCATENATE('3 pr-2'!A53)</f>
        <v>1.1.1.5.3</v>
      </c>
      <c r="B52" s="1015" t="str">
        <f>IF('ketv. 4 lent'!V53&gt;0,'ketv. 4 lent'!B53,"-")</f>
        <v>05.3.2-APVA-R-014-11-0004</v>
      </c>
      <c r="C52" s="580" t="str">
        <f>CONCATENATE('3 pr-2'!D53)</f>
        <v>Geriamojo vandens tiekimo ir nuotekų tvarkymo sistemų renovavimas ir plėtra Lazdijų rajono savivaldybėje</v>
      </c>
      <c r="D52" s="580" t="str">
        <f>CONCATENATE('3 pr-2'!E53)</f>
        <v>UAB „Lazdijų vanduo“</v>
      </c>
      <c r="E52" s="580" t="str">
        <f>CONCATENATE('3 pr-2'!F53)</f>
        <v>Lietuvos Respublikos aplinkos ministerija</v>
      </c>
      <c r="F52" s="580" t="str">
        <f>CONCATENATE('3 pr-2'!G53)</f>
        <v>Lazdijų rajono savivaldybė</v>
      </c>
      <c r="G52" s="580" t="str">
        <f>CONCATENATE('3 pr-2'!H53)</f>
        <v>05.3.2-APVA-R-014</v>
      </c>
      <c r="H52" s="580" t="str">
        <f>CONCATENATE('3 pr-2'!I53)</f>
        <v>R</v>
      </c>
      <c r="I52" s="580" t="str">
        <f>CONCATENATE('3 pr-2'!J53)</f>
        <v>-</v>
      </c>
      <c r="J52" s="476">
        <f>SUM('3 pr-2'!L53)</f>
        <v>1288228.01</v>
      </c>
      <c r="K52" s="476">
        <f>SUM(O52+S52+W52+AA52+AE52)</f>
        <v>1288228.01</v>
      </c>
      <c r="L52" s="476">
        <f t="shared" si="0"/>
        <v>0</v>
      </c>
      <c r="M52" s="476">
        <f t="shared" si="48"/>
        <v>0</v>
      </c>
      <c r="N52" s="476">
        <f>SUM('3 pr-2'!O53)</f>
        <v>0</v>
      </c>
      <c r="O52" s="476">
        <v>0</v>
      </c>
      <c r="P52" s="476">
        <f t="shared" si="2"/>
        <v>0</v>
      </c>
      <c r="Q52" s="476">
        <f t="shared" si="49"/>
        <v>0</v>
      </c>
      <c r="R52" s="476">
        <f>SUM('3 pr-2'!R53)</f>
        <v>0</v>
      </c>
      <c r="S52" s="476">
        <v>0</v>
      </c>
      <c r="T52" s="476">
        <f t="shared" si="50"/>
        <v>0</v>
      </c>
      <c r="U52" s="476">
        <f t="shared" si="51"/>
        <v>0</v>
      </c>
      <c r="V52" s="476">
        <f>SUM('3 pr-2'!U53)</f>
        <v>498126.01</v>
      </c>
      <c r="W52" s="476">
        <v>498126.01</v>
      </c>
      <c r="X52" s="476">
        <f t="shared" si="26"/>
        <v>0</v>
      </c>
      <c r="Y52" s="476">
        <f t="shared" si="52"/>
        <v>0</v>
      </c>
      <c r="Z52" s="476">
        <f>SUM('3 pr-2'!X53)</f>
        <v>0</v>
      </c>
      <c r="AA52" s="476">
        <v>0</v>
      </c>
      <c r="AB52" s="476"/>
      <c r="AC52" s="476">
        <f t="shared" si="53"/>
        <v>0</v>
      </c>
      <c r="AD52" s="476">
        <f>SUM('3 pr-2'!AA53)</f>
        <v>790102</v>
      </c>
      <c r="AE52" s="476">
        <v>790102</v>
      </c>
      <c r="AF52" s="721">
        <f t="shared" si="30"/>
        <v>0</v>
      </c>
      <c r="AG52" s="454">
        <f t="shared" si="54"/>
        <v>0</v>
      </c>
    </row>
    <row r="53" spans="1:34" ht="24.75" x14ac:dyDescent="0.25">
      <c r="A53" s="580" t="str">
        <f>CONCATENATE('3 pr-2'!A54)</f>
        <v>1.1.1.5.4.</v>
      </c>
      <c r="B53" s="1015" t="str">
        <f>IF('ketv. 4 lent'!V54&gt;0,'ketv. 4 lent'!B54,"-")</f>
        <v>05.3.2-APVA-R-014-11-0003</v>
      </c>
      <c r="C53" s="580" t="str">
        <f>CONCATENATE('3 pr-2'!D54)</f>
        <v>Vandens tiekimo ir nuotekų šalinimo infrastruktūros renovavimas ir plėtra Druskininkų savivaldybėje</v>
      </c>
      <c r="D53" s="580" t="str">
        <f>CONCATENATE('3 pr-2'!E54)</f>
        <v>UAB "Druskininkų vandenys"</v>
      </c>
      <c r="E53" s="580" t="str">
        <f>CONCATENATE('3 pr-2'!F54)</f>
        <v>Lietuvos Respublikos aplinkos ministerija</v>
      </c>
      <c r="F53" s="580" t="str">
        <f>CONCATENATE('3 pr-2'!G54)</f>
        <v>Druskininkų miestas</v>
      </c>
      <c r="G53" s="580" t="str">
        <f>CONCATENATE('3 pr-2'!H54)</f>
        <v>05.3.2-APVA-R-014</v>
      </c>
      <c r="H53" s="580" t="str">
        <f>CONCATENATE('3 pr-2'!I54)</f>
        <v>R</v>
      </c>
      <c r="I53" s="580" t="str">
        <f>CONCATENATE('3 pr-2'!J54)</f>
        <v>-</v>
      </c>
      <c r="J53" s="476">
        <f>SUM('3 pr-2'!L54)</f>
        <v>5186812</v>
      </c>
      <c r="K53" s="476">
        <f>SUM(O53+S53+W53+AA53+AE53)</f>
        <v>2359811.84</v>
      </c>
      <c r="L53" s="476">
        <f t="shared" si="0"/>
        <v>2827000.16</v>
      </c>
      <c r="M53" s="476">
        <f t="shared" si="48"/>
        <v>2827000.16</v>
      </c>
      <c r="N53" s="476">
        <f>SUM('3 pr-2'!O54)</f>
        <v>0</v>
      </c>
      <c r="O53" s="476">
        <v>0</v>
      </c>
      <c r="P53" s="476">
        <f t="shared" si="2"/>
        <v>0</v>
      </c>
      <c r="Q53" s="476">
        <f t="shared" si="49"/>
        <v>0</v>
      </c>
      <c r="R53" s="476">
        <f>SUM('3 pr-2'!R54)</f>
        <v>0</v>
      </c>
      <c r="S53" s="476">
        <v>0</v>
      </c>
      <c r="T53" s="476">
        <f t="shared" si="50"/>
        <v>0</v>
      </c>
      <c r="U53" s="476">
        <f t="shared" si="51"/>
        <v>0</v>
      </c>
      <c r="V53" s="476">
        <f>SUM('3 pr-2'!U54)</f>
        <v>2294209</v>
      </c>
      <c r="W53" s="476">
        <v>880708.75</v>
      </c>
      <c r="X53" s="476">
        <f t="shared" si="26"/>
        <v>1413500.25</v>
      </c>
      <c r="Y53" s="476">
        <f t="shared" si="52"/>
        <v>1413500.25</v>
      </c>
      <c r="Z53" s="476">
        <f>SUM('3 pr-2'!X54)</f>
        <v>0</v>
      </c>
      <c r="AA53" s="476">
        <v>0</v>
      </c>
      <c r="AB53" s="476"/>
      <c r="AC53" s="476">
        <f t="shared" si="53"/>
        <v>0</v>
      </c>
      <c r="AD53" s="476">
        <f>SUM('3 pr-2'!AA54)</f>
        <v>2892603</v>
      </c>
      <c r="AE53" s="476">
        <v>1479103.09</v>
      </c>
      <c r="AF53" s="721">
        <f t="shared" si="30"/>
        <v>1413499.91</v>
      </c>
      <c r="AG53" s="454">
        <f t="shared" si="54"/>
        <v>1413499.91</v>
      </c>
    </row>
    <row r="54" spans="1:34" ht="25.5" thickBot="1" x14ac:dyDescent="0.3">
      <c r="A54" s="580" t="str">
        <f>CONCATENATE('3 pr-2'!A55)</f>
        <v>1.1.1.5.5.</v>
      </c>
      <c r="B54" s="1015" t="str">
        <f>IF('ketv. 4 lent'!V55&gt;0,'ketv. 4 lent'!B55,"-")</f>
        <v>05.3.2-APVA-R-014-11-0005</v>
      </c>
      <c r="C54" s="580" t="str">
        <f>CONCATENATE('3 pr-2'!D55)</f>
        <v>Vandens tiekimo ir nuotekų tvarkymo infrastruktūros plėtra Alytaus rajone (Krokialaukyje)</v>
      </c>
      <c r="D54" s="580" t="str">
        <f>CONCATENATE('3 pr-2'!E55)</f>
        <v>SĮ „Simno komunalininkas“</v>
      </c>
      <c r="E54" s="580" t="str">
        <f>CONCATENATE('3 pr-2'!F55)</f>
        <v>Lietuvos Respublikos aplinkos ministerija</v>
      </c>
      <c r="F54" s="580" t="str">
        <f>CONCATENATE('3 pr-2'!G55)</f>
        <v>Alytaus  rajono savivaldybė</v>
      </c>
      <c r="G54" s="580" t="str">
        <f>CONCATENATE('3 pr-2'!H55)</f>
        <v>05.3.2-APVA-R-014</v>
      </c>
      <c r="H54" s="580" t="str">
        <f>CONCATENATE('3 pr-2'!I55)</f>
        <v>R</v>
      </c>
      <c r="I54" s="580" t="str">
        <f>CONCATENATE('3 pr-2'!J55)</f>
        <v>-</v>
      </c>
      <c r="J54" s="476">
        <f>SUM('3 pr-2'!L55)</f>
        <v>1481000</v>
      </c>
      <c r="K54" s="476">
        <f>SUM(O54+S54+W54+AA54+AE54)</f>
        <v>1481000</v>
      </c>
      <c r="L54" s="476">
        <f t="shared" si="0"/>
        <v>0</v>
      </c>
      <c r="M54" s="476">
        <f t="shared" si="48"/>
        <v>0</v>
      </c>
      <c r="N54" s="476">
        <f>SUM('3 pr-2'!O55)</f>
        <v>0</v>
      </c>
      <c r="O54" s="476">
        <v>0</v>
      </c>
      <c r="P54" s="476">
        <f t="shared" si="2"/>
        <v>0</v>
      </c>
      <c r="Q54" s="476">
        <f t="shared" si="49"/>
        <v>0</v>
      </c>
      <c r="R54" s="476">
        <f>SUM('3 pr-2'!R55)</f>
        <v>0</v>
      </c>
      <c r="S54" s="476">
        <v>0</v>
      </c>
      <c r="T54" s="476">
        <f t="shared" si="50"/>
        <v>0</v>
      </c>
      <c r="U54" s="476">
        <f t="shared" si="51"/>
        <v>0</v>
      </c>
      <c r="V54" s="476">
        <f>SUM('3 pr-2'!U55)</f>
        <v>613256</v>
      </c>
      <c r="W54" s="476">
        <v>613256</v>
      </c>
      <c r="X54" s="476">
        <f t="shared" si="26"/>
        <v>0</v>
      </c>
      <c r="Y54" s="476">
        <f t="shared" si="52"/>
        <v>0</v>
      </c>
      <c r="Z54" s="476">
        <f>SUM('3 pr-2'!X55)</f>
        <v>0</v>
      </c>
      <c r="AA54" s="476">
        <v>0</v>
      </c>
      <c r="AB54" s="476"/>
      <c r="AC54" s="476">
        <f t="shared" si="53"/>
        <v>0</v>
      </c>
      <c r="AD54" s="476">
        <f>SUM('3 pr-2'!AA55)</f>
        <v>867744</v>
      </c>
      <c r="AE54" s="476">
        <v>867744</v>
      </c>
      <c r="AF54" s="721">
        <f t="shared" si="30"/>
        <v>0</v>
      </c>
      <c r="AG54" s="454">
        <f t="shared" si="54"/>
        <v>0</v>
      </c>
      <c r="AH54" s="337"/>
    </row>
    <row r="55" spans="1:34" ht="39" customHeight="1" thickBot="1" x14ac:dyDescent="0.3">
      <c r="A55" s="497" t="str">
        <f>CONCATENATE('3 pr-2'!A56)</f>
        <v>1.1.1.6</v>
      </c>
      <c r="B55" s="613" t="str">
        <f>CONCATENATE('ketv. 2lent'!B55)</f>
        <v/>
      </c>
      <c r="C55" s="1656" t="str">
        <f>CONCATENATE('3 pr-2'!D56)</f>
        <v/>
      </c>
      <c r="D55" s="1789"/>
      <c r="E55" s="1789"/>
      <c r="F55" s="1789"/>
      <c r="G55" s="1789"/>
      <c r="H55" s="1789"/>
      <c r="I55" s="1790"/>
      <c r="J55" s="629">
        <f>SUM('3 pr-2'!L56)</f>
        <v>3999404.09</v>
      </c>
      <c r="K55" s="629">
        <f>SUM(K56)</f>
        <v>2809404.09</v>
      </c>
      <c r="L55" s="722">
        <f>SUM(L56)</f>
        <v>1190000</v>
      </c>
      <c r="M55" s="723">
        <f>SUM(M56)</f>
        <v>1190000</v>
      </c>
      <c r="N55" s="629">
        <f>SUM('3 pr-2'!O56)</f>
        <v>0</v>
      </c>
      <c r="O55" s="629">
        <f>SUM(O56)</f>
        <v>0</v>
      </c>
      <c r="P55" s="629">
        <f>SUM(P56)</f>
        <v>0</v>
      </c>
      <c r="Q55" s="629">
        <f>SUM(Q56)</f>
        <v>0</v>
      </c>
      <c r="R55" s="629">
        <f>SUM('3 pr-2'!R56)</f>
        <v>0</v>
      </c>
      <c r="S55" s="629">
        <f>SUM(S56)</f>
        <v>0</v>
      </c>
      <c r="T55" s="629">
        <f>SUM(T56)</f>
        <v>0</v>
      </c>
      <c r="U55" s="629">
        <f>SUM(U56)</f>
        <v>0</v>
      </c>
      <c r="V55" s="629">
        <f>SUM('3 pr-2'!U56)</f>
        <v>599910.61</v>
      </c>
      <c r="W55" s="629">
        <f>SUM(W56)</f>
        <v>421410.60999999987</v>
      </c>
      <c r="X55" s="629">
        <f>SUM(X56)</f>
        <v>178500.00000000012</v>
      </c>
      <c r="Y55" s="629">
        <f>SUM(Y56)</f>
        <v>178500.00000000012</v>
      </c>
      <c r="Z55" s="629">
        <f>SUM('3 pr-2'!X56)</f>
        <v>0</v>
      </c>
      <c r="AA55" s="629">
        <f>SUM(AA56)</f>
        <v>0</v>
      </c>
      <c r="AB55" s="629">
        <f>SUM(AB56)</f>
        <v>0</v>
      </c>
      <c r="AC55" s="629">
        <f>SUM(AC56)</f>
        <v>0</v>
      </c>
      <c r="AD55" s="629">
        <f>SUM('3 pr-2'!AA56)</f>
        <v>3399493.48</v>
      </c>
      <c r="AE55" s="629">
        <f>SUM(AE56)</f>
        <v>2387993.48</v>
      </c>
      <c r="AF55" s="353">
        <f>SUM(AF56)</f>
        <v>1011500</v>
      </c>
      <c r="AG55" s="462">
        <f>SUM(AG56)</f>
        <v>1011500</v>
      </c>
      <c r="AH55" s="336"/>
    </row>
    <row r="56" spans="1:34" ht="25.5" thickBot="1" x14ac:dyDescent="0.3">
      <c r="A56" s="580" t="str">
        <f>CONCATENATE('3 pr-2'!A57)</f>
        <v>1.1.1.6.1</v>
      </c>
      <c r="B56" s="1015" t="str">
        <f>IF('ketv. 4 lent'!V57&gt;0,'ketv. 4 lent'!B57,"-")</f>
        <v>05.1.1-APVA-R-007-11-0001</v>
      </c>
      <c r="C56" s="580" t="str">
        <f>CONCATENATE('3 pr-2'!D57)</f>
        <v>Paviršinių nuotekų sistemų tvarkymas Alytaus mieste</v>
      </c>
      <c r="D56" s="580" t="str">
        <f>CONCATENATE('3 pr-2'!E57)</f>
        <v>UAB “Dzūkijos vandenys“</v>
      </c>
      <c r="E56" s="580" t="str">
        <f>CONCATENATE('3 pr-2'!F57)</f>
        <v>Lietuvos Respublikos aplinkos ministerija</v>
      </c>
      <c r="F56" s="580" t="str">
        <f>CONCATENATE('3 pr-2'!G57)</f>
        <v>Alytaus  miestas</v>
      </c>
      <c r="G56" s="580" t="str">
        <f>CONCATENATE('3 pr-2'!H57)</f>
        <v>05.1.1-APVA-R-007</v>
      </c>
      <c r="H56" s="580" t="str">
        <f>CONCATENATE('3 pr-2'!I57)</f>
        <v>R</v>
      </c>
      <c r="I56" s="580" t="str">
        <f>CONCATENATE('3 pr-2'!J57)</f>
        <v>-</v>
      </c>
      <c r="J56" s="476">
        <f>SUM('3 pr-2'!L57)</f>
        <v>3999404.09</v>
      </c>
      <c r="K56" s="476">
        <v>2809404.09</v>
      </c>
      <c r="L56" s="476">
        <f t="shared" si="0"/>
        <v>1190000</v>
      </c>
      <c r="M56" s="476">
        <f>IF(K56&gt;0,J56-K56,0)</f>
        <v>1190000</v>
      </c>
      <c r="N56" s="476">
        <f>SUM('3 pr-2'!O57)</f>
        <v>0</v>
      </c>
      <c r="O56" s="476">
        <v>0</v>
      </c>
      <c r="P56" s="476">
        <f t="shared" si="2"/>
        <v>0</v>
      </c>
      <c r="Q56" s="476">
        <f>IF(O56&gt;0,N56-O56,0)</f>
        <v>0</v>
      </c>
      <c r="R56" s="476">
        <f>SUM('3 pr-2'!R57)</f>
        <v>0</v>
      </c>
      <c r="S56" s="476">
        <v>0</v>
      </c>
      <c r="T56" s="476">
        <f t="shared" ref="T56" si="55">SUM(R56-S56)</f>
        <v>0</v>
      </c>
      <c r="U56" s="476">
        <f>IF(S56&gt;0,R56-S56,0)</f>
        <v>0</v>
      </c>
      <c r="V56" s="476">
        <f>SUM('3 pr-2'!U57)</f>
        <v>599910.61</v>
      </c>
      <c r="W56" s="476">
        <f>SUM(K56-AE56)</f>
        <v>421410.60999999987</v>
      </c>
      <c r="X56" s="476">
        <f t="shared" ref="X56" si="56">SUM(V56-W56)</f>
        <v>178500.00000000012</v>
      </c>
      <c r="Y56" s="476">
        <f>IF(W56&gt;0,V56-W56,0)</f>
        <v>178500.00000000012</v>
      </c>
      <c r="Z56" s="476">
        <f>SUM('3 pr-2'!X57)</f>
        <v>0</v>
      </c>
      <c r="AA56" s="476">
        <v>0</v>
      </c>
      <c r="AB56" s="476">
        <f>SUM(Z56-AA56)</f>
        <v>0</v>
      </c>
      <c r="AC56" s="476">
        <f>IF(AA56&gt;0,Z56-AA56,0)</f>
        <v>0</v>
      </c>
      <c r="AD56" s="476">
        <f>SUM('3 pr-2'!AA57)</f>
        <v>3399493.48</v>
      </c>
      <c r="AE56" s="476">
        <v>2387993.48</v>
      </c>
      <c r="AF56" s="726">
        <f t="shared" ref="AF56" si="57">SUM(AD56-AE56)</f>
        <v>1011500</v>
      </c>
      <c r="AG56" s="454">
        <f>IF(AE56&gt;0,AD56-AE56,0)</f>
        <v>1011500</v>
      </c>
    </row>
    <row r="57" spans="1:34" ht="38.25" customHeight="1" thickBot="1" x14ac:dyDescent="0.3">
      <c r="A57" s="497" t="str">
        <f>CONCATENATE('3 pr-2'!A58)</f>
        <v>1.1.1.7</v>
      </c>
      <c r="B57" s="613" t="str">
        <f>CONCATENATE('ketv. 2lent'!B57)</f>
        <v/>
      </c>
      <c r="C57" s="1656" t="str">
        <f>CONCATENATE('3 pr-2'!D58)</f>
        <v>Priemonė:
Savivaldybes jungiančių turizmo trasų ir turizmo maršrutų informacinės infrastruktūros plėtra</v>
      </c>
      <c r="D57" s="1789"/>
      <c r="E57" s="1789"/>
      <c r="F57" s="1789"/>
      <c r="G57" s="1789"/>
      <c r="H57" s="1789"/>
      <c r="I57" s="1790"/>
      <c r="J57" s="629">
        <f>SUM('3 pr-2'!L58)</f>
        <v>719317.64705882361</v>
      </c>
      <c r="K57" s="629">
        <f>SUM(K58:K60)</f>
        <v>496329.53</v>
      </c>
      <c r="L57" s="722">
        <f>SUM(L58:L60)</f>
        <v>222988.11705882358</v>
      </c>
      <c r="M57" s="723">
        <f>SUM(M58:M60)</f>
        <v>-0.11823529406683519</v>
      </c>
      <c r="N57" s="629">
        <f>SUM('3 pr-2'!O58)</f>
        <v>107897.64705882352</v>
      </c>
      <c r="O57" s="629">
        <f>SUM(O58:O60)</f>
        <v>74449.429999999993</v>
      </c>
      <c r="P57" s="629">
        <f>SUM(P58:P60)</f>
        <v>33448.217058823539</v>
      </c>
      <c r="Q57" s="629">
        <f>SUM(Q58:Q60)</f>
        <v>-1.8235294111946132E-2</v>
      </c>
      <c r="R57" s="629">
        <f>SUM('3 pr-2'!R58)</f>
        <v>0</v>
      </c>
      <c r="S57" s="629">
        <f>SUM(S58:S60)</f>
        <v>0</v>
      </c>
      <c r="T57" s="629">
        <f t="shared" ref="T57" si="58">SUM(T58:T60)</f>
        <v>0</v>
      </c>
      <c r="U57" s="629">
        <f>SUM(U58:U60)</f>
        <v>0</v>
      </c>
      <c r="V57" s="629">
        <f>SUM('3 pr-2'!U58)</f>
        <v>0</v>
      </c>
      <c r="W57" s="629">
        <f>SUM(W58:W60)</f>
        <v>0</v>
      </c>
      <c r="X57" s="629">
        <f>SUM(X58:X60)</f>
        <v>0</v>
      </c>
      <c r="Y57" s="629">
        <f>SUM(Y58:Y60)</f>
        <v>0</v>
      </c>
      <c r="Z57" s="629">
        <f>SUM('3 pr-2'!X58)</f>
        <v>0</v>
      </c>
      <c r="AA57" s="629">
        <f>SUM(AA58:AA60)</f>
        <v>0</v>
      </c>
      <c r="AB57" s="629"/>
      <c r="AC57" s="629">
        <f>SUM(AC58:AC60)</f>
        <v>0</v>
      </c>
      <c r="AD57" s="629">
        <f>SUM('3 pr-2'!AA58)</f>
        <v>611420</v>
      </c>
      <c r="AE57" s="629">
        <f>SUM(AE58:AE60)</f>
        <v>421880.1</v>
      </c>
      <c r="AF57" s="353">
        <f>SUM(AF58:AF60)</f>
        <v>189539.9</v>
      </c>
      <c r="AG57" s="462">
        <f>SUM(AG58:AG60)</f>
        <v>-0.10000000000582077</v>
      </c>
    </row>
    <row r="58" spans="1:34" ht="36.75" x14ac:dyDescent="0.25">
      <c r="A58" s="580" t="str">
        <f>CONCATENATE('3 pr-2'!A59)</f>
        <v>1.1.1.7.1</v>
      </c>
      <c r="B58" s="1015" t="str">
        <f>IF('ketv. 4 lent'!V59&gt;0,'ketv. 4 lent'!B59,"-")</f>
        <v>05.4.1-LVPA-R-821-11-0002</v>
      </c>
      <c r="C58" s="580" t="str">
        <f>CONCATENATE('3 pr-2'!D59)</f>
        <v>Alytaus regiono turizmo informacinės infrastruktūros plėtra</v>
      </c>
      <c r="D58" s="580" t="str">
        <f>CONCATENATE('3 pr-2'!E59)</f>
        <v>Alytaus miesto savivaldybės administracija</v>
      </c>
      <c r="E58" s="580" t="str">
        <f>CONCATENATE('3 pr-2'!F59)</f>
        <v>Lietuvos Respublikos ūkio ministerija</v>
      </c>
      <c r="F58" s="580" t="str">
        <f>CONCATENATE('3 pr-2'!G59)</f>
        <v>Alytaus regionas</v>
      </c>
      <c r="G58" s="580" t="str">
        <f>CONCATENATE('3 pr-2'!H59)</f>
        <v>05.4.1-LVPA-R-821</v>
      </c>
      <c r="H58" s="580" t="str">
        <f>CONCATENATE('3 pr-2'!I59)</f>
        <v>R</v>
      </c>
      <c r="I58" s="580" t="str">
        <f>CONCATENATE('3 pr-2'!J59)</f>
        <v>-</v>
      </c>
      <c r="J58" s="476">
        <f>SUM('3 pr-2'!L59)</f>
        <v>208223.52941176473</v>
      </c>
      <c r="K58" s="476">
        <v>208223.53</v>
      </c>
      <c r="L58" s="476">
        <f t="shared" si="0"/>
        <v>-5.8823527069762349E-4</v>
      </c>
      <c r="M58" s="476">
        <f t="shared" ref="M58:M60" si="59">IF(K58&gt;0,J58-K58,0)</f>
        <v>-5.8823527069762349E-4</v>
      </c>
      <c r="N58" s="476">
        <f>SUM('3 pr-2'!O59)</f>
        <v>31233.529411764706</v>
      </c>
      <c r="O58" s="476">
        <f>SUM(K58-AE58)</f>
        <v>31233.53</v>
      </c>
      <c r="P58" s="476">
        <f t="shared" si="2"/>
        <v>-5.8823529252549633E-4</v>
      </c>
      <c r="Q58" s="476">
        <f t="shared" ref="Q58:Q60" si="60">IF(O58&gt;0,N58-O58,0)</f>
        <v>-5.8823529252549633E-4</v>
      </c>
      <c r="R58" s="476">
        <f>SUM('3 pr-2'!R59)</f>
        <v>0</v>
      </c>
      <c r="S58" s="476">
        <v>0</v>
      </c>
      <c r="T58" s="476">
        <f t="shared" ref="T58:T60" si="61">SUM(R58-S58)</f>
        <v>0</v>
      </c>
      <c r="U58" s="476">
        <f t="shared" ref="U58:U60" si="62">IF(S58&gt;0,R58-S58,0)</f>
        <v>0</v>
      </c>
      <c r="V58" s="476">
        <f>SUM('3 pr-2'!U59)</f>
        <v>0</v>
      </c>
      <c r="W58" s="476">
        <v>0</v>
      </c>
      <c r="X58" s="476">
        <f t="shared" ref="X58:X60" si="63">SUM(V58-W58)</f>
        <v>0</v>
      </c>
      <c r="Y58" s="476">
        <f t="shared" ref="Y58:Y60" si="64">IF(W58&gt;0,V58-W58,0)</f>
        <v>0</v>
      </c>
      <c r="Z58" s="476">
        <f>SUM('3 pr-2'!X59)</f>
        <v>0</v>
      </c>
      <c r="AA58" s="476">
        <v>0</v>
      </c>
      <c r="AB58" s="476">
        <f>SUM(Z58-AA58)</f>
        <v>0</v>
      </c>
      <c r="AC58" s="476">
        <f t="shared" ref="AC58:AC60" si="65">IF(AA58&gt;0,Z58-AA58,0)</f>
        <v>0</v>
      </c>
      <c r="AD58" s="476">
        <f>SUM('3 pr-2'!AA59)</f>
        <v>176990</v>
      </c>
      <c r="AE58" s="476">
        <v>176990</v>
      </c>
      <c r="AF58" s="721">
        <f t="shared" ref="AF58:AF60" si="66">SUM(AD58-AE58)</f>
        <v>0</v>
      </c>
      <c r="AG58" s="454">
        <f t="shared" ref="AG58:AG60" si="67">IF(AE58&gt;0,AD58-AE58,0)</f>
        <v>0</v>
      </c>
    </row>
    <row r="59" spans="1:34" ht="48.75" x14ac:dyDescent="0.25">
      <c r="A59" s="580" t="str">
        <f>CONCATENATE('3 pr-2'!A60)</f>
        <v>1.1.1.7.2</v>
      </c>
      <c r="B59" s="1015" t="str">
        <f>IF('ketv. 4 lent'!V60&gt;0,'ketv. 4 lent'!B60,"-")</f>
        <v>05.4.1-LVPA-R-821-11-0001</v>
      </c>
      <c r="C59" s="580" t="str">
        <f>CONCATENATE('3 pr-2'!D60)</f>
        <v>„Turizmo trasų ir maršrutų informacinės infrastruktūros plėtra  Lazdijų, Varėnos rajonų ir Druskininkų savivaldybėse“</v>
      </c>
      <c r="D59" s="580" t="str">
        <f>CONCATENATE('3 pr-2'!E60)</f>
        <v>Lazdijų rajono savivaldybės administracija</v>
      </c>
      <c r="E59" s="580" t="str">
        <f>CONCATENATE('3 pr-2'!F60)</f>
        <v>Lietuvos Respublikos ūkio ministerija</v>
      </c>
      <c r="F59" s="580" t="str">
        <f>CONCATENATE('3 pr-2'!G60)</f>
        <v xml:space="preserve">Lazdijų, Varėnos rajonų ir Druskininkų savivaldybės </v>
      </c>
      <c r="G59" s="580" t="str">
        <f>CONCATENATE('3 pr-2'!H60)</f>
        <v>05.4.1-LVPA-R-821</v>
      </c>
      <c r="H59" s="580" t="str">
        <f>CONCATENATE('3 pr-2'!I60)</f>
        <v>R</v>
      </c>
      <c r="I59" s="580" t="str">
        <f>CONCATENATE('3 pr-2'!J60)</f>
        <v>-</v>
      </c>
      <c r="J59" s="476">
        <f>SUM('3 pr-2'!L60)</f>
        <v>288105.8823529412</v>
      </c>
      <c r="K59" s="476">
        <v>288106</v>
      </c>
      <c r="L59" s="476">
        <f t="shared" si="0"/>
        <v>-0.11764705879613757</v>
      </c>
      <c r="M59" s="476">
        <f t="shared" si="59"/>
        <v>-0.11764705879613757</v>
      </c>
      <c r="N59" s="476">
        <f>SUM('3 pr-2'!O60)</f>
        <v>43215.882352941175</v>
      </c>
      <c r="O59" s="476">
        <f>SUM(K59-AE59)</f>
        <v>43215.899999999994</v>
      </c>
      <c r="P59" s="476">
        <f t="shared" si="2"/>
        <v>-1.7647058819420636E-2</v>
      </c>
      <c r="Q59" s="476">
        <f t="shared" si="60"/>
        <v>-1.7647058819420636E-2</v>
      </c>
      <c r="R59" s="476">
        <f>SUM('3 pr-2'!R60)</f>
        <v>0</v>
      </c>
      <c r="S59" s="476">
        <v>0</v>
      </c>
      <c r="T59" s="476">
        <f t="shared" si="61"/>
        <v>0</v>
      </c>
      <c r="U59" s="476">
        <f t="shared" si="62"/>
        <v>0</v>
      </c>
      <c r="V59" s="476">
        <f>SUM('3 pr-2'!U60)</f>
        <v>0</v>
      </c>
      <c r="W59" s="476">
        <v>0</v>
      </c>
      <c r="X59" s="476">
        <f t="shared" si="63"/>
        <v>0</v>
      </c>
      <c r="Y59" s="476">
        <f t="shared" si="64"/>
        <v>0</v>
      </c>
      <c r="Z59" s="476">
        <f>SUM('3 pr-2'!X60)</f>
        <v>0</v>
      </c>
      <c r="AA59" s="476">
        <v>0</v>
      </c>
      <c r="AB59" s="476">
        <f>SUM(Z59-AA59)</f>
        <v>0</v>
      </c>
      <c r="AC59" s="476">
        <f t="shared" si="65"/>
        <v>0</v>
      </c>
      <c r="AD59" s="476">
        <f>SUM('3 pr-2'!AA60)</f>
        <v>244890</v>
      </c>
      <c r="AE59" s="476">
        <v>244890.1</v>
      </c>
      <c r="AF59" s="721">
        <f t="shared" si="66"/>
        <v>-0.10000000000582077</v>
      </c>
      <c r="AG59" s="454">
        <f t="shared" si="67"/>
        <v>-0.10000000000582077</v>
      </c>
    </row>
    <row r="60" spans="1:34" ht="49.5" thickBot="1" x14ac:dyDescent="0.3">
      <c r="A60" s="580" t="str">
        <f>CONCATENATE('3 pr-2'!A61)</f>
        <v>1.1.1.7.3</v>
      </c>
      <c r="B60" s="1015" t="str">
        <f>IF('ketv. 4 lent'!V61&gt;0,'ketv. 4 lent'!B61,"-")</f>
        <v>-</v>
      </c>
      <c r="C60" s="580" t="str">
        <f>CONCATENATE('3 pr-2'!D61)</f>
        <v>„Turizmo trasų ir maršrutų informacinės infrastruktūros plėtra  Lazdijų, Varėnos rajonų ir Druskininkų savivaldybėse II etapas“</v>
      </c>
      <c r="D60" s="580" t="str">
        <f>CONCATENATE('3 pr-2'!E61)</f>
        <v>Lazdijų rajono savivaldybės administracija</v>
      </c>
      <c r="E60" s="580" t="str">
        <f>CONCATENATE('3 pr-2'!F61)</f>
        <v>Lietuvos Respublikos ūkio ministerija</v>
      </c>
      <c r="F60" s="580" t="str">
        <f>CONCATENATE('3 pr-2'!G61)</f>
        <v xml:space="preserve">Lazdijų, Varėnos rajonų ir Druskininkų savivaldybės </v>
      </c>
      <c r="G60" s="580" t="str">
        <f>CONCATENATE('3 pr-2'!H61)</f>
        <v>05.4.1-LVPA-R-821</v>
      </c>
      <c r="H60" s="580" t="str">
        <f>CONCATENATE('3 pr-2'!I61)</f>
        <v>R</v>
      </c>
      <c r="I60" s="580" t="str">
        <f>CONCATENATE('3 pr-2'!J61)</f>
        <v>-</v>
      </c>
      <c r="J60" s="476">
        <f>SUM('3 pr-2'!L61)</f>
        <v>222988.23529411765</v>
      </c>
      <c r="K60" s="476">
        <f>SUM('3 pr-2'!K61)</f>
        <v>0</v>
      </c>
      <c r="L60" s="476">
        <f t="shared" si="0"/>
        <v>222988.23529411765</v>
      </c>
      <c r="M60" s="476">
        <f t="shared" si="59"/>
        <v>0</v>
      </c>
      <c r="N60" s="476">
        <f>SUM('3 pr-2'!O61)</f>
        <v>33448.23529411765</v>
      </c>
      <c r="O60" s="476">
        <f>SUM('3 pr-2'!R61)</f>
        <v>0</v>
      </c>
      <c r="P60" s="476">
        <f t="shared" si="2"/>
        <v>33448.23529411765</v>
      </c>
      <c r="Q60" s="476">
        <f t="shared" si="60"/>
        <v>0</v>
      </c>
      <c r="R60" s="476">
        <f>SUM('3 pr-2'!R61)</f>
        <v>0</v>
      </c>
      <c r="S60" s="476">
        <v>0</v>
      </c>
      <c r="T60" s="476">
        <f t="shared" si="61"/>
        <v>0</v>
      </c>
      <c r="U60" s="476">
        <f t="shared" si="62"/>
        <v>0</v>
      </c>
      <c r="V60" s="476">
        <f>SUM('3 pr-2'!U61)</f>
        <v>0</v>
      </c>
      <c r="W60" s="476">
        <v>0</v>
      </c>
      <c r="X60" s="476">
        <f t="shared" si="63"/>
        <v>0</v>
      </c>
      <c r="Y60" s="476">
        <f t="shared" si="64"/>
        <v>0</v>
      </c>
      <c r="Z60" s="476">
        <f>SUM('3 pr-2'!X61)</f>
        <v>0</v>
      </c>
      <c r="AA60" s="476">
        <v>0</v>
      </c>
      <c r="AB60" s="476">
        <f>SUM(Z60-AA60)</f>
        <v>0</v>
      </c>
      <c r="AC60" s="476">
        <f t="shared" si="65"/>
        <v>0</v>
      </c>
      <c r="AD60" s="476">
        <f>SUM('3 pr-2'!AA61)</f>
        <v>189540</v>
      </c>
      <c r="AE60" s="476">
        <v>0</v>
      </c>
      <c r="AF60" s="721">
        <f t="shared" si="66"/>
        <v>189540</v>
      </c>
      <c r="AG60" s="454">
        <f t="shared" si="67"/>
        <v>0</v>
      </c>
    </row>
    <row r="61" spans="1:34" ht="41.25" customHeight="1" thickBot="1" x14ac:dyDescent="0.3">
      <c r="A61" s="497" t="str">
        <f>CONCATENATE('3 pr-2'!A62)</f>
        <v>1.1.1.8</v>
      </c>
      <c r="B61" s="613" t="str">
        <f>CONCATENATE('ketv. 2lent'!B61)</f>
        <v/>
      </c>
      <c r="C61" s="1656" t="str">
        <f>CONCATENATE('3 pr-2'!D62)</f>
        <v/>
      </c>
      <c r="D61" s="1789"/>
      <c r="E61" s="1789"/>
      <c r="F61" s="1789"/>
      <c r="G61" s="1789"/>
      <c r="H61" s="1789"/>
      <c r="I61" s="1790"/>
      <c r="J61" s="629">
        <f>SUM('3 pr-2'!L62)</f>
        <v>1972835.5100000002</v>
      </c>
      <c r="K61" s="629">
        <f>SUM(K62:K65)</f>
        <v>1488066.1600000001</v>
      </c>
      <c r="L61" s="722">
        <f>SUM(L62:L65)</f>
        <v>484769.35</v>
      </c>
      <c r="M61" s="723">
        <f>SUM(M62:M65)</f>
        <v>0</v>
      </c>
      <c r="N61" s="629">
        <f>SUM('3 pr-2'!O62)</f>
        <v>422270.99</v>
      </c>
      <c r="O61" s="629">
        <f>SUM(O62:O65)</f>
        <v>237042.64000000007</v>
      </c>
      <c r="P61" s="629">
        <f>SUM(P62:P65)</f>
        <v>185228.34999999992</v>
      </c>
      <c r="Q61" s="629">
        <f>SUM(Q62:Q65)</f>
        <v>-7.2759576141834259E-11</v>
      </c>
      <c r="R61" s="629">
        <f>SUM('3 pr-2'!R62)</f>
        <v>352400.82</v>
      </c>
      <c r="S61" s="629">
        <f>SUM(S62:S65)</f>
        <v>352400.82</v>
      </c>
      <c r="T61" s="629">
        <f>SUM(T62:T65)</f>
        <v>0</v>
      </c>
      <c r="U61" s="629">
        <f>SUM(U62:U65)</f>
        <v>0</v>
      </c>
      <c r="V61" s="629">
        <f>SUM('3 pr-2'!U62)</f>
        <v>0</v>
      </c>
      <c r="W61" s="629">
        <f>SUM(W62:W65)</f>
        <v>0</v>
      </c>
      <c r="X61" s="629">
        <f>SUM(X62:X65)</f>
        <v>0</v>
      </c>
      <c r="Y61" s="629">
        <f>SUM(Y62:Y65)</f>
        <v>0</v>
      </c>
      <c r="Z61" s="629">
        <f>SUM('3 pr-2'!X62)</f>
        <v>0</v>
      </c>
      <c r="AA61" s="629">
        <f>SUM(AA62:AA65)</f>
        <v>0</v>
      </c>
      <c r="AB61" s="629">
        <f>SUM(AB62:AB65)</f>
        <v>0</v>
      </c>
      <c r="AC61" s="629">
        <f>SUM(AC62:AC65)</f>
        <v>0</v>
      </c>
      <c r="AD61" s="629">
        <f>SUM('3 pr-2'!AA62)</f>
        <v>1198163.7</v>
      </c>
      <c r="AE61" s="629">
        <f>SUM(AE62:AE65)</f>
        <v>898622.7</v>
      </c>
      <c r="AF61" s="353">
        <f>SUM(AF62:AF65)</f>
        <v>299541</v>
      </c>
      <c r="AG61" s="462">
        <f>SUM(AG62:AG65)</f>
        <v>0</v>
      </c>
    </row>
    <row r="62" spans="1:34" ht="36.75" x14ac:dyDescent="0.25">
      <c r="A62" s="580" t="str">
        <f>CONCATENATE('3 pr-2'!A63)</f>
        <v>1.1.1.8.1</v>
      </c>
      <c r="B62" s="1015" t="str">
        <f>IF('ketv. 4 lent'!V63&gt;0,'ketv. 4 lent'!B63,"-")</f>
        <v>07.1.1-CPVA-R-305-11-0001</v>
      </c>
      <c r="C62" s="580" t="str">
        <f>CONCATENATE('3 pr-2'!D63)</f>
        <v>Kultūros įstaigų infrastruktūros modernizavimas Varėnos mieste</v>
      </c>
      <c r="D62" s="580" t="str">
        <f>CONCATENATE('3 pr-2'!E63)</f>
        <v>Varėnos rajono savivaldybės administracija</v>
      </c>
      <c r="E62" s="580" t="str">
        <f>CONCATENATE('3 pr-2'!F63)</f>
        <v>Lietuvos Respublikos kultūros ministerija</v>
      </c>
      <c r="F62" s="580" t="str">
        <f>CONCATENATE('3 pr-2'!G63)</f>
        <v>Varėnos miestas</v>
      </c>
      <c r="G62" s="580" t="str">
        <f>CONCATENATE('3 pr-2'!H63)</f>
        <v>07.1.1-CPVA-R-305</v>
      </c>
      <c r="H62" s="580" t="str">
        <f>CONCATENATE('3 pr-2'!I63)</f>
        <v>R</v>
      </c>
      <c r="I62" s="580" t="str">
        <f>CONCATENATE('3 pr-2'!J63)</f>
        <v>ITI</v>
      </c>
      <c r="J62" s="476">
        <f>SUM('3 pr-2'!L63)</f>
        <v>352401</v>
      </c>
      <c r="K62" s="476">
        <v>352401</v>
      </c>
      <c r="L62" s="476">
        <f t="shared" si="0"/>
        <v>0</v>
      </c>
      <c r="M62" s="476">
        <f t="shared" ref="M62:M65" si="68">IF(K62&gt;0,J62-K62,0)</f>
        <v>0</v>
      </c>
      <c r="N62" s="476">
        <f>SUM('3 pr-2'!O63)</f>
        <v>52860.15</v>
      </c>
      <c r="O62" s="476">
        <f>SUM(K62-AE62)</f>
        <v>52860.150000000023</v>
      </c>
      <c r="P62" s="476">
        <f t="shared" si="2"/>
        <v>-2.1827872842550278E-11</v>
      </c>
      <c r="Q62" s="476">
        <f t="shared" ref="Q62:Q65" si="69">IF(O62&gt;0,N62-O62,0)</f>
        <v>-2.1827872842550278E-11</v>
      </c>
      <c r="R62" s="476">
        <f>SUM('3 pr-2'!R63)</f>
        <v>0</v>
      </c>
      <c r="S62" s="476">
        <v>0</v>
      </c>
      <c r="T62" s="476">
        <f t="shared" ref="T62:T65" si="70">SUM(R62-S62)</f>
        <v>0</v>
      </c>
      <c r="U62" s="476">
        <f t="shared" ref="U62:U65" si="71">IF(S62&gt;0,R62-S62,0)</f>
        <v>0</v>
      </c>
      <c r="V62" s="476">
        <f>SUM('3 pr-2'!U63)</f>
        <v>0</v>
      </c>
      <c r="W62" s="476">
        <v>0</v>
      </c>
      <c r="X62" s="476">
        <f t="shared" ref="X62:X65" si="72">SUM(V62-W62)</f>
        <v>0</v>
      </c>
      <c r="Y62" s="476">
        <f t="shared" ref="Y62:Y65" si="73">IF(W62&gt;0,V62-W62,0)</f>
        <v>0</v>
      </c>
      <c r="Z62" s="476">
        <f>SUM('3 pr-2'!X63)</f>
        <v>0</v>
      </c>
      <c r="AA62" s="476">
        <v>0</v>
      </c>
      <c r="AB62" s="476">
        <f>SUM(Z62-AA62)</f>
        <v>0</v>
      </c>
      <c r="AC62" s="476">
        <f t="shared" ref="AC62:AC65" si="74">IF(AA62&gt;0,Z62-AA62,0)</f>
        <v>0</v>
      </c>
      <c r="AD62" s="476">
        <f>SUM('3 pr-2'!AA63)</f>
        <v>299540.84999999998</v>
      </c>
      <c r="AE62" s="476">
        <v>299540.84999999998</v>
      </c>
      <c r="AF62" s="721">
        <f t="shared" ref="AF62:AF65" si="75">SUM(AD62-AE62)</f>
        <v>0</v>
      </c>
      <c r="AG62" s="454">
        <f t="shared" ref="AG62:AG65" si="76">IF(AE62&gt;0,AD62-AE62,0)</f>
        <v>0</v>
      </c>
    </row>
    <row r="63" spans="1:34" ht="36.75" x14ac:dyDescent="0.25">
      <c r="A63" s="580" t="str">
        <f>CONCATENATE('3 pr-2'!A64)</f>
        <v>1.1.1.8.2</v>
      </c>
      <c r="B63" s="1015" t="str">
        <f>IF('ketv. 4 lent'!V64&gt;0,'ketv. 4 lent'!B64,"-")</f>
        <v>07.1.1-CPVA-R-305-11-0002</v>
      </c>
      <c r="C63" s="580" t="str">
        <f>CONCATENATE('3 pr-2'!D64)</f>
        <v>VšĮ Alytaus kultūros ir komunikacijos centro pastato Alytuje, Pramonės g. 1B, rekonstravimas</v>
      </c>
      <c r="D63" s="580" t="str">
        <f>CONCATENATE('3 pr-2'!E64)</f>
        <v>Alytaus miesto savivaldybės administracija</v>
      </c>
      <c r="E63" s="580" t="str">
        <f>CONCATENATE('3 pr-2'!F64)</f>
        <v>Lietuvos Respublikos kultūros ministerija</v>
      </c>
      <c r="F63" s="580" t="str">
        <f>CONCATENATE('3 pr-2'!G64)</f>
        <v>Alytaus miestas</v>
      </c>
      <c r="G63" s="580" t="str">
        <f>CONCATENATE('3 pr-2'!H64)</f>
        <v>07.1.1-CPVA-R-305</v>
      </c>
      <c r="H63" s="580" t="str">
        <f>CONCATENATE('3 pr-2'!I64)</f>
        <v>R</v>
      </c>
      <c r="I63" s="580" t="str">
        <f>CONCATENATE('3 pr-2'!J64)</f>
        <v>ITI</v>
      </c>
      <c r="J63" s="476">
        <f>SUM('3 pr-2'!L64)</f>
        <v>783264.16</v>
      </c>
      <c r="K63" s="476">
        <v>783264.16</v>
      </c>
      <c r="L63" s="476">
        <f t="shared" si="0"/>
        <v>0</v>
      </c>
      <c r="M63" s="476">
        <f t="shared" si="68"/>
        <v>0</v>
      </c>
      <c r="N63" s="476">
        <f>SUM('3 pr-2'!O64)</f>
        <v>131322.34</v>
      </c>
      <c r="O63" s="476">
        <f>SUM(K63-S63-AE63)</f>
        <v>131322.34000000003</v>
      </c>
      <c r="P63" s="476">
        <f t="shared" si="2"/>
        <v>-2.9103830456733704E-11</v>
      </c>
      <c r="Q63" s="476">
        <f t="shared" si="69"/>
        <v>-2.9103830456733704E-11</v>
      </c>
      <c r="R63" s="476">
        <f>SUM('3 pr-2'!R64)</f>
        <v>352400.82</v>
      </c>
      <c r="S63" s="476">
        <v>352400.82</v>
      </c>
      <c r="T63" s="476">
        <f t="shared" si="70"/>
        <v>0</v>
      </c>
      <c r="U63" s="476">
        <f t="shared" si="71"/>
        <v>0</v>
      </c>
      <c r="V63" s="476">
        <f>SUM('3 pr-2'!U64)</f>
        <v>0</v>
      </c>
      <c r="W63" s="476">
        <v>0</v>
      </c>
      <c r="X63" s="476">
        <f t="shared" si="72"/>
        <v>0</v>
      </c>
      <c r="Y63" s="476">
        <f t="shared" si="73"/>
        <v>0</v>
      </c>
      <c r="Z63" s="476">
        <f>SUM('3 pr-2'!X64)</f>
        <v>0</v>
      </c>
      <c r="AA63" s="476">
        <v>0</v>
      </c>
      <c r="AB63" s="476">
        <f>SUM(Z63-AA63)</f>
        <v>0</v>
      </c>
      <c r="AC63" s="476">
        <f t="shared" si="74"/>
        <v>0</v>
      </c>
      <c r="AD63" s="476">
        <f>SUM('3 pr-2'!AA64)</f>
        <v>299541</v>
      </c>
      <c r="AE63" s="476">
        <v>299541</v>
      </c>
      <c r="AF63" s="721">
        <f t="shared" si="75"/>
        <v>0</v>
      </c>
      <c r="AG63" s="454">
        <f t="shared" si="76"/>
        <v>0</v>
      </c>
    </row>
    <row r="64" spans="1:34" ht="36.75" x14ac:dyDescent="0.25">
      <c r="A64" s="580" t="str">
        <f>CONCATENATE('3 pr-2'!A65)</f>
        <v>1.1.1.8.3</v>
      </c>
      <c r="B64" s="1015" t="str">
        <f>IF('ketv. 4 lent'!V65&gt;0,'ketv. 4 lent'!B65,"-")</f>
        <v>07.1.1-CPVA-R-305-11-0003</v>
      </c>
      <c r="C64" s="580" t="str">
        <f>CONCATENATE('3 pr-2'!D65)</f>
        <v>Druskininkų kultūros centro lauko scenos, Vilniaus al. 24, Druskininkai, modernizavimas ir pritaikymas kultūros  poreikiams</v>
      </c>
      <c r="D64" s="580" t="str">
        <f>CONCATENATE('3 pr-2'!E65)</f>
        <v xml:space="preserve">Druskininkų savivaldybės administracija  </v>
      </c>
      <c r="E64" s="580" t="str">
        <f>CONCATENATE('3 pr-2'!F65)</f>
        <v>Lietuvos Respublikos kultūros ministerija</v>
      </c>
      <c r="F64" s="580" t="str">
        <f>CONCATENATE('3 pr-2'!G65)</f>
        <v>Druskininkų  miestas</v>
      </c>
      <c r="G64" s="580" t="str">
        <f>CONCATENATE('3 pr-2'!H65)</f>
        <v>07.1.1-CPVA-R-305</v>
      </c>
      <c r="H64" s="580" t="str">
        <f>CONCATENATE('3 pr-2'!I65)</f>
        <v>R</v>
      </c>
      <c r="I64" s="580" t="str">
        <f>CONCATENATE('3 pr-2'!J65)</f>
        <v>ITI</v>
      </c>
      <c r="J64" s="476">
        <f>SUM('3 pr-2'!L65)</f>
        <v>352401</v>
      </c>
      <c r="K64" s="476">
        <v>352401</v>
      </c>
      <c r="L64" s="476">
        <f t="shared" si="0"/>
        <v>0</v>
      </c>
      <c r="M64" s="476">
        <f t="shared" si="68"/>
        <v>0</v>
      </c>
      <c r="N64" s="476">
        <f>SUM('3 pr-2'!O65)</f>
        <v>52860.15</v>
      </c>
      <c r="O64" s="476">
        <f>SUM(K64-AE64)</f>
        <v>52860.150000000023</v>
      </c>
      <c r="P64" s="476">
        <f t="shared" si="2"/>
        <v>-2.1827872842550278E-11</v>
      </c>
      <c r="Q64" s="476">
        <f t="shared" si="69"/>
        <v>-2.1827872842550278E-11</v>
      </c>
      <c r="R64" s="476">
        <f>SUM('3 pr-2'!R65)</f>
        <v>0</v>
      </c>
      <c r="S64" s="476">
        <v>0</v>
      </c>
      <c r="T64" s="476">
        <f t="shared" si="70"/>
        <v>0</v>
      </c>
      <c r="U64" s="476">
        <f t="shared" si="71"/>
        <v>0</v>
      </c>
      <c r="V64" s="476">
        <f>SUM('3 pr-2'!U65)</f>
        <v>0</v>
      </c>
      <c r="W64" s="476">
        <v>0</v>
      </c>
      <c r="X64" s="476">
        <f t="shared" si="72"/>
        <v>0</v>
      </c>
      <c r="Y64" s="476">
        <f t="shared" si="73"/>
        <v>0</v>
      </c>
      <c r="Z64" s="476">
        <f>SUM('3 pr-2'!X65)</f>
        <v>0</v>
      </c>
      <c r="AA64" s="476">
        <v>0</v>
      </c>
      <c r="AB64" s="476">
        <f>SUM(Z64-AA64)</f>
        <v>0</v>
      </c>
      <c r="AC64" s="476">
        <f t="shared" si="74"/>
        <v>0</v>
      </c>
      <c r="AD64" s="476">
        <f>SUM('3 pr-2'!AA65)</f>
        <v>299540.84999999998</v>
      </c>
      <c r="AE64" s="476">
        <v>299540.84999999998</v>
      </c>
      <c r="AF64" s="721">
        <f t="shared" si="75"/>
        <v>0</v>
      </c>
      <c r="AG64" s="454">
        <f t="shared" si="76"/>
        <v>0</v>
      </c>
    </row>
    <row r="65" spans="1:33" ht="37.5" thickBot="1" x14ac:dyDescent="0.3">
      <c r="A65" s="580" t="str">
        <f>CONCATENATE('3 pr-2'!A66)</f>
        <v>1.1.1.8.4</v>
      </c>
      <c r="B65" s="1015" t="str">
        <f>IF('ketv. 4 lent'!V66&gt;0,'ketv. 4 lent'!B66,"-")</f>
        <v>-</v>
      </c>
      <c r="C65" s="580" t="str">
        <f>CONCATENATE('3 pr-2'!D66)</f>
        <v>Pastato rekonstrukcija ir pritaikymas kultūrinėms, muziejinėms ir edukacinėms reikmėms</v>
      </c>
      <c r="D65" s="580" t="str">
        <f>CONCATENATE('3 pr-2'!E66)</f>
        <v>Lazdijų rajono savivaldybės administracija</v>
      </c>
      <c r="E65" s="580" t="str">
        <f>CONCATENATE('3 pr-2'!F66)</f>
        <v>Lietuvos Respublikos kultūros ministerija</v>
      </c>
      <c r="F65" s="580" t="str">
        <f>CONCATENATE('3 pr-2'!G66)</f>
        <v>Lazdijų miestas</v>
      </c>
      <c r="G65" s="580" t="str">
        <f>CONCATENATE('3 pr-2'!H66)</f>
        <v>07.1.1-CPVA-R-305</v>
      </c>
      <c r="H65" s="580" t="str">
        <f>CONCATENATE('3 pr-2'!I66)</f>
        <v>R</v>
      </c>
      <c r="I65" s="580" t="str">
        <f>CONCATENATE('3 pr-2'!J66)</f>
        <v>ITI</v>
      </c>
      <c r="J65" s="476">
        <f>SUM('3 pr-2'!L66)</f>
        <v>484769.35</v>
      </c>
      <c r="K65" s="476">
        <v>0</v>
      </c>
      <c r="L65" s="476">
        <f t="shared" si="0"/>
        <v>484769.35</v>
      </c>
      <c r="M65" s="476">
        <f t="shared" si="68"/>
        <v>0</v>
      </c>
      <c r="N65" s="476">
        <f>SUM('3 pr-2'!O66)</f>
        <v>185228.35</v>
      </c>
      <c r="O65" s="476">
        <v>0</v>
      </c>
      <c r="P65" s="476">
        <f t="shared" si="2"/>
        <v>185228.35</v>
      </c>
      <c r="Q65" s="476">
        <f t="shared" si="69"/>
        <v>0</v>
      </c>
      <c r="R65" s="476">
        <f>SUM('3 pr-2'!R66)</f>
        <v>0</v>
      </c>
      <c r="S65" s="476">
        <v>0</v>
      </c>
      <c r="T65" s="476">
        <f t="shared" si="70"/>
        <v>0</v>
      </c>
      <c r="U65" s="476">
        <f t="shared" si="71"/>
        <v>0</v>
      </c>
      <c r="V65" s="476">
        <f>SUM('3 pr-2'!U66)</f>
        <v>0</v>
      </c>
      <c r="W65" s="476">
        <v>0</v>
      </c>
      <c r="X65" s="476">
        <f t="shared" si="72"/>
        <v>0</v>
      </c>
      <c r="Y65" s="476">
        <f t="shared" si="73"/>
        <v>0</v>
      </c>
      <c r="Z65" s="476">
        <f>SUM('3 pr-2'!X66)</f>
        <v>0</v>
      </c>
      <c r="AA65" s="476">
        <v>0</v>
      </c>
      <c r="AB65" s="476">
        <f>SUM(Z65-AA65)</f>
        <v>0</v>
      </c>
      <c r="AC65" s="476">
        <f t="shared" si="74"/>
        <v>0</v>
      </c>
      <c r="AD65" s="476">
        <f>SUM('3 pr-2'!AA66)</f>
        <v>299541</v>
      </c>
      <c r="AE65" s="476">
        <v>0</v>
      </c>
      <c r="AF65" s="721">
        <f t="shared" si="75"/>
        <v>299541</v>
      </c>
      <c r="AG65" s="454">
        <f t="shared" si="76"/>
        <v>0</v>
      </c>
    </row>
    <row r="66" spans="1:33" ht="38.25" customHeight="1" thickBot="1" x14ac:dyDescent="0.3">
      <c r="A66" s="497" t="str">
        <f>CONCATENATE('3 pr-2'!A67)</f>
        <v>1.1.1.9</v>
      </c>
      <c r="B66" s="613" t="str">
        <f>CONCATENATE('ketv. 2lent'!B66)</f>
        <v/>
      </c>
      <c r="C66" s="1656" t="str">
        <f>CONCATENATE('3 pr-2'!D67)</f>
        <v/>
      </c>
      <c r="D66" s="1789"/>
      <c r="E66" s="1789"/>
      <c r="F66" s="1789"/>
      <c r="G66" s="1789"/>
      <c r="H66" s="1789"/>
      <c r="I66" s="1790"/>
      <c r="J66" s="629">
        <f>SUM('3 pr-2'!L67)</f>
        <v>1212868</v>
      </c>
      <c r="K66" s="629">
        <f>SUM(K67:K71)</f>
        <v>0</v>
      </c>
      <c r="L66" s="722">
        <f>SUM(L67:L71)</f>
        <v>1212868</v>
      </c>
      <c r="M66" s="723">
        <f>SUM(M67:M71)</f>
        <v>0</v>
      </c>
      <c r="N66" s="629">
        <f>SUM('3 pr-2'!O67)</f>
        <v>182588</v>
      </c>
      <c r="O66" s="629">
        <f>SUM(O67:O71)</f>
        <v>0</v>
      </c>
      <c r="P66" s="629">
        <f>SUM(P67:P71)</f>
        <v>182588</v>
      </c>
      <c r="Q66" s="629">
        <f>SUM(Q67:Q71)</f>
        <v>0</v>
      </c>
      <c r="R66" s="629">
        <f>SUM('3 pr-2'!R67)</f>
        <v>0</v>
      </c>
      <c r="S66" s="629">
        <f>SUM(S67:S71)</f>
        <v>0</v>
      </c>
      <c r="T66" s="629">
        <f>SUM(T67:T71)</f>
        <v>0</v>
      </c>
      <c r="U66" s="629">
        <f>SUM(U67:U71)</f>
        <v>0</v>
      </c>
      <c r="V66" s="629">
        <f>SUM('3 pr-2'!U67)</f>
        <v>0</v>
      </c>
      <c r="W66" s="629">
        <f>SUM(W67:W71)</f>
        <v>0</v>
      </c>
      <c r="X66" s="629">
        <f>SUM(X67:X71)</f>
        <v>0</v>
      </c>
      <c r="Y66" s="629">
        <f>SUM(Y67:Y71)</f>
        <v>0</v>
      </c>
      <c r="Z66" s="629">
        <f>SUM('3 pr-2'!X67)</f>
        <v>0</v>
      </c>
      <c r="AA66" s="629">
        <f>SUM(AA67:AA71)</f>
        <v>0</v>
      </c>
      <c r="AB66" s="629">
        <f>SUM(AB67:AB71)</f>
        <v>0</v>
      </c>
      <c r="AC66" s="629">
        <f>SUM(AC67:AC71)</f>
        <v>0</v>
      </c>
      <c r="AD66" s="629">
        <f>SUM('3 pr-2'!AA67)</f>
        <v>1030280</v>
      </c>
      <c r="AE66" s="629">
        <f>SUM(AE67:AE71)</f>
        <v>0</v>
      </c>
      <c r="AF66" s="352">
        <f>SUM(AF67:AF71)</f>
        <v>1030280</v>
      </c>
      <c r="AG66" s="455">
        <f>SUM(AG67:AG71)</f>
        <v>0</v>
      </c>
    </row>
    <row r="67" spans="1:33" ht="36.75" x14ac:dyDescent="0.25">
      <c r="A67" s="580" t="str">
        <f>CONCATENATE('3 pr-2'!A68)</f>
        <v>1.1.1.9.1</v>
      </c>
      <c r="B67" s="1015" t="str">
        <f>IF('ketv. 4 lent'!V68&gt;0,'ketv. 4 lent'!B68,"-")</f>
        <v>-</v>
      </c>
      <c r="C67" s="580" t="str">
        <f>CONCATENATE('3 pr-2'!D68)</f>
        <v>Buvusios sinagogos pastato Kauno g. 9A Alytuje rekonstravimas ir aplinkinės teritorijos sutvarkymas</v>
      </c>
      <c r="D67" s="580" t="str">
        <f>CONCATENATE('3 pr-2'!E68)</f>
        <v>Alytaus miesto savivaldybės administracija</v>
      </c>
      <c r="E67" s="580" t="str">
        <f>CONCATENATE('3 pr-2'!F68)</f>
        <v>Lietuvos Respublikos kultūros ministerija</v>
      </c>
      <c r="F67" s="580" t="str">
        <f>CONCATENATE('3 pr-2'!G68)</f>
        <v>Alytaus  miestas</v>
      </c>
      <c r="G67" s="580" t="str">
        <f>CONCATENATE('3 pr-2'!H68)</f>
        <v>05.4.1-CPVA-R-302</v>
      </c>
      <c r="H67" s="580" t="str">
        <f>CONCATENATE('3 pr-2'!I68)</f>
        <v>R</v>
      </c>
      <c r="I67" s="580" t="str">
        <f>CONCATENATE('3 pr-2'!J68)</f>
        <v>ITI</v>
      </c>
      <c r="J67" s="476">
        <f>SUM('3 pr-2'!L68)</f>
        <v>242419</v>
      </c>
      <c r="K67" s="476">
        <v>0</v>
      </c>
      <c r="L67" s="476">
        <f t="shared" si="0"/>
        <v>242419</v>
      </c>
      <c r="M67" s="476">
        <f t="shared" ref="M67:M71" si="77">IF(K67&gt;0,J67-K67,0)</f>
        <v>0</v>
      </c>
      <c r="N67" s="476">
        <f>SUM('3 pr-2'!O68)</f>
        <v>36363</v>
      </c>
      <c r="O67" s="476">
        <v>0</v>
      </c>
      <c r="P67" s="476">
        <f t="shared" si="2"/>
        <v>36363</v>
      </c>
      <c r="Q67" s="476">
        <f t="shared" ref="Q67:Q71" si="78">IF(O67&gt;0,N67-O67,0)</f>
        <v>0</v>
      </c>
      <c r="R67" s="476">
        <f>SUM('3 pr-2'!R68)</f>
        <v>0</v>
      </c>
      <c r="S67" s="476">
        <v>0</v>
      </c>
      <c r="T67" s="476">
        <f t="shared" ref="T67:T71" si="79">SUM(R67-S67)</f>
        <v>0</v>
      </c>
      <c r="U67" s="476">
        <f t="shared" ref="U67:U71" si="80">IF(S67&gt;0,R67-S67,0)</f>
        <v>0</v>
      </c>
      <c r="V67" s="476">
        <f>SUM('3 pr-2'!U68)</f>
        <v>0</v>
      </c>
      <c r="W67" s="476">
        <v>0</v>
      </c>
      <c r="X67" s="476">
        <f t="shared" ref="X67:X71" si="81">SUM(V67-W67)</f>
        <v>0</v>
      </c>
      <c r="Y67" s="476">
        <f t="shared" ref="Y67:Y71" si="82">IF(W67&gt;0,V67-W67,0)</f>
        <v>0</v>
      </c>
      <c r="Z67" s="476">
        <f>SUM('3 pr-2'!X68)</f>
        <v>0</v>
      </c>
      <c r="AA67" s="476">
        <v>0</v>
      </c>
      <c r="AB67" s="476">
        <f>SUM(Z67-AA67)</f>
        <v>0</v>
      </c>
      <c r="AC67" s="476">
        <f t="shared" ref="AC67:AC71" si="83">IF(AA67&gt;0,Z67-AA67,0)</f>
        <v>0</v>
      </c>
      <c r="AD67" s="476">
        <f>SUM('3 pr-2'!AA68)</f>
        <v>206056</v>
      </c>
      <c r="AE67" s="476">
        <v>0</v>
      </c>
      <c r="AF67" s="721">
        <f t="shared" ref="AF67:AF71" si="84">SUM(AD67-AE67)</f>
        <v>206056</v>
      </c>
      <c r="AG67" s="454">
        <f t="shared" ref="AG67:AG71" si="85">IF(AE67&gt;0,AD67-AE67,0)</f>
        <v>0</v>
      </c>
    </row>
    <row r="68" spans="1:33" ht="36.75" x14ac:dyDescent="0.25">
      <c r="A68" s="580" t="str">
        <f>CONCATENATE('3 pr-2'!A69)</f>
        <v>1.1.1.9.2</v>
      </c>
      <c r="B68" s="1015" t="str">
        <f>IF('ketv. 4 lent'!V69&gt;0,'ketv. 4 lent'!B69,"-")</f>
        <v>-</v>
      </c>
      <c r="C68" s="580" t="str">
        <f>CONCATENATE('3 pr-2'!D69)</f>
        <v>Mažosios dailės galerijos, M.K.Čiurlionio g. 37, Druskininkai, modernizavimas ir pritaikymas kultūros poreikiams</v>
      </c>
      <c r="D68" s="580" t="str">
        <f>CONCATENATE('3 pr-2'!E69)</f>
        <v xml:space="preserve">Druskininkų savivaldybės administracija  </v>
      </c>
      <c r="E68" s="580" t="str">
        <f>CONCATENATE('3 pr-2'!F69)</f>
        <v>Lietuvos Respublikos kultūros ministerija</v>
      </c>
      <c r="F68" s="580" t="str">
        <f>CONCATENATE('3 pr-2'!G69)</f>
        <v>Druskininkų  miestas</v>
      </c>
      <c r="G68" s="580" t="str">
        <f>CONCATENATE('3 pr-2'!H69)</f>
        <v>05.4.1-CPVA-R-302</v>
      </c>
      <c r="H68" s="580" t="str">
        <f>CONCATENATE('3 pr-2'!I69)</f>
        <v>R</v>
      </c>
      <c r="I68" s="580" t="str">
        <f>CONCATENATE('3 pr-2'!J69)</f>
        <v>ITI</v>
      </c>
      <c r="J68" s="476">
        <f>SUM('3 pr-2'!L69)</f>
        <v>242419</v>
      </c>
      <c r="K68" s="476">
        <v>0</v>
      </c>
      <c r="L68" s="476">
        <f t="shared" si="0"/>
        <v>242419</v>
      </c>
      <c r="M68" s="476">
        <f t="shared" si="77"/>
        <v>0</v>
      </c>
      <c r="N68" s="476">
        <f>SUM('3 pr-2'!O69)</f>
        <v>36363</v>
      </c>
      <c r="O68" s="476">
        <v>0</v>
      </c>
      <c r="P68" s="476">
        <f t="shared" si="2"/>
        <v>36363</v>
      </c>
      <c r="Q68" s="476">
        <f t="shared" si="78"/>
        <v>0</v>
      </c>
      <c r="R68" s="476">
        <f>SUM('3 pr-2'!R69)</f>
        <v>0</v>
      </c>
      <c r="S68" s="476">
        <v>0</v>
      </c>
      <c r="T68" s="476">
        <f t="shared" si="79"/>
        <v>0</v>
      </c>
      <c r="U68" s="476">
        <f t="shared" si="80"/>
        <v>0</v>
      </c>
      <c r="V68" s="476">
        <f>SUM('3 pr-2'!U69)</f>
        <v>0</v>
      </c>
      <c r="W68" s="476">
        <v>0</v>
      </c>
      <c r="X68" s="476">
        <f t="shared" si="81"/>
        <v>0</v>
      </c>
      <c r="Y68" s="476">
        <f t="shared" si="82"/>
        <v>0</v>
      </c>
      <c r="Z68" s="476">
        <f>SUM('3 pr-2'!X69)</f>
        <v>0</v>
      </c>
      <c r="AA68" s="476">
        <v>0</v>
      </c>
      <c r="AB68" s="476">
        <f>SUM(Z68-AA68)</f>
        <v>0</v>
      </c>
      <c r="AC68" s="476">
        <f t="shared" si="83"/>
        <v>0</v>
      </c>
      <c r="AD68" s="476">
        <f>SUM('3 pr-2'!AA69)</f>
        <v>206056</v>
      </c>
      <c r="AE68" s="476">
        <v>0</v>
      </c>
      <c r="AF68" s="721">
        <f t="shared" si="84"/>
        <v>206056</v>
      </c>
      <c r="AG68" s="454">
        <f t="shared" si="85"/>
        <v>0</v>
      </c>
    </row>
    <row r="69" spans="1:33" ht="36.75" x14ac:dyDescent="0.25">
      <c r="A69" s="580" t="str">
        <f>CONCATENATE('3 pr-2'!A70)</f>
        <v>1.1.1.9.3</v>
      </c>
      <c r="B69" s="1015" t="str">
        <f>IF('ketv. 4 lent'!V70&gt;0,'ketv. 4 lent'!B70,"-")</f>
        <v>-</v>
      </c>
      <c r="C69" s="580" t="str">
        <f>CONCATENATE('3 pr-2'!D70)</f>
        <v>Motiejaus  Gustaičio  memorialinio  namo  kompleksinis sutvarkymas</v>
      </c>
      <c r="D69" s="580" t="str">
        <f>CONCATENATE('3 pr-2'!E70)</f>
        <v>Lazdijų rajono savivaldybės administracija</v>
      </c>
      <c r="E69" s="580" t="str">
        <f>CONCATENATE('3 pr-2'!F70)</f>
        <v>Lietuvos Respublikos kultūros ministerija</v>
      </c>
      <c r="F69" s="580" t="str">
        <f>CONCATENATE('3 pr-2'!G70)</f>
        <v>Lazdijų miestas</v>
      </c>
      <c r="G69" s="580" t="str">
        <f>CONCATENATE('3 pr-2'!H70)</f>
        <v>05.4.1-CPVA-R-302</v>
      </c>
      <c r="H69" s="580" t="str">
        <f>CONCATENATE('3 pr-2'!I70)</f>
        <v>R</v>
      </c>
      <c r="I69" s="580" t="str">
        <f>CONCATENATE('3 pr-2'!J70)</f>
        <v>ITI</v>
      </c>
      <c r="J69" s="476">
        <f>SUM('3 pr-2'!L70)</f>
        <v>242419</v>
      </c>
      <c r="K69" s="476">
        <v>0</v>
      </c>
      <c r="L69" s="476">
        <f t="shared" si="0"/>
        <v>242419</v>
      </c>
      <c r="M69" s="476">
        <f t="shared" si="77"/>
        <v>0</v>
      </c>
      <c r="N69" s="476">
        <f>SUM('3 pr-2'!O70)</f>
        <v>36363</v>
      </c>
      <c r="O69" s="476">
        <v>0</v>
      </c>
      <c r="P69" s="476">
        <f t="shared" si="2"/>
        <v>36363</v>
      </c>
      <c r="Q69" s="476">
        <f t="shared" si="78"/>
        <v>0</v>
      </c>
      <c r="R69" s="476">
        <f>SUM('3 pr-2'!R70)</f>
        <v>0</v>
      </c>
      <c r="S69" s="476">
        <v>0</v>
      </c>
      <c r="T69" s="476">
        <f t="shared" si="79"/>
        <v>0</v>
      </c>
      <c r="U69" s="476">
        <f t="shared" si="80"/>
        <v>0</v>
      </c>
      <c r="V69" s="476">
        <f>SUM('3 pr-2'!U70)</f>
        <v>0</v>
      </c>
      <c r="W69" s="476">
        <v>0</v>
      </c>
      <c r="X69" s="476">
        <f t="shared" si="81"/>
        <v>0</v>
      </c>
      <c r="Y69" s="476">
        <f t="shared" si="82"/>
        <v>0</v>
      </c>
      <c r="Z69" s="476">
        <f>SUM('3 pr-2'!X70)</f>
        <v>0</v>
      </c>
      <c r="AA69" s="476">
        <v>0</v>
      </c>
      <c r="AB69" s="476">
        <f>SUM(Z69-AA69)</f>
        <v>0</v>
      </c>
      <c r="AC69" s="476">
        <f t="shared" si="83"/>
        <v>0</v>
      </c>
      <c r="AD69" s="476">
        <f>SUM('3 pr-2'!AA70)</f>
        <v>206056</v>
      </c>
      <c r="AE69" s="476">
        <v>0</v>
      </c>
      <c r="AF69" s="721">
        <f t="shared" si="84"/>
        <v>206056</v>
      </c>
      <c r="AG69" s="454">
        <f t="shared" si="85"/>
        <v>0</v>
      </c>
    </row>
    <row r="70" spans="1:33" ht="36.75" x14ac:dyDescent="0.25">
      <c r="A70" s="580" t="str">
        <f>CONCATENATE('3 pr-2'!A71)</f>
        <v>1.1.1.9.4</v>
      </c>
      <c r="B70" s="1015" t="str">
        <f>IF('ketv. 4 lent'!V71&gt;0,'ketv. 4 lent'!B71,"-")</f>
        <v>-</v>
      </c>
      <c r="C70" s="580" t="str">
        <f>CONCATENATE('3 pr-2'!D71)</f>
        <v>Kurnėnų Lauryno Radziukyno mokyklos pritaikymas kultūrinėms ir turistinėms reikmėms</v>
      </c>
      <c r="D70" s="580" t="str">
        <f>CONCATENATE('3 pr-2'!E71)</f>
        <v>Alytaus rajono savivaldybės administracija</v>
      </c>
      <c r="E70" s="580" t="str">
        <f>CONCATENATE('3 pr-2'!F71)</f>
        <v>Lietuvos Respublikos kultūros ministerija</v>
      </c>
      <c r="F70" s="580" t="str">
        <f>CONCATENATE('3 pr-2'!G71)</f>
        <v>Alytaus  rajono savivaldybė</v>
      </c>
      <c r="G70" s="580" t="str">
        <f>CONCATENATE('3 pr-2'!H71)</f>
        <v>05.4.1-CPVA-R-302</v>
      </c>
      <c r="H70" s="580" t="str">
        <f>CONCATENATE('3 pr-2'!I71)</f>
        <v>R</v>
      </c>
      <c r="I70" s="580" t="str">
        <f>CONCATENATE('3 pr-2'!J71)</f>
        <v>-</v>
      </c>
      <c r="J70" s="476">
        <f>SUM('3 pr-2'!L71)</f>
        <v>243192</v>
      </c>
      <c r="K70" s="476">
        <v>0</v>
      </c>
      <c r="L70" s="476">
        <f t="shared" si="0"/>
        <v>243192</v>
      </c>
      <c r="M70" s="476">
        <f t="shared" si="77"/>
        <v>0</v>
      </c>
      <c r="N70" s="476">
        <f>SUM('3 pr-2'!O71)</f>
        <v>37136</v>
      </c>
      <c r="O70" s="476">
        <v>0</v>
      </c>
      <c r="P70" s="476">
        <f t="shared" si="2"/>
        <v>37136</v>
      </c>
      <c r="Q70" s="476">
        <f t="shared" si="78"/>
        <v>0</v>
      </c>
      <c r="R70" s="476">
        <f>SUM('3 pr-2'!R71)</f>
        <v>0</v>
      </c>
      <c r="S70" s="476">
        <v>0</v>
      </c>
      <c r="T70" s="476">
        <f t="shared" si="79"/>
        <v>0</v>
      </c>
      <c r="U70" s="476">
        <f t="shared" si="80"/>
        <v>0</v>
      </c>
      <c r="V70" s="476">
        <f>SUM('3 pr-2'!U71)</f>
        <v>0</v>
      </c>
      <c r="W70" s="476">
        <v>0</v>
      </c>
      <c r="X70" s="476">
        <f t="shared" si="81"/>
        <v>0</v>
      </c>
      <c r="Y70" s="476">
        <f t="shared" si="82"/>
        <v>0</v>
      </c>
      <c r="Z70" s="476">
        <f>SUM('3 pr-2'!X71)</f>
        <v>0</v>
      </c>
      <c r="AA70" s="476">
        <v>0</v>
      </c>
      <c r="AB70" s="476">
        <f>SUM(Z70-AA70)</f>
        <v>0</v>
      </c>
      <c r="AC70" s="476">
        <f t="shared" si="83"/>
        <v>0</v>
      </c>
      <c r="AD70" s="476">
        <f>SUM('3 pr-2'!AA71)</f>
        <v>206056</v>
      </c>
      <c r="AE70" s="476">
        <v>0</v>
      </c>
      <c r="AF70" s="721">
        <f t="shared" si="84"/>
        <v>206056</v>
      </c>
      <c r="AG70" s="454">
        <f t="shared" si="85"/>
        <v>0</v>
      </c>
    </row>
    <row r="71" spans="1:33" ht="37.5" thickBot="1" x14ac:dyDescent="0.3">
      <c r="A71" s="580" t="str">
        <f>CONCATENATE('3 pr-2'!A72)</f>
        <v>1.1.1.9.5</v>
      </c>
      <c r="B71" s="1015" t="str">
        <f>IF('ketv. 4 lent'!V72&gt;0,'ketv. 4 lent'!B72,"-")</f>
        <v>-</v>
      </c>
      <c r="C71" s="580" t="str">
        <f>CONCATENATE('3 pr-2'!D72)</f>
        <v>Vinco Krėvės-Mickevičiaus memorialinio muziejaus atnaujinimas</v>
      </c>
      <c r="D71" s="580" t="str">
        <f>CONCATENATE('3 pr-2'!E72)</f>
        <v>Varėnos rajono savivaldybės administracija</v>
      </c>
      <c r="E71" s="580" t="str">
        <f>CONCATENATE('3 pr-2'!F72)</f>
        <v>Lietuvos Respublikos kultūros ministerija</v>
      </c>
      <c r="F71" s="580" t="str">
        <f>CONCATENATE('3 pr-2'!G72)</f>
        <v>Varėnos rajono savivaldybė</v>
      </c>
      <c r="G71" s="580" t="str">
        <f>CONCATENATE('3 pr-2'!H72)</f>
        <v>05.4.1-CPVA-R-302</v>
      </c>
      <c r="H71" s="580" t="str">
        <f>CONCATENATE('3 pr-2'!I72)</f>
        <v>R</v>
      </c>
      <c r="I71" s="580" t="str">
        <f>CONCATENATE('3 pr-2'!J72)</f>
        <v>-</v>
      </c>
      <c r="J71" s="476">
        <f>SUM('3 pr-2'!L72)</f>
        <v>242419</v>
      </c>
      <c r="K71" s="476">
        <v>0</v>
      </c>
      <c r="L71" s="476">
        <f t="shared" si="0"/>
        <v>242419</v>
      </c>
      <c r="M71" s="476">
        <f t="shared" si="77"/>
        <v>0</v>
      </c>
      <c r="N71" s="476">
        <f>SUM('3 pr-2'!O72)</f>
        <v>36363</v>
      </c>
      <c r="O71" s="476">
        <v>0</v>
      </c>
      <c r="P71" s="476">
        <f t="shared" si="2"/>
        <v>36363</v>
      </c>
      <c r="Q71" s="476">
        <f t="shared" si="78"/>
        <v>0</v>
      </c>
      <c r="R71" s="476">
        <f>SUM('3 pr-2'!R72)</f>
        <v>0</v>
      </c>
      <c r="S71" s="476">
        <v>0</v>
      </c>
      <c r="T71" s="476">
        <f t="shared" si="79"/>
        <v>0</v>
      </c>
      <c r="U71" s="476">
        <f t="shared" si="80"/>
        <v>0</v>
      </c>
      <c r="V71" s="476">
        <f>SUM('3 pr-2'!U72)</f>
        <v>0</v>
      </c>
      <c r="W71" s="476">
        <v>0</v>
      </c>
      <c r="X71" s="476">
        <f t="shared" si="81"/>
        <v>0</v>
      </c>
      <c r="Y71" s="476">
        <f t="shared" si="82"/>
        <v>0</v>
      </c>
      <c r="Z71" s="476">
        <f>SUM('3 pr-2'!X72)</f>
        <v>0</v>
      </c>
      <c r="AA71" s="476">
        <v>0</v>
      </c>
      <c r="AB71" s="476">
        <f>SUM(Z71-AA71)</f>
        <v>0</v>
      </c>
      <c r="AC71" s="476">
        <f t="shared" si="83"/>
        <v>0</v>
      </c>
      <c r="AD71" s="476">
        <f>SUM('3 pr-2'!AA72)</f>
        <v>206056</v>
      </c>
      <c r="AE71" s="476">
        <v>0</v>
      </c>
      <c r="AF71" s="721">
        <f t="shared" si="84"/>
        <v>206056</v>
      </c>
      <c r="AG71" s="454">
        <f t="shared" si="85"/>
        <v>0</v>
      </c>
    </row>
    <row r="72" spans="1:33" ht="38.25" customHeight="1" thickBot="1" x14ac:dyDescent="0.3">
      <c r="A72" s="345" t="str">
        <f>CONCATENATE('3 pr-2'!A73)</f>
        <v>1.1.2.</v>
      </c>
      <c r="B72" s="648" t="str">
        <f>CONCATENATE('ketv. 2lent'!B72)</f>
        <v/>
      </c>
      <c r="C72" s="1668" t="str">
        <f>CONCATENATE('3 pr-2'!D73)</f>
        <v/>
      </c>
      <c r="D72" s="1669"/>
      <c r="E72" s="1669"/>
      <c r="F72" s="1669"/>
      <c r="G72" s="1669"/>
      <c r="H72" s="1669"/>
      <c r="I72" s="1670"/>
      <c r="J72" s="303">
        <f>SUM('3 pr-2'!L73)</f>
        <v>8662341.4482352957</v>
      </c>
      <c r="K72" s="362">
        <f>SUM(K73+K79+K86+K92)</f>
        <v>1933699.1300000001</v>
      </c>
      <c r="L72" s="363" t="e">
        <f>SUM(L73+L79+L86+L92)</f>
        <v>#REF!</v>
      </c>
      <c r="M72" s="456" t="e">
        <f>SUM(M73+M79+M86+M92)</f>
        <v>#REF!</v>
      </c>
      <c r="N72" s="303">
        <f>SUM('3 pr-2'!O73)</f>
        <v>1834484.588235294</v>
      </c>
      <c r="O72" s="303">
        <f>SUM(O73+O79+O86+O92)</f>
        <v>256295.27000000008</v>
      </c>
      <c r="P72" s="303" t="e">
        <f>SUM(P73+P79+P86+P92)</f>
        <v>#REF!</v>
      </c>
      <c r="Q72" s="303" t="e">
        <f>SUM(Q73+Q79+Q86+Q92)</f>
        <v>#REF!</v>
      </c>
      <c r="R72" s="303">
        <f>SUM('3 pr-2'!R73)</f>
        <v>0</v>
      </c>
      <c r="S72" s="303">
        <f>SUM(S73+S79+S86+S92)</f>
        <v>0</v>
      </c>
      <c r="T72" s="303" t="e">
        <f>SUM(T73+T79+T86+T92)</f>
        <v>#REF!</v>
      </c>
      <c r="U72" s="303" t="e">
        <f>SUM(U73+U79+U86+U92)</f>
        <v>#REF!</v>
      </c>
      <c r="V72" s="303">
        <f>SUM('3 pr-2'!U73)</f>
        <v>422692</v>
      </c>
      <c r="W72" s="303">
        <f>SUM(W73+W79+W86+W92)</f>
        <v>0</v>
      </c>
      <c r="X72" s="303" t="e">
        <f>SUM(X73+X79+X86+X92)</f>
        <v>#REF!</v>
      </c>
      <c r="Y72" s="303" t="e">
        <f>SUM(Y73+Y79+Y86+Y92)</f>
        <v>#REF!</v>
      </c>
      <c r="Z72" s="303">
        <f>SUM('3 pr-2'!X73)</f>
        <v>62660</v>
      </c>
      <c r="AA72" s="303">
        <f>SUM(AA73+AA79+AA86+AA92)</f>
        <v>62660</v>
      </c>
      <c r="AB72" s="303" t="e">
        <f>SUM(AB73+AB79+AB86+AB92)</f>
        <v>#REF!</v>
      </c>
      <c r="AC72" s="303" t="e">
        <f>SUM(AC73+AC79+AC86+AC92)</f>
        <v>#REF!</v>
      </c>
      <c r="AD72" s="303">
        <f>SUM('3 pr-2'!AA73)</f>
        <v>6342504.8599999994</v>
      </c>
      <c r="AE72" s="303">
        <f>SUM(AE73+AE79+AE86+AE92)</f>
        <v>1614743.8599999999</v>
      </c>
      <c r="AF72" s="356">
        <f>SUM(AF73+AF79+AF86+AF92)</f>
        <v>4155772</v>
      </c>
      <c r="AG72" s="457">
        <f>SUM(AG73+AG79+AG86+AG92)</f>
        <v>0</v>
      </c>
    </row>
    <row r="73" spans="1:33" ht="45" customHeight="1" thickBot="1" x14ac:dyDescent="0.3">
      <c r="A73" s="497" t="str">
        <f>CONCATENATE('3 pr-2'!A74)</f>
        <v>1.1.2.1</v>
      </c>
      <c r="B73" s="613" t="str">
        <f>CONCATENATE('ketv. 2lent'!B73)</f>
        <v/>
      </c>
      <c r="C73" s="1656" t="str">
        <f>CONCATENATE('3 pr-2'!D74)</f>
        <v/>
      </c>
      <c r="D73" s="1789"/>
      <c r="E73" s="1789"/>
      <c r="F73" s="1789"/>
      <c r="G73" s="1789"/>
      <c r="H73" s="1789"/>
      <c r="I73" s="1790"/>
      <c r="J73" s="629">
        <f>SUM('3 pr-2'!L74)</f>
        <v>1835209.588235294</v>
      </c>
      <c r="K73" s="629">
        <f>SUM(K74:K78)</f>
        <v>0</v>
      </c>
      <c r="L73" s="722" t="e">
        <f>SUM(L74:L78)</f>
        <v>#REF!</v>
      </c>
      <c r="M73" s="723" t="e">
        <f>SUM(M74:M78)</f>
        <v>#REF!</v>
      </c>
      <c r="N73" s="629">
        <f>SUM('3 pr-2'!O74)</f>
        <v>149245.58823529413</v>
      </c>
      <c r="O73" s="629">
        <f>SUM(O74:O78)</f>
        <v>0</v>
      </c>
      <c r="P73" s="629" t="e">
        <f>SUM(P74:P78)</f>
        <v>#REF!</v>
      </c>
      <c r="Q73" s="629" t="e">
        <f>SUM(Q74:Q78)</f>
        <v>#REF!</v>
      </c>
      <c r="R73" s="629">
        <f>SUM('3 pr-2'!R74)</f>
        <v>0</v>
      </c>
      <c r="S73" s="629">
        <f>SUM(S74:S78)</f>
        <v>0</v>
      </c>
      <c r="T73" s="629" t="e">
        <f>SUM(T74:T78)</f>
        <v>#REF!</v>
      </c>
      <c r="U73" s="629" t="e">
        <f>SUM(U74:U78)</f>
        <v>#REF!</v>
      </c>
      <c r="V73" s="629">
        <f>SUM('3 pr-2'!U74)</f>
        <v>422692</v>
      </c>
      <c r="W73" s="629">
        <f>SUM(W74:W78)</f>
        <v>0</v>
      </c>
      <c r="X73" s="629" t="e">
        <f>SUM(X74:X78)</f>
        <v>#REF!</v>
      </c>
      <c r="Y73" s="629" t="e">
        <f>SUM(Y74:Y78)</f>
        <v>#REF!</v>
      </c>
      <c r="Z73" s="629">
        <f>SUM('3 pr-2'!X74)</f>
        <v>0</v>
      </c>
      <c r="AA73" s="629">
        <f>SUM(AA74:AA78)</f>
        <v>0</v>
      </c>
      <c r="AB73" s="629" t="e">
        <f>SUM(AB74:AB78)</f>
        <v>#REF!</v>
      </c>
      <c r="AC73" s="629" t="e">
        <f>SUM(AC74:AC78)</f>
        <v>#REF!</v>
      </c>
      <c r="AD73" s="629">
        <f>SUM('3 pr-2'!AA74)</f>
        <v>1263272</v>
      </c>
      <c r="AE73" s="629">
        <f>SUM(AE74:AE78)</f>
        <v>0</v>
      </c>
      <c r="AF73" s="352">
        <f>SUM(AF75:AF78)</f>
        <v>1263272</v>
      </c>
      <c r="AG73" s="455">
        <f>SUM(AG75:AG78)</f>
        <v>0</v>
      </c>
    </row>
    <row r="74" spans="1:33" ht="15.75" hidden="1" customHeight="1" thickBot="1" x14ac:dyDescent="0.25">
      <c r="A74" s="255" t="e">
        <f>CONCATENATE('3 pr-2'!#REF!)</f>
        <v>#REF!</v>
      </c>
      <c r="B74" s="473" t="e">
        <f>CONCATENATE('ketv. 2lent'!#REF!)</f>
        <v>#REF!</v>
      </c>
      <c r="C74" s="580" t="e">
        <f>CONCATENATE('3 pr-2'!#REF!)</f>
        <v>#REF!</v>
      </c>
      <c r="D74" s="255" t="e">
        <f>CONCATENATE('3 pr-2'!#REF!)</f>
        <v>#REF!</v>
      </c>
      <c r="E74" s="255" t="e">
        <f>CONCATENATE('3 pr-2'!#REF!)</f>
        <v>#REF!</v>
      </c>
      <c r="F74" s="255" t="e">
        <f>CONCATENATE('3 pr-2'!#REF!)</f>
        <v>#REF!</v>
      </c>
      <c r="G74" s="255" t="e">
        <f>CONCATENATE('3 pr-2'!#REF!)</f>
        <v>#REF!</v>
      </c>
      <c r="H74" s="255" t="e">
        <f>CONCATENATE('3 pr-2'!#REF!)</f>
        <v>#REF!</v>
      </c>
      <c r="I74" s="255" t="e">
        <f>CONCATENATE('3 pr-2'!#REF!)</f>
        <v>#REF!</v>
      </c>
      <c r="J74" s="474" t="e">
        <f>SUM('3 pr-2'!#REF!)</f>
        <v>#REF!</v>
      </c>
      <c r="K74" s="474">
        <v>0</v>
      </c>
      <c r="L74" s="475" t="e">
        <f t="shared" ref="L74:M78" si="86">SUM(J74-K74)</f>
        <v>#REF!</v>
      </c>
      <c r="M74" s="724" t="e">
        <f t="shared" si="86"/>
        <v>#REF!</v>
      </c>
      <c r="N74" s="476" t="e">
        <f>SUM('3 pr-2'!#REF!)</f>
        <v>#REF!</v>
      </c>
      <c r="O74" s="474">
        <v>0</v>
      </c>
      <c r="P74" s="475" t="e">
        <f t="shared" ref="P74:Q78" si="87">SUM(N74-O74)</f>
        <v>#REF!</v>
      </c>
      <c r="Q74" s="724" t="e">
        <f t="shared" si="87"/>
        <v>#REF!</v>
      </c>
      <c r="R74" s="476" t="e">
        <f>SUM('3 pr-2'!#REF!)</f>
        <v>#REF!</v>
      </c>
      <c r="S74" s="474">
        <v>0</v>
      </c>
      <c r="T74" s="475" t="e">
        <f t="shared" ref="T74:U78" si="88">SUM(R74-S74)</f>
        <v>#REF!</v>
      </c>
      <c r="U74" s="724" t="e">
        <f t="shared" si="88"/>
        <v>#REF!</v>
      </c>
      <c r="V74" s="476" t="e">
        <f>SUM('3 pr-2'!#REF!)</f>
        <v>#REF!</v>
      </c>
      <c r="W74" s="474">
        <v>0</v>
      </c>
      <c r="X74" s="475" t="e">
        <f t="shared" ref="X74:Y78" si="89">SUM(V74-W74)</f>
        <v>#REF!</v>
      </c>
      <c r="Y74" s="724" t="e">
        <f t="shared" si="89"/>
        <v>#REF!</v>
      </c>
      <c r="Z74" s="476" t="e">
        <f>SUM('3 pr-2'!#REF!)</f>
        <v>#REF!</v>
      </c>
      <c r="AA74" s="474">
        <v>0</v>
      </c>
      <c r="AB74" s="475" t="e">
        <f>SUM(Z74-AA74)</f>
        <v>#REF!</v>
      </c>
      <c r="AC74" s="724" t="e">
        <f t="shared" ref="AC74" si="90">SUM(AA74-AB74)</f>
        <v>#REF!</v>
      </c>
      <c r="AD74" s="476" t="e">
        <f>SUM('3 pr-2'!#REF!)</f>
        <v>#REF!</v>
      </c>
      <c r="AE74" s="474">
        <v>0</v>
      </c>
      <c r="AF74" s="727" t="e">
        <f t="shared" ref="AF74:AG78" si="91">SUM(AD74-AE74)</f>
        <v>#REF!</v>
      </c>
      <c r="AG74" s="467" t="e">
        <f t="shared" si="91"/>
        <v>#REF!</v>
      </c>
    </row>
    <row r="75" spans="1:33" ht="36.75" x14ac:dyDescent="0.25">
      <c r="A75" s="255" t="str">
        <f>CONCATENATE('3 pr-2'!A75)</f>
        <v>1.1.2.1.1</v>
      </c>
      <c r="B75" s="1015" t="str">
        <f>IF('ketv. 4 lent'!V75&gt;0,'ketv. 4 lent'!B75,"-")</f>
        <v>-</v>
      </c>
      <c r="C75" s="580" t="str">
        <f>CONCATENATE('3 pr-2'!D75)</f>
        <v xml:space="preserve">Nekenksmingų aplinkai viešojo transporto priemonių įsigijimas Alytaus mieste </v>
      </c>
      <c r="D75" s="255" t="str">
        <f>CONCATENATE('3 pr-2'!E75)</f>
        <v>Alytaus miesto savivaldybės administracija</v>
      </c>
      <c r="E75" s="255" t="str">
        <f>CONCATENATE('3 pr-2'!F75)</f>
        <v>Lietuvos Respublikos susisiekimo ministerija</v>
      </c>
      <c r="F75" s="255" t="str">
        <f>CONCATENATE('3 pr-2'!G75)</f>
        <v>Alytaus  miestas</v>
      </c>
      <c r="G75" s="255" t="str">
        <f>CONCATENATE('3 pr-2'!H75)</f>
        <v>04.5.1-TID-R-518</v>
      </c>
      <c r="H75" s="255" t="str">
        <f>CONCATENATE('3 pr-2'!I75)</f>
        <v>R</v>
      </c>
      <c r="I75" s="255" t="str">
        <f>CONCATENATE('3 pr-2'!J75)</f>
        <v>ITI</v>
      </c>
      <c r="J75" s="474">
        <f>SUM('3 pr-2'!L75)</f>
        <v>406090.5882352941</v>
      </c>
      <c r="K75" s="474">
        <v>0</v>
      </c>
      <c r="L75" s="475">
        <f t="shared" si="86"/>
        <v>406090.5882352941</v>
      </c>
      <c r="M75" s="724">
        <f t="shared" ref="M75:M78" si="92">IF(K75&gt;0,J75-K75,0)</f>
        <v>0</v>
      </c>
      <c r="N75" s="476">
        <f>SUM('3 pr-2'!O75)</f>
        <v>60913.588235294119</v>
      </c>
      <c r="O75" s="474">
        <v>0</v>
      </c>
      <c r="P75" s="475">
        <f t="shared" si="87"/>
        <v>60913.588235294119</v>
      </c>
      <c r="Q75" s="724">
        <f t="shared" ref="Q75:Q78" si="93">IF(O75&gt;0,N75-O75,0)</f>
        <v>0</v>
      </c>
      <c r="R75" s="476">
        <f>SUM('3 pr-2'!R75)</f>
        <v>0</v>
      </c>
      <c r="S75" s="474">
        <v>0</v>
      </c>
      <c r="T75" s="475">
        <f t="shared" si="88"/>
        <v>0</v>
      </c>
      <c r="U75" s="724">
        <f t="shared" ref="U75:U78" si="94">IF(S75&gt;0,R75-S75,0)</f>
        <v>0</v>
      </c>
      <c r="V75" s="476">
        <f>SUM('3 pr-2'!U75)</f>
        <v>0</v>
      </c>
      <c r="W75" s="474">
        <v>0</v>
      </c>
      <c r="X75" s="475">
        <f t="shared" si="89"/>
        <v>0</v>
      </c>
      <c r="Y75" s="724">
        <f t="shared" ref="Y75:Y78" si="95">IF(W75&gt;0,V75-W75,0)</f>
        <v>0</v>
      </c>
      <c r="Z75" s="476">
        <f>SUM('3 pr-2'!X75)</f>
        <v>0</v>
      </c>
      <c r="AA75" s="474">
        <v>0</v>
      </c>
      <c r="AB75" s="475">
        <f>SUM(Z75-AA75)</f>
        <v>0</v>
      </c>
      <c r="AC75" s="724">
        <f t="shared" ref="AC75:AC78" si="96">IF(AA75&gt;0,Z75-AA75,0)</f>
        <v>0</v>
      </c>
      <c r="AD75" s="476">
        <f>SUM('3 pr-2'!AA75)</f>
        <v>345177</v>
      </c>
      <c r="AE75" s="474">
        <v>0</v>
      </c>
      <c r="AF75" s="727">
        <f t="shared" si="91"/>
        <v>345177</v>
      </c>
      <c r="AG75" s="454">
        <f t="shared" ref="AG75:AG78" si="97">IF(AE75&gt;0,AD75-AE75,0)</f>
        <v>0</v>
      </c>
    </row>
    <row r="76" spans="1:33" ht="36.75" x14ac:dyDescent="0.25">
      <c r="A76" s="255" t="str">
        <f>CONCATENATE('3 pr-2'!A76)</f>
        <v>1.1.2.1.2</v>
      </c>
      <c r="B76" s="1015" t="str">
        <f>IF('ketv. 4 lent'!V76&gt;0,'ketv. 4 lent'!B76,"-")</f>
        <v>-</v>
      </c>
      <c r="C76" s="580" t="str">
        <f>CONCATENATE('3 pr-2'!D76)</f>
        <v>Nekenksmingų aplinkai viešojo transporto priemonių įsigijimas Alytaus rajone</v>
      </c>
      <c r="D76" s="255" t="str">
        <f>CONCATENATE('3 pr-2'!E76)</f>
        <v>Alytaus rajono savivaldybės administracija</v>
      </c>
      <c r="E76" s="255" t="str">
        <f>CONCATENATE('3 pr-2'!F76)</f>
        <v>Lietuvos Respublikos susisiekimo ministerija</v>
      </c>
      <c r="F76" s="255" t="str">
        <f>CONCATENATE('3 pr-2'!G76)</f>
        <v>Alytaus  rajono savivaldybė</v>
      </c>
      <c r="G76" s="255" t="str">
        <f>CONCATENATE('3 pr-2'!H76)</f>
        <v>04.5.1-TID-R-518</v>
      </c>
      <c r="H76" s="255" t="str">
        <f>CONCATENATE('3 pr-2'!I76)</f>
        <v>R</v>
      </c>
      <c r="I76" s="255" t="str">
        <f>CONCATENATE('3 pr-2'!J76)</f>
        <v>-</v>
      </c>
      <c r="J76" s="474">
        <f>SUM('3 pr-2'!L76)</f>
        <v>326175</v>
      </c>
      <c r="K76" s="474">
        <v>0</v>
      </c>
      <c r="L76" s="475">
        <f t="shared" si="86"/>
        <v>326175</v>
      </c>
      <c r="M76" s="724">
        <f t="shared" si="92"/>
        <v>0</v>
      </c>
      <c r="N76" s="476">
        <f>SUM('3 pr-2'!O76)</f>
        <v>48926</v>
      </c>
      <c r="O76" s="474">
        <v>0</v>
      </c>
      <c r="P76" s="475">
        <f t="shared" si="87"/>
        <v>48926</v>
      </c>
      <c r="Q76" s="724">
        <f t="shared" si="93"/>
        <v>0</v>
      </c>
      <c r="R76" s="476">
        <f>SUM('3 pr-2'!R76)</f>
        <v>0</v>
      </c>
      <c r="S76" s="474">
        <v>0</v>
      </c>
      <c r="T76" s="475">
        <f t="shared" si="88"/>
        <v>0</v>
      </c>
      <c r="U76" s="724">
        <f t="shared" si="94"/>
        <v>0</v>
      </c>
      <c r="V76" s="476">
        <f>SUM('3 pr-2'!U76)</f>
        <v>0</v>
      </c>
      <c r="W76" s="474">
        <v>0</v>
      </c>
      <c r="X76" s="475">
        <f t="shared" si="89"/>
        <v>0</v>
      </c>
      <c r="Y76" s="724">
        <f t="shared" si="95"/>
        <v>0</v>
      </c>
      <c r="Z76" s="476">
        <f>SUM('3 pr-2'!X76)</f>
        <v>0</v>
      </c>
      <c r="AA76" s="474">
        <v>0</v>
      </c>
      <c r="AB76" s="475">
        <f>SUM(Z76-AA76)</f>
        <v>0</v>
      </c>
      <c r="AC76" s="724">
        <f t="shared" si="96"/>
        <v>0</v>
      </c>
      <c r="AD76" s="476">
        <f>SUM('3 pr-2'!AA76)</f>
        <v>277249</v>
      </c>
      <c r="AE76" s="474">
        <v>0</v>
      </c>
      <c r="AF76" s="727">
        <f t="shared" si="91"/>
        <v>277249</v>
      </c>
      <c r="AG76" s="454">
        <f t="shared" si="97"/>
        <v>0</v>
      </c>
    </row>
    <row r="77" spans="1:33" ht="36.75" x14ac:dyDescent="0.25">
      <c r="A77" s="255" t="str">
        <f>CONCATENATE('3 pr-2'!A77)</f>
        <v>1.1.2.1.3</v>
      </c>
      <c r="B77" s="1015" t="str">
        <f>IF('ketv. 4 lent'!V77&gt;0,'ketv. 4 lent'!B77,"-")</f>
        <v>-</v>
      </c>
      <c r="C77" s="580" t="str">
        <f>CONCATENATE('3 pr-2'!D77)</f>
        <v>Ekologiškų transporto priemonių įsigijimas Druskininkų savivaldybėje</v>
      </c>
      <c r="D77" s="255" t="str">
        <f>CONCATENATE('3 pr-2'!E77)</f>
        <v xml:space="preserve">Druskininkų savivaldybės administracija  </v>
      </c>
      <c r="E77" s="255" t="str">
        <f>CONCATENATE('3 pr-2'!F77)</f>
        <v>Lietuvos Respublikos susisiekimo ministerija</v>
      </c>
      <c r="F77" s="255" t="str">
        <f>CONCATENATE('3 pr-2'!G77)</f>
        <v>Druskininkų  miestas</v>
      </c>
      <c r="G77" s="255" t="str">
        <f>CONCATENATE('3 pr-2'!H77)</f>
        <v>04.5.1-TID-R-518</v>
      </c>
      <c r="H77" s="255" t="str">
        <f>CONCATENATE('3 pr-2'!I77)</f>
        <v>R</v>
      </c>
      <c r="I77" s="255" t="str">
        <f>CONCATENATE('3 pr-2'!J77)</f>
        <v>-</v>
      </c>
      <c r="J77" s="474">
        <f>SUM('3 pr-2'!L77)</f>
        <v>840240</v>
      </c>
      <c r="K77" s="474">
        <v>0</v>
      </c>
      <c r="L77" s="475">
        <f t="shared" si="86"/>
        <v>840240</v>
      </c>
      <c r="M77" s="724">
        <f t="shared" si="92"/>
        <v>0</v>
      </c>
      <c r="N77" s="476">
        <f>SUM('3 pr-2'!O77)</f>
        <v>0</v>
      </c>
      <c r="O77" s="474">
        <v>0</v>
      </c>
      <c r="P77" s="475">
        <f t="shared" si="87"/>
        <v>0</v>
      </c>
      <c r="Q77" s="724">
        <f t="shared" si="93"/>
        <v>0</v>
      </c>
      <c r="R77" s="476">
        <f>SUM('3 pr-2'!R77)</f>
        <v>0</v>
      </c>
      <c r="S77" s="474">
        <v>0</v>
      </c>
      <c r="T77" s="475">
        <f t="shared" si="88"/>
        <v>0</v>
      </c>
      <c r="U77" s="724">
        <f t="shared" si="94"/>
        <v>0</v>
      </c>
      <c r="V77" s="476">
        <f>SUM('3 pr-2'!U77)</f>
        <v>422692</v>
      </c>
      <c r="W77" s="474">
        <v>0</v>
      </c>
      <c r="X77" s="475">
        <f t="shared" si="89"/>
        <v>422692</v>
      </c>
      <c r="Y77" s="724">
        <f t="shared" si="95"/>
        <v>0</v>
      </c>
      <c r="Z77" s="476">
        <f>SUM('3 pr-2'!X77)</f>
        <v>0</v>
      </c>
      <c r="AA77" s="474">
        <v>0</v>
      </c>
      <c r="AB77" s="475">
        <f>SUM(Z77-AA77)</f>
        <v>0</v>
      </c>
      <c r="AC77" s="724">
        <f t="shared" si="96"/>
        <v>0</v>
      </c>
      <c r="AD77" s="476">
        <f>SUM('3 pr-2'!AA77)</f>
        <v>417548</v>
      </c>
      <c r="AE77" s="474">
        <v>0</v>
      </c>
      <c r="AF77" s="727">
        <f t="shared" si="91"/>
        <v>417548</v>
      </c>
      <c r="AG77" s="454">
        <f t="shared" si="97"/>
        <v>0</v>
      </c>
    </row>
    <row r="78" spans="1:33" ht="37.5" thickBot="1" x14ac:dyDescent="0.3">
      <c r="A78" s="255" t="str">
        <f>CONCATENATE('3 pr-2'!A78)</f>
        <v>1.1.2.1.4</v>
      </c>
      <c r="B78" s="1015" t="str">
        <f>IF('ketv. 4 lent'!V78&gt;0,'ketv. 4 lent'!B78,"-")</f>
        <v>-</v>
      </c>
      <c r="C78" s="580" t="str">
        <f>CONCATENATE('3 pr-2'!D78)</f>
        <v>Ekologiškų transporto priemonių įsigijimas  Lazdijų rajono savivaldybėje</v>
      </c>
      <c r="D78" s="255" t="str">
        <f>CONCATENATE('3 pr-2'!E78)</f>
        <v>Lazdijų rajono savivaldybės administracija</v>
      </c>
      <c r="E78" s="255" t="str">
        <f>CONCATENATE('3 pr-2'!F78)</f>
        <v>Lietuvos Respublikos susisiekimo ministerija</v>
      </c>
      <c r="F78" s="255" t="str">
        <f>CONCATENATE('3 pr-2'!G78)</f>
        <v>Lazdijų rajono savivaldybė</v>
      </c>
      <c r="G78" s="255" t="str">
        <f>CONCATENATE('3 pr-2'!H78)</f>
        <v>04.5.1-TID-R-518</v>
      </c>
      <c r="H78" s="255" t="str">
        <f>CONCATENATE('3 pr-2'!I78)</f>
        <v>R</v>
      </c>
      <c r="I78" s="255" t="str">
        <f>CONCATENATE('3 pr-2'!J78)</f>
        <v>-</v>
      </c>
      <c r="J78" s="474">
        <f>SUM('3 pr-2'!L78)</f>
        <v>262704</v>
      </c>
      <c r="K78" s="474">
        <v>0</v>
      </c>
      <c r="L78" s="475">
        <f t="shared" si="86"/>
        <v>262704</v>
      </c>
      <c r="M78" s="724">
        <f t="shared" si="92"/>
        <v>0</v>
      </c>
      <c r="N78" s="476">
        <f>SUM('3 pr-2'!O78)</f>
        <v>39406</v>
      </c>
      <c r="O78" s="474">
        <v>0</v>
      </c>
      <c r="P78" s="475">
        <f t="shared" si="87"/>
        <v>39406</v>
      </c>
      <c r="Q78" s="724">
        <f t="shared" si="93"/>
        <v>0</v>
      </c>
      <c r="R78" s="476">
        <f>SUM('3 pr-2'!R78)</f>
        <v>0</v>
      </c>
      <c r="S78" s="474">
        <v>0</v>
      </c>
      <c r="T78" s="475">
        <f t="shared" si="88"/>
        <v>0</v>
      </c>
      <c r="U78" s="724">
        <f t="shared" si="94"/>
        <v>0</v>
      </c>
      <c r="V78" s="476">
        <f>SUM('3 pr-2'!U78)</f>
        <v>0</v>
      </c>
      <c r="W78" s="474">
        <v>0</v>
      </c>
      <c r="X78" s="475">
        <f t="shared" si="89"/>
        <v>0</v>
      </c>
      <c r="Y78" s="724">
        <f t="shared" si="95"/>
        <v>0</v>
      </c>
      <c r="Z78" s="476">
        <f>SUM('3 pr-2'!X78)</f>
        <v>0</v>
      </c>
      <c r="AA78" s="474">
        <v>0</v>
      </c>
      <c r="AB78" s="475">
        <f>SUM(Z78-AA78)</f>
        <v>0</v>
      </c>
      <c r="AC78" s="724">
        <f t="shared" si="96"/>
        <v>0</v>
      </c>
      <c r="AD78" s="476">
        <f>SUM('3 pr-2'!AA78)</f>
        <v>223298</v>
      </c>
      <c r="AE78" s="474">
        <v>0</v>
      </c>
      <c r="AF78" s="727">
        <f t="shared" si="91"/>
        <v>223298</v>
      </c>
      <c r="AG78" s="454">
        <f t="shared" si="97"/>
        <v>0</v>
      </c>
    </row>
    <row r="79" spans="1:33" ht="33" customHeight="1" thickBot="1" x14ac:dyDescent="0.3">
      <c r="A79" s="497" t="str">
        <f>CONCATENATE('3 pr-2'!A79)</f>
        <v>1.1.2.2</v>
      </c>
      <c r="B79" s="613" t="str">
        <f>CONCATENATE('ketv. 2lent'!B78)</f>
        <v/>
      </c>
      <c r="C79" s="1656" t="str">
        <f>CONCATENATE('3 pr-2'!D79)</f>
        <v/>
      </c>
      <c r="D79" s="1789"/>
      <c r="E79" s="1789"/>
      <c r="F79" s="1789"/>
      <c r="G79" s="1789"/>
      <c r="H79" s="1789"/>
      <c r="I79" s="1790"/>
      <c r="J79" s="629">
        <f t="shared" ref="J79:AD79" si="98">SUM(J80:J85)</f>
        <v>1894943.89</v>
      </c>
      <c r="K79" s="629">
        <f t="shared" si="98"/>
        <v>84638</v>
      </c>
      <c r="L79" s="629">
        <f t="shared" si="98"/>
        <v>1810305.89</v>
      </c>
      <c r="M79" s="629">
        <f t="shared" si="98"/>
        <v>506000</v>
      </c>
      <c r="N79" s="629">
        <f t="shared" si="98"/>
        <v>284241.59000000003</v>
      </c>
      <c r="O79" s="629">
        <f t="shared" si="98"/>
        <v>41595.699999999997</v>
      </c>
      <c r="P79" s="629">
        <f t="shared" si="98"/>
        <v>242645.89</v>
      </c>
      <c r="Q79" s="629">
        <f t="shared" si="98"/>
        <v>47000</v>
      </c>
      <c r="R79" s="629">
        <f t="shared" si="98"/>
        <v>0</v>
      </c>
      <c r="S79" s="629">
        <f t="shared" si="98"/>
        <v>0</v>
      </c>
      <c r="T79" s="629">
        <f t="shared" si="98"/>
        <v>0</v>
      </c>
      <c r="U79" s="629">
        <f t="shared" si="98"/>
        <v>0</v>
      </c>
      <c r="V79" s="629">
        <f t="shared" si="98"/>
        <v>0</v>
      </c>
      <c r="W79" s="629">
        <f t="shared" si="98"/>
        <v>0</v>
      </c>
      <c r="X79" s="629">
        <f t="shared" si="98"/>
        <v>0</v>
      </c>
      <c r="Y79" s="629">
        <f t="shared" si="98"/>
        <v>0</v>
      </c>
      <c r="Z79" s="629">
        <f t="shared" si="98"/>
        <v>0</v>
      </c>
      <c r="AA79" s="629">
        <f t="shared" si="98"/>
        <v>0</v>
      </c>
      <c r="AB79" s="629">
        <f t="shared" si="98"/>
        <v>0</v>
      </c>
      <c r="AC79" s="629">
        <f t="shared" si="98"/>
        <v>0</v>
      </c>
      <c r="AD79" s="629">
        <f t="shared" si="98"/>
        <v>1610702.3</v>
      </c>
      <c r="AE79" s="629">
        <f>SUM(AE80:AE85)</f>
        <v>43042.3</v>
      </c>
      <c r="AF79" s="338">
        <f>SUM(AF80:AF83)</f>
        <v>1108660</v>
      </c>
      <c r="AG79" s="465">
        <f>SUM(AG80:AG83)</f>
        <v>0</v>
      </c>
    </row>
    <row r="80" spans="1:33" ht="36.75" x14ac:dyDescent="0.25">
      <c r="A80" s="580" t="str">
        <f>CONCATENATE('3 pr-2'!A80)</f>
        <v>1.1.2.2.1</v>
      </c>
      <c r="B80" s="1015" t="str">
        <f>IF('ketv. 4 lent'!V80&gt;0,'ketv. 4 lent'!B80,"-")</f>
        <v>-</v>
      </c>
      <c r="C80" s="580" t="str">
        <f>CONCATENATE('3 pr-2'!D80)</f>
        <v>Darnaus judumo priemonių diegimas Alytaus mieste</v>
      </c>
      <c r="D80" s="580" t="str">
        <f>CONCATENATE('3 pr-2'!E80)</f>
        <v>Alytaus miesto savivaldybės administracija</v>
      </c>
      <c r="E80" s="580" t="str">
        <f>CONCATENATE('3 pr-2'!F80)</f>
        <v>Lietuvos Respublikos susisiekimo ministerija</v>
      </c>
      <c r="F80" s="580" t="str">
        <f>CONCATENATE('3 pr-2'!G80)</f>
        <v>Alytaus  miestas</v>
      </c>
      <c r="G80" s="580" t="str">
        <f>CONCATENATE('3 pr-2'!H80)</f>
        <v>04.5.1.-TID-R-514</v>
      </c>
      <c r="H80" s="580" t="str">
        <f>CONCATENATE('3 pr-2'!I80)</f>
        <v>R</v>
      </c>
      <c r="I80" s="580" t="str">
        <f>CONCATENATE('3 pr-2'!J80)</f>
        <v>-</v>
      </c>
      <c r="J80" s="476">
        <f>SUM('3 pr-2'!L80)</f>
        <v>1143469.6499999999</v>
      </c>
      <c r="K80" s="476">
        <v>0</v>
      </c>
      <c r="L80" s="476">
        <f t="shared" ref="L80:L83" si="99">SUM(J80-K80)</f>
        <v>1143469.6499999999</v>
      </c>
      <c r="M80" s="476">
        <f t="shared" ref="M80:M83" si="100">IF(K80&gt;0,J80-K80,0)</f>
        <v>0</v>
      </c>
      <c r="N80" s="476">
        <f>SUM('3 pr-2'!O80)</f>
        <v>171520.45</v>
      </c>
      <c r="O80" s="476">
        <v>0</v>
      </c>
      <c r="P80" s="476">
        <f t="shared" ref="P80:P82" si="101">SUM(N80-O80)</f>
        <v>171520.45</v>
      </c>
      <c r="Q80" s="476">
        <f t="shared" ref="Q80:Q83" si="102">IF(O80&gt;0,N80-O80,0)</f>
        <v>0</v>
      </c>
      <c r="R80" s="476">
        <f>SUM('3 pr-2'!R80)</f>
        <v>0</v>
      </c>
      <c r="S80" s="476">
        <v>0</v>
      </c>
      <c r="T80" s="476">
        <f t="shared" ref="T80:T83" si="103">SUM(R80-S80)</f>
        <v>0</v>
      </c>
      <c r="U80" s="476">
        <f t="shared" ref="U80:U83" si="104">IF(S80&gt;0,R80-S80,0)</f>
        <v>0</v>
      </c>
      <c r="V80" s="476">
        <f>SUM('3 pr-2'!U80)</f>
        <v>0</v>
      </c>
      <c r="W80" s="476">
        <v>0</v>
      </c>
      <c r="X80" s="476">
        <f t="shared" ref="X80:X83" si="105">SUM(V80-W80)</f>
        <v>0</v>
      </c>
      <c r="Y80" s="476">
        <f t="shared" ref="Y80:Y83" si="106">IF(W80&gt;0,V80-W80,0)</f>
        <v>0</v>
      </c>
      <c r="Z80" s="476">
        <f>SUM('3 pr-2'!X80)</f>
        <v>0</v>
      </c>
      <c r="AA80" s="476">
        <v>0</v>
      </c>
      <c r="AB80" s="476">
        <f>SUM(Z80-AA80)</f>
        <v>0</v>
      </c>
      <c r="AC80" s="476">
        <f t="shared" ref="AC80:AC83" si="107">IF(AA80&gt;0,Z80-AA80,0)</f>
        <v>0</v>
      </c>
      <c r="AD80" s="476">
        <f>SUM('3 pr-2'!AA80)</f>
        <v>971949.2</v>
      </c>
      <c r="AE80" s="476">
        <v>0</v>
      </c>
      <c r="AF80" s="721">
        <f t="shared" ref="AF80:AF82" si="108">SUM(AD80-AE80)</f>
        <v>971949.2</v>
      </c>
      <c r="AG80" s="454">
        <f t="shared" ref="AG80:AG83" si="109">IF(AE80&gt;0,AD80-AE80,0)</f>
        <v>0</v>
      </c>
    </row>
    <row r="81" spans="1:33" ht="36.75" x14ac:dyDescent="0.25">
      <c r="A81" s="580" t="str">
        <f>CONCATENATE('3 pr-2'!A81)</f>
        <v>1.1.2.2.2</v>
      </c>
      <c r="B81" s="1015" t="str">
        <f>IF('ketv. 4 lent'!V81&gt;0,'ketv. 4 lent'!B81,"-")</f>
        <v>04.5.1-TID-V-513-01-0015</v>
      </c>
      <c r="C81" s="580" t="str">
        <f>CONCATENATE('3 pr-2'!D81)</f>
        <v>Alytaus miesto darnaus judumo plano parengimas</v>
      </c>
      <c r="D81" s="580" t="str">
        <f>CONCATENATE('3 pr-2'!E81)</f>
        <v>Alytaus miesto savivaldybės administracija</v>
      </c>
      <c r="E81" s="580" t="str">
        <f>CONCATENATE('3 pr-2'!F81)</f>
        <v>Lietuvos Respublikos susisiekimo ministerija</v>
      </c>
      <c r="F81" s="580" t="str">
        <f>CONCATENATE('3 pr-2'!G81)</f>
        <v>Alytaus  miestas</v>
      </c>
      <c r="G81" s="580" t="str">
        <f>CONCATENATE('3 pr-2'!H81)</f>
        <v>04.5.1-TID-V-513</v>
      </c>
      <c r="H81" s="580" t="str">
        <f>CONCATENATE('3 pr-2'!I81)</f>
        <v>V</v>
      </c>
      <c r="I81" s="580" t="str">
        <f>CONCATENATE('3 pr-2'!J81)</f>
        <v>ITI</v>
      </c>
      <c r="J81" s="476">
        <f>SUM('3 pr-2'!L81)</f>
        <v>33638</v>
      </c>
      <c r="K81" s="476">
        <v>33638</v>
      </c>
      <c r="L81" s="476">
        <f t="shared" si="99"/>
        <v>0</v>
      </c>
      <c r="M81" s="476">
        <f t="shared" si="100"/>
        <v>0</v>
      </c>
      <c r="N81" s="476">
        <f>SUM('3 pr-2'!O81)</f>
        <v>5045.7</v>
      </c>
      <c r="O81" s="476">
        <f>SUM(K81-AE81)</f>
        <v>5045.7000000000007</v>
      </c>
      <c r="P81" s="476">
        <f t="shared" si="101"/>
        <v>-9.0949470177292824E-13</v>
      </c>
      <c r="Q81" s="476">
        <f t="shared" si="102"/>
        <v>-9.0949470177292824E-13</v>
      </c>
      <c r="R81" s="476">
        <f>SUM('3 pr-2'!R81)</f>
        <v>0</v>
      </c>
      <c r="S81" s="476">
        <v>0</v>
      </c>
      <c r="T81" s="476">
        <f t="shared" si="103"/>
        <v>0</v>
      </c>
      <c r="U81" s="476">
        <f t="shared" si="104"/>
        <v>0</v>
      </c>
      <c r="V81" s="476">
        <f>SUM('3 pr-2'!U81)</f>
        <v>0</v>
      </c>
      <c r="W81" s="476">
        <v>0</v>
      </c>
      <c r="X81" s="476">
        <f t="shared" si="105"/>
        <v>0</v>
      </c>
      <c r="Y81" s="476">
        <f t="shared" si="106"/>
        <v>0</v>
      </c>
      <c r="Z81" s="476">
        <f>SUM('3 pr-2'!X81)</f>
        <v>0</v>
      </c>
      <c r="AA81" s="476">
        <v>0</v>
      </c>
      <c r="AB81" s="476">
        <f>SUM(Z81-AA81)</f>
        <v>0</v>
      </c>
      <c r="AC81" s="476">
        <f t="shared" si="107"/>
        <v>0</v>
      </c>
      <c r="AD81" s="476">
        <f>SUM('3 pr-2'!AA81)</f>
        <v>28592.3</v>
      </c>
      <c r="AE81" s="476">
        <v>28592.3</v>
      </c>
      <c r="AF81" s="721">
        <f t="shared" si="108"/>
        <v>0</v>
      </c>
      <c r="AG81" s="454">
        <f t="shared" si="109"/>
        <v>0</v>
      </c>
    </row>
    <row r="82" spans="1:33" ht="36.75" x14ac:dyDescent="0.25">
      <c r="A82" s="580" t="str">
        <f>CONCATENATE('3 pr-2'!A82)</f>
        <v>1.1.2.2.3</v>
      </c>
      <c r="B82" s="1015" t="str">
        <f>IF('ketv. 4 lent'!V82&gt;0,'ketv. 4 lent'!B82,"-")</f>
        <v>-</v>
      </c>
      <c r="C82" s="580" t="str">
        <f>CONCATENATE('3 pr-2'!D82)</f>
        <v>Intelektinių transporto sistemų diegimas Druskininkuose</v>
      </c>
      <c r="D82" s="580" t="str">
        <f>CONCATENATE('3 pr-2'!E82)</f>
        <v>Druskininkų savivaldybės administracija</v>
      </c>
      <c r="E82" s="580" t="str">
        <f>CONCATENATE('3 pr-2'!F82)</f>
        <v>Lietuvos Respublikos susisiekimo ministerija</v>
      </c>
      <c r="F82" s="580" t="str">
        <f>CONCATENATE('3 pr-2'!G82)</f>
        <v>Druskininkų  miestas</v>
      </c>
      <c r="G82" s="580" t="str">
        <f>CONCATENATE('3 pr-2'!H82)</f>
        <v>04.5.1.-TID-R-514</v>
      </c>
      <c r="H82" s="580" t="str">
        <f>CONCATENATE('3 pr-2'!I82)</f>
        <v>R</v>
      </c>
      <c r="I82" s="580" t="str">
        <f>CONCATENATE('3 pr-2'!J82)</f>
        <v>-</v>
      </c>
      <c r="J82" s="476">
        <f>SUM('3 pr-2'!L82)</f>
        <v>160836.24</v>
      </c>
      <c r="K82" s="476">
        <v>0</v>
      </c>
      <c r="L82" s="476">
        <f t="shared" si="99"/>
        <v>160836.24</v>
      </c>
      <c r="M82" s="476">
        <f t="shared" si="100"/>
        <v>0</v>
      </c>
      <c r="N82" s="476">
        <f>SUM('3 pr-2'!O82)</f>
        <v>24125.439999999999</v>
      </c>
      <c r="O82" s="476">
        <v>0</v>
      </c>
      <c r="P82" s="476">
        <f t="shared" si="101"/>
        <v>24125.439999999999</v>
      </c>
      <c r="Q82" s="476">
        <f t="shared" si="102"/>
        <v>0</v>
      </c>
      <c r="R82" s="476">
        <f>SUM('3 pr-2'!R82)</f>
        <v>0</v>
      </c>
      <c r="S82" s="476">
        <v>0</v>
      </c>
      <c r="T82" s="476">
        <f t="shared" si="103"/>
        <v>0</v>
      </c>
      <c r="U82" s="476">
        <f t="shared" si="104"/>
        <v>0</v>
      </c>
      <c r="V82" s="476">
        <f>SUM('3 pr-2'!U82)</f>
        <v>0</v>
      </c>
      <c r="W82" s="476">
        <v>0</v>
      </c>
      <c r="X82" s="476">
        <f t="shared" si="105"/>
        <v>0</v>
      </c>
      <c r="Y82" s="476">
        <f t="shared" si="106"/>
        <v>0</v>
      </c>
      <c r="Z82" s="476">
        <f>SUM('3 pr-2'!X82)</f>
        <v>0</v>
      </c>
      <c r="AA82" s="476">
        <v>0</v>
      </c>
      <c r="AB82" s="476">
        <f>SUM(Z82-AA82)</f>
        <v>0</v>
      </c>
      <c r="AC82" s="476">
        <f t="shared" si="107"/>
        <v>0</v>
      </c>
      <c r="AD82" s="476">
        <f>SUM('3 pr-2'!AA82)</f>
        <v>136710.79999999999</v>
      </c>
      <c r="AE82" s="476">
        <v>0</v>
      </c>
      <c r="AF82" s="721">
        <f t="shared" si="108"/>
        <v>136710.79999999999</v>
      </c>
      <c r="AG82" s="454">
        <f t="shared" si="109"/>
        <v>0</v>
      </c>
    </row>
    <row r="83" spans="1:33" ht="36.75" x14ac:dyDescent="0.25">
      <c r="A83" s="580" t="str">
        <f>CONCATENATE('3 pr-2'!A83)</f>
        <v>1.1.2.2.4</v>
      </c>
      <c r="B83" s="1015" t="str">
        <f>IF('ketv. 4 lent'!V83&gt;0,'ketv. 4 lent'!B83,"-")</f>
        <v>04.5.1-TID-V-513-01-0006</v>
      </c>
      <c r="C83" s="580" t="str">
        <f>CONCATENATE('3 pr-2'!D83)</f>
        <v>Darnaus judumo plano Druskininkuose parengimas</v>
      </c>
      <c r="D83" s="580" t="str">
        <f>CONCATENATE('3 pr-2'!E83)</f>
        <v>Druskininkų savivaldybės administracija</v>
      </c>
      <c r="E83" s="580" t="str">
        <f>CONCATENATE('3 pr-2'!F83)</f>
        <v>Lietuvos Respublikos susisiekimo ministerija</v>
      </c>
      <c r="F83" s="580" t="str">
        <f>CONCATENATE('3 pr-2'!G83)</f>
        <v>Druskininkų  miestas</v>
      </c>
      <c r="G83" s="580" t="str">
        <f>CONCATENATE('3 pr-2'!H83)</f>
        <v>04.5.1-TID-V-513</v>
      </c>
      <c r="H83" s="580" t="str">
        <f>CONCATENATE('3 pr-2'!I83)</f>
        <v>V</v>
      </c>
      <c r="I83" s="580" t="str">
        <f>CONCATENATE('3 pr-2'!J83)</f>
        <v>ITI</v>
      </c>
      <c r="J83" s="476">
        <f>SUM('3 pr-2'!L83)</f>
        <v>17000</v>
      </c>
      <c r="K83" s="476">
        <v>17000</v>
      </c>
      <c r="L83" s="476">
        <f t="shared" si="99"/>
        <v>0</v>
      </c>
      <c r="M83" s="476">
        <f t="shared" si="100"/>
        <v>0</v>
      </c>
      <c r="N83" s="476">
        <f>SUM('3 pr-2'!O83)</f>
        <v>2550</v>
      </c>
      <c r="O83" s="476">
        <f>SUM(K83-AE83)</f>
        <v>2550</v>
      </c>
      <c r="P83" s="476">
        <f t="shared" ref="P83" si="110">SUM(N83-O83)</f>
        <v>0</v>
      </c>
      <c r="Q83" s="476">
        <f t="shared" si="102"/>
        <v>0</v>
      </c>
      <c r="R83" s="476">
        <f>SUM('3 pr-2'!R83)</f>
        <v>0</v>
      </c>
      <c r="S83" s="476">
        <v>0</v>
      </c>
      <c r="T83" s="476">
        <f t="shared" si="103"/>
        <v>0</v>
      </c>
      <c r="U83" s="476">
        <f t="shared" si="104"/>
        <v>0</v>
      </c>
      <c r="V83" s="476">
        <f>SUM('3 pr-2'!U83)</f>
        <v>0</v>
      </c>
      <c r="W83" s="476">
        <v>0</v>
      </c>
      <c r="X83" s="476">
        <f t="shared" si="105"/>
        <v>0</v>
      </c>
      <c r="Y83" s="476">
        <f t="shared" si="106"/>
        <v>0</v>
      </c>
      <c r="Z83" s="476">
        <f>SUM('3 pr-2'!X83)</f>
        <v>0</v>
      </c>
      <c r="AA83" s="476">
        <v>0</v>
      </c>
      <c r="AB83" s="476">
        <f>SUM(Z83-AA83)</f>
        <v>0</v>
      </c>
      <c r="AC83" s="476">
        <f t="shared" si="107"/>
        <v>0</v>
      </c>
      <c r="AD83" s="476">
        <f>SUM('3 pr-2'!AA83)</f>
        <v>14450</v>
      </c>
      <c r="AE83" s="476">
        <v>14450</v>
      </c>
      <c r="AF83" s="721">
        <f>SUM(AD83-AE83)</f>
        <v>0</v>
      </c>
      <c r="AG83" s="454">
        <f t="shared" si="109"/>
        <v>0</v>
      </c>
    </row>
    <row r="84" spans="1:33" ht="36.75" x14ac:dyDescent="0.25">
      <c r="A84" s="580" t="str">
        <f>CONCATENATE('3 pr-2'!A84)</f>
        <v>1.1.2.2.5</v>
      </c>
      <c r="B84" s="1015" t="str">
        <f>IF('ketv. 4 lent'!V84&gt;0,'ketv. 4 lent'!B84,"-")</f>
        <v>-</v>
      </c>
      <c r="C84" s="580" t="str">
        <f>CONCATENATE('3 pr-2'!D84)</f>
        <v>Viešojo transporto organizavimo tobulinimas rekonstruojant Druskininkų miesto gatvių infrastruktūrą</v>
      </c>
      <c r="D84" s="580" t="str">
        <f>CONCATENATE('3 pr-2'!E84)</f>
        <v>Druskininkų savivaldybės administracija</v>
      </c>
      <c r="E84" s="580" t="str">
        <f>CONCATENATE('3 pr-2'!F84)</f>
        <v>Lietuvos Respublikos susisiekimo ministerija</v>
      </c>
      <c r="F84" s="580" t="str">
        <f>CONCATENATE('3 pr-2'!G84)</f>
        <v>Druskininkų  miestas</v>
      </c>
      <c r="G84" s="580" t="str">
        <f>CONCATENATE('3 pr-2'!H84)</f>
        <v>04.5.1.-TID-R-514</v>
      </c>
      <c r="H84" s="580" t="str">
        <f>CONCATENATE('3 pr-2'!I84)</f>
        <v>R</v>
      </c>
      <c r="I84" s="580" t="str">
        <f>CONCATENATE('3 pr-2'!J84)</f>
        <v>-</v>
      </c>
      <c r="J84" s="476">
        <f>SUM('3 pr-2'!L84)</f>
        <v>290000</v>
      </c>
      <c r="K84" s="476">
        <v>17000</v>
      </c>
      <c r="L84" s="476">
        <f t="shared" ref="L84:L85" si="111">SUM(J84-K84)</f>
        <v>273000</v>
      </c>
      <c r="M84" s="476">
        <f t="shared" ref="M84:M85" si="112">IF(K84&gt;0,J84-K84,0)</f>
        <v>273000</v>
      </c>
      <c r="N84" s="476">
        <f>SUM('3 pr-2'!O84)</f>
        <v>43500</v>
      </c>
      <c r="O84" s="476">
        <f t="shared" ref="O84:O85" si="113">SUM(K84-AE84)</f>
        <v>17000</v>
      </c>
      <c r="P84" s="476">
        <f t="shared" ref="P84:P85" si="114">SUM(N84-O84)</f>
        <v>26500</v>
      </c>
      <c r="Q84" s="476">
        <f t="shared" ref="Q84:Q85" si="115">IF(O84&gt;0,N84-O84,0)</f>
        <v>26500</v>
      </c>
      <c r="R84" s="476">
        <f>SUM('3 pr-2'!R84)</f>
        <v>0</v>
      </c>
      <c r="S84" s="476">
        <v>0</v>
      </c>
      <c r="T84" s="476">
        <f t="shared" ref="T84:T85" si="116">SUM(R84-S84)</f>
        <v>0</v>
      </c>
      <c r="U84" s="476">
        <f t="shared" ref="U84:U85" si="117">IF(S84&gt;0,R84-S84,0)</f>
        <v>0</v>
      </c>
      <c r="V84" s="476">
        <f>SUM('3 pr-2'!U84)</f>
        <v>0</v>
      </c>
      <c r="W84" s="476">
        <v>0</v>
      </c>
      <c r="X84" s="476">
        <f t="shared" ref="X84:X85" si="118">SUM(V84-W84)</f>
        <v>0</v>
      </c>
      <c r="Y84" s="476">
        <f t="shared" ref="Y84:Y85" si="119">IF(W84&gt;0,V84-W84,0)</f>
        <v>0</v>
      </c>
      <c r="Z84" s="476">
        <f>SUM('3 pr-2'!X84)</f>
        <v>0</v>
      </c>
      <c r="AA84" s="476">
        <v>0</v>
      </c>
      <c r="AB84" s="476">
        <f t="shared" ref="AB84:AB85" si="120">SUM(Z84-AA84)</f>
        <v>0</v>
      </c>
      <c r="AC84" s="476">
        <f t="shared" ref="AC84:AC85" si="121">IF(AA84&gt;0,Z84-AA84,0)</f>
        <v>0</v>
      </c>
      <c r="AD84" s="476">
        <f>SUM('3 pr-2'!AA84)</f>
        <v>246500</v>
      </c>
      <c r="AE84" s="476">
        <v>0</v>
      </c>
      <c r="AF84" s="721">
        <f t="shared" ref="AF84:AF85" si="122">SUM(AD84-AE84)</f>
        <v>246500</v>
      </c>
      <c r="AG84" s="454">
        <f t="shared" ref="AG84:AG85" si="123">IF(AE84&gt;0,AD84-AE84,0)</f>
        <v>0</v>
      </c>
    </row>
    <row r="85" spans="1:33" ht="37.5" thickBot="1" x14ac:dyDescent="0.3">
      <c r="A85" s="580" t="str">
        <f>CONCATENATE('3 pr-2'!A85)</f>
        <v>1.1.2.2.6</v>
      </c>
      <c r="B85" s="1015" t="str">
        <f>IF('ketv. 4 lent'!V85&gt;0,'ketv. 4 lent'!B85,"-")</f>
        <v>-</v>
      </c>
      <c r="C85" s="580" t="str">
        <f>CONCATENATE('3 pr-2'!D85)</f>
        <v>Vandens transporto infrastruktūros įrengimas skatinant kitų rūšių transportą</v>
      </c>
      <c r="D85" s="580" t="str">
        <f>CONCATENATE('3 pr-2'!E85)</f>
        <v>Druskininkų savivaldybės administracija</v>
      </c>
      <c r="E85" s="580" t="str">
        <f>CONCATENATE('3 pr-2'!F85)</f>
        <v>Lietuvos Respublikos susisiekimo ministerija</v>
      </c>
      <c r="F85" s="580" t="str">
        <f>CONCATENATE('3 pr-2'!G85)</f>
        <v>Druskininkų  miestas</v>
      </c>
      <c r="G85" s="580" t="str">
        <f>CONCATENATE('3 pr-2'!H85)</f>
        <v>04.5.1.-TID-R-514</v>
      </c>
      <c r="H85" s="580" t="str">
        <f>CONCATENATE('3 pr-2'!I85)</f>
        <v>R</v>
      </c>
      <c r="I85" s="580" t="str">
        <f>CONCATENATE('3 pr-2'!J85)</f>
        <v>-</v>
      </c>
      <c r="J85" s="476">
        <f>SUM('3 pr-2'!L85)</f>
        <v>250000</v>
      </c>
      <c r="K85" s="476">
        <v>17000</v>
      </c>
      <c r="L85" s="476">
        <f t="shared" si="111"/>
        <v>233000</v>
      </c>
      <c r="M85" s="476">
        <f t="shared" si="112"/>
        <v>233000</v>
      </c>
      <c r="N85" s="476">
        <f>SUM('3 pr-2'!O85)</f>
        <v>37500</v>
      </c>
      <c r="O85" s="476">
        <f t="shared" si="113"/>
        <v>17000</v>
      </c>
      <c r="P85" s="476">
        <f t="shared" si="114"/>
        <v>20500</v>
      </c>
      <c r="Q85" s="476">
        <f t="shared" si="115"/>
        <v>20500</v>
      </c>
      <c r="R85" s="476">
        <f>SUM('3 pr-2'!R85)</f>
        <v>0</v>
      </c>
      <c r="S85" s="476">
        <v>0</v>
      </c>
      <c r="T85" s="476">
        <f t="shared" si="116"/>
        <v>0</v>
      </c>
      <c r="U85" s="476">
        <f t="shared" si="117"/>
        <v>0</v>
      </c>
      <c r="V85" s="476">
        <f>SUM('3 pr-2'!U85)</f>
        <v>0</v>
      </c>
      <c r="W85" s="476">
        <v>0</v>
      </c>
      <c r="X85" s="476">
        <f t="shared" si="118"/>
        <v>0</v>
      </c>
      <c r="Y85" s="476">
        <f t="shared" si="119"/>
        <v>0</v>
      </c>
      <c r="Z85" s="476">
        <f>SUM('3 pr-2'!X85)</f>
        <v>0</v>
      </c>
      <c r="AA85" s="476">
        <v>0</v>
      </c>
      <c r="AB85" s="476">
        <f t="shared" si="120"/>
        <v>0</v>
      </c>
      <c r="AC85" s="476">
        <f t="shared" si="121"/>
        <v>0</v>
      </c>
      <c r="AD85" s="476">
        <f>SUM('3 pr-2'!AA85)</f>
        <v>212500</v>
      </c>
      <c r="AE85" s="476">
        <v>0</v>
      </c>
      <c r="AF85" s="721">
        <f t="shared" si="122"/>
        <v>212500</v>
      </c>
      <c r="AG85" s="454">
        <f t="shared" si="123"/>
        <v>0</v>
      </c>
    </row>
    <row r="86" spans="1:33" ht="33.75" customHeight="1" thickBot="1" x14ac:dyDescent="0.3">
      <c r="A86" s="497" t="str">
        <f>CONCATENATE('3 pr-2'!A86)</f>
        <v>1.1.2.3</v>
      </c>
      <c r="B86" s="613" t="str">
        <f>CONCATENATE('ketv. 2lent'!B85)</f>
        <v/>
      </c>
      <c r="C86" s="1656" t="str">
        <f>CONCATENATE('3 pr-2'!D86)</f>
        <v/>
      </c>
      <c r="D86" s="1789"/>
      <c r="E86" s="1789"/>
      <c r="F86" s="1789"/>
      <c r="G86" s="1789"/>
      <c r="H86" s="1789"/>
      <c r="I86" s="1790"/>
      <c r="J86" s="629">
        <f>SUM('3 pr-2'!L86)</f>
        <v>510837.07</v>
      </c>
      <c r="K86" s="629">
        <f>SUM(K87:K91)</f>
        <v>133670.07</v>
      </c>
      <c r="L86" s="722">
        <f>SUM(L87:L91)</f>
        <v>377167</v>
      </c>
      <c r="M86" s="723">
        <f>SUM(M87:M91)</f>
        <v>0</v>
      </c>
      <c r="N86" s="629">
        <f>SUM('3 pr-2'!O86)</f>
        <v>95113.51</v>
      </c>
      <c r="O86" s="629">
        <f>SUM(O87:O91)</f>
        <v>20050.510000000009</v>
      </c>
      <c r="P86" s="629">
        <f>SUM(P87:P91)</f>
        <v>75062.999999999985</v>
      </c>
      <c r="Q86" s="629">
        <f>SUM(Q87:Q91)</f>
        <v>-1.0913936421275139E-11</v>
      </c>
      <c r="R86" s="629">
        <f>SUM('3 pr-2'!R86)</f>
        <v>0</v>
      </c>
      <c r="S86" s="629">
        <f>SUM(S87:S91)</f>
        <v>0</v>
      </c>
      <c r="T86" s="629">
        <f>SUM(T87:T91)</f>
        <v>0</v>
      </c>
      <c r="U86" s="629">
        <f>SUM(U87:U91)</f>
        <v>0</v>
      </c>
      <c r="V86" s="629">
        <f>SUM('3 pr-2'!U86)</f>
        <v>0</v>
      </c>
      <c r="W86" s="629">
        <f>SUM(W87:W91)</f>
        <v>0</v>
      </c>
      <c r="X86" s="629">
        <f>SUM(X87:X91)</f>
        <v>0</v>
      </c>
      <c r="Y86" s="629">
        <f>SUM(Y87:Y91)</f>
        <v>0</v>
      </c>
      <c r="Z86" s="629">
        <f>SUM('3 pr-2'!X86)</f>
        <v>0</v>
      </c>
      <c r="AA86" s="629">
        <f>SUM(AA87:AA91)</f>
        <v>0</v>
      </c>
      <c r="AB86" s="629">
        <f>SUM(AB87:AB91)</f>
        <v>0</v>
      </c>
      <c r="AC86" s="629">
        <f>SUM(AC87:AC91)</f>
        <v>0</v>
      </c>
      <c r="AD86" s="629">
        <f>SUM('3 pr-2'!AA86)</f>
        <v>415723.56</v>
      </c>
      <c r="AE86" s="629">
        <f>SUM(AE87:AE91)</f>
        <v>113619.56</v>
      </c>
      <c r="AF86" s="358">
        <f>SUM(AF87:AF91)</f>
        <v>302104</v>
      </c>
      <c r="AG86" s="466">
        <f>SUM(AG87:AG91)</f>
        <v>0</v>
      </c>
    </row>
    <row r="87" spans="1:33" ht="36.75" x14ac:dyDescent="0.25">
      <c r="A87" s="580" t="str">
        <f>CONCATENATE('3 pr-2'!A87)</f>
        <v>1.1.2.3.1</v>
      </c>
      <c r="B87" s="1015" t="str">
        <f>IF('ketv. 4 lent'!V87&gt;0,'ketv. 4 lent'!B87,"-")</f>
        <v>-</v>
      </c>
      <c r="C87" s="580" t="str">
        <f>CONCATENATE('3 pr-2'!D87)</f>
        <v>Dviračių ir pėsčiųjų takų įrengimas Varėnos miesto J. Basanavičiaus ir Žiedo gatvėse</v>
      </c>
      <c r="D87" s="580" t="str">
        <f>CONCATENATE('3 pr-2'!E87)</f>
        <v>Varėnos rajono savivaldybės administracija</v>
      </c>
      <c r="E87" s="580" t="str">
        <f>CONCATENATE('3 pr-2'!F87)</f>
        <v>Lietuvos Respublikos susisiekimo ministerija</v>
      </c>
      <c r="F87" s="580" t="str">
        <f>CONCATENATE('3 pr-2'!G87)</f>
        <v>Varėnos miestas</v>
      </c>
      <c r="G87" s="580" t="str">
        <f>CONCATENATE('3 pr-2'!H87)</f>
        <v>04.5.1-TID-R-516</v>
      </c>
      <c r="H87" s="580" t="str">
        <f>CONCATENATE('3 pr-2'!I87)</f>
        <v>R</v>
      </c>
      <c r="I87" s="580" t="str">
        <f>CONCATENATE('3 pr-2'!J87)</f>
        <v>ITI</v>
      </c>
      <c r="J87" s="476">
        <f>SUM('3 pr-2'!L87)</f>
        <v>95080</v>
      </c>
      <c r="K87" s="476">
        <v>0</v>
      </c>
      <c r="L87" s="476">
        <f t="shared" ref="L87:L91" si="124">SUM(J87-K87)</f>
        <v>95080</v>
      </c>
      <c r="M87" s="476">
        <f t="shared" ref="M87:M91" si="125">IF(K87&gt;0,J87-K87,0)</f>
        <v>0</v>
      </c>
      <c r="N87" s="476">
        <f>SUM('3 pr-2'!O87)</f>
        <v>14270</v>
      </c>
      <c r="O87" s="476">
        <v>0</v>
      </c>
      <c r="P87" s="476">
        <f t="shared" ref="P87:P91" si="126">SUM(N87-O87)</f>
        <v>14270</v>
      </c>
      <c r="Q87" s="476">
        <f t="shared" ref="Q87:Q91" si="127">IF(O87&gt;0,N87-O87,0)</f>
        <v>0</v>
      </c>
      <c r="R87" s="476">
        <f>SUM('3 pr-2'!R87)</f>
        <v>0</v>
      </c>
      <c r="S87" s="476">
        <v>0</v>
      </c>
      <c r="T87" s="476">
        <f t="shared" ref="T87:T91" si="128">SUM(R87-S87)</f>
        <v>0</v>
      </c>
      <c r="U87" s="476">
        <f t="shared" ref="U87:U91" si="129">IF(S87&gt;0,R87-S87,0)</f>
        <v>0</v>
      </c>
      <c r="V87" s="476">
        <f>SUM('3 pr-2'!U87)</f>
        <v>0</v>
      </c>
      <c r="W87" s="476">
        <v>0</v>
      </c>
      <c r="X87" s="476">
        <f t="shared" ref="X87:X91" si="130">SUM(V87-W87)</f>
        <v>0</v>
      </c>
      <c r="Y87" s="476">
        <f t="shared" ref="Y87:Y91" si="131">IF(W87&gt;0,V87-W87,0)</f>
        <v>0</v>
      </c>
      <c r="Z87" s="476">
        <f>SUM('3 pr-2'!X87)</f>
        <v>0</v>
      </c>
      <c r="AA87" s="476">
        <v>0</v>
      </c>
      <c r="AB87" s="476">
        <f>SUM(Z87-AA87)</f>
        <v>0</v>
      </c>
      <c r="AC87" s="476">
        <f t="shared" ref="AC87:AC91" si="132">IF(AA87&gt;0,Z87-AA87,0)</f>
        <v>0</v>
      </c>
      <c r="AD87" s="476">
        <f>SUM('3 pr-2'!AA87)</f>
        <v>80810</v>
      </c>
      <c r="AE87" s="476">
        <v>0</v>
      </c>
      <c r="AF87" s="721">
        <f t="shared" ref="AF87:AF91" si="133">SUM(AD87-AE87)</f>
        <v>80810</v>
      </c>
      <c r="AG87" s="454">
        <f t="shared" ref="AG87:AG91" si="134">IF(AE87&gt;0,AD87-AE87,0)</f>
        <v>0</v>
      </c>
    </row>
    <row r="88" spans="1:33" ht="36.75" x14ac:dyDescent="0.25">
      <c r="A88" s="580" t="str">
        <f>CONCATENATE('3 pr-2'!A88)</f>
        <v>1.1.2.3.2</v>
      </c>
      <c r="B88" s="1015" t="str">
        <f>IF('ketv. 4 lent'!V88&gt;0,'ketv. 4 lent'!B88,"-")</f>
        <v>04.5.1-TID-R-516-11-0001</v>
      </c>
      <c r="C88" s="580" t="str">
        <f>CONCATENATE('3 pr-2'!D88)</f>
        <v>Dviračių trasų infrastruktūros įrengimas nuo Putinų g. žiedo Pramonės gatvėje, Alytaus mieste</v>
      </c>
      <c r="D88" s="580" t="str">
        <f>CONCATENATE('3 pr-2'!E88)</f>
        <v>Alytaus miesto savivaldybės administracija</v>
      </c>
      <c r="E88" s="580" t="str">
        <f>CONCATENATE('3 pr-2'!F88)</f>
        <v>Lietuvos Respublikos susisiekimo ministerija</v>
      </c>
      <c r="F88" s="580" t="str">
        <f>CONCATENATE('3 pr-2'!G88)</f>
        <v>Alytaus  miestas</v>
      </c>
      <c r="G88" s="580" t="str">
        <f>CONCATENATE('3 pr-2'!H88)</f>
        <v>04.5.1-TID-R-516</v>
      </c>
      <c r="H88" s="580" t="str">
        <f>CONCATENATE('3 pr-2'!I88)</f>
        <v>R</v>
      </c>
      <c r="I88" s="580" t="str">
        <f>CONCATENATE('3 pr-2'!J88)</f>
        <v>ITI</v>
      </c>
      <c r="J88" s="476">
        <f>SUM('3 pr-2'!L88)</f>
        <v>133670.07</v>
      </c>
      <c r="K88" s="476">
        <v>133670.07</v>
      </c>
      <c r="L88" s="476">
        <f t="shared" si="124"/>
        <v>0</v>
      </c>
      <c r="M88" s="476">
        <f t="shared" si="125"/>
        <v>0</v>
      </c>
      <c r="N88" s="476">
        <f>SUM('3 pr-2'!O88)</f>
        <v>20050.509999999998</v>
      </c>
      <c r="O88" s="476">
        <f>SUM(K88-AE88)</f>
        <v>20050.510000000009</v>
      </c>
      <c r="P88" s="476">
        <f t="shared" si="126"/>
        <v>-1.0913936421275139E-11</v>
      </c>
      <c r="Q88" s="476">
        <f t="shared" si="127"/>
        <v>-1.0913936421275139E-11</v>
      </c>
      <c r="R88" s="476">
        <f>SUM('3 pr-2'!R88)</f>
        <v>0</v>
      </c>
      <c r="S88" s="476">
        <v>0</v>
      </c>
      <c r="T88" s="476">
        <f t="shared" si="128"/>
        <v>0</v>
      </c>
      <c r="U88" s="476">
        <f t="shared" si="129"/>
        <v>0</v>
      </c>
      <c r="V88" s="476">
        <f>SUM('3 pr-2'!U88)</f>
        <v>0</v>
      </c>
      <c r="W88" s="476">
        <v>0</v>
      </c>
      <c r="X88" s="476">
        <f t="shared" si="130"/>
        <v>0</v>
      </c>
      <c r="Y88" s="476">
        <f t="shared" si="131"/>
        <v>0</v>
      </c>
      <c r="Z88" s="476">
        <f>SUM('3 pr-2'!X88)</f>
        <v>0</v>
      </c>
      <c r="AA88" s="476">
        <v>0</v>
      </c>
      <c r="AB88" s="476">
        <f>SUM(Z88-AA88)</f>
        <v>0</v>
      </c>
      <c r="AC88" s="476">
        <f t="shared" si="132"/>
        <v>0</v>
      </c>
      <c r="AD88" s="476">
        <f>SUM('3 pr-2'!AA88)</f>
        <v>113619.56</v>
      </c>
      <c r="AE88" s="476">
        <v>113619.56</v>
      </c>
      <c r="AF88" s="721">
        <f t="shared" si="133"/>
        <v>0</v>
      </c>
      <c r="AG88" s="454">
        <f t="shared" si="134"/>
        <v>0</v>
      </c>
    </row>
    <row r="89" spans="1:33" ht="36.75" x14ac:dyDescent="0.25">
      <c r="A89" s="580" t="str">
        <f>CONCATENATE('3 pr-2'!A89)</f>
        <v>1.1.2.3.3</v>
      </c>
      <c r="B89" s="1015" t="str">
        <f>IF('ketv. 4 lent'!V89&gt;0,'ketv. 4 lent'!B89,"-")</f>
        <v>04.5.1-TID-R-516-11-0002</v>
      </c>
      <c r="C89" s="580" t="str">
        <f>CONCATENATE('3 pr-2'!D89)</f>
        <v>Dviračių ir pėsčiųjų takų plėtra Lazdijų miesto Turistų gatvėje iki sodų bendrijos „Baltasis“ Lazdijų seniūnijoje</v>
      </c>
      <c r="D89" s="580" t="str">
        <f>CONCATENATE('3 pr-2'!E89)</f>
        <v>Lazdijų rajono savivaldybės administracija</v>
      </c>
      <c r="E89" s="580" t="str">
        <f>CONCATENATE('3 pr-2'!F89)</f>
        <v>Lietuvos Respublikos susisiekimo ministerija</v>
      </c>
      <c r="F89" s="580" t="str">
        <f>CONCATENATE('3 pr-2'!G89)</f>
        <v>Lazdijų miestas</v>
      </c>
      <c r="G89" s="580" t="str">
        <f>CONCATENATE('3 pr-2'!H89)</f>
        <v>04.5.1-TID-R-516</v>
      </c>
      <c r="H89" s="580" t="str">
        <f>CONCATENATE('3 pr-2'!I89)</f>
        <v>R</v>
      </c>
      <c r="I89" s="580" t="str">
        <f>CONCATENATE('3 pr-2'!J89)</f>
        <v>ITI</v>
      </c>
      <c r="J89" s="476">
        <f>SUM('3 pr-2'!L89)</f>
        <v>100658</v>
      </c>
      <c r="K89" s="476">
        <v>0</v>
      </c>
      <c r="L89" s="476">
        <f t="shared" si="124"/>
        <v>100658</v>
      </c>
      <c r="M89" s="476">
        <f t="shared" si="125"/>
        <v>0</v>
      </c>
      <c r="N89" s="476">
        <f>SUM('3 pr-2'!O89)</f>
        <v>27157</v>
      </c>
      <c r="O89" s="476">
        <v>0</v>
      </c>
      <c r="P89" s="476">
        <f t="shared" si="126"/>
        <v>27157</v>
      </c>
      <c r="Q89" s="476">
        <f t="shared" si="127"/>
        <v>0</v>
      </c>
      <c r="R89" s="476">
        <f>SUM('3 pr-2'!R89)</f>
        <v>0</v>
      </c>
      <c r="S89" s="476">
        <v>0</v>
      </c>
      <c r="T89" s="476">
        <f t="shared" si="128"/>
        <v>0</v>
      </c>
      <c r="U89" s="476">
        <f t="shared" si="129"/>
        <v>0</v>
      </c>
      <c r="V89" s="476">
        <f>SUM('3 pr-2'!U89)</f>
        <v>0</v>
      </c>
      <c r="W89" s="476">
        <v>0</v>
      </c>
      <c r="X89" s="476">
        <f t="shared" si="130"/>
        <v>0</v>
      </c>
      <c r="Y89" s="476">
        <f t="shared" si="131"/>
        <v>0</v>
      </c>
      <c r="Z89" s="476">
        <f>SUM('3 pr-2'!X89)</f>
        <v>0</v>
      </c>
      <c r="AA89" s="476">
        <v>0</v>
      </c>
      <c r="AB89" s="476">
        <f>SUM(Z89-AA89)</f>
        <v>0</v>
      </c>
      <c r="AC89" s="476">
        <f t="shared" si="132"/>
        <v>0</v>
      </c>
      <c r="AD89" s="476">
        <f>SUM('3 pr-2'!AA89)</f>
        <v>73501</v>
      </c>
      <c r="AE89" s="476">
        <v>0</v>
      </c>
      <c r="AF89" s="721">
        <f t="shared" si="133"/>
        <v>73501</v>
      </c>
      <c r="AG89" s="454">
        <f t="shared" si="134"/>
        <v>0</v>
      </c>
    </row>
    <row r="90" spans="1:33" ht="36.75" x14ac:dyDescent="0.25">
      <c r="A90" s="580" t="str">
        <f>CONCATENATE('3 pr-2'!A90)</f>
        <v>1.1.2.3.4</v>
      </c>
      <c r="B90" s="1015" t="str">
        <f>IF('ketv. 4 lent'!V90&gt;0,'ketv. 4 lent'!B90,"-")</f>
        <v>-</v>
      </c>
      <c r="C90" s="580" t="str">
        <f>CONCATENATE('3 pr-2'!D90)</f>
        <v>Pėsčiųjų ir dviračių takų plėtra Simno seniūnijoje</v>
      </c>
      <c r="D90" s="580" t="str">
        <f>CONCATENATE('3 pr-2'!E90)</f>
        <v>Alytaus rajono savivaldybės administracija</v>
      </c>
      <c r="E90" s="580" t="str">
        <f>CONCATENATE('3 pr-2'!F90)</f>
        <v>Lietuvos Respublikos susisiekimo ministerija</v>
      </c>
      <c r="F90" s="580" t="str">
        <f>CONCATENATE('3 pr-2'!G90)</f>
        <v>Alytaus rajonas</v>
      </c>
      <c r="G90" s="580" t="str">
        <f>CONCATENATE('3 pr-2'!H90)</f>
        <v>04.5.1-TID-R-516</v>
      </c>
      <c r="H90" s="580" t="str">
        <f>CONCATENATE('3 pr-2'!I90)</f>
        <v>R</v>
      </c>
      <c r="I90" s="580" t="str">
        <f>CONCATENATE('3 pr-2'!J90)</f>
        <v>-</v>
      </c>
      <c r="J90" s="476">
        <f>SUM('3 pr-2'!L90)</f>
        <v>110340</v>
      </c>
      <c r="K90" s="476">
        <v>0</v>
      </c>
      <c r="L90" s="476">
        <f t="shared" si="124"/>
        <v>110340</v>
      </c>
      <c r="M90" s="476">
        <f t="shared" si="125"/>
        <v>0</v>
      </c>
      <c r="N90" s="476">
        <f>SUM('3 pr-2'!O90)</f>
        <v>19170</v>
      </c>
      <c r="O90" s="476">
        <v>0</v>
      </c>
      <c r="P90" s="476">
        <f t="shared" si="126"/>
        <v>19170</v>
      </c>
      <c r="Q90" s="476">
        <f t="shared" si="127"/>
        <v>0</v>
      </c>
      <c r="R90" s="476">
        <f>SUM('3 pr-2'!R90)</f>
        <v>0</v>
      </c>
      <c r="S90" s="476">
        <v>0</v>
      </c>
      <c r="T90" s="476">
        <f t="shared" si="128"/>
        <v>0</v>
      </c>
      <c r="U90" s="476">
        <f t="shared" si="129"/>
        <v>0</v>
      </c>
      <c r="V90" s="476">
        <f>SUM('3 pr-2'!U90)</f>
        <v>0</v>
      </c>
      <c r="W90" s="476">
        <v>0</v>
      </c>
      <c r="X90" s="476">
        <f t="shared" si="130"/>
        <v>0</v>
      </c>
      <c r="Y90" s="476">
        <f t="shared" si="131"/>
        <v>0</v>
      </c>
      <c r="Z90" s="476">
        <f>SUM('3 pr-2'!X90)</f>
        <v>0</v>
      </c>
      <c r="AA90" s="476">
        <v>0</v>
      </c>
      <c r="AB90" s="476">
        <f>SUM(Z90-AA90)</f>
        <v>0</v>
      </c>
      <c r="AC90" s="476">
        <f t="shared" si="132"/>
        <v>0</v>
      </c>
      <c r="AD90" s="476">
        <f>SUM('3 pr-2'!AA90)</f>
        <v>91170</v>
      </c>
      <c r="AE90" s="476">
        <v>0</v>
      </c>
      <c r="AF90" s="721">
        <f t="shared" si="133"/>
        <v>91170</v>
      </c>
      <c r="AG90" s="454">
        <f t="shared" si="134"/>
        <v>0</v>
      </c>
    </row>
    <row r="91" spans="1:33" ht="37.5" thickBot="1" x14ac:dyDescent="0.3">
      <c r="A91" s="580" t="str">
        <f>CONCATENATE('3 pr-2'!A91)</f>
        <v>1.1.2.3.5</v>
      </c>
      <c r="B91" s="1015" t="str">
        <f>IF('ketv. 4 lent'!V91&gt;0,'ketv. 4 lent'!B91,"-")</f>
        <v>-</v>
      </c>
      <c r="C91" s="580" t="str">
        <f>CONCATENATE('3 pr-2'!D91)</f>
        <v>Dviračių ir pėsčiųjų tako, esančio šalia Ratnyčios upelio, Druskininkų mieste, rekonstrukcija</v>
      </c>
      <c r="D91" s="580" t="str">
        <f>CONCATENATE('3 pr-2'!E91)</f>
        <v xml:space="preserve">Druskininkų savivaldybės administracija  </v>
      </c>
      <c r="E91" s="580" t="str">
        <f>CONCATENATE('3 pr-2'!F91)</f>
        <v>Lietuvos Respublikos susisiekimo ministerija</v>
      </c>
      <c r="F91" s="580" t="str">
        <f>CONCATENATE('3 pr-2'!G91)</f>
        <v>Druskininkų miestas</v>
      </c>
      <c r="G91" s="580" t="str">
        <f>CONCATENATE('3 pr-2'!H91)</f>
        <v>04.5.1-TID-R-516</v>
      </c>
      <c r="H91" s="580" t="str">
        <f>CONCATENATE('3 pr-2'!I91)</f>
        <v>R</v>
      </c>
      <c r="I91" s="580" t="str">
        <f>CONCATENATE('3 pr-2'!J91)</f>
        <v>-</v>
      </c>
      <c r="J91" s="476">
        <f>SUM('3 pr-2'!L91)</f>
        <v>71089</v>
      </c>
      <c r="K91" s="476">
        <v>0</v>
      </c>
      <c r="L91" s="476">
        <f t="shared" si="124"/>
        <v>71089</v>
      </c>
      <c r="M91" s="476">
        <f t="shared" si="125"/>
        <v>0</v>
      </c>
      <c r="N91" s="476">
        <f>SUM('3 pr-2'!O91)</f>
        <v>14466</v>
      </c>
      <c r="O91" s="476">
        <v>0</v>
      </c>
      <c r="P91" s="476">
        <f t="shared" si="126"/>
        <v>14466</v>
      </c>
      <c r="Q91" s="476">
        <f t="shared" si="127"/>
        <v>0</v>
      </c>
      <c r="R91" s="476">
        <f>SUM('3 pr-2'!R91)</f>
        <v>0</v>
      </c>
      <c r="S91" s="476">
        <v>0</v>
      </c>
      <c r="T91" s="476">
        <f t="shared" si="128"/>
        <v>0</v>
      </c>
      <c r="U91" s="476">
        <f t="shared" si="129"/>
        <v>0</v>
      </c>
      <c r="V91" s="476">
        <f>SUM('3 pr-2'!U91)</f>
        <v>0</v>
      </c>
      <c r="W91" s="476">
        <v>0</v>
      </c>
      <c r="X91" s="476">
        <f t="shared" si="130"/>
        <v>0</v>
      </c>
      <c r="Y91" s="476">
        <f t="shared" si="131"/>
        <v>0</v>
      </c>
      <c r="Z91" s="476">
        <f>SUM('3 pr-2'!X91)</f>
        <v>0</v>
      </c>
      <c r="AA91" s="476">
        <v>0</v>
      </c>
      <c r="AB91" s="476">
        <f>SUM(Z91-AA91)</f>
        <v>0</v>
      </c>
      <c r="AC91" s="476">
        <f t="shared" si="132"/>
        <v>0</v>
      </c>
      <c r="AD91" s="476">
        <f>SUM('3 pr-2'!AA91)</f>
        <v>56623</v>
      </c>
      <c r="AE91" s="476">
        <v>0</v>
      </c>
      <c r="AF91" s="721">
        <f t="shared" si="133"/>
        <v>56623</v>
      </c>
      <c r="AG91" s="454">
        <f t="shared" si="134"/>
        <v>0</v>
      </c>
    </row>
    <row r="92" spans="1:33" ht="35.25" customHeight="1" thickBot="1" x14ac:dyDescent="0.3">
      <c r="A92" s="497" t="str">
        <f>CONCATENATE('3 pr-2'!A92)</f>
        <v>1.1.2.4</v>
      </c>
      <c r="B92" s="613" t="str">
        <f>CONCATENATE('ketv. 2lent'!B91)</f>
        <v/>
      </c>
      <c r="C92" s="1656" t="str">
        <f>CONCATENATE('3 pr-2'!D92)</f>
        <v/>
      </c>
      <c r="D92" s="1789"/>
      <c r="E92" s="1789"/>
      <c r="F92" s="1789"/>
      <c r="G92" s="1789"/>
      <c r="H92" s="1789"/>
      <c r="I92" s="1790"/>
      <c r="J92" s="629">
        <f>SUM('3 pr-2'!L92)</f>
        <v>4421350.9000000004</v>
      </c>
      <c r="K92" s="629">
        <f>SUM(K93:K98)</f>
        <v>1715391.06</v>
      </c>
      <c r="L92" s="722">
        <f>SUM(L93:L98)</f>
        <v>2570607.84</v>
      </c>
      <c r="M92" s="723">
        <f>SUM(M93:M98)</f>
        <v>0</v>
      </c>
      <c r="N92" s="629">
        <f>SUM('3 pr-2'!O92)</f>
        <v>1305883.8999999999</v>
      </c>
      <c r="O92" s="629">
        <f>SUM(O93:O98)</f>
        <v>194649.06000000006</v>
      </c>
      <c r="P92" s="629">
        <f>SUM(P93:P98)</f>
        <v>1088871.8399999999</v>
      </c>
      <c r="Q92" s="629">
        <f>SUM(Q93:Q98)</f>
        <v>-5.8207660913467407E-11</v>
      </c>
      <c r="R92" s="629">
        <f>SUM('3 pr-2'!R92)</f>
        <v>0</v>
      </c>
      <c r="S92" s="629">
        <f>SUM(S93:S98)</f>
        <v>0</v>
      </c>
      <c r="T92" s="629">
        <f>SUM(T93:T98)</f>
        <v>0</v>
      </c>
      <c r="U92" s="629">
        <f>SUM(U93:U98)</f>
        <v>0</v>
      </c>
      <c r="V92" s="629">
        <f>SUM('3 pr-2'!U92)</f>
        <v>0</v>
      </c>
      <c r="W92" s="629">
        <f>SUM(W93:W98)</f>
        <v>0</v>
      </c>
      <c r="X92" s="629">
        <f>SUM(X93:X98)</f>
        <v>0</v>
      </c>
      <c r="Y92" s="629">
        <f>SUM(Y93:Y98)</f>
        <v>0</v>
      </c>
      <c r="Z92" s="629">
        <f>SUM('3 pr-2'!X92)</f>
        <v>62660</v>
      </c>
      <c r="AA92" s="629">
        <f>SUM(AA93:AA98)</f>
        <v>62660</v>
      </c>
      <c r="AB92" s="629">
        <f>SUM(AB93:AB98)</f>
        <v>0</v>
      </c>
      <c r="AC92" s="629">
        <f>SUM(AC93:AC98)</f>
        <v>0</v>
      </c>
      <c r="AD92" s="629">
        <f>SUM('3 pr-2'!AA92)</f>
        <v>3052807</v>
      </c>
      <c r="AE92" s="629">
        <f>SUM(AE93:AE98)</f>
        <v>1458082</v>
      </c>
      <c r="AF92" s="338">
        <f>SUM(AF93:AF98)</f>
        <v>1481736</v>
      </c>
      <c r="AG92" s="465">
        <f>SUM(AG93:AG98)</f>
        <v>0</v>
      </c>
    </row>
    <row r="93" spans="1:33" ht="36.75" x14ac:dyDescent="0.25">
      <c r="A93" s="580" t="str">
        <f>CONCATENATE('3 pr-2'!A93)</f>
        <v>1.1.2.4.1</v>
      </c>
      <c r="B93" s="1015" t="str">
        <f>IF('ketv. 4 lent'!V93&gt;0,'ketv. 4 lent'!B93,"-")</f>
        <v>06.2.1-TID-R-511-11-0002</v>
      </c>
      <c r="C93" s="725" t="str">
        <f>CONCATENATE('3 pr-2'!D93)</f>
        <v>Varėnos miesto J. Basanavičiaus, Savanorių ir M. K. Čiurlionio gatvių rekonstrukcija</v>
      </c>
      <c r="D93" s="580" t="str">
        <f>CONCATENATE('3 pr-2'!E93)</f>
        <v>Varėnos rajono savivaldybės administracija</v>
      </c>
      <c r="E93" s="580" t="str">
        <f>CONCATENATE('3 pr-2'!F93)</f>
        <v>Lietuvos Respublikos susisiekimo ministerija</v>
      </c>
      <c r="F93" s="580" t="str">
        <f>CONCATENATE('3 pr-2'!G93)</f>
        <v>Varėnos miestas</v>
      </c>
      <c r="G93" s="580" t="str">
        <f>CONCATENATE('3 pr-2'!H93)</f>
        <v>06.2.1-TID-R-511</v>
      </c>
      <c r="H93" s="580" t="str">
        <f>CONCATENATE('3 pr-2'!I93)</f>
        <v>R</v>
      </c>
      <c r="I93" s="580" t="str">
        <f>CONCATENATE('3 pr-2'!J93)</f>
        <v>ITI</v>
      </c>
      <c r="J93" s="476">
        <f>SUM('3 pr-2'!L93)</f>
        <v>835464</v>
      </c>
      <c r="K93" s="476">
        <f>SUM(O93+S93+W93+AA93+AE93)</f>
        <v>835464</v>
      </c>
      <c r="L93" s="476">
        <f t="shared" ref="L93" si="135">SUM(J93-K93)</f>
        <v>0</v>
      </c>
      <c r="M93" s="476">
        <f t="shared" ref="M93:M98" si="136">IF(K93&gt;0,J93-K93,0)</f>
        <v>0</v>
      </c>
      <c r="N93" s="476">
        <f>SUM('3 pr-2'!O93)</f>
        <v>62660</v>
      </c>
      <c r="O93" s="476">
        <v>62660</v>
      </c>
      <c r="P93" s="476">
        <f t="shared" ref="P93:P98" si="137">SUM(N93-O93)</f>
        <v>0</v>
      </c>
      <c r="Q93" s="476">
        <f t="shared" ref="Q93:Q98" si="138">IF(O93&gt;0,N93-O93,0)</f>
        <v>0</v>
      </c>
      <c r="R93" s="476">
        <f>SUM('3 pr-2'!R93)</f>
        <v>0</v>
      </c>
      <c r="S93" s="476"/>
      <c r="T93" s="476">
        <f t="shared" ref="T93:T98" si="139">SUM(R93-S93)</f>
        <v>0</v>
      </c>
      <c r="U93" s="476">
        <f t="shared" ref="U93:U98" si="140">IF(S93&gt;0,R93-S93,0)</f>
        <v>0</v>
      </c>
      <c r="V93" s="476">
        <f>SUM('3 pr-2'!U93)</f>
        <v>0</v>
      </c>
      <c r="W93" s="476">
        <v>0</v>
      </c>
      <c r="X93" s="476">
        <f t="shared" ref="X93:X98" si="141">SUM(V93-W93)</f>
        <v>0</v>
      </c>
      <c r="Y93" s="476">
        <f t="shared" ref="Y93:Y98" si="142">IF(W93&gt;0,V93-W93,0)</f>
        <v>0</v>
      </c>
      <c r="Z93" s="476">
        <f>SUM('3 pr-2'!X93)</f>
        <v>62660</v>
      </c>
      <c r="AA93" s="476">
        <v>62660</v>
      </c>
      <c r="AB93" s="476">
        <f t="shared" ref="AB93:AB98" si="143">SUM(Z93-AA93)</f>
        <v>0</v>
      </c>
      <c r="AC93" s="476">
        <f t="shared" ref="AC93:AC98" si="144">IF(AA93&gt;0,Z93-AA93,0)</f>
        <v>0</v>
      </c>
      <c r="AD93" s="476">
        <f>SUM('3 pr-2'!AA93)</f>
        <v>710144</v>
      </c>
      <c r="AE93" s="476">
        <v>710144</v>
      </c>
      <c r="AF93" s="721">
        <f t="shared" ref="AF93" si="145">SUM(AD93-AE93)</f>
        <v>0</v>
      </c>
      <c r="AG93" s="454">
        <f t="shared" ref="AG93:AG98" si="146">IF(AE93&gt;0,AD93-AE93,0)</f>
        <v>0</v>
      </c>
    </row>
    <row r="94" spans="1:33" ht="36.75" x14ac:dyDescent="0.25">
      <c r="A94" s="580" t="str">
        <f>CONCATENATE('3 pr-2'!A94)</f>
        <v>1.1.2.4.2</v>
      </c>
      <c r="B94" s="1015" t="str">
        <f>IF('ketv. 4 lent'!V94&gt;0,'ketv. 4 lent'!B94,"-")</f>
        <v>06.2.1-TID-R-511-11-0001</v>
      </c>
      <c r="C94" s="725" t="str">
        <f>CONCATENATE('3 pr-2'!D94)</f>
        <v>Perspektyvinės gatvės nuo Pramonės  g. iki Naujosios g. Alytuje įrengimas</v>
      </c>
      <c r="D94" s="580" t="str">
        <f>CONCATENATE('3 pr-2'!E94)</f>
        <v>Alytaus miesto savivaldybės administracija</v>
      </c>
      <c r="E94" s="580" t="str">
        <f>CONCATENATE('3 pr-2'!F94)</f>
        <v>Lietuvos Respublikos susisiekimo ministerija</v>
      </c>
      <c r="F94" s="580" t="str">
        <f>CONCATENATE('3 pr-2'!G94)</f>
        <v>Alytaus  miestas</v>
      </c>
      <c r="G94" s="580" t="str">
        <f>CONCATENATE('3 pr-2'!H94)</f>
        <v>06.2.1-TID-R-511</v>
      </c>
      <c r="H94" s="580" t="str">
        <f>CONCATENATE('3 pr-2'!I94)</f>
        <v>R</v>
      </c>
      <c r="I94" s="580" t="str">
        <f>CONCATENATE('3 pr-2'!J94)</f>
        <v>ITI</v>
      </c>
      <c r="J94" s="476">
        <f>SUM('3 pr-2'!L94)</f>
        <v>879927.06</v>
      </c>
      <c r="K94" s="476">
        <v>879927.06</v>
      </c>
      <c r="L94" s="476">
        <f>SUM(J94-K94)</f>
        <v>0</v>
      </c>
      <c r="M94" s="476">
        <f t="shared" si="136"/>
        <v>0</v>
      </c>
      <c r="N94" s="476">
        <f>SUM('3 pr-2'!O94)</f>
        <v>131989.06</v>
      </c>
      <c r="O94" s="476">
        <f>SUM(K94-AE94)</f>
        <v>131989.06000000006</v>
      </c>
      <c r="P94" s="476">
        <f t="shared" si="137"/>
        <v>-5.8207660913467407E-11</v>
      </c>
      <c r="Q94" s="476">
        <f t="shared" si="138"/>
        <v>-5.8207660913467407E-11</v>
      </c>
      <c r="R94" s="476">
        <f>SUM('3 pr-2'!R94)</f>
        <v>0</v>
      </c>
      <c r="S94" s="476">
        <v>0</v>
      </c>
      <c r="T94" s="476">
        <f t="shared" si="139"/>
        <v>0</v>
      </c>
      <c r="U94" s="476">
        <f t="shared" si="140"/>
        <v>0</v>
      </c>
      <c r="V94" s="476">
        <f>SUM('3 pr-2'!U94)</f>
        <v>0</v>
      </c>
      <c r="W94" s="476">
        <v>0</v>
      </c>
      <c r="X94" s="476">
        <f t="shared" si="141"/>
        <v>0</v>
      </c>
      <c r="Y94" s="476">
        <f t="shared" si="142"/>
        <v>0</v>
      </c>
      <c r="Z94" s="476">
        <f>SUM('3 pr-2'!X94)</f>
        <v>0</v>
      </c>
      <c r="AA94" s="476">
        <v>0</v>
      </c>
      <c r="AB94" s="476">
        <f t="shared" si="143"/>
        <v>0</v>
      </c>
      <c r="AC94" s="476">
        <f t="shared" si="144"/>
        <v>0</v>
      </c>
      <c r="AD94" s="476">
        <f>SUM('3 pr-2'!AA94)</f>
        <v>747938</v>
      </c>
      <c r="AE94" s="476">
        <v>747938</v>
      </c>
      <c r="AF94" s="721">
        <f>SUM(AD94-AE94)</f>
        <v>0</v>
      </c>
      <c r="AG94" s="454">
        <f t="shared" si="146"/>
        <v>0</v>
      </c>
    </row>
    <row r="95" spans="1:33" ht="36.75" x14ac:dyDescent="0.25">
      <c r="A95" s="580" t="str">
        <f>CONCATENATE('3 pr-2'!A95)</f>
        <v>1.1.2.4.3.</v>
      </c>
      <c r="B95" s="1015" t="str">
        <f>IF('ketv. 4 lent'!V95&gt;0,'ketv. 4 lent'!B95,"-")</f>
        <v>-</v>
      </c>
      <c r="C95" s="725" t="str">
        <f>CONCATENATE('3 pr-2'!D95)</f>
        <v>Saugaus eismo priemonių diegimas, Alytuje</v>
      </c>
      <c r="D95" s="580" t="str">
        <f>CONCATENATE('3 pr-2'!E95)</f>
        <v>Alytaus miesto savivaldybės administracija</v>
      </c>
      <c r="E95" s="580" t="str">
        <f>CONCATENATE('3 pr-2'!F95)</f>
        <v>Lietuvos Respublikos susisiekimo ministerija</v>
      </c>
      <c r="F95" s="580" t="str">
        <f>CONCATENATE('3 pr-2'!G95)</f>
        <v>Alytaus  miestas</v>
      </c>
      <c r="G95" s="580" t="str">
        <f>CONCATENATE('3 pr-2'!H95)</f>
        <v>06.2.1-TID-R-511</v>
      </c>
      <c r="H95" s="580" t="str">
        <f>CONCATENATE('3 pr-2'!I95)</f>
        <v>R</v>
      </c>
      <c r="I95" s="580" t="str">
        <f>CONCATENATE('3 pr-2'!J95)</f>
        <v>-</v>
      </c>
      <c r="J95" s="476">
        <f>SUM('3 pr-2'!L95)</f>
        <v>315614.59999999998</v>
      </c>
      <c r="K95" s="476">
        <v>0</v>
      </c>
      <c r="L95" s="476">
        <f t="shared" ref="L95:L98" si="147">SUM(J95-K95)</f>
        <v>315614.59999999998</v>
      </c>
      <c r="M95" s="476">
        <f t="shared" si="136"/>
        <v>0</v>
      </c>
      <c r="N95" s="476">
        <f>SUM('3 pr-2'!O95)</f>
        <v>65315.6</v>
      </c>
      <c r="O95" s="476">
        <v>0</v>
      </c>
      <c r="P95" s="476">
        <f t="shared" si="137"/>
        <v>65315.6</v>
      </c>
      <c r="Q95" s="476">
        <f t="shared" si="138"/>
        <v>0</v>
      </c>
      <c r="R95" s="476">
        <f>SUM('3 pr-2'!R95)</f>
        <v>0</v>
      </c>
      <c r="S95" s="476">
        <v>0</v>
      </c>
      <c r="T95" s="476">
        <f t="shared" si="139"/>
        <v>0</v>
      </c>
      <c r="U95" s="476">
        <f t="shared" si="140"/>
        <v>0</v>
      </c>
      <c r="V95" s="476">
        <f>SUM('3 pr-2'!U95)</f>
        <v>0</v>
      </c>
      <c r="W95" s="476">
        <v>0</v>
      </c>
      <c r="X95" s="476">
        <f t="shared" si="141"/>
        <v>0</v>
      </c>
      <c r="Y95" s="476">
        <f t="shared" si="142"/>
        <v>0</v>
      </c>
      <c r="Z95" s="476">
        <f>SUM('3 pr-2'!X95)</f>
        <v>0</v>
      </c>
      <c r="AA95" s="476">
        <v>0</v>
      </c>
      <c r="AB95" s="476">
        <f t="shared" si="143"/>
        <v>0</v>
      </c>
      <c r="AC95" s="476">
        <f t="shared" si="144"/>
        <v>0</v>
      </c>
      <c r="AD95" s="476">
        <f>SUM('3 pr-2'!AA95)</f>
        <v>250299</v>
      </c>
      <c r="AE95" s="476">
        <v>0</v>
      </c>
      <c r="AF95" s="721">
        <f t="shared" ref="AF95:AF98" si="148">SUM(AD95-AE95)</f>
        <v>250299</v>
      </c>
      <c r="AG95" s="454">
        <f t="shared" si="146"/>
        <v>0</v>
      </c>
    </row>
    <row r="96" spans="1:33" ht="36.75" x14ac:dyDescent="0.25">
      <c r="A96" s="580" t="str">
        <f>CONCATENATE('3 pr-2'!A96)</f>
        <v>1.1.2.4.4</v>
      </c>
      <c r="B96" s="1015" t="str">
        <f>IF('ketv. 4 lent'!V96&gt;0,'ketv. 4 lent'!B96,"-")</f>
        <v>-</v>
      </c>
      <c r="C96" s="725" t="str">
        <f>CONCATENATE('3 pr-2'!D96)</f>
        <v>Eismo saugos priemonių diegimas Alytaus rajone</v>
      </c>
      <c r="D96" s="580" t="str">
        <f>CONCATENATE('3 pr-2'!E96)</f>
        <v>Alytaus rajono savivaldybės administracija</v>
      </c>
      <c r="E96" s="580" t="str">
        <f>CONCATENATE('3 pr-2'!F96)</f>
        <v>Lietuvos Respublikos susisiekimo ministerija</v>
      </c>
      <c r="F96" s="580" t="str">
        <f>CONCATENATE('3 pr-2'!G96)</f>
        <v>Alytaus  rajono savivaldybė</v>
      </c>
      <c r="G96" s="580" t="str">
        <f>CONCATENATE('3 pr-2'!H96)</f>
        <v>06.2.1-TID-R-511</v>
      </c>
      <c r="H96" s="580" t="str">
        <f>CONCATENATE('3 pr-2'!I96)</f>
        <v>R</v>
      </c>
      <c r="I96" s="580" t="str">
        <f>CONCATENATE('3 pr-2'!J96)</f>
        <v>-</v>
      </c>
      <c r="J96" s="476">
        <f>SUM('3 pr-2'!L96)</f>
        <v>236915</v>
      </c>
      <c r="K96" s="476">
        <v>0</v>
      </c>
      <c r="L96" s="476">
        <f t="shared" si="147"/>
        <v>236915</v>
      </c>
      <c r="M96" s="476">
        <f t="shared" si="136"/>
        <v>0</v>
      </c>
      <c r="N96" s="476">
        <f>SUM('3 pr-2'!O96)</f>
        <v>36071</v>
      </c>
      <c r="O96" s="476">
        <v>0</v>
      </c>
      <c r="P96" s="476">
        <f t="shared" si="137"/>
        <v>36071</v>
      </c>
      <c r="Q96" s="476">
        <f t="shared" si="138"/>
        <v>0</v>
      </c>
      <c r="R96" s="476">
        <f>SUM('3 pr-2'!R96)</f>
        <v>0</v>
      </c>
      <c r="S96" s="476">
        <v>0</v>
      </c>
      <c r="T96" s="476">
        <f t="shared" si="139"/>
        <v>0</v>
      </c>
      <c r="U96" s="476">
        <f t="shared" si="140"/>
        <v>0</v>
      </c>
      <c r="V96" s="476">
        <f>SUM('3 pr-2'!U96)</f>
        <v>0</v>
      </c>
      <c r="W96" s="476">
        <v>0</v>
      </c>
      <c r="X96" s="476">
        <f t="shared" si="141"/>
        <v>0</v>
      </c>
      <c r="Y96" s="476">
        <f t="shared" si="142"/>
        <v>0</v>
      </c>
      <c r="Z96" s="476">
        <f>SUM('3 pr-2'!X96)</f>
        <v>0</v>
      </c>
      <c r="AA96" s="476">
        <v>0</v>
      </c>
      <c r="AB96" s="476">
        <f t="shared" si="143"/>
        <v>0</v>
      </c>
      <c r="AC96" s="476">
        <f t="shared" si="144"/>
        <v>0</v>
      </c>
      <c r="AD96" s="476">
        <f>SUM('3 pr-2'!AA96)</f>
        <v>200844</v>
      </c>
      <c r="AE96" s="476">
        <v>0</v>
      </c>
      <c r="AF96" s="721">
        <f t="shared" si="148"/>
        <v>200844</v>
      </c>
      <c r="AG96" s="454">
        <f t="shared" si="146"/>
        <v>0</v>
      </c>
    </row>
    <row r="97" spans="1:33" ht="36.75" x14ac:dyDescent="0.25">
      <c r="A97" s="580" t="str">
        <f>CONCATENATE('3 pr-2'!A97)</f>
        <v>1.1.2.4.5</v>
      </c>
      <c r="B97" s="1015" t="str">
        <f>IF('ketv. 4 lent'!V97&gt;0,'ketv. 4 lent'!B97,"-")</f>
        <v>-</v>
      </c>
      <c r="C97" s="725" t="str">
        <f>CONCATENATE('3 pr-2'!D97)</f>
        <v>M. K. Čiurlionio gatvės atkarpos Druskininkų m. rekonstrukcija</v>
      </c>
      <c r="D97" s="580" t="str">
        <f>CONCATENATE('3 pr-2'!E97)</f>
        <v xml:space="preserve">Druskininkų savivaldybės administracija  </v>
      </c>
      <c r="E97" s="580" t="str">
        <f>CONCATENATE('3 pr-2'!F97)</f>
        <v>Lietuvos Respublikos susisiekimo ministerija</v>
      </c>
      <c r="F97" s="580" t="str">
        <f>CONCATENATE('3 pr-2'!G97)</f>
        <v>Druskininkų miestas</v>
      </c>
      <c r="G97" s="580" t="str">
        <f>CONCATENATE('3 pr-2'!H97)</f>
        <v>06.2.1-TID-R-511</v>
      </c>
      <c r="H97" s="580" t="str">
        <f>CONCATENATE('3 pr-2'!I97)</f>
        <v>R</v>
      </c>
      <c r="I97" s="580" t="str">
        <f>CONCATENATE('3 pr-2'!J97)</f>
        <v>-</v>
      </c>
      <c r="J97" s="476">
        <f>SUM('3 pr-2'!L97)</f>
        <v>1258144.24</v>
      </c>
      <c r="K97" s="476">
        <v>0</v>
      </c>
      <c r="L97" s="476">
        <f t="shared" si="147"/>
        <v>1258144.24</v>
      </c>
      <c r="M97" s="476">
        <f t="shared" si="136"/>
        <v>0</v>
      </c>
      <c r="N97" s="476">
        <f>SUM('3 pr-2'!O97)</f>
        <v>873495.24</v>
      </c>
      <c r="O97" s="476">
        <v>0</v>
      </c>
      <c r="P97" s="476">
        <f t="shared" si="137"/>
        <v>873495.24</v>
      </c>
      <c r="Q97" s="476">
        <f t="shared" si="138"/>
        <v>0</v>
      </c>
      <c r="R97" s="476">
        <f>SUM('3 pr-2'!R97)</f>
        <v>0</v>
      </c>
      <c r="S97" s="476">
        <v>0</v>
      </c>
      <c r="T97" s="476">
        <f t="shared" si="139"/>
        <v>0</v>
      </c>
      <c r="U97" s="476">
        <f t="shared" si="140"/>
        <v>0</v>
      </c>
      <c r="V97" s="476">
        <f>SUM('3 pr-2'!U97)</f>
        <v>0</v>
      </c>
      <c r="W97" s="476">
        <v>0</v>
      </c>
      <c r="X97" s="476">
        <f t="shared" si="141"/>
        <v>0</v>
      </c>
      <c r="Y97" s="476">
        <f t="shared" si="142"/>
        <v>0</v>
      </c>
      <c r="Z97" s="476">
        <f>SUM('3 pr-2'!X97)</f>
        <v>0</v>
      </c>
      <c r="AA97" s="476">
        <v>0</v>
      </c>
      <c r="AB97" s="476">
        <f t="shared" si="143"/>
        <v>0</v>
      </c>
      <c r="AC97" s="476">
        <f t="shared" si="144"/>
        <v>0</v>
      </c>
      <c r="AD97" s="476">
        <f>SUM('3 pr-2'!AA97)</f>
        <v>384649</v>
      </c>
      <c r="AE97" s="476">
        <v>0</v>
      </c>
      <c r="AF97" s="721">
        <f t="shared" si="148"/>
        <v>384649</v>
      </c>
      <c r="AG97" s="454">
        <f t="shared" si="146"/>
        <v>0</v>
      </c>
    </row>
    <row r="98" spans="1:33" ht="36.75" x14ac:dyDescent="0.25">
      <c r="A98" s="580" t="str">
        <f>CONCATENATE('3 pr-2'!A98)</f>
        <v>1.1.2.4.6</v>
      </c>
      <c r="B98" s="1015" t="str">
        <f>IF('ketv. 4 lent'!V98&gt;0,'ketv. 4 lent'!B98,"-")</f>
        <v>-</v>
      </c>
      <c r="C98" s="725" t="str">
        <f>CONCATENATE('3 pr-2'!D98)</f>
        <v>Lazdijų miesto Seinų ir Lazdijos gatvių bei vietinės reikšmės kelio nuo Janonio gatvės iki Lazdijų hipodromo rekonstravimas</v>
      </c>
      <c r="D98" s="580" t="str">
        <f>CONCATENATE('3 pr-2'!E98)</f>
        <v>Lazdijų rajono savivaldybės administracija</v>
      </c>
      <c r="E98" s="580" t="str">
        <f>CONCATENATE('3 pr-2'!F98)</f>
        <v>Lietuvos Respublikos susisiekimo ministerija</v>
      </c>
      <c r="F98" s="580" t="str">
        <f>CONCATENATE('3 pr-2'!G98)</f>
        <v>Lazdijų miestas</v>
      </c>
      <c r="G98" s="580" t="str">
        <f>CONCATENATE('3 pr-2'!H98)</f>
        <v>06.2.1-TID-R-511</v>
      </c>
      <c r="H98" s="580" t="str">
        <f>CONCATENATE('3 pr-2'!I98)</f>
        <v>R</v>
      </c>
      <c r="I98" s="580" t="str">
        <f>CONCATENATE('3 pr-2'!J98)</f>
        <v>ITI</v>
      </c>
      <c r="J98" s="476">
        <f>SUM('3 pr-2'!L98)</f>
        <v>759934</v>
      </c>
      <c r="K98" s="476">
        <v>0</v>
      </c>
      <c r="L98" s="476">
        <f t="shared" si="147"/>
        <v>759934</v>
      </c>
      <c r="M98" s="476">
        <f t="shared" si="136"/>
        <v>0</v>
      </c>
      <c r="N98" s="476">
        <f>SUM('3 pr-2'!O98)</f>
        <v>113990</v>
      </c>
      <c r="O98" s="476">
        <v>0</v>
      </c>
      <c r="P98" s="476">
        <f t="shared" si="137"/>
        <v>113990</v>
      </c>
      <c r="Q98" s="476">
        <f t="shared" si="138"/>
        <v>0</v>
      </c>
      <c r="R98" s="476">
        <f>SUM('3 pr-2'!R98)</f>
        <v>0</v>
      </c>
      <c r="S98" s="476">
        <v>0</v>
      </c>
      <c r="T98" s="476">
        <f t="shared" si="139"/>
        <v>0</v>
      </c>
      <c r="U98" s="476">
        <f t="shared" si="140"/>
        <v>0</v>
      </c>
      <c r="V98" s="476">
        <f>SUM('3 pr-2'!U98)</f>
        <v>0</v>
      </c>
      <c r="W98" s="476">
        <v>0</v>
      </c>
      <c r="X98" s="476">
        <f t="shared" si="141"/>
        <v>0</v>
      </c>
      <c r="Y98" s="476">
        <f t="shared" si="142"/>
        <v>0</v>
      </c>
      <c r="Z98" s="476">
        <f>SUM('3 pr-2'!X98)</f>
        <v>0</v>
      </c>
      <c r="AA98" s="476">
        <v>0</v>
      </c>
      <c r="AB98" s="476">
        <f t="shared" si="143"/>
        <v>0</v>
      </c>
      <c r="AC98" s="476">
        <f t="shared" si="144"/>
        <v>0</v>
      </c>
      <c r="AD98" s="476">
        <f>SUM('3 pr-2'!AA98)</f>
        <v>645944</v>
      </c>
      <c r="AE98" s="476">
        <v>0</v>
      </c>
      <c r="AF98" s="727">
        <f t="shared" si="148"/>
        <v>645944</v>
      </c>
      <c r="AG98" s="454">
        <f t="shared" si="146"/>
        <v>0</v>
      </c>
    </row>
    <row r="99" spans="1:33" ht="37.5" thickBot="1" x14ac:dyDescent="0.3">
      <c r="A99" s="580" t="str">
        <f>CONCATENATE('3 pr-2'!A99)</f>
        <v>1.1.2.4.7</v>
      </c>
      <c r="B99" s="1015" t="str">
        <f>IF('ketv. 4 lent'!V99&gt;0,'ketv. 4 lent'!B99,"-")</f>
        <v>-</v>
      </c>
      <c r="C99" s="725" t="str">
        <f>CONCATENATE('3 pr-2'!D99)</f>
        <v>Eismo saugumo priemonių diegimas Druskininkų savivaldybėje</v>
      </c>
      <c r="D99" s="580" t="str">
        <f>CONCATENATE('3 pr-2'!E99)</f>
        <v xml:space="preserve">Druskininkų savivaldybės administracija  </v>
      </c>
      <c r="E99" s="580" t="str">
        <f>CONCATENATE('3 pr-2'!F99)</f>
        <v>Lietuvos Respublikos susisiekimo ministerija</v>
      </c>
      <c r="F99" s="580" t="str">
        <f>CONCATENATE('3 pr-2'!G99)</f>
        <v>Druskininkų miestas</v>
      </c>
      <c r="G99" s="580" t="str">
        <f>CONCATENATE('3 pr-2'!H99)</f>
        <v>06.2.1-TID-R-511</v>
      </c>
      <c r="H99" s="580" t="str">
        <f>CONCATENATE('3 pr-2'!I99)</f>
        <v>R</v>
      </c>
      <c r="I99" s="580" t="str">
        <f>CONCATENATE('3 pr-2'!J99)</f>
        <v>-</v>
      </c>
      <c r="J99" s="476">
        <f>SUM('3 pr-2'!L99)</f>
        <v>135352</v>
      </c>
      <c r="K99" s="476">
        <v>0</v>
      </c>
      <c r="L99" s="476">
        <f t="shared" ref="L99" si="149">SUM(J99-K99)</f>
        <v>135352</v>
      </c>
      <c r="M99" s="476">
        <f t="shared" ref="M99" si="150">IF(K99&gt;0,J99-K99,0)</f>
        <v>0</v>
      </c>
      <c r="N99" s="476">
        <f>SUM('3 pr-2'!O99)</f>
        <v>22363</v>
      </c>
      <c r="O99" s="476">
        <v>0</v>
      </c>
      <c r="P99" s="476">
        <f t="shared" ref="P99" si="151">SUM(N99-O99)</f>
        <v>22363</v>
      </c>
      <c r="Q99" s="476">
        <f t="shared" ref="Q99" si="152">IF(O99&gt;0,N99-O99,0)</f>
        <v>0</v>
      </c>
      <c r="R99" s="476">
        <f>SUM('3 pr-2'!R99)</f>
        <v>0</v>
      </c>
      <c r="S99" s="476">
        <v>0</v>
      </c>
      <c r="T99" s="476">
        <f t="shared" ref="T99" si="153">SUM(R99-S99)</f>
        <v>0</v>
      </c>
      <c r="U99" s="476">
        <f t="shared" ref="U99" si="154">IF(S99&gt;0,R99-S99,0)</f>
        <v>0</v>
      </c>
      <c r="V99" s="476">
        <f>SUM('3 pr-2'!U99)</f>
        <v>0</v>
      </c>
      <c r="W99" s="476">
        <v>0</v>
      </c>
      <c r="X99" s="476">
        <f t="shared" ref="X99" si="155">SUM(V99-W99)</f>
        <v>0</v>
      </c>
      <c r="Y99" s="476">
        <f t="shared" ref="Y99" si="156">IF(W99&gt;0,V99-W99,0)</f>
        <v>0</v>
      </c>
      <c r="Z99" s="476">
        <f>SUM('3 pr-2'!X99)</f>
        <v>0</v>
      </c>
      <c r="AA99" s="476">
        <v>0</v>
      </c>
      <c r="AB99" s="476">
        <f t="shared" ref="AB99" si="157">SUM(Z99-AA99)</f>
        <v>0</v>
      </c>
      <c r="AC99" s="476">
        <f t="shared" ref="AC99" si="158">IF(AA99&gt;0,Z99-AA99,0)</f>
        <v>0</v>
      </c>
      <c r="AD99" s="476">
        <f>SUM('3 pr-2'!AA99)</f>
        <v>112989</v>
      </c>
      <c r="AE99" s="476">
        <v>0</v>
      </c>
      <c r="AF99" s="727">
        <f t="shared" ref="AF99" si="159">SUM(AD99-AE99)</f>
        <v>112989</v>
      </c>
      <c r="AG99" s="454">
        <f t="shared" ref="AG99" si="160">IF(AE99&gt;0,AD99-AE99,0)</f>
        <v>0</v>
      </c>
    </row>
    <row r="100" spans="1:33" ht="53.25" customHeight="1" thickBot="1" x14ac:dyDescent="0.35">
      <c r="A100" s="714" t="str">
        <f>CONCATENATE('3 pr-2'!A100)</f>
        <v>2.1.</v>
      </c>
      <c r="B100" s="715" t="str">
        <f>CONCATENATE('ketv. 2lent'!B99)</f>
        <v/>
      </c>
      <c r="C100" s="1813" t="str">
        <f>CONCATENATE('3 pr-2'!D100)</f>
        <v/>
      </c>
      <c r="D100" s="1814"/>
      <c r="E100" s="1814"/>
      <c r="F100" s="1814"/>
      <c r="G100" s="1814"/>
      <c r="H100" s="1814"/>
      <c r="I100" s="1815"/>
      <c r="J100" s="1020">
        <f>SUM('3 pr-2'!L100)</f>
        <v>12596754.809999999</v>
      </c>
      <c r="K100" s="1021">
        <f>SUM(K101+K120+K146+K159)</f>
        <v>6876469.7799999993</v>
      </c>
      <c r="L100" s="1022">
        <f>SUM(L101+L120+L146+L159)</f>
        <v>5007947.38</v>
      </c>
      <c r="M100" s="1023">
        <f>SUM(M101+M120+M146+M159)</f>
        <v>30.410000000003492</v>
      </c>
      <c r="N100" s="1020">
        <f>SUM('3 pr-2'!O100)</f>
        <v>1867021.34</v>
      </c>
      <c r="O100" s="1020">
        <f>SUM(O101+O120+O146+O159)</f>
        <v>1360619.6500000001</v>
      </c>
      <c r="P100" s="1020">
        <f>SUM(P101+P120+P146+P159)</f>
        <v>454076.66000000003</v>
      </c>
      <c r="Q100" s="1020">
        <f>SUM(Q101+Q120+Q146+Q159)</f>
        <v>29.639999999984866</v>
      </c>
      <c r="R100" s="1020">
        <f>SUM('3 pr-2'!R100)</f>
        <v>411330.16378378379</v>
      </c>
      <c r="S100" s="1020">
        <f>SUM(S101+S120+S146+S159)</f>
        <v>58787</v>
      </c>
      <c r="T100" s="1020">
        <f>SUM(T101+T120+T146+T159)</f>
        <v>314117.14378378383</v>
      </c>
      <c r="U100" s="1020">
        <f>SUM(U101+U120+U146+U159)</f>
        <v>-0.59000000000014552</v>
      </c>
      <c r="V100" s="1020">
        <f>SUM('3 pr-2'!U100)</f>
        <v>40158</v>
      </c>
      <c r="W100" s="1020">
        <f>SUM(W101+W120+W146+W159)</f>
        <v>0</v>
      </c>
      <c r="X100" s="1020">
        <f>SUM(X101+X120+X146+X159)</f>
        <v>24057</v>
      </c>
      <c r="Y100" s="1020">
        <f>SUM(Y101+Y120+Y146+Y159)</f>
        <v>0</v>
      </c>
      <c r="Z100" s="1020">
        <f>SUM('3 pr-2'!X100)</f>
        <v>0</v>
      </c>
      <c r="AA100" s="1020">
        <f>SUM(AA101+AA120+AA146+AA159)</f>
        <v>0</v>
      </c>
      <c r="AB100" s="1020">
        <f>SUM(AB101+AB120+AB146+AB159)</f>
        <v>0</v>
      </c>
      <c r="AC100" s="1020">
        <f>SUM(AC101+AC120+AC146+AC159)</f>
        <v>0</v>
      </c>
      <c r="AD100" s="1020">
        <f>SUM('3 pr-2'!AA100)</f>
        <v>10278245.306216216</v>
      </c>
      <c r="AE100" s="1020">
        <f>SUM(AE101+AE120+AE146+AE159)</f>
        <v>5457063.1299999999</v>
      </c>
      <c r="AF100" s="359">
        <f>SUM(AF101+AF120+AF146+AF159)</f>
        <v>4215696.5762162153</v>
      </c>
      <c r="AG100" s="463">
        <f>SUM(AG101+AG120+AG146+AG159)</f>
        <v>1.360000000015134</v>
      </c>
    </row>
    <row r="101" spans="1:33" ht="56.25" customHeight="1" thickBot="1" x14ac:dyDescent="0.3">
      <c r="A101" s="345" t="str">
        <f>CONCATENATE('3 pr-2'!A101)</f>
        <v>2.1.1.</v>
      </c>
      <c r="B101" s="648" t="str">
        <f>CONCATENATE('ketv. 2lent'!B100)</f>
        <v/>
      </c>
      <c r="C101" s="1668" t="str">
        <f>CONCATENATE('3 pr-2'!D101)</f>
        <v/>
      </c>
      <c r="D101" s="1669"/>
      <c r="E101" s="1669"/>
      <c r="F101" s="1669"/>
      <c r="G101" s="1669"/>
      <c r="H101" s="1669"/>
      <c r="I101" s="1670"/>
      <c r="J101" s="303">
        <f>SUM('3 pr-2'!L101)</f>
        <v>4705665.1899999995</v>
      </c>
      <c r="K101" s="355">
        <f>SUM(K102+K108+K114)</f>
        <v>2465045.59</v>
      </c>
      <c r="L101" s="356">
        <f>SUM(L102+L108+L114)</f>
        <v>2240619.5999999996</v>
      </c>
      <c r="M101" s="457">
        <f>SUM(M102+M108+M114)</f>
        <v>30.529999999998836</v>
      </c>
      <c r="N101" s="303">
        <f>SUM('3 pr-2'!O101)</f>
        <v>737430.77999999991</v>
      </c>
      <c r="O101" s="303">
        <f>SUM(O102+O108+O114)</f>
        <v>524701.59</v>
      </c>
      <c r="P101" s="303">
        <f>SUM(P102+P108+P114)</f>
        <v>212729.18999999997</v>
      </c>
      <c r="Q101" s="303">
        <f>SUM(Q102+Q108+Q114)</f>
        <v>30.119999999995343</v>
      </c>
      <c r="R101" s="303">
        <f>SUM('3 pr-2'!R101)</f>
        <v>201261.19378378382</v>
      </c>
      <c r="S101" s="303">
        <f>SUM(S102+S108+S114)</f>
        <v>36839</v>
      </c>
      <c r="T101" s="303">
        <f>SUM(T102+T108+T114)</f>
        <v>164422.19378378382</v>
      </c>
      <c r="U101" s="303">
        <f>SUM(U102+U108+U114)</f>
        <v>-0.59000000000014552</v>
      </c>
      <c r="V101" s="303">
        <f>SUM('3 pr-2'!U101)</f>
        <v>0</v>
      </c>
      <c r="W101" s="303">
        <f>SUM(W102+W108+W114)</f>
        <v>0</v>
      </c>
      <c r="X101" s="303">
        <f>SUM(X102+X108+X114)</f>
        <v>0</v>
      </c>
      <c r="Y101" s="303">
        <f>SUM(Y102+Y108+Y114)</f>
        <v>0</v>
      </c>
      <c r="Z101" s="303">
        <f>SUM('3 pr-2'!X101)</f>
        <v>0</v>
      </c>
      <c r="AA101" s="303">
        <f>SUM(AA102+AA108+AA114)</f>
        <v>0</v>
      </c>
      <c r="AB101" s="303">
        <f>SUM(AB102+AB108+AB114)</f>
        <v>0</v>
      </c>
      <c r="AC101" s="303">
        <f>SUM(AC102+AC108+AC114)</f>
        <v>0</v>
      </c>
      <c r="AD101" s="303">
        <f>SUM('3 pr-2'!AA101)</f>
        <v>3766973.2162162159</v>
      </c>
      <c r="AE101" s="303">
        <f>SUM(AE102+AE108+AE114)</f>
        <v>1903505</v>
      </c>
      <c r="AF101" s="360">
        <f>SUM(AF102+AF108+AF114)</f>
        <v>1863468.2162162161</v>
      </c>
      <c r="AG101" s="464">
        <f>SUM(AG102+AG108+AG114)</f>
        <v>1</v>
      </c>
    </row>
    <row r="102" spans="1:33" ht="30" customHeight="1" thickBot="1" x14ac:dyDescent="0.3">
      <c r="A102" s="497" t="str">
        <f>CONCATENATE('3 pr-2'!A102)</f>
        <v>2.1.1.1</v>
      </c>
      <c r="B102" s="613" t="str">
        <f>CONCATENATE('ketv. 2lent'!B101)</f>
        <v/>
      </c>
      <c r="C102" s="1656" t="str">
        <f>CONCATENATE('3 pr-2'!D102)</f>
        <v/>
      </c>
      <c r="D102" s="1789"/>
      <c r="E102" s="1789"/>
      <c r="F102" s="1789"/>
      <c r="G102" s="1789"/>
      <c r="H102" s="1789"/>
      <c r="I102" s="1790"/>
      <c r="J102" s="629">
        <f>SUM('3 pr-2'!L102)</f>
        <v>1343974.82</v>
      </c>
      <c r="K102" s="629">
        <f>SUM(K103:K107)</f>
        <v>491175.41000000003</v>
      </c>
      <c r="L102" s="722">
        <f>SUM(L103:L107)</f>
        <v>852799.41</v>
      </c>
      <c r="M102" s="723">
        <f>SUM(M103:M107)</f>
        <v>-0.58999999999650754</v>
      </c>
      <c r="N102" s="629">
        <f>SUM('3 pr-2'!O102)</f>
        <v>100799.41</v>
      </c>
      <c r="O102" s="629">
        <f>SUM(O103:O107)</f>
        <v>36838.410000000003</v>
      </c>
      <c r="P102" s="629">
        <f>SUM(P103:P107)</f>
        <v>63961</v>
      </c>
      <c r="Q102" s="629">
        <f>SUM(Q103:Q107)</f>
        <v>0</v>
      </c>
      <c r="R102" s="629">
        <f>SUM('3 pr-2'!R102)</f>
        <v>100798.41</v>
      </c>
      <c r="S102" s="629">
        <f>SUM(S103:S107)</f>
        <v>36839</v>
      </c>
      <c r="T102" s="629">
        <f>SUM(T103:T107)</f>
        <v>63959.41</v>
      </c>
      <c r="U102" s="629">
        <f>SUM(U103:U107)</f>
        <v>-0.59000000000014552</v>
      </c>
      <c r="V102" s="629">
        <f>SUM('3 pr-2'!U102)</f>
        <v>0</v>
      </c>
      <c r="W102" s="629">
        <f>SUM(W103:W107)</f>
        <v>0</v>
      </c>
      <c r="X102" s="629">
        <f>SUM(X103:X107)</f>
        <v>0</v>
      </c>
      <c r="Y102" s="629">
        <f>SUM(Y103:Y107)</f>
        <v>0</v>
      </c>
      <c r="Z102" s="629">
        <f>SUM('3 pr-2'!X102)</f>
        <v>0</v>
      </c>
      <c r="AA102" s="629">
        <f>SUM(AA103:AA107)</f>
        <v>0</v>
      </c>
      <c r="AB102" s="629">
        <f>SUM(AB103:AB107)</f>
        <v>0</v>
      </c>
      <c r="AC102" s="629">
        <f>SUM(AC103:AC107)</f>
        <v>0</v>
      </c>
      <c r="AD102" s="629">
        <f>SUM('3 pr-2'!AA102)</f>
        <v>1142377</v>
      </c>
      <c r="AE102" s="629">
        <f>SUM(AE103:AE107)</f>
        <v>417498</v>
      </c>
      <c r="AF102" s="353">
        <f>SUM(AF103:AF107)</f>
        <v>724879</v>
      </c>
      <c r="AG102" s="462">
        <f>SUM(AG103:AG107)</f>
        <v>0</v>
      </c>
    </row>
    <row r="103" spans="1:33" ht="36.75" x14ac:dyDescent="0.25">
      <c r="A103" s="255" t="str">
        <f>CONCATENATE('3 pr-2'!A103)</f>
        <v>2.1.1.1.1</v>
      </c>
      <c r="B103" s="1015" t="str">
        <f>IF('ketv. 4 lent'!V103&gt;0,'ketv. 4 lent'!B103,"-")</f>
        <v xml:space="preserve">09.1.3-CPVA-R-724-11-0003 </v>
      </c>
      <c r="C103" s="725" t="str">
        <f>CONCATENATE('3 pr-2'!D103)</f>
        <v>Varėnos r. Merkinės Vinco Krėvės gimnazijos laisvų patalpų pritaikymas ikimokyklinio ir priešmokyklinio ugdymo grupėms įrengti</v>
      </c>
      <c r="D103" s="255" t="str">
        <f>CONCATENATE('3 pr-2'!E103)</f>
        <v>Varėnos rajono savivaldybės administracija</v>
      </c>
      <c r="E103" s="255" t="str">
        <f>CONCATENATE('3 pr-2'!F103)</f>
        <v>Lietuvos Respublikos švietimo ir mokslo ministerija</v>
      </c>
      <c r="F103" s="255" t="str">
        <f>CONCATENATE('3 pr-2'!G103)</f>
        <v>Varėnos miestas</v>
      </c>
      <c r="G103" s="255" t="str">
        <f>CONCATENATE('3 pr-2'!H103)</f>
        <v>09.1.3-CPVA-R-724</v>
      </c>
      <c r="H103" s="255" t="str">
        <f>CONCATENATE('3 pr-2'!I103)</f>
        <v>R</v>
      </c>
      <c r="I103" s="255" t="str">
        <f>CONCATENATE('3 pr-2'!J103)</f>
        <v>-</v>
      </c>
      <c r="J103" s="474">
        <f>SUM('3 pr-2'!L103)</f>
        <v>220453</v>
      </c>
      <c r="K103" s="986">
        <f>SUM(O103+S103+W103+AA103+AE103)</f>
        <v>220453</v>
      </c>
      <c r="L103" s="475">
        <f t="shared" ref="L103:L107" si="161">SUM(J103-K103)</f>
        <v>0</v>
      </c>
      <c r="M103" s="724">
        <f t="shared" ref="M103:M107" si="162">IF(K103&gt;0,J103-K103,0)</f>
        <v>0</v>
      </c>
      <c r="N103" s="476">
        <f>SUM('3 pr-2'!O103)</f>
        <v>16534</v>
      </c>
      <c r="O103" s="986">
        <v>16534</v>
      </c>
      <c r="P103" s="475">
        <f t="shared" ref="P103:P107" si="163">SUM(N103-O103)</f>
        <v>0</v>
      </c>
      <c r="Q103" s="724">
        <f t="shared" ref="Q103:Q107" si="164">IF(O103&gt;0,N103-O103,0)</f>
        <v>0</v>
      </c>
      <c r="R103" s="476">
        <f>SUM('3 pr-2'!R103)</f>
        <v>16534</v>
      </c>
      <c r="S103" s="986">
        <v>16534</v>
      </c>
      <c r="T103" s="475">
        <f t="shared" ref="T103:T107" si="165">SUM(R103-S103)</f>
        <v>0</v>
      </c>
      <c r="U103" s="724">
        <f t="shared" ref="U103:U107" si="166">IF(S103&gt;0,R103-S103,0)</f>
        <v>0</v>
      </c>
      <c r="V103" s="476">
        <f>SUM('3 pr-2'!U103)</f>
        <v>0</v>
      </c>
      <c r="W103" s="474">
        <v>0</v>
      </c>
      <c r="X103" s="475">
        <f t="shared" ref="X103:X107" si="167">SUM(V103-W103)</f>
        <v>0</v>
      </c>
      <c r="Y103" s="724">
        <f t="shared" ref="Y103:Y107" si="168">IF(W103&gt;0,V103-W103,0)</f>
        <v>0</v>
      </c>
      <c r="Z103" s="476">
        <f>SUM('3 pr-2'!X103)</f>
        <v>0</v>
      </c>
      <c r="AA103" s="474">
        <v>0</v>
      </c>
      <c r="AB103" s="475">
        <f>SUM(Z103-AA103)</f>
        <v>0</v>
      </c>
      <c r="AC103" s="724">
        <f t="shared" ref="AC103:AC107" si="169">IF(AA103&gt;0,Z103-AA103,0)</f>
        <v>0</v>
      </c>
      <c r="AD103" s="476">
        <f>SUM('3 pr-2'!AA103)</f>
        <v>187385</v>
      </c>
      <c r="AE103" s="986">
        <v>187385</v>
      </c>
      <c r="AF103" s="728">
        <f t="shared" ref="AF103:AF107" si="170">SUM(AD103-AE103)</f>
        <v>0</v>
      </c>
      <c r="AG103" s="454">
        <f t="shared" ref="AG103:AG107" si="171">IF(AE103&gt;0,AD103-AE103,0)</f>
        <v>0</v>
      </c>
    </row>
    <row r="104" spans="1:33" ht="36.75" x14ac:dyDescent="0.25">
      <c r="A104" s="255" t="str">
        <f>CONCATENATE('3 pr-2'!A104)</f>
        <v>2.1.1.1.2</v>
      </c>
      <c r="B104" s="1015" t="str">
        <f>IF('ketv. 4 lent'!V104&gt;0,'ketv. 4 lent'!B104,"-")</f>
        <v>09.1.3-CPVA-R-724-11-0005</v>
      </c>
      <c r="C104" s="725" t="str">
        <f>CONCATENATE('3 pr-2'!D104)</f>
        <v>Alytaus rajono bendrojo ugdymo įstaigų aprūpinimas gamtos, technologijų, menų ir kitų mokslų laboratorijų įranga</v>
      </c>
      <c r="D104" s="255" t="str">
        <f>CONCATENATE('3 pr-2'!E104)</f>
        <v>Alytaus rajono savivaldybės administracija</v>
      </c>
      <c r="E104" s="255" t="str">
        <f>CONCATENATE('3 pr-2'!F104)</f>
        <v>Lietuvos Respublikos švietimo ir mokslo ministerija</v>
      </c>
      <c r="F104" s="255" t="str">
        <f>CONCATENATE('3 pr-2'!G104)</f>
        <v>Alytaus  rajono savivaldybė</v>
      </c>
      <c r="G104" s="255" t="str">
        <f>CONCATENATE('3 pr-2'!H104)</f>
        <v>09.1.3-CPVA-R-724</v>
      </c>
      <c r="H104" s="255" t="str">
        <f>CONCATENATE('3 pr-2'!I104)</f>
        <v>R</v>
      </c>
      <c r="I104" s="255" t="str">
        <f>CONCATENATE('3 pr-2'!J104)</f>
        <v>-</v>
      </c>
      <c r="J104" s="474">
        <f>SUM('3 pr-2'!L104)</f>
        <v>106844.82</v>
      </c>
      <c r="K104" s="986">
        <f>SUM(O104+S104+W104+AA104+AE104)</f>
        <v>106845.41</v>
      </c>
      <c r="L104" s="475">
        <f t="shared" si="161"/>
        <v>-0.58999999999650754</v>
      </c>
      <c r="M104" s="724">
        <f t="shared" si="162"/>
        <v>-0.58999999999650754</v>
      </c>
      <c r="N104" s="476">
        <f>SUM('3 pr-2'!O104)</f>
        <v>8013.41</v>
      </c>
      <c r="O104" s="986">
        <v>8013.41</v>
      </c>
      <c r="P104" s="475">
        <f t="shared" si="163"/>
        <v>0</v>
      </c>
      <c r="Q104" s="724">
        <f t="shared" si="164"/>
        <v>0</v>
      </c>
      <c r="R104" s="476">
        <f>SUM('3 pr-2'!R104)</f>
        <v>8013.41</v>
      </c>
      <c r="S104" s="986">
        <v>8014</v>
      </c>
      <c r="T104" s="475">
        <f t="shared" si="165"/>
        <v>-0.59000000000014552</v>
      </c>
      <c r="U104" s="724">
        <f t="shared" si="166"/>
        <v>-0.59000000000014552</v>
      </c>
      <c r="V104" s="476">
        <f>SUM('3 pr-2'!U104)</f>
        <v>0</v>
      </c>
      <c r="W104" s="474">
        <v>0</v>
      </c>
      <c r="X104" s="475">
        <f t="shared" si="167"/>
        <v>0</v>
      </c>
      <c r="Y104" s="724">
        <f t="shared" si="168"/>
        <v>0</v>
      </c>
      <c r="Z104" s="476">
        <f>SUM('3 pr-2'!X104)</f>
        <v>0</v>
      </c>
      <c r="AA104" s="474">
        <v>0</v>
      </c>
      <c r="AB104" s="475">
        <f>SUM(Z104-AA104)</f>
        <v>0</v>
      </c>
      <c r="AC104" s="724">
        <f t="shared" si="169"/>
        <v>0</v>
      </c>
      <c r="AD104" s="476">
        <f>SUM('3 pr-2'!AA104)</f>
        <v>90818</v>
      </c>
      <c r="AE104" s="986">
        <v>90818</v>
      </c>
      <c r="AF104" s="721">
        <f t="shared" si="170"/>
        <v>0</v>
      </c>
      <c r="AG104" s="454">
        <f t="shared" si="171"/>
        <v>0</v>
      </c>
    </row>
    <row r="105" spans="1:33" ht="36.75" x14ac:dyDescent="0.25">
      <c r="A105" s="255" t="str">
        <f>CONCATENATE('3 pr-2'!A105)</f>
        <v>2.1.1.1.3</v>
      </c>
      <c r="B105" s="1015" t="str">
        <f>IF('ketv. 4 lent'!V105&gt;0,'ketv. 4 lent'!B105,"-")</f>
        <v>-</v>
      </c>
      <c r="C105" s="725" t="str">
        <f>CONCATENATE('3 pr-2'!D105)</f>
        <v>Modernių ir saugių erdvių kūrimas Dzūkijos pagrindinėje mokykloje, Alytuje</v>
      </c>
      <c r="D105" s="255" t="str">
        <f>CONCATENATE('3 pr-2'!E105)</f>
        <v>Alytaus miesto savivaldybės administracija</v>
      </c>
      <c r="E105" s="255" t="str">
        <f>CONCATENATE('3 pr-2'!F105)</f>
        <v>Lietuvos Respublikos švietimo ir mokslo ministerija</v>
      </c>
      <c r="F105" s="255" t="str">
        <f>CONCATENATE('3 pr-2'!G105)</f>
        <v>Alytaus  miestas</v>
      </c>
      <c r="G105" s="255" t="str">
        <f>CONCATENATE('3 pr-2'!H105)</f>
        <v>09.1.3-CPVA-R-724</v>
      </c>
      <c r="H105" s="255" t="str">
        <f>CONCATENATE('3 pr-2'!I105)</f>
        <v>R</v>
      </c>
      <c r="I105" s="255" t="str">
        <f>CONCATENATE('3 pr-2'!J105)</f>
        <v>-</v>
      </c>
      <c r="J105" s="474">
        <f>SUM('3 pr-2'!L105)</f>
        <v>657021</v>
      </c>
      <c r="K105" s="474">
        <v>0</v>
      </c>
      <c r="L105" s="475">
        <f t="shared" si="161"/>
        <v>657021</v>
      </c>
      <c r="M105" s="724">
        <f t="shared" si="162"/>
        <v>0</v>
      </c>
      <c r="N105" s="476">
        <f>SUM('3 pr-2'!O105)</f>
        <v>49277</v>
      </c>
      <c r="O105" s="474">
        <v>0</v>
      </c>
      <c r="P105" s="475">
        <f t="shared" si="163"/>
        <v>49277</v>
      </c>
      <c r="Q105" s="724">
        <f t="shared" si="164"/>
        <v>0</v>
      </c>
      <c r="R105" s="476">
        <f>SUM('3 pr-2'!R105)</f>
        <v>49277</v>
      </c>
      <c r="S105" s="474">
        <v>0</v>
      </c>
      <c r="T105" s="475">
        <f t="shared" si="165"/>
        <v>49277</v>
      </c>
      <c r="U105" s="724">
        <f t="shared" si="166"/>
        <v>0</v>
      </c>
      <c r="V105" s="476">
        <f>SUM('3 pr-2'!U105)</f>
        <v>0</v>
      </c>
      <c r="W105" s="474">
        <v>0</v>
      </c>
      <c r="X105" s="475">
        <f t="shared" si="167"/>
        <v>0</v>
      </c>
      <c r="Y105" s="724">
        <f t="shared" si="168"/>
        <v>0</v>
      </c>
      <c r="Z105" s="476">
        <f>SUM('3 pr-2'!X105)</f>
        <v>0</v>
      </c>
      <c r="AA105" s="474">
        <v>0</v>
      </c>
      <c r="AB105" s="475">
        <f>SUM(Z105-AA105)</f>
        <v>0</v>
      </c>
      <c r="AC105" s="724">
        <f t="shared" si="169"/>
        <v>0</v>
      </c>
      <c r="AD105" s="476">
        <f>SUM('3 pr-2'!AA105)</f>
        <v>558467</v>
      </c>
      <c r="AE105" s="474">
        <v>0</v>
      </c>
      <c r="AF105" s="721">
        <f t="shared" si="170"/>
        <v>558467</v>
      </c>
      <c r="AG105" s="454">
        <f t="shared" si="171"/>
        <v>0</v>
      </c>
    </row>
    <row r="106" spans="1:33" ht="36.75" x14ac:dyDescent="0.25">
      <c r="A106" s="255" t="str">
        <f>CONCATENATE('3 pr-2'!A106)</f>
        <v>2.1.1.1.4</v>
      </c>
      <c r="B106" s="1015" t="str">
        <f>IF('ketv. 4 lent'!V106&gt;0,'ketv. 4 lent'!B106,"-")</f>
        <v>09.1.3-CPVA-R-724-11-0004</v>
      </c>
      <c r="C106" s="725" t="str">
        <f>CONCATENATE('3 pr-2'!D106)</f>
        <v>Modernių ir saugių erdvių sukūrimas bendrojo ugdymo mokyklose Druskininkų sav.</v>
      </c>
      <c r="D106" s="255" t="str">
        <f>CONCATENATE('3 pr-2'!E106)</f>
        <v>Druskininkų savivaldybės administracija</v>
      </c>
      <c r="E106" s="255" t="str">
        <f>CONCATENATE('3 pr-2'!F106)</f>
        <v>Lietuvos Respublikos švietimo ir mokslo ministerija</v>
      </c>
      <c r="F106" s="255" t="str">
        <f>CONCATENATE('3 pr-2'!G106)</f>
        <v>Druskininkų savivaldybė</v>
      </c>
      <c r="G106" s="255" t="str">
        <f>CONCATENATE('3 pr-2'!H106)</f>
        <v>09.1.3-CPVA-R-724</v>
      </c>
      <c r="H106" s="255" t="str">
        <f>CONCATENATE('3 pr-2'!I106)</f>
        <v>R</v>
      </c>
      <c r="I106" s="255" t="str">
        <f>CONCATENATE('3 pr-2'!J106)</f>
        <v>-</v>
      </c>
      <c r="J106" s="474">
        <f>SUM('3 pr-2'!L106)</f>
        <v>163877</v>
      </c>
      <c r="K106" s="986">
        <f>SUM(O106+S106+W106+AA106+AE106)</f>
        <v>163877</v>
      </c>
      <c r="L106" s="475">
        <f t="shared" si="161"/>
        <v>0</v>
      </c>
      <c r="M106" s="724">
        <f t="shared" si="162"/>
        <v>0</v>
      </c>
      <c r="N106" s="476">
        <f>SUM('3 pr-2'!O106)</f>
        <v>12291</v>
      </c>
      <c r="O106" s="986">
        <v>12291</v>
      </c>
      <c r="P106" s="475">
        <f t="shared" si="163"/>
        <v>0</v>
      </c>
      <c r="Q106" s="724">
        <f t="shared" si="164"/>
        <v>0</v>
      </c>
      <c r="R106" s="476">
        <f>SUM('3 pr-2'!R106)</f>
        <v>12291</v>
      </c>
      <c r="S106" s="986">
        <v>12291</v>
      </c>
      <c r="T106" s="475">
        <f t="shared" si="165"/>
        <v>0</v>
      </c>
      <c r="U106" s="724">
        <f t="shared" si="166"/>
        <v>0</v>
      </c>
      <c r="V106" s="476">
        <f>SUM('3 pr-2'!U106)</f>
        <v>0</v>
      </c>
      <c r="W106" s="986">
        <v>0</v>
      </c>
      <c r="X106" s="475">
        <f t="shared" si="167"/>
        <v>0</v>
      </c>
      <c r="Y106" s="724">
        <f t="shared" si="168"/>
        <v>0</v>
      </c>
      <c r="Z106" s="476">
        <f>SUM('3 pr-2'!X106)</f>
        <v>0</v>
      </c>
      <c r="AA106" s="986">
        <v>0</v>
      </c>
      <c r="AB106" s="475">
        <f>SUM(Z106-AA106)</f>
        <v>0</v>
      </c>
      <c r="AC106" s="724">
        <f t="shared" si="169"/>
        <v>0</v>
      </c>
      <c r="AD106" s="476">
        <f>SUM('3 pr-2'!AA106)</f>
        <v>139295</v>
      </c>
      <c r="AE106" s="986">
        <v>139295</v>
      </c>
      <c r="AF106" s="721">
        <f t="shared" si="170"/>
        <v>0</v>
      </c>
      <c r="AG106" s="454">
        <f t="shared" si="171"/>
        <v>0</v>
      </c>
    </row>
    <row r="107" spans="1:33" ht="37.5" thickBot="1" x14ac:dyDescent="0.3">
      <c r="A107" s="255" t="str">
        <f>CONCATENATE('3 pr-2'!A107)</f>
        <v>2.1.1.1.5</v>
      </c>
      <c r="B107" s="1015" t="str">
        <f>IF('ketv. 4 lent'!V107&gt;0,'ketv. 4 lent'!B107,"-")</f>
        <v>-</v>
      </c>
      <c r="C107" s="725" t="str">
        <f>CONCATENATE('3 pr-2'!D107)</f>
        <v>Modernių ir saugių erdvių sukūrimas bendrojo ugdymo įstaigose Lazdijų rajono savivaldybėje</v>
      </c>
      <c r="D107" s="255" t="str">
        <f>CONCATENATE('3 pr-2'!E107)</f>
        <v>Lazdijų rajono savivaldybės administracija</v>
      </c>
      <c r="E107" s="255" t="str">
        <f>CONCATENATE('3 pr-2'!F107)</f>
        <v>Lietuvos Respublikos švietimo ir mokslo ministerija</v>
      </c>
      <c r="F107" s="255" t="str">
        <f>CONCATENATE('3 pr-2'!G107)</f>
        <v>Lazdijų rajono savivaldybė</v>
      </c>
      <c r="G107" s="255" t="str">
        <f>CONCATENATE('3 pr-2'!H107)</f>
        <v>09.1.3-CPVA-R-724</v>
      </c>
      <c r="H107" s="255" t="str">
        <f>CONCATENATE('3 pr-2'!I107)</f>
        <v>R</v>
      </c>
      <c r="I107" s="255" t="str">
        <f>CONCATENATE('3 pr-2'!J107)</f>
        <v>-</v>
      </c>
      <c r="J107" s="474">
        <f>SUM('3 pr-2'!L107)</f>
        <v>195779</v>
      </c>
      <c r="K107" s="474">
        <v>0</v>
      </c>
      <c r="L107" s="475">
        <f t="shared" si="161"/>
        <v>195779</v>
      </c>
      <c r="M107" s="724">
        <f t="shared" si="162"/>
        <v>0</v>
      </c>
      <c r="N107" s="476">
        <f>SUM('3 pr-2'!O107)</f>
        <v>14684</v>
      </c>
      <c r="O107" s="474">
        <v>0</v>
      </c>
      <c r="P107" s="475">
        <f t="shared" si="163"/>
        <v>14684</v>
      </c>
      <c r="Q107" s="724">
        <f t="shared" si="164"/>
        <v>0</v>
      </c>
      <c r="R107" s="476">
        <f>SUM('3 pr-2'!R107)</f>
        <v>14683</v>
      </c>
      <c r="S107" s="474">
        <v>0</v>
      </c>
      <c r="T107" s="475">
        <f t="shared" si="165"/>
        <v>14683</v>
      </c>
      <c r="U107" s="724">
        <f t="shared" si="166"/>
        <v>0</v>
      </c>
      <c r="V107" s="476">
        <f>SUM('3 pr-2'!U107)</f>
        <v>0</v>
      </c>
      <c r="W107" s="474">
        <v>0</v>
      </c>
      <c r="X107" s="475">
        <f t="shared" si="167"/>
        <v>0</v>
      </c>
      <c r="Y107" s="724">
        <f t="shared" si="168"/>
        <v>0</v>
      </c>
      <c r="Z107" s="476">
        <f>SUM('3 pr-2'!X107)</f>
        <v>0</v>
      </c>
      <c r="AA107" s="474">
        <v>0</v>
      </c>
      <c r="AB107" s="475">
        <f>SUM(Z107-AA107)</f>
        <v>0</v>
      </c>
      <c r="AC107" s="724">
        <f t="shared" si="169"/>
        <v>0</v>
      </c>
      <c r="AD107" s="476">
        <f>SUM('3 pr-2'!AA107)</f>
        <v>166412</v>
      </c>
      <c r="AE107" s="474">
        <v>0</v>
      </c>
      <c r="AF107" s="727">
        <f t="shared" si="170"/>
        <v>166412</v>
      </c>
      <c r="AG107" s="454">
        <f t="shared" si="171"/>
        <v>0</v>
      </c>
    </row>
    <row r="108" spans="1:33" ht="31.5" customHeight="1" thickBot="1" x14ac:dyDescent="0.3">
      <c r="A108" s="497" t="str">
        <f>CONCATENATE('3 pr-2'!A108)</f>
        <v>2.1.1.2</v>
      </c>
      <c r="B108" s="613" t="str">
        <f>CONCATENATE('ketv. 2lent'!B107)</f>
        <v/>
      </c>
      <c r="C108" s="1656" t="str">
        <f>CONCATENATE('3 pr-2'!D108)</f>
        <v/>
      </c>
      <c r="D108" s="1789"/>
      <c r="E108" s="1789"/>
      <c r="F108" s="1789"/>
      <c r="G108" s="1789"/>
      <c r="H108" s="1789"/>
      <c r="I108" s="1790"/>
      <c r="J108" s="629">
        <f>SUM('3 pr-2'!L108)</f>
        <v>1973901.3</v>
      </c>
      <c r="K108" s="629">
        <f>SUM(K109:K113)</f>
        <v>1973870.18</v>
      </c>
      <c r="L108" s="722">
        <f>SUM(L109:L113)</f>
        <v>31.119999999995343</v>
      </c>
      <c r="M108" s="723">
        <f>SUM(M109:M113)</f>
        <v>31.119999999995343</v>
      </c>
      <c r="N108" s="629">
        <f>SUM('3 pr-2'!O108)</f>
        <v>487893.3</v>
      </c>
      <c r="O108" s="629">
        <f>SUM(O109:O113)</f>
        <v>487863.18</v>
      </c>
      <c r="P108" s="629">
        <f>SUM(P109:P113)</f>
        <v>30.119999999995343</v>
      </c>
      <c r="Q108" s="629">
        <f>SUM(Q109:Q113)</f>
        <v>30.119999999995343</v>
      </c>
      <c r="R108" s="629">
        <f>SUM('3 pr-2'!R108)</f>
        <v>0</v>
      </c>
      <c r="S108" s="629">
        <f>SUM(S109:S113)</f>
        <v>0</v>
      </c>
      <c r="T108" s="629">
        <f>SUM(T109:T113)</f>
        <v>0</v>
      </c>
      <c r="U108" s="629">
        <f>SUM(U109:U113)</f>
        <v>0</v>
      </c>
      <c r="V108" s="629">
        <f>SUM('3 pr-2'!U108)</f>
        <v>0</v>
      </c>
      <c r="W108" s="629">
        <f>SUM(W109:W113)</f>
        <v>0</v>
      </c>
      <c r="X108" s="629">
        <f>SUM(X109:X113)</f>
        <v>0</v>
      </c>
      <c r="Y108" s="629">
        <f>SUM(Y109:Y113)</f>
        <v>0</v>
      </c>
      <c r="Z108" s="629">
        <f>SUM('3 pr-2'!X108)</f>
        <v>0</v>
      </c>
      <c r="AA108" s="629">
        <f>SUM(AA109:AA113)</f>
        <v>0</v>
      </c>
      <c r="AB108" s="629">
        <f>SUM(AB109:AB113)</f>
        <v>0</v>
      </c>
      <c r="AC108" s="629">
        <f>SUM(AC109:AC113)</f>
        <v>0</v>
      </c>
      <c r="AD108" s="629">
        <f>SUM('3 pr-2'!AA108)</f>
        <v>1486008</v>
      </c>
      <c r="AE108" s="629">
        <f>SUM(AE109:AE113)</f>
        <v>1486007</v>
      </c>
      <c r="AF108" s="352">
        <f>SUM(AF109:AF113)</f>
        <v>1</v>
      </c>
      <c r="AG108" s="455">
        <f>SUM(AG109:AG113)</f>
        <v>1</v>
      </c>
    </row>
    <row r="109" spans="1:33" ht="36.75" x14ac:dyDescent="0.25">
      <c r="A109" s="580" t="str">
        <f>CONCATENATE('3 pr-2'!A109)</f>
        <v>2.1.1.2.1</v>
      </c>
      <c r="B109" s="1015" t="str">
        <f>IF('ketv. 4 lent'!V109&gt;0,'ketv. 4 lent'!B109,"-")</f>
        <v>09.1.3-CPVA-R-725-11-0003</v>
      </c>
      <c r="C109" s="725" t="str">
        <f>CONCATENATE('3 pr-2'!D109)</f>
        <v>Varėnos moksleivių kūrybos centro pastato J. Basanavičiaus g. 38, Varėnoje, modernizavimas</v>
      </c>
      <c r="D109" s="580" t="str">
        <f>CONCATENATE('3 pr-2'!E109)</f>
        <v>Varėnos rajono savivaldybės administracija</v>
      </c>
      <c r="E109" s="580" t="str">
        <f>CONCATENATE('3 pr-2'!F109)</f>
        <v>Lietuvos Respublikos švietimo ir mokslo ministerija</v>
      </c>
      <c r="F109" s="580" t="str">
        <f>CONCATENATE('3 pr-2'!G109)</f>
        <v>Varėnos miestas</v>
      </c>
      <c r="G109" s="580" t="str">
        <f>CONCATENATE('3 pr-2'!H109)</f>
        <v>09.13.CPVA-R-725</v>
      </c>
      <c r="H109" s="580" t="str">
        <f>CONCATENATE('3 pr-2'!I109)</f>
        <v>R</v>
      </c>
      <c r="I109" s="580" t="str">
        <f>CONCATENATE('3 pr-2'!J109)</f>
        <v>-</v>
      </c>
      <c r="J109" s="476">
        <f>SUM('3 pr-2'!L109)</f>
        <v>437551</v>
      </c>
      <c r="K109" s="1014">
        <f>SUM(O109+S109+W109+AA109+AE109)</f>
        <v>437551</v>
      </c>
      <c r="L109" s="476">
        <f t="shared" ref="L109:L113" si="172">SUM(J109-K109)</f>
        <v>0</v>
      </c>
      <c r="M109" s="476">
        <f t="shared" ref="M109:M113" si="173">IF(K109&gt;0,J109-K109,0)</f>
        <v>0</v>
      </c>
      <c r="N109" s="476">
        <f>SUM('3 pr-2'!O109)</f>
        <v>65633</v>
      </c>
      <c r="O109" s="1014">
        <v>65633</v>
      </c>
      <c r="P109" s="476">
        <f t="shared" ref="P109:P113" si="174">SUM(N109-O109)</f>
        <v>0</v>
      </c>
      <c r="Q109" s="476">
        <f t="shared" ref="Q109:Q113" si="175">IF(O109&gt;0,N109-O109,0)</f>
        <v>0</v>
      </c>
      <c r="R109" s="476">
        <f>SUM('3 pr-2'!R109)</f>
        <v>0</v>
      </c>
      <c r="S109" s="476">
        <v>0</v>
      </c>
      <c r="T109" s="476">
        <f t="shared" ref="T109:T113" si="176">SUM(R109-S109)</f>
        <v>0</v>
      </c>
      <c r="U109" s="476">
        <f t="shared" ref="U109:U113" si="177">IF(S109&gt;0,R109-S109,0)</f>
        <v>0</v>
      </c>
      <c r="V109" s="476">
        <f>SUM('3 pr-2'!U109)</f>
        <v>0</v>
      </c>
      <c r="W109" s="476">
        <v>0</v>
      </c>
      <c r="X109" s="476">
        <f t="shared" ref="X109:X113" si="178">SUM(V109-W109)</f>
        <v>0</v>
      </c>
      <c r="Y109" s="476">
        <f t="shared" ref="Y109:Y113" si="179">IF(W109&gt;0,V109-W109,0)</f>
        <v>0</v>
      </c>
      <c r="Z109" s="476">
        <f>SUM('3 pr-2'!X109)</f>
        <v>0</v>
      </c>
      <c r="AA109" s="476">
        <v>0</v>
      </c>
      <c r="AB109" s="476">
        <f>SUM(Z109-AA109)</f>
        <v>0</v>
      </c>
      <c r="AC109" s="476">
        <f t="shared" ref="AC109:AC113" si="180">IF(AA109&gt;0,Z109-AA109,0)</f>
        <v>0</v>
      </c>
      <c r="AD109" s="476">
        <f>SUM('3 pr-2'!AA109)</f>
        <v>371918</v>
      </c>
      <c r="AE109" s="1014">
        <v>371918</v>
      </c>
      <c r="AF109" s="727">
        <f t="shared" ref="AF109:AF113" si="181">SUM(AD109-AE109)</f>
        <v>0</v>
      </c>
      <c r="AG109" s="454">
        <f t="shared" ref="AG109:AG113" si="182">IF(AE109&gt;0,AD109-AE109,0)</f>
        <v>0</v>
      </c>
    </row>
    <row r="110" spans="1:33" ht="36.75" x14ac:dyDescent="0.25">
      <c r="A110" s="580" t="str">
        <f>CONCATENATE('3 pr-2'!A110)</f>
        <v>2.1.1.2.2</v>
      </c>
      <c r="B110" s="1015" t="str">
        <f>IF('ketv. 4 lent'!V110&gt;0,'ketv. 4 lent'!B110,"-")</f>
        <v>09.1.3-CPVA-R-725-11-0005</v>
      </c>
      <c r="C110" s="725" t="str">
        <f>CONCATENATE('3 pr-2'!D110)</f>
        <v>Alytaus r. meno ir sporto mokyklos edukacinių erdvių įkūrimas ir atnaujinimas</v>
      </c>
      <c r="D110" s="580" t="str">
        <f>CONCATENATE('3 pr-2'!E110)</f>
        <v>Alytaus rajono savivaldybės administracija</v>
      </c>
      <c r="E110" s="580" t="str">
        <f>CONCATENATE('3 pr-2'!F110)</f>
        <v>Lietuvos Respublikos švietimo ir mokslo ministerija</v>
      </c>
      <c r="F110" s="580" t="str">
        <f>CONCATENATE('3 pr-2'!G110)</f>
        <v>Alytaus  rajono savivaldybė</v>
      </c>
      <c r="G110" s="580" t="str">
        <f>CONCATENATE('3 pr-2'!H110)</f>
        <v>09.13.CPVA-R-725</v>
      </c>
      <c r="H110" s="580" t="str">
        <f>CONCATENATE('3 pr-2'!I110)</f>
        <v>R</v>
      </c>
      <c r="I110" s="580" t="str">
        <f>CONCATENATE('3 pr-2'!J110)</f>
        <v>-</v>
      </c>
      <c r="J110" s="476">
        <f>SUM('3 pr-2'!L110)</f>
        <v>856456</v>
      </c>
      <c r="K110" s="1014">
        <f>SUM(O110+S110+W110+AA110+AE110)</f>
        <v>856424.88</v>
      </c>
      <c r="L110" s="476">
        <f t="shared" si="172"/>
        <v>31.119999999995343</v>
      </c>
      <c r="M110" s="476">
        <f t="shared" si="173"/>
        <v>31.119999999995343</v>
      </c>
      <c r="N110" s="476">
        <f>SUM('3 pr-2'!O110)</f>
        <v>319845</v>
      </c>
      <c r="O110" s="1014">
        <v>319813.88</v>
      </c>
      <c r="P110" s="476">
        <f t="shared" si="174"/>
        <v>31.119999999995343</v>
      </c>
      <c r="Q110" s="476">
        <f t="shared" si="175"/>
        <v>31.119999999995343</v>
      </c>
      <c r="R110" s="476">
        <f>SUM('3 pr-2'!R110)</f>
        <v>0</v>
      </c>
      <c r="S110" s="476">
        <v>0</v>
      </c>
      <c r="T110" s="476">
        <f t="shared" si="176"/>
        <v>0</v>
      </c>
      <c r="U110" s="476">
        <f t="shared" si="177"/>
        <v>0</v>
      </c>
      <c r="V110" s="476">
        <f>SUM('3 pr-2'!U110)</f>
        <v>0</v>
      </c>
      <c r="W110" s="476">
        <v>0</v>
      </c>
      <c r="X110" s="476">
        <f t="shared" si="178"/>
        <v>0</v>
      </c>
      <c r="Y110" s="476">
        <f t="shared" si="179"/>
        <v>0</v>
      </c>
      <c r="Z110" s="476">
        <f>SUM('3 pr-2'!X110)</f>
        <v>0</v>
      </c>
      <c r="AA110" s="476">
        <v>0</v>
      </c>
      <c r="AB110" s="476">
        <f>SUM(Z110-AA110)</f>
        <v>0</v>
      </c>
      <c r="AC110" s="476">
        <f t="shared" si="180"/>
        <v>0</v>
      </c>
      <c r="AD110" s="476">
        <f>SUM('3 pr-2'!AA110)</f>
        <v>536611</v>
      </c>
      <c r="AE110" s="1014">
        <v>536611</v>
      </c>
      <c r="AF110" s="727">
        <f t="shared" si="181"/>
        <v>0</v>
      </c>
      <c r="AG110" s="454">
        <f t="shared" si="182"/>
        <v>0</v>
      </c>
    </row>
    <row r="111" spans="1:33" ht="36.75" x14ac:dyDescent="0.25">
      <c r="A111" s="580" t="str">
        <f>CONCATENATE('3 pr-2'!A111)</f>
        <v>2.1.1.2.3</v>
      </c>
      <c r="B111" s="1015" t="str">
        <f>IF('ketv. 4 lent'!V111&gt;0,'ketv. 4 lent'!B111,"-")</f>
        <v>09.1.3-CPVA-R-725-11-0004</v>
      </c>
      <c r="C111" s="725" t="str">
        <f>CONCATENATE('3 pr-2'!D111)</f>
        <v>Alytaus muzikos mokyklos pastato modernizavimas ir ugdymo aplinkos gerinimas</v>
      </c>
      <c r="D111" s="580" t="str">
        <f>CONCATENATE('3 pr-2'!E111)</f>
        <v>Alytaus miesto savivaldybės administracija</v>
      </c>
      <c r="E111" s="580" t="str">
        <f>CONCATENATE('3 pr-2'!F111)</f>
        <v>Lietuvos Respublikos švietimo ir mokslo ministerija</v>
      </c>
      <c r="F111" s="580" t="str">
        <f>CONCATENATE('3 pr-2'!G111)</f>
        <v>Alytaus  miestas</v>
      </c>
      <c r="G111" s="580" t="str">
        <f>CONCATENATE('3 pr-2'!H111)</f>
        <v>09.13.CPVA-R-725</v>
      </c>
      <c r="H111" s="580" t="str">
        <f>CONCATENATE('3 pr-2'!I111)</f>
        <v>R</v>
      </c>
      <c r="I111" s="580" t="str">
        <f>CONCATENATE('3 pr-2'!J111)</f>
        <v>-</v>
      </c>
      <c r="J111" s="476">
        <f>SUM('3 pr-2'!L111)</f>
        <v>397378</v>
      </c>
      <c r="K111" s="1014">
        <f>SUM(O111+S111+W111+AA111+AE111)</f>
        <v>397378</v>
      </c>
      <c r="L111" s="476">
        <f t="shared" si="172"/>
        <v>0</v>
      </c>
      <c r="M111" s="476">
        <f t="shared" si="173"/>
        <v>0</v>
      </c>
      <c r="N111" s="476">
        <f>SUM('3 pr-2'!O111)</f>
        <v>59607</v>
      </c>
      <c r="O111" s="1014">
        <v>59607</v>
      </c>
      <c r="P111" s="476">
        <f t="shared" si="174"/>
        <v>0</v>
      </c>
      <c r="Q111" s="476">
        <f t="shared" si="175"/>
        <v>0</v>
      </c>
      <c r="R111" s="476">
        <f>SUM('3 pr-2'!R111)</f>
        <v>0</v>
      </c>
      <c r="S111" s="476">
        <v>0</v>
      </c>
      <c r="T111" s="476">
        <f t="shared" si="176"/>
        <v>0</v>
      </c>
      <c r="U111" s="476">
        <f t="shared" si="177"/>
        <v>0</v>
      </c>
      <c r="V111" s="476">
        <f>SUM('3 pr-2'!U111)</f>
        <v>0</v>
      </c>
      <c r="W111" s="476">
        <v>0</v>
      </c>
      <c r="X111" s="476">
        <f t="shared" si="178"/>
        <v>0</v>
      </c>
      <c r="Y111" s="476">
        <f t="shared" si="179"/>
        <v>0</v>
      </c>
      <c r="Z111" s="476">
        <f>SUM('3 pr-2'!X111)</f>
        <v>0</v>
      </c>
      <c r="AA111" s="476">
        <v>0</v>
      </c>
      <c r="AB111" s="476">
        <f>SUM(Z111-AA111)</f>
        <v>0</v>
      </c>
      <c r="AC111" s="476">
        <f t="shared" si="180"/>
        <v>0</v>
      </c>
      <c r="AD111" s="476">
        <f>SUM('3 pr-2'!AA111)</f>
        <v>337771</v>
      </c>
      <c r="AE111" s="1014">
        <v>337771</v>
      </c>
      <c r="AF111" s="727">
        <f t="shared" si="181"/>
        <v>0</v>
      </c>
      <c r="AG111" s="454">
        <f t="shared" si="182"/>
        <v>0</v>
      </c>
    </row>
    <row r="112" spans="1:33" ht="36.75" x14ac:dyDescent="0.25">
      <c r="A112" s="580" t="str">
        <f>CONCATENATE('3 pr-2'!A112)</f>
        <v>2.1.1.2.4</v>
      </c>
      <c r="B112" s="1015" t="str">
        <f>IF('ketv. 4 lent'!V112&gt;0,'ketv. 4 lent'!B112,"-")</f>
        <v>09.1.3-CPVA-R-725-11-0002</v>
      </c>
      <c r="C112" s="725" t="str">
        <f>CONCATENATE('3 pr-2'!D112)</f>
        <v>Druskininkų M. K. Čiurlionio meno mokyklos infrastruktūros tobulinimas</v>
      </c>
      <c r="D112" s="580" t="str">
        <f>CONCATENATE('3 pr-2'!E112)</f>
        <v xml:space="preserve">Druskininkų savivaldybės administracija  </v>
      </c>
      <c r="E112" s="580" t="str">
        <f>CONCATENATE('3 pr-2'!F112)</f>
        <v>Lietuvos Respublikos švietimo ir mokslo ministerija</v>
      </c>
      <c r="F112" s="580" t="str">
        <f>CONCATENATE('3 pr-2'!G112)</f>
        <v>Druskininkų miestas</v>
      </c>
      <c r="G112" s="580" t="str">
        <f>CONCATENATE('3 pr-2'!H112)</f>
        <v>09.13.CPVA-R-725</v>
      </c>
      <c r="H112" s="580" t="str">
        <f>CONCATENATE('3 pr-2'!I112)</f>
        <v>R</v>
      </c>
      <c r="I112" s="580" t="str">
        <f>CONCATENATE('3 pr-2'!J112)</f>
        <v>-</v>
      </c>
      <c r="J112" s="476">
        <f>SUM('3 pr-2'!L112)</f>
        <v>146702.29999999999</v>
      </c>
      <c r="K112" s="1014">
        <f>SUM(O112+S112+W112+AA112+AE112)</f>
        <v>146702.29999999999</v>
      </c>
      <c r="L112" s="476">
        <f t="shared" si="172"/>
        <v>0</v>
      </c>
      <c r="M112" s="476">
        <f t="shared" si="173"/>
        <v>0</v>
      </c>
      <c r="N112" s="476">
        <f>SUM('3 pr-2'!O112)</f>
        <v>22436.3</v>
      </c>
      <c r="O112" s="1014">
        <v>22436.3</v>
      </c>
      <c r="P112" s="476">
        <f t="shared" si="174"/>
        <v>0</v>
      </c>
      <c r="Q112" s="476">
        <f t="shared" si="175"/>
        <v>0</v>
      </c>
      <c r="R112" s="476">
        <f>SUM('3 pr-2'!R112)</f>
        <v>0</v>
      </c>
      <c r="S112" s="476">
        <v>0</v>
      </c>
      <c r="T112" s="476">
        <f t="shared" si="176"/>
        <v>0</v>
      </c>
      <c r="U112" s="476">
        <f t="shared" si="177"/>
        <v>0</v>
      </c>
      <c r="V112" s="476">
        <f>SUM('3 pr-2'!U112)</f>
        <v>0</v>
      </c>
      <c r="W112" s="476">
        <v>0</v>
      </c>
      <c r="X112" s="476">
        <f t="shared" si="178"/>
        <v>0</v>
      </c>
      <c r="Y112" s="476">
        <f t="shared" si="179"/>
        <v>0</v>
      </c>
      <c r="Z112" s="476">
        <f>SUM('3 pr-2'!X112)</f>
        <v>0</v>
      </c>
      <c r="AA112" s="476">
        <v>0</v>
      </c>
      <c r="AB112" s="476">
        <f>SUM(Z112-AA112)</f>
        <v>0</v>
      </c>
      <c r="AC112" s="476">
        <f t="shared" si="180"/>
        <v>0</v>
      </c>
      <c r="AD112" s="476">
        <f>SUM('3 pr-2'!AA112)</f>
        <v>124266</v>
      </c>
      <c r="AE112" s="1014">
        <v>124266</v>
      </c>
      <c r="AF112" s="727">
        <f t="shared" si="181"/>
        <v>0</v>
      </c>
      <c r="AG112" s="454">
        <f t="shared" si="182"/>
        <v>0</v>
      </c>
    </row>
    <row r="113" spans="1:33" ht="37.5" thickBot="1" x14ac:dyDescent="0.3">
      <c r="A113" s="580" t="str">
        <f>CONCATENATE('3 pr-2'!A113)</f>
        <v>2.1.1.2.5</v>
      </c>
      <c r="B113" s="1015" t="str">
        <f>IF('ketv. 4 lent'!V113&gt;0,'ketv. 4 lent'!B113,"-")</f>
        <v>09.1.3-CPVA-R-725-11-0001</v>
      </c>
      <c r="C113" s="725" t="str">
        <f>CONCATENATE('3 pr-2'!D113)</f>
        <v>Neformaliojo švietimo įstaigų Lazdijų rajono savivaldybėje infrastruktūros tobulinimas</v>
      </c>
      <c r="D113" s="580" t="str">
        <f>CONCATENATE('3 pr-2'!E113)</f>
        <v>VšĮ „Lazdijų sporto centras“</v>
      </c>
      <c r="E113" s="580" t="str">
        <f>CONCATENATE('3 pr-2'!F113)</f>
        <v>Lietuvos Respublikos švietimo ir mokslo ministerija</v>
      </c>
      <c r="F113" s="580" t="str">
        <f>CONCATENATE('3 pr-2'!G113)</f>
        <v>Lazdijų rajono savivaldybė</v>
      </c>
      <c r="G113" s="580" t="str">
        <f>CONCATENATE('3 pr-2'!H113)</f>
        <v>09.13.CPVA-R-725</v>
      </c>
      <c r="H113" s="580" t="str">
        <f>CONCATENATE('3 pr-2'!I113)</f>
        <v>R</v>
      </c>
      <c r="I113" s="580" t="str">
        <f>CONCATENATE('3 pr-2'!J113)</f>
        <v>-</v>
      </c>
      <c r="J113" s="476">
        <f>SUM('3 pr-2'!L113)</f>
        <v>135814</v>
      </c>
      <c r="K113" s="1014">
        <f>SUM(O113+S113+W113+AA113+AE113)</f>
        <v>135814</v>
      </c>
      <c r="L113" s="476">
        <f t="shared" si="172"/>
        <v>0</v>
      </c>
      <c r="M113" s="476">
        <f t="shared" si="173"/>
        <v>0</v>
      </c>
      <c r="N113" s="476">
        <f>SUM('3 pr-2'!O113)</f>
        <v>20372</v>
      </c>
      <c r="O113" s="1014">
        <v>20373</v>
      </c>
      <c r="P113" s="476">
        <f t="shared" si="174"/>
        <v>-1</v>
      </c>
      <c r="Q113" s="476">
        <f t="shared" si="175"/>
        <v>-1</v>
      </c>
      <c r="R113" s="476">
        <f>SUM('3 pr-2'!R113)</f>
        <v>0</v>
      </c>
      <c r="S113" s="476">
        <v>0</v>
      </c>
      <c r="T113" s="476">
        <f t="shared" si="176"/>
        <v>0</v>
      </c>
      <c r="U113" s="476">
        <f t="shared" si="177"/>
        <v>0</v>
      </c>
      <c r="V113" s="476">
        <f>SUM('3 pr-2'!U113)</f>
        <v>0</v>
      </c>
      <c r="W113" s="476">
        <v>0</v>
      </c>
      <c r="X113" s="476">
        <f t="shared" si="178"/>
        <v>0</v>
      </c>
      <c r="Y113" s="476">
        <f t="shared" si="179"/>
        <v>0</v>
      </c>
      <c r="Z113" s="476">
        <f>SUM('3 pr-2'!X113)</f>
        <v>0</v>
      </c>
      <c r="AA113" s="476">
        <v>0</v>
      </c>
      <c r="AB113" s="476">
        <f>SUM(Z113-AA113)</f>
        <v>0</v>
      </c>
      <c r="AC113" s="476">
        <f t="shared" si="180"/>
        <v>0</v>
      </c>
      <c r="AD113" s="476">
        <f>SUM('3 pr-2'!AA113)</f>
        <v>115442</v>
      </c>
      <c r="AE113" s="1014">
        <v>115441</v>
      </c>
      <c r="AF113" s="727">
        <f t="shared" si="181"/>
        <v>1</v>
      </c>
      <c r="AG113" s="454">
        <f t="shared" si="182"/>
        <v>1</v>
      </c>
    </row>
    <row r="114" spans="1:33" ht="32.25" customHeight="1" thickBot="1" x14ac:dyDescent="0.3">
      <c r="A114" s="497" t="str">
        <f>CONCATENATE('3 pr-2'!A114)</f>
        <v>2.1.1.3</v>
      </c>
      <c r="B114" s="613" t="str">
        <f>CONCATENATE('ketv. 2lent'!B113)</f>
        <v/>
      </c>
      <c r="C114" s="1656" t="str">
        <f>CONCATENATE('3 pr-2'!D114)</f>
        <v/>
      </c>
      <c r="D114" s="1789"/>
      <c r="E114" s="1789"/>
      <c r="F114" s="1789"/>
      <c r="G114" s="1789"/>
      <c r="H114" s="1789"/>
      <c r="I114" s="1790"/>
      <c r="J114" s="629">
        <f>SUM('3 pr-2'!L114)</f>
        <v>1387789.0699999996</v>
      </c>
      <c r="K114" s="629">
        <f>SUM(K115:K119)</f>
        <v>0</v>
      </c>
      <c r="L114" s="722">
        <f>SUM(L115:L119)</f>
        <v>1387789.0699999996</v>
      </c>
      <c r="M114" s="723">
        <f>SUM(M115:M119)</f>
        <v>0</v>
      </c>
      <c r="N114" s="629">
        <f>SUM('3 pr-2'!O114)</f>
        <v>148738.06999999998</v>
      </c>
      <c r="O114" s="629">
        <f>SUM(O115:O119)</f>
        <v>0</v>
      </c>
      <c r="P114" s="629">
        <f>SUM(P115:P119)</f>
        <v>148738.06999999998</v>
      </c>
      <c r="Q114" s="629">
        <f>SUM(Q115:Q119)</f>
        <v>0</v>
      </c>
      <c r="R114" s="629">
        <f>SUM('3 pr-2'!R114)</f>
        <v>100462.7837837838</v>
      </c>
      <c r="S114" s="629">
        <f>SUM(S115:S119)</f>
        <v>0</v>
      </c>
      <c r="T114" s="629">
        <f>SUM(T115:T119)</f>
        <v>100462.7837837838</v>
      </c>
      <c r="U114" s="629">
        <f>SUM(U115:U119)</f>
        <v>0</v>
      </c>
      <c r="V114" s="629">
        <f>SUM('3 pr-2'!U114)</f>
        <v>0</v>
      </c>
      <c r="W114" s="629">
        <f>SUM(W115:W119)</f>
        <v>0</v>
      </c>
      <c r="X114" s="629">
        <f>SUM(X115:X119)</f>
        <v>0</v>
      </c>
      <c r="Y114" s="629">
        <f>SUM(Y115:Y119)</f>
        <v>0</v>
      </c>
      <c r="Z114" s="629">
        <f>SUM('3 pr-2'!X114)</f>
        <v>0</v>
      </c>
      <c r="AA114" s="629">
        <f>SUM(AA115:AA119)</f>
        <v>0</v>
      </c>
      <c r="AB114" s="629">
        <f>SUM(AB115:AB119)</f>
        <v>0</v>
      </c>
      <c r="AC114" s="629">
        <f>SUM(AC115:AC119)</f>
        <v>0</v>
      </c>
      <c r="AD114" s="629">
        <f>SUM('3 pr-2'!AA114)</f>
        <v>1138588.2162162161</v>
      </c>
      <c r="AE114" s="629">
        <f>SUM(AE115:AE119)</f>
        <v>0</v>
      </c>
      <c r="AF114" s="352">
        <f>SUM(AF115:AF119)</f>
        <v>1138588.2162162161</v>
      </c>
      <c r="AG114" s="455">
        <f>SUM(AG115:AG119)</f>
        <v>0</v>
      </c>
    </row>
    <row r="115" spans="1:33" ht="36.75" x14ac:dyDescent="0.25">
      <c r="A115" s="580" t="str">
        <f>CONCATENATE('3 pr-2'!A115)</f>
        <v>2.1.1.3.1</v>
      </c>
      <c r="B115" s="1015" t="str">
        <f>IF('ketv. 4 lent'!V115&gt;0,'ketv. 4 lent'!B115,"-")</f>
        <v>-</v>
      </c>
      <c r="C115" s="725" t="str">
        <f>CONCATENATE('3 pr-2'!D115)</f>
        <v>Varėnos "Pasakos" vaikų lopšelio-darželio pastato modernizavimas</v>
      </c>
      <c r="D115" s="580" t="str">
        <f>CONCATENATE('3 pr-2'!E115)</f>
        <v>Varėnos rajono savivaldybės administracija</v>
      </c>
      <c r="E115" s="580" t="str">
        <f>CONCATENATE('3 pr-2'!F115)</f>
        <v>Lietuvos Respublikos švietimo ir mokslo ministerija</v>
      </c>
      <c r="F115" s="580" t="str">
        <f>CONCATENATE('3 pr-2'!G115)</f>
        <v>Varėnos miestas</v>
      </c>
      <c r="G115" s="580" t="str">
        <f>CONCATENATE('3 pr-2'!H115)</f>
        <v>09.1.3-CPVA-R-705</v>
      </c>
      <c r="H115" s="580" t="str">
        <f>CONCATENATE('3 pr-2'!I115)</f>
        <v>R</v>
      </c>
      <c r="I115" s="580" t="str">
        <f>CONCATENATE('3 pr-2'!J115)</f>
        <v>-</v>
      </c>
      <c r="J115" s="476">
        <f>SUM('3 pr-2'!L115)</f>
        <v>370000</v>
      </c>
      <c r="K115" s="476">
        <v>0</v>
      </c>
      <c r="L115" s="476">
        <f t="shared" ref="L115:L119" si="183">SUM(J115-K115)</f>
        <v>370000</v>
      </c>
      <c r="M115" s="476">
        <f t="shared" ref="M115:M120" si="184">IF(K115&gt;0,J115-K115,0)</f>
        <v>0</v>
      </c>
      <c r="N115" s="476">
        <f>SUM('3 pr-2'!O115)</f>
        <v>57342</v>
      </c>
      <c r="O115" s="476">
        <v>0</v>
      </c>
      <c r="P115" s="476">
        <f t="shared" ref="P115:P119" si="185">SUM(N115-O115)</f>
        <v>57342</v>
      </c>
      <c r="Q115" s="476">
        <f t="shared" ref="Q115:Q120" si="186">IF(O115&gt;0,N115-O115,0)</f>
        <v>0</v>
      </c>
      <c r="R115" s="476">
        <f>SUM('3 pr-2'!R115)</f>
        <v>25351</v>
      </c>
      <c r="S115" s="476">
        <v>0</v>
      </c>
      <c r="T115" s="476">
        <f t="shared" ref="T115:T119" si="187">SUM(R115-S115)</f>
        <v>25351</v>
      </c>
      <c r="U115" s="476">
        <f t="shared" ref="U115:U120" si="188">IF(S115&gt;0,R115-S115,0)</f>
        <v>0</v>
      </c>
      <c r="V115" s="476">
        <f>SUM('3 pr-2'!U115)</f>
        <v>0</v>
      </c>
      <c r="W115" s="476">
        <v>0</v>
      </c>
      <c r="X115" s="476">
        <f t="shared" ref="X115:X119" si="189">SUM(V115-W115)</f>
        <v>0</v>
      </c>
      <c r="Y115" s="476">
        <f t="shared" ref="Y115:Y120" si="190">IF(W115&gt;0,V115-W115,0)</f>
        <v>0</v>
      </c>
      <c r="Z115" s="476">
        <f>SUM('3 pr-2'!X115)</f>
        <v>0</v>
      </c>
      <c r="AA115" s="476">
        <v>0</v>
      </c>
      <c r="AB115" s="476">
        <f>SUM(Z115-AA115)</f>
        <v>0</v>
      </c>
      <c r="AC115" s="476">
        <f t="shared" ref="AC115:AC120" si="191">IF(AA115&gt;0,Z115-AA115,0)</f>
        <v>0</v>
      </c>
      <c r="AD115" s="476">
        <f>SUM('3 pr-2'!AA115)</f>
        <v>287307</v>
      </c>
      <c r="AE115" s="476">
        <v>0</v>
      </c>
      <c r="AF115" s="727">
        <f t="shared" ref="AF115:AF119" si="192">SUM(AD115-AE115)</f>
        <v>287307</v>
      </c>
      <c r="AG115" s="454">
        <f t="shared" ref="AG115:AG120" si="193">IF(AE115&gt;0,AD115-AE115,0)</f>
        <v>0</v>
      </c>
    </row>
    <row r="116" spans="1:33" ht="36.75" x14ac:dyDescent="0.25">
      <c r="A116" s="580" t="str">
        <f>CONCATENATE('3 pr-2'!A116)</f>
        <v>2.1.1.3.2</v>
      </c>
      <c r="B116" s="1015" t="str">
        <f>IF('ketv. 4 lent'!V116&gt;0,'ketv. 4 lent'!B116,"-")</f>
        <v>-</v>
      </c>
      <c r="C116" s="725" t="str">
        <f>CONCATENATE('3 pr-2'!D116)</f>
        <v>Alytaus r. ikimokyklinio ir priešmokyklinio ugdymo prieinamumo didinimas įkuriant ir atnaujinant edukacines erdves</v>
      </c>
      <c r="D116" s="580" t="str">
        <f>CONCATENATE('3 pr-2'!E116)</f>
        <v>Alytaus rajono savivaldybės administracija</v>
      </c>
      <c r="E116" s="580" t="str">
        <f>CONCATENATE('3 pr-2'!F116)</f>
        <v>Lietuvos Respublikos švietimo ir mokslo ministerija</v>
      </c>
      <c r="F116" s="580" t="str">
        <f>CONCATENATE('3 pr-2'!G116)</f>
        <v>Alytaus  rajono savivaldybė</v>
      </c>
      <c r="G116" s="580" t="str">
        <f>CONCATENATE('3 pr-2'!H116)</f>
        <v>09.1.3-CPVA-R-705</v>
      </c>
      <c r="H116" s="580" t="str">
        <f>CONCATENATE('3 pr-2'!I116)</f>
        <v>R</v>
      </c>
      <c r="I116" s="580" t="str">
        <f>CONCATENATE('3 pr-2'!J116)</f>
        <v/>
      </c>
      <c r="J116" s="476">
        <f>SUM('3 pr-2'!L116)</f>
        <v>597456.86</v>
      </c>
      <c r="K116" s="476">
        <v>0</v>
      </c>
      <c r="L116" s="476">
        <f t="shared" si="183"/>
        <v>597456.86</v>
      </c>
      <c r="M116" s="476">
        <f t="shared" si="184"/>
        <v>0</v>
      </c>
      <c r="N116" s="476">
        <f>SUM('3 pr-2'!O116)</f>
        <v>59861.86</v>
      </c>
      <c r="O116" s="476">
        <v>0</v>
      </c>
      <c r="P116" s="476">
        <f t="shared" si="185"/>
        <v>59861.86</v>
      </c>
      <c r="Q116" s="476">
        <f t="shared" si="186"/>
        <v>0</v>
      </c>
      <c r="R116" s="476">
        <f>SUM('3 pr-2'!R116)</f>
        <v>43588</v>
      </c>
      <c r="S116" s="476">
        <v>0</v>
      </c>
      <c r="T116" s="476">
        <f t="shared" si="187"/>
        <v>43588</v>
      </c>
      <c r="U116" s="476">
        <f t="shared" si="188"/>
        <v>0</v>
      </c>
      <c r="V116" s="476">
        <f>SUM('3 pr-2'!U116)</f>
        <v>0</v>
      </c>
      <c r="W116" s="476">
        <v>0</v>
      </c>
      <c r="X116" s="476">
        <f t="shared" si="189"/>
        <v>0</v>
      </c>
      <c r="Y116" s="476">
        <f t="shared" si="190"/>
        <v>0</v>
      </c>
      <c r="Z116" s="476">
        <f>SUM('3 pr-2'!X116)</f>
        <v>0</v>
      </c>
      <c r="AA116" s="476">
        <v>0</v>
      </c>
      <c r="AB116" s="476">
        <f>SUM(Z116-AA116)</f>
        <v>0</v>
      </c>
      <c r="AC116" s="476">
        <f t="shared" si="191"/>
        <v>0</v>
      </c>
      <c r="AD116" s="476">
        <f>SUM('3 pr-2'!AA116)</f>
        <v>494007</v>
      </c>
      <c r="AE116" s="476">
        <v>0</v>
      </c>
      <c r="AF116" s="727">
        <f t="shared" si="192"/>
        <v>494007</v>
      </c>
      <c r="AG116" s="454">
        <f t="shared" si="193"/>
        <v>0</v>
      </c>
    </row>
    <row r="117" spans="1:33" ht="36.75" x14ac:dyDescent="0.25">
      <c r="A117" s="580" t="str">
        <f>CONCATENATE('3 pr-2'!A117)</f>
        <v>2.1.1.3.3</v>
      </c>
      <c r="B117" s="1015" t="str">
        <f>IF('ketv. 4 lent'!V117&gt;0,'ketv. 4 lent'!B117,"-")</f>
        <v>-</v>
      </c>
      <c r="C117" s="725" t="str">
        <f>CONCATENATE('3 pr-2'!D117)</f>
        <v>Alytaus lopšelio-darželio " Girinukas" ugdymo aplinkos modernizavimas</v>
      </c>
      <c r="D117" s="580" t="str">
        <f>CONCATENATE('3 pr-2'!E117)</f>
        <v>Alytaus miesto savivaldybės administracija</v>
      </c>
      <c r="E117" s="580" t="str">
        <f>CONCATENATE('3 pr-2'!F117)</f>
        <v>Lietuvos Respublikos švietimo ir mokslo ministerija</v>
      </c>
      <c r="F117" s="580" t="str">
        <f>CONCATENATE('3 pr-2'!G117)</f>
        <v>Alytaus  miestas</v>
      </c>
      <c r="G117" s="580" t="str">
        <f>CONCATENATE('3 pr-2'!H117)</f>
        <v>09.1.3-CPVA-R-705</v>
      </c>
      <c r="H117" s="580" t="str">
        <f>CONCATENATE('3 pr-2'!I117)</f>
        <v>R</v>
      </c>
      <c r="I117" s="580" t="str">
        <f>CONCATENATE('3 pr-2'!J117)</f>
        <v>-</v>
      </c>
      <c r="J117" s="476">
        <f>SUM('3 pr-2'!L117)</f>
        <v>181986</v>
      </c>
      <c r="K117" s="476">
        <v>0</v>
      </c>
      <c r="L117" s="476">
        <f t="shared" si="183"/>
        <v>181986</v>
      </c>
      <c r="M117" s="476">
        <f t="shared" si="184"/>
        <v>0</v>
      </c>
      <c r="N117" s="476">
        <f>SUM('3 pr-2'!O117)</f>
        <v>13649</v>
      </c>
      <c r="O117" s="476">
        <v>0</v>
      </c>
      <c r="P117" s="476">
        <f t="shared" si="185"/>
        <v>13649</v>
      </c>
      <c r="Q117" s="476">
        <f t="shared" si="186"/>
        <v>0</v>
      </c>
      <c r="R117" s="476">
        <f>SUM('3 pr-2'!R117)</f>
        <v>13649</v>
      </c>
      <c r="S117" s="476">
        <v>0</v>
      </c>
      <c r="T117" s="476">
        <f t="shared" si="187"/>
        <v>13649</v>
      </c>
      <c r="U117" s="476">
        <f t="shared" si="188"/>
        <v>0</v>
      </c>
      <c r="V117" s="476">
        <f>SUM('3 pr-2'!U117)</f>
        <v>0</v>
      </c>
      <c r="W117" s="476">
        <v>0</v>
      </c>
      <c r="X117" s="476">
        <f t="shared" si="189"/>
        <v>0</v>
      </c>
      <c r="Y117" s="476">
        <f t="shared" si="190"/>
        <v>0</v>
      </c>
      <c r="Z117" s="476">
        <f>SUM('3 pr-2'!X117)</f>
        <v>0</v>
      </c>
      <c r="AA117" s="476">
        <v>0</v>
      </c>
      <c r="AB117" s="476">
        <f>SUM(Z117-AA117)</f>
        <v>0</v>
      </c>
      <c r="AC117" s="476">
        <f t="shared" si="191"/>
        <v>0</v>
      </c>
      <c r="AD117" s="476">
        <f>SUM('3 pr-2'!AA117)</f>
        <v>154688</v>
      </c>
      <c r="AE117" s="476">
        <v>0</v>
      </c>
      <c r="AF117" s="727">
        <f t="shared" si="192"/>
        <v>154688</v>
      </c>
      <c r="AG117" s="454">
        <f t="shared" si="193"/>
        <v>0</v>
      </c>
    </row>
    <row r="118" spans="1:33" ht="36.75" x14ac:dyDescent="0.25">
      <c r="A118" s="580" t="str">
        <f>CONCATENATE('3 pr-2'!A118)</f>
        <v>2.1.1.3.4</v>
      </c>
      <c r="B118" s="1015" t="str">
        <f>IF('ketv. 4 lent'!V118&gt;0,'ketv. 4 lent'!B118,"-")</f>
        <v>-</v>
      </c>
      <c r="C118" s="725" t="str">
        <f>CONCATENATE('3 pr-2'!D118)</f>
        <v>Druskininkų sav. Viečiūnų progimnazijos ikimokyklinio ugdymo skyriaus „Linelis“ ugdymo prieinamumo didinimas</v>
      </c>
      <c r="D118" s="580" t="str">
        <f>CONCATENATE('3 pr-2'!E118)</f>
        <v xml:space="preserve">Druskininkų savivaldybės administracija  </v>
      </c>
      <c r="E118" s="580" t="str">
        <f>CONCATENATE('3 pr-2'!F118)</f>
        <v>Lietuvos Respublikos švietimo ir mokslo ministerija</v>
      </c>
      <c r="F118" s="580" t="str">
        <f>CONCATENATE('3 pr-2'!G118)</f>
        <v>Druskininkų savivaldybė</v>
      </c>
      <c r="G118" s="580" t="str">
        <f>CONCATENATE('3 pr-2'!H118)</f>
        <v>09.1.3-CPVA-R-705</v>
      </c>
      <c r="H118" s="580" t="str">
        <f>CONCATENATE('3 pr-2'!I118)</f>
        <v>R</v>
      </c>
      <c r="I118" s="580" t="str">
        <f>CONCATENATE('3 pr-2'!J118)</f>
        <v>-</v>
      </c>
      <c r="J118" s="476">
        <f>SUM('3 pr-2'!L118)</f>
        <v>104792</v>
      </c>
      <c r="K118" s="476">
        <v>0</v>
      </c>
      <c r="L118" s="476">
        <f t="shared" si="183"/>
        <v>104792</v>
      </c>
      <c r="M118" s="476">
        <f t="shared" si="184"/>
        <v>0</v>
      </c>
      <c r="N118" s="476">
        <f>SUM('3 pr-2'!O118)</f>
        <v>7859</v>
      </c>
      <c r="O118" s="476">
        <v>0</v>
      </c>
      <c r="P118" s="476">
        <f t="shared" si="185"/>
        <v>7859</v>
      </c>
      <c r="Q118" s="476">
        <f t="shared" si="186"/>
        <v>0</v>
      </c>
      <c r="R118" s="476">
        <f>SUM('3 pr-2'!R118)</f>
        <v>7859</v>
      </c>
      <c r="S118" s="476">
        <v>0</v>
      </c>
      <c r="T118" s="476">
        <f t="shared" si="187"/>
        <v>7859</v>
      </c>
      <c r="U118" s="476">
        <f t="shared" si="188"/>
        <v>0</v>
      </c>
      <c r="V118" s="476">
        <f>SUM('3 pr-2'!U118)</f>
        <v>0</v>
      </c>
      <c r="W118" s="476">
        <v>0</v>
      </c>
      <c r="X118" s="476">
        <f t="shared" si="189"/>
        <v>0</v>
      </c>
      <c r="Y118" s="476">
        <f t="shared" si="190"/>
        <v>0</v>
      </c>
      <c r="Z118" s="476">
        <f>SUM('3 pr-2'!X118)</f>
        <v>0</v>
      </c>
      <c r="AA118" s="476">
        <v>0</v>
      </c>
      <c r="AB118" s="476">
        <f>SUM(Z118-AA118)</f>
        <v>0</v>
      </c>
      <c r="AC118" s="476">
        <f t="shared" si="191"/>
        <v>0</v>
      </c>
      <c r="AD118" s="476">
        <f>SUM('3 pr-2'!AA118)</f>
        <v>89074</v>
      </c>
      <c r="AE118" s="476">
        <v>0</v>
      </c>
      <c r="AF118" s="727">
        <f t="shared" si="192"/>
        <v>89074</v>
      </c>
      <c r="AG118" s="454">
        <f t="shared" si="193"/>
        <v>0</v>
      </c>
    </row>
    <row r="119" spans="1:33" ht="37.5" thickBot="1" x14ac:dyDescent="0.3">
      <c r="A119" s="580" t="str">
        <f>CONCATENATE('3 pr-2'!A119)</f>
        <v>2.1.1.3.5</v>
      </c>
      <c r="B119" s="1015" t="str">
        <f>IF('ketv. 4 lent'!V119&gt;0,'ketv. 4 lent'!B119,"-")</f>
        <v>-</v>
      </c>
      <c r="C119" s="725" t="str">
        <f>CONCATENATE('3 pr-2'!D119)</f>
        <v>Ikimokyklinio ir priešmokyklinio ugdymo įstaigų Lazdijų rajono savivaldybėje modernizavimas</v>
      </c>
      <c r="D119" s="580" t="str">
        <f>CONCATENATE('3 pr-2'!E119)</f>
        <v>Lazdijų rajono savivaldybės administracija</v>
      </c>
      <c r="E119" s="580" t="str">
        <f>CONCATENATE('3 pr-2'!F119)</f>
        <v>Lietuvos Respublikos švietimo ir mokslo ministerija</v>
      </c>
      <c r="F119" s="580" t="str">
        <f>CONCATENATE('3 pr-2'!G119)</f>
        <v>Lazdijų rajono savivaldybė</v>
      </c>
      <c r="G119" s="580" t="str">
        <f>CONCATENATE('3 pr-2'!H119)</f>
        <v>09.1.3-CPVA-R-705</v>
      </c>
      <c r="H119" s="580" t="str">
        <f>CONCATENATE('3 pr-2'!I119)</f>
        <v>R</v>
      </c>
      <c r="I119" s="580" t="str">
        <f>CONCATENATE('3 pr-2'!J119)</f>
        <v>-</v>
      </c>
      <c r="J119" s="476">
        <f>SUM('3 pr-2'!L119)</f>
        <v>133554.20999999979</v>
      </c>
      <c r="K119" s="476">
        <v>0</v>
      </c>
      <c r="L119" s="476">
        <f t="shared" si="183"/>
        <v>133554.20999999979</v>
      </c>
      <c r="M119" s="476">
        <f t="shared" si="184"/>
        <v>0</v>
      </c>
      <c r="N119" s="476">
        <f>SUM('3 pr-2'!O119)</f>
        <v>10026.209999999999</v>
      </c>
      <c r="O119" s="476">
        <v>0</v>
      </c>
      <c r="P119" s="476">
        <f t="shared" si="185"/>
        <v>10026.209999999999</v>
      </c>
      <c r="Q119" s="476">
        <f t="shared" si="186"/>
        <v>0</v>
      </c>
      <c r="R119" s="476">
        <f>SUM('3 pr-2'!R119)</f>
        <v>10015.7837837838</v>
      </c>
      <c r="S119" s="476">
        <v>0</v>
      </c>
      <c r="T119" s="476">
        <f t="shared" si="187"/>
        <v>10015.7837837838</v>
      </c>
      <c r="U119" s="476">
        <f t="shared" si="188"/>
        <v>0</v>
      </c>
      <c r="V119" s="476">
        <f>SUM('3 pr-2'!U119)</f>
        <v>0</v>
      </c>
      <c r="W119" s="476">
        <v>0</v>
      </c>
      <c r="X119" s="476">
        <f t="shared" si="189"/>
        <v>0</v>
      </c>
      <c r="Y119" s="476">
        <f t="shared" si="190"/>
        <v>0</v>
      </c>
      <c r="Z119" s="476">
        <f>SUM('3 pr-2'!X119)</f>
        <v>0</v>
      </c>
      <c r="AA119" s="476">
        <v>0</v>
      </c>
      <c r="AB119" s="476">
        <f>SUM(Z119-AA119)</f>
        <v>0</v>
      </c>
      <c r="AC119" s="476">
        <f t="shared" si="191"/>
        <v>0</v>
      </c>
      <c r="AD119" s="476">
        <f>SUM('3 pr-2'!AA119)</f>
        <v>113512.21621621599</v>
      </c>
      <c r="AE119" s="476">
        <v>0</v>
      </c>
      <c r="AF119" s="727">
        <f t="shared" si="192"/>
        <v>113512.21621621599</v>
      </c>
      <c r="AG119" s="454">
        <f t="shared" si="193"/>
        <v>0</v>
      </c>
    </row>
    <row r="120" spans="1:33" ht="57.75" customHeight="1" thickBot="1" x14ac:dyDescent="0.3">
      <c r="A120" s="345" t="str">
        <f>CONCATENATE('3 pr-2'!A120)</f>
        <v>2.1.2.</v>
      </c>
      <c r="B120" s="648" t="str">
        <f>CONCATENATE('ketv. 2lent'!B119)</f>
        <v/>
      </c>
      <c r="C120" s="1668" t="str">
        <f>CONCATENATE('3 pr-2'!D120)</f>
        <v/>
      </c>
      <c r="D120" s="1669"/>
      <c r="E120" s="1669"/>
      <c r="F120" s="1669"/>
      <c r="G120" s="1669"/>
      <c r="H120" s="1669"/>
      <c r="I120" s="1670"/>
      <c r="J120" s="303">
        <f>SUM('3 pr-2'!L120)</f>
        <v>2508264.5499999998</v>
      </c>
      <c r="K120" s="355">
        <f>SUM(K121+K134+K140)</f>
        <v>0</v>
      </c>
      <c r="L120" s="356">
        <f>SUM(L121+L134)</f>
        <v>1995926.9</v>
      </c>
      <c r="M120" s="457">
        <f t="shared" si="184"/>
        <v>0</v>
      </c>
      <c r="N120" s="303">
        <f>SUM('3 pr-2'!O120)</f>
        <v>147962.98000000001</v>
      </c>
      <c r="O120" s="355">
        <f>SUM(O121+O134+O140)</f>
        <v>0</v>
      </c>
      <c r="P120" s="303">
        <f>SUM(P121+P134)</f>
        <v>125637.95000000001</v>
      </c>
      <c r="Q120" s="303">
        <f t="shared" si="186"/>
        <v>0</v>
      </c>
      <c r="R120" s="303">
        <f>SUM('3 pr-2'!R120)</f>
        <v>188120.97</v>
      </c>
      <c r="S120" s="355">
        <f>SUM(S121+S134+S140)</f>
        <v>0</v>
      </c>
      <c r="T120" s="303">
        <f>SUM(T121+T134)</f>
        <v>149694.95000000001</v>
      </c>
      <c r="U120" s="303">
        <f t="shared" si="188"/>
        <v>0</v>
      </c>
      <c r="V120" s="303">
        <f>SUM('3 pr-2'!U120)</f>
        <v>40158</v>
      </c>
      <c r="W120" s="355">
        <f>SUM(W121+W134+W140)</f>
        <v>0</v>
      </c>
      <c r="X120" s="303">
        <f>SUM(X121+X134)</f>
        <v>24057</v>
      </c>
      <c r="Y120" s="303">
        <f t="shared" si="190"/>
        <v>0</v>
      </c>
      <c r="Z120" s="303">
        <f>SUM('3 pr-2'!X120)</f>
        <v>0</v>
      </c>
      <c r="AA120" s="355">
        <f>SUM(AA121+AA134+AA140)</f>
        <v>0</v>
      </c>
      <c r="AB120" s="303">
        <f>SUM(AB121+AB134)</f>
        <v>0</v>
      </c>
      <c r="AC120" s="303">
        <f t="shared" si="191"/>
        <v>0</v>
      </c>
      <c r="AD120" s="303">
        <f>SUM('3 pr-2'!AA120)</f>
        <v>2132022.6</v>
      </c>
      <c r="AE120" s="355">
        <f>SUM(AE121+AE134+AE140)</f>
        <v>0</v>
      </c>
      <c r="AF120" s="360">
        <f>SUM(AF121+AF134)</f>
        <v>1696537</v>
      </c>
      <c r="AG120" s="454">
        <f t="shared" si="193"/>
        <v>0</v>
      </c>
    </row>
    <row r="121" spans="1:33" ht="51" customHeight="1" thickBot="1" x14ac:dyDescent="0.3">
      <c r="A121" s="497" t="str">
        <f>CONCATENATE('3 pr-2'!A121)</f>
        <v>2.1.2.1</v>
      </c>
      <c r="B121" s="613" t="str">
        <f>CONCATENATE('ketv. 2lent'!B120)</f>
        <v/>
      </c>
      <c r="C121" s="1656" t="str">
        <f>CONCATENATE('3 pr-2'!D121)</f>
        <v/>
      </c>
      <c r="D121" s="1789"/>
      <c r="E121" s="1789"/>
      <c r="F121" s="1789"/>
      <c r="G121" s="1789"/>
      <c r="H121" s="1789"/>
      <c r="I121" s="1790"/>
      <c r="J121" s="629">
        <f>SUM('3 pr-2'!L121)</f>
        <v>1448066</v>
      </c>
      <c r="K121" s="629">
        <f>SUM(K122:K129)</f>
        <v>0</v>
      </c>
      <c r="L121" s="722">
        <f>SUM(L122:L129)</f>
        <v>1000941</v>
      </c>
      <c r="M121" s="723">
        <f>SUM(M122:M129)</f>
        <v>0</v>
      </c>
      <c r="N121" s="629">
        <f>SUM('3 pr-2'!O121)</f>
        <v>68448</v>
      </c>
      <c r="O121" s="629">
        <f>SUM(O122:O129)</f>
        <v>0</v>
      </c>
      <c r="P121" s="629">
        <f>SUM(P122:P129)</f>
        <v>51014</v>
      </c>
      <c r="Q121" s="629">
        <f>SUM(Q122:Q129)</f>
        <v>0</v>
      </c>
      <c r="R121" s="629">
        <f>SUM('3 pr-2'!R121)</f>
        <v>108606</v>
      </c>
      <c r="S121" s="629">
        <f>SUM(S122:S129)</f>
        <v>0</v>
      </c>
      <c r="T121" s="629">
        <f>SUM(T122:T129)</f>
        <v>75071</v>
      </c>
      <c r="U121" s="629">
        <f>SUM(U122:U129)</f>
        <v>0</v>
      </c>
      <c r="V121" s="629">
        <f>SUM('3 pr-2'!U121)</f>
        <v>40158</v>
      </c>
      <c r="W121" s="629">
        <f>SUM(W122:W129)</f>
        <v>0</v>
      </c>
      <c r="X121" s="629">
        <f>SUM(X122:X129)</f>
        <v>24057</v>
      </c>
      <c r="Y121" s="629">
        <f>SUM(Y122:Y129)</f>
        <v>0</v>
      </c>
      <c r="Z121" s="629">
        <f>SUM('3 pr-2'!X121)</f>
        <v>0</v>
      </c>
      <c r="AA121" s="629">
        <f>SUM(AA122:AA129)</f>
        <v>0</v>
      </c>
      <c r="AB121" s="629">
        <f>SUM(AB122:AB129)</f>
        <v>0</v>
      </c>
      <c r="AC121" s="629">
        <f>SUM(AC122:AC129)</f>
        <v>0</v>
      </c>
      <c r="AD121" s="629">
        <f>SUM('3 pr-2'!AA121)</f>
        <v>1230854</v>
      </c>
      <c r="AE121" s="629">
        <f>SUM(AE122:AE129)</f>
        <v>0</v>
      </c>
      <c r="AF121" s="352">
        <f>SUM(AF122:AF129)</f>
        <v>850799</v>
      </c>
      <c r="AG121" s="455">
        <f>SUM(AG122:AG129)</f>
        <v>0</v>
      </c>
    </row>
    <row r="122" spans="1:33" ht="36.75" x14ac:dyDescent="0.25">
      <c r="A122" s="255" t="str">
        <f>CONCATENATE('3 pr-2'!A122)</f>
        <v>2.1.2.1.1</v>
      </c>
      <c r="B122" s="1015" t="str">
        <f>IF('ketv. 4 lent'!V122&gt;0,'ketv. 4 lent'!B122,"-")</f>
        <v>-</v>
      </c>
      <c r="C122" s="725" t="str">
        <f>CONCATENATE('3 pr-2'!D122)</f>
        <v xml:space="preserve">Alytaus poliklinikos teikiamų pirminės sveikatos priežiūros paslaugų prieinamumo didinimas ir kokybės gerinimas </v>
      </c>
      <c r="D122" s="255" t="str">
        <f>CONCATENATE('3 pr-2'!E122)</f>
        <v>VšĮ Alytaus poliklinika</v>
      </c>
      <c r="E122" s="255" t="str">
        <f>CONCATENATE('3 pr-2'!F122)</f>
        <v>Lietuvos Respublikos Sveikatos apsaugos ministerija</v>
      </c>
      <c r="F122" s="255" t="str">
        <f>CONCATENATE('3 pr-2'!G122)</f>
        <v>Alytaus  miestas</v>
      </c>
      <c r="G122" s="255" t="str">
        <f>CONCATENATE('3 pr-2'!H122)</f>
        <v>08.1.3-CPVA-R-609</v>
      </c>
      <c r="H122" s="255" t="str">
        <f>CONCATENATE('3 pr-2'!I122)</f>
        <v>R</v>
      </c>
      <c r="I122" s="255" t="str">
        <f>CONCATENATE('3 pr-2'!J122)</f>
        <v>-</v>
      </c>
      <c r="J122" s="474">
        <f>SUM('3 pr-2'!L122)</f>
        <v>458183</v>
      </c>
      <c r="K122" s="474">
        <v>0</v>
      </c>
      <c r="L122" s="475">
        <f t="shared" ref="L122:L129" si="194">SUM(J122-K122)</f>
        <v>458183</v>
      </c>
      <c r="M122" s="724">
        <f t="shared" ref="M122:M129" si="195">IF(K122&gt;0,J122-K122,0)</f>
        <v>0</v>
      </c>
      <c r="N122" s="476">
        <f>SUM('3 pr-2'!O122)</f>
        <v>34364</v>
      </c>
      <c r="O122" s="474">
        <v>0</v>
      </c>
      <c r="P122" s="475">
        <f t="shared" ref="P122:P129" si="196">SUM(N122-O122)</f>
        <v>34364</v>
      </c>
      <c r="Q122" s="724">
        <f t="shared" ref="Q122:Q129" si="197">IF(O122&gt;0,N122-O122,0)</f>
        <v>0</v>
      </c>
      <c r="R122" s="476">
        <f>SUM('3 pr-2'!R122)</f>
        <v>34363</v>
      </c>
      <c r="S122" s="474">
        <v>0</v>
      </c>
      <c r="T122" s="475">
        <f t="shared" ref="T122:T129" si="198">SUM(R122-S122)</f>
        <v>34363</v>
      </c>
      <c r="U122" s="724">
        <f t="shared" ref="U122:U129" si="199">IF(S122&gt;0,R122-S122,0)</f>
        <v>0</v>
      </c>
      <c r="V122" s="476">
        <f>SUM('3 pr-2'!U122)</f>
        <v>0</v>
      </c>
      <c r="W122" s="474">
        <v>0</v>
      </c>
      <c r="X122" s="475">
        <f t="shared" ref="X122:X129" si="200">SUM(V122-W122)</f>
        <v>0</v>
      </c>
      <c r="Y122" s="724">
        <f t="shared" ref="Y122:Y129" si="201">IF(W122&gt;0,V122-W122,0)</f>
        <v>0</v>
      </c>
      <c r="Z122" s="476">
        <f>SUM('3 pr-2'!X122)</f>
        <v>0</v>
      </c>
      <c r="AA122" s="474">
        <v>0</v>
      </c>
      <c r="AB122" s="475">
        <f t="shared" ref="AB122:AB129" si="202">SUM(Z122-AA122)</f>
        <v>0</v>
      </c>
      <c r="AC122" s="724">
        <f t="shared" ref="AC122:AC129" si="203">IF(AA122&gt;0,Z122-AA122,0)</f>
        <v>0</v>
      </c>
      <c r="AD122" s="476">
        <f>SUM('3 pr-2'!AA122)</f>
        <v>389456</v>
      </c>
      <c r="AE122" s="474">
        <v>0</v>
      </c>
      <c r="AF122" s="726">
        <f t="shared" ref="AF122:AF129" si="204">SUM(AD122-AE122)</f>
        <v>389456</v>
      </c>
      <c r="AG122" s="454">
        <f t="shared" ref="AG122:AG129" si="205">IF(AE122&gt;0,AD122-AE122,0)</f>
        <v>0</v>
      </c>
    </row>
    <row r="123" spans="1:33" ht="48.75" x14ac:dyDescent="0.25">
      <c r="A123" s="255" t="str">
        <f>CONCATENATE('3 pr-2'!A123)</f>
        <v>2.1.2.1.2</v>
      </c>
      <c r="B123" s="1015" t="str">
        <f>IF('ketv. 4 lent'!V123&gt;0,'ketv. 4 lent'!B123,"-")</f>
        <v>-</v>
      </c>
      <c r="C123" s="725" t="str">
        <f>CONCATENATE('3 pr-2'!D123)</f>
        <v>Sveikatos priežiūros paslaugų modernizavimas bei optimizavimas pirminės sveikatos priežiūros centre</v>
      </c>
      <c r="D123" s="255" t="str">
        <f>CONCATENATE('3 pr-2'!E123)</f>
        <v xml:space="preserve">VšĮ Alytaus miesto savivaldybės pirminės sveikatos priežiūros centras </v>
      </c>
      <c r="E123" s="255" t="str">
        <f>CONCATENATE('3 pr-2'!F123)</f>
        <v>Lietuvos Respublikos Sveikatos apsaugos ministerija</v>
      </c>
      <c r="F123" s="255" t="str">
        <f>CONCATENATE('3 pr-2'!G123)</f>
        <v>Alytaus  miestas</v>
      </c>
      <c r="G123" s="255" t="str">
        <f>CONCATENATE('3 pr-2'!H123)</f>
        <v>08.1.3-CPVA-R-609</v>
      </c>
      <c r="H123" s="255" t="str">
        <f>CONCATENATE('3 pr-2'!I123)</f>
        <v>R</v>
      </c>
      <c r="I123" s="255" t="str">
        <f>CONCATENATE('3 pr-2'!J123)</f>
        <v>-</v>
      </c>
      <c r="J123" s="474">
        <f>SUM('3 pr-2'!L123)</f>
        <v>50356</v>
      </c>
      <c r="K123" s="474">
        <v>0</v>
      </c>
      <c r="L123" s="475">
        <f t="shared" si="194"/>
        <v>50356</v>
      </c>
      <c r="M123" s="724">
        <f t="shared" si="195"/>
        <v>0</v>
      </c>
      <c r="N123" s="476">
        <f>SUM('3 pr-2'!O123)</f>
        <v>3777</v>
      </c>
      <c r="O123" s="474">
        <v>0</v>
      </c>
      <c r="P123" s="475">
        <f t="shared" si="196"/>
        <v>3777</v>
      </c>
      <c r="Q123" s="724">
        <f t="shared" si="197"/>
        <v>0</v>
      </c>
      <c r="R123" s="476">
        <f>SUM('3 pr-2'!R123)</f>
        <v>3777</v>
      </c>
      <c r="S123" s="474">
        <v>0</v>
      </c>
      <c r="T123" s="475">
        <f t="shared" si="198"/>
        <v>3777</v>
      </c>
      <c r="U123" s="724">
        <f t="shared" si="199"/>
        <v>0</v>
      </c>
      <c r="V123" s="476">
        <f>SUM('3 pr-2'!U123)</f>
        <v>0</v>
      </c>
      <c r="W123" s="474">
        <v>0</v>
      </c>
      <c r="X123" s="475">
        <f t="shared" si="200"/>
        <v>0</v>
      </c>
      <c r="Y123" s="724">
        <f t="shared" si="201"/>
        <v>0</v>
      </c>
      <c r="Z123" s="476">
        <f>SUM('3 pr-2'!X123)</f>
        <v>0</v>
      </c>
      <c r="AA123" s="474">
        <v>0</v>
      </c>
      <c r="AB123" s="475">
        <f t="shared" si="202"/>
        <v>0</v>
      </c>
      <c r="AC123" s="724">
        <f t="shared" si="203"/>
        <v>0</v>
      </c>
      <c r="AD123" s="476">
        <f>SUM('3 pr-2'!AA123)</f>
        <v>42802</v>
      </c>
      <c r="AE123" s="474">
        <v>0</v>
      </c>
      <c r="AF123" s="727">
        <f t="shared" si="204"/>
        <v>42802</v>
      </c>
      <c r="AG123" s="454">
        <f t="shared" si="205"/>
        <v>0</v>
      </c>
    </row>
    <row r="124" spans="1:33" ht="36.75" x14ac:dyDescent="0.25">
      <c r="A124" s="255" t="str">
        <f>CONCATENATE('3 pr-2'!A124)</f>
        <v>2.1.2.1.3</v>
      </c>
      <c r="B124" s="1015" t="str">
        <f>IF('ketv. 4 lent'!V124&gt;0,'ketv. 4 lent'!B124,"-")</f>
        <v>-</v>
      </c>
      <c r="C124" s="725" t="str">
        <f>CONCATENATE('3 pr-2'!D124)</f>
        <v>UAB „MediCA klinika“ teikiamų pirminės asmens sveikatos priežiūros paslaugų efektyvumo didinimas Alytaus miesto savivaldybėje</v>
      </c>
      <c r="D124" s="255" t="str">
        <f>CONCATENATE('3 pr-2'!E124)</f>
        <v>UAB „MediCA klinika“</v>
      </c>
      <c r="E124" s="255" t="str">
        <f>CONCATENATE('3 pr-2'!F124)</f>
        <v>Lietuvos Respublikos Sveikatos apsaugos ministerija</v>
      </c>
      <c r="F124" s="255" t="str">
        <f>CONCATENATE('3 pr-2'!G124)</f>
        <v>Alytaus  miestas</v>
      </c>
      <c r="G124" s="255" t="str">
        <f>CONCATENATE('3 pr-2'!H124)</f>
        <v>08.1.3-CPVA-R-609</v>
      </c>
      <c r="H124" s="255" t="str">
        <f>CONCATENATE('3 pr-2'!I124)</f>
        <v>R</v>
      </c>
      <c r="I124" s="255" t="str">
        <f>CONCATENATE('3 pr-2'!J124)</f>
        <v>-</v>
      </c>
      <c r="J124" s="474">
        <f>SUM('3 pr-2'!L124)</f>
        <v>83468</v>
      </c>
      <c r="K124" s="474">
        <v>0</v>
      </c>
      <c r="L124" s="475">
        <f t="shared" si="194"/>
        <v>83468</v>
      </c>
      <c r="M124" s="724">
        <f t="shared" si="195"/>
        <v>0</v>
      </c>
      <c r="N124" s="476">
        <f>SUM('3 pr-2'!O124)</f>
        <v>0</v>
      </c>
      <c r="O124" s="474">
        <v>0</v>
      </c>
      <c r="P124" s="475">
        <f t="shared" si="196"/>
        <v>0</v>
      </c>
      <c r="Q124" s="724">
        <f t="shared" si="197"/>
        <v>0</v>
      </c>
      <c r="R124" s="476">
        <f>SUM('3 pr-2'!R124)</f>
        <v>6260</v>
      </c>
      <c r="S124" s="474">
        <v>0</v>
      </c>
      <c r="T124" s="475">
        <f t="shared" si="198"/>
        <v>6260</v>
      </c>
      <c r="U124" s="724">
        <f t="shared" si="199"/>
        <v>0</v>
      </c>
      <c r="V124" s="476">
        <f>SUM('3 pr-2'!U124)</f>
        <v>6260</v>
      </c>
      <c r="W124" s="474">
        <v>0</v>
      </c>
      <c r="X124" s="475">
        <f t="shared" si="200"/>
        <v>6260</v>
      </c>
      <c r="Y124" s="724">
        <f t="shared" si="201"/>
        <v>0</v>
      </c>
      <c r="Z124" s="476">
        <f>SUM('3 pr-2'!X124)</f>
        <v>0</v>
      </c>
      <c r="AA124" s="474">
        <v>0</v>
      </c>
      <c r="AB124" s="475">
        <f t="shared" si="202"/>
        <v>0</v>
      </c>
      <c r="AC124" s="724">
        <f t="shared" si="203"/>
        <v>0</v>
      </c>
      <c r="AD124" s="476">
        <f>SUM('3 pr-2'!AA124)</f>
        <v>70948</v>
      </c>
      <c r="AE124" s="474">
        <v>0</v>
      </c>
      <c r="AF124" s="727">
        <f t="shared" si="204"/>
        <v>70948</v>
      </c>
      <c r="AG124" s="454">
        <f t="shared" si="205"/>
        <v>0</v>
      </c>
    </row>
    <row r="125" spans="1:33" ht="36.75" x14ac:dyDescent="0.25">
      <c r="A125" s="255" t="str">
        <f>CONCATENATE('3 pr-2'!A125)</f>
        <v>2.1.2.1.4</v>
      </c>
      <c r="B125" s="1015" t="str">
        <f>IF('ketv. 4 lent'!V125&gt;0,'ketv. 4 lent'!B125,"-")</f>
        <v>-</v>
      </c>
      <c r="C125" s="725" t="str">
        <f>CONCATENATE('3 pr-2'!D125)</f>
        <v>UAB "Pagalba ligoniui" teikiamų paslaugų efektyvumo didinimas</v>
      </c>
      <c r="D125" s="255" t="str">
        <f>CONCATENATE('3 pr-2'!E125)</f>
        <v>UAB „Pagalba ligoniui“, Alytaus filialas</v>
      </c>
      <c r="E125" s="255" t="str">
        <f>CONCATENATE('3 pr-2'!F125)</f>
        <v>Lietuvos Respublikos Sveikatos apsaugos ministerija</v>
      </c>
      <c r="F125" s="255" t="str">
        <f>CONCATENATE('3 pr-2'!G125)</f>
        <v>Alytaus  miestas</v>
      </c>
      <c r="G125" s="255" t="str">
        <f>CONCATENATE('3 pr-2'!H125)</f>
        <v>08.1.3-CPVA-R-609</v>
      </c>
      <c r="H125" s="255" t="str">
        <f>CONCATENATE('3 pr-2'!I125)</f>
        <v>R</v>
      </c>
      <c r="I125" s="255" t="str">
        <f>CONCATENATE('3 pr-2'!J125)</f>
        <v>-</v>
      </c>
      <c r="J125" s="474">
        <f>SUM('3 pr-2'!L125)</f>
        <v>44091</v>
      </c>
      <c r="K125" s="474">
        <v>0</v>
      </c>
      <c r="L125" s="475">
        <f t="shared" si="194"/>
        <v>44091</v>
      </c>
      <c r="M125" s="724">
        <f t="shared" si="195"/>
        <v>0</v>
      </c>
      <c r="N125" s="476">
        <f>SUM('3 pr-2'!O125)</f>
        <v>0</v>
      </c>
      <c r="O125" s="474">
        <v>0</v>
      </c>
      <c r="P125" s="475">
        <f t="shared" si="196"/>
        <v>0</v>
      </c>
      <c r="Q125" s="724">
        <f t="shared" si="197"/>
        <v>0</v>
      </c>
      <c r="R125" s="476">
        <f>SUM('3 pr-2'!R125)</f>
        <v>3307</v>
      </c>
      <c r="S125" s="474">
        <v>0</v>
      </c>
      <c r="T125" s="475">
        <f t="shared" si="198"/>
        <v>3307</v>
      </c>
      <c r="U125" s="724">
        <f t="shared" si="199"/>
        <v>0</v>
      </c>
      <c r="V125" s="476">
        <f>SUM('3 pr-2'!U125)</f>
        <v>3306</v>
      </c>
      <c r="W125" s="474">
        <v>0</v>
      </c>
      <c r="X125" s="475">
        <f t="shared" si="200"/>
        <v>3306</v>
      </c>
      <c r="Y125" s="724">
        <f t="shared" si="201"/>
        <v>0</v>
      </c>
      <c r="Z125" s="476">
        <f>SUM('3 pr-2'!X125)</f>
        <v>0</v>
      </c>
      <c r="AA125" s="474">
        <v>0</v>
      </c>
      <c r="AB125" s="475">
        <f t="shared" si="202"/>
        <v>0</v>
      </c>
      <c r="AC125" s="724">
        <f t="shared" si="203"/>
        <v>0</v>
      </c>
      <c r="AD125" s="476">
        <f>SUM('3 pr-2'!AA125)</f>
        <v>37478</v>
      </c>
      <c r="AE125" s="474">
        <v>0</v>
      </c>
      <c r="AF125" s="727">
        <f t="shared" si="204"/>
        <v>37478</v>
      </c>
      <c r="AG125" s="454">
        <f t="shared" si="205"/>
        <v>0</v>
      </c>
    </row>
    <row r="126" spans="1:33" ht="48.75" x14ac:dyDescent="0.25">
      <c r="A126" s="255" t="str">
        <f>CONCATENATE('3 pr-2'!A126)</f>
        <v>2.1.2.1.5</v>
      </c>
      <c r="B126" s="1015" t="str">
        <f>IF('ketv. 4 lent'!V126&gt;0,'ketv. 4 lent'!B126,"-")</f>
        <v>-</v>
      </c>
      <c r="C126" s="725" t="str">
        <f>CONCATENATE('3 pr-2'!D126)</f>
        <v>Pirminės asmens sveikatos priežiūros veiklos efektyvumo didinimas Alytaus rajono savivaldybėje</v>
      </c>
      <c r="D126" s="255" t="str">
        <f>CONCATENATE('3 pr-2'!E126)</f>
        <v>VšĮ Alytaus rajono savivaldybės pirminės sveikatos priežiūros centras</v>
      </c>
      <c r="E126" s="255" t="str">
        <f>CONCATENATE('3 pr-2'!F126)</f>
        <v>Lietuvos Respublikos Sveikatos apsaugos ministerija</v>
      </c>
      <c r="F126" s="255" t="str">
        <f>CONCATENATE('3 pr-2'!G126)</f>
        <v>Alytaus rajonas</v>
      </c>
      <c r="G126" s="255" t="str">
        <f>CONCATENATE('3 pr-2'!H126)</f>
        <v>08.1.3-CPVA-R-609</v>
      </c>
      <c r="H126" s="255" t="str">
        <f>CONCATENATE('3 pr-2'!I126)</f>
        <v>R</v>
      </c>
      <c r="I126" s="255" t="str">
        <f>CONCATENATE('3 pr-2'!J126)</f>
        <v>-</v>
      </c>
      <c r="J126" s="474">
        <f>SUM('3 pr-2'!L126)</f>
        <v>171636</v>
      </c>
      <c r="K126" s="474">
        <v>0</v>
      </c>
      <c r="L126" s="475">
        <f t="shared" si="194"/>
        <v>171636</v>
      </c>
      <c r="M126" s="724">
        <f t="shared" si="195"/>
        <v>0</v>
      </c>
      <c r="N126" s="476">
        <f>SUM('3 pr-2'!O126)</f>
        <v>12873</v>
      </c>
      <c r="O126" s="474">
        <v>0</v>
      </c>
      <c r="P126" s="475">
        <f t="shared" si="196"/>
        <v>12873</v>
      </c>
      <c r="Q126" s="724">
        <f t="shared" si="197"/>
        <v>0</v>
      </c>
      <c r="R126" s="476">
        <f>SUM('3 pr-2'!R126)</f>
        <v>12873</v>
      </c>
      <c r="S126" s="474">
        <v>0</v>
      </c>
      <c r="T126" s="475">
        <f t="shared" si="198"/>
        <v>12873</v>
      </c>
      <c r="U126" s="724">
        <f t="shared" si="199"/>
        <v>0</v>
      </c>
      <c r="V126" s="476">
        <f>SUM('3 pr-2'!U126)</f>
        <v>0</v>
      </c>
      <c r="W126" s="474">
        <v>0</v>
      </c>
      <c r="X126" s="475">
        <f t="shared" si="200"/>
        <v>0</v>
      </c>
      <c r="Y126" s="724">
        <f t="shared" si="201"/>
        <v>0</v>
      </c>
      <c r="Z126" s="476">
        <f>SUM('3 pr-2'!X126)</f>
        <v>0</v>
      </c>
      <c r="AA126" s="474">
        <v>0</v>
      </c>
      <c r="AB126" s="475">
        <f t="shared" si="202"/>
        <v>0</v>
      </c>
      <c r="AC126" s="724">
        <f t="shared" si="203"/>
        <v>0</v>
      </c>
      <c r="AD126" s="476">
        <f>SUM('3 pr-2'!AA126)</f>
        <v>145890</v>
      </c>
      <c r="AE126" s="474">
        <v>0</v>
      </c>
      <c r="AF126" s="727">
        <f t="shared" si="204"/>
        <v>145890</v>
      </c>
      <c r="AG126" s="454">
        <f t="shared" si="205"/>
        <v>0</v>
      </c>
    </row>
    <row r="127" spans="1:33" ht="36.75" x14ac:dyDescent="0.25">
      <c r="A127" s="255" t="str">
        <f>CONCATENATE('3 pr-2'!A127)</f>
        <v>2.1.2.1.6</v>
      </c>
      <c r="B127" s="1015" t="str">
        <f>IF('ketv. 4 lent'!V127&gt;0,'ketv. 4 lent'!B127,"-")</f>
        <v>-</v>
      </c>
      <c r="C127" s="725" t="str">
        <f>CONCATENATE('3 pr-2'!D127)</f>
        <v>Sveikatos priežiūros paslaugų gerinimas "UAB "Disolis"</v>
      </c>
      <c r="D127" s="255" t="str">
        <f>CONCATENATE('3 pr-2'!E127)</f>
        <v>UAB „Disolis“</v>
      </c>
      <c r="E127" s="255" t="str">
        <f>CONCATENATE('3 pr-2'!F127)</f>
        <v>Lietuvos Respublikos Sveikatos apsaugos ministerija</v>
      </c>
      <c r="F127" s="255" t="str">
        <f>CONCATENATE('3 pr-2'!G127)</f>
        <v>Alytaus rajonas</v>
      </c>
      <c r="G127" s="255" t="str">
        <f>CONCATENATE('3 pr-2'!H127)</f>
        <v>08.1.3-CPVA-R-609</v>
      </c>
      <c r="H127" s="255" t="str">
        <f>CONCATENATE('3 pr-2'!I127)</f>
        <v>R</v>
      </c>
      <c r="I127" s="255" t="str">
        <f>CONCATENATE('3 pr-2'!J127)</f>
        <v>-</v>
      </c>
      <c r="J127" s="474">
        <f>SUM('3 pr-2'!L127)</f>
        <v>17386</v>
      </c>
      <c r="K127" s="474">
        <v>0</v>
      </c>
      <c r="L127" s="475">
        <f t="shared" si="194"/>
        <v>17386</v>
      </c>
      <c r="M127" s="724">
        <f t="shared" si="195"/>
        <v>0</v>
      </c>
      <c r="N127" s="476">
        <f>SUM('3 pr-2'!O127)</f>
        <v>0</v>
      </c>
      <c r="O127" s="474">
        <v>0</v>
      </c>
      <c r="P127" s="475">
        <f t="shared" si="196"/>
        <v>0</v>
      </c>
      <c r="Q127" s="724">
        <f t="shared" si="197"/>
        <v>0</v>
      </c>
      <c r="R127" s="476">
        <f>SUM('3 pr-2'!R127)</f>
        <v>1304</v>
      </c>
      <c r="S127" s="474">
        <v>0</v>
      </c>
      <c r="T127" s="475">
        <f t="shared" si="198"/>
        <v>1304</v>
      </c>
      <c r="U127" s="724">
        <f t="shared" si="199"/>
        <v>0</v>
      </c>
      <c r="V127" s="476">
        <f>SUM('3 pr-2'!U127)</f>
        <v>1304</v>
      </c>
      <c r="W127" s="474">
        <v>0</v>
      </c>
      <c r="X127" s="475">
        <f t="shared" si="200"/>
        <v>1304</v>
      </c>
      <c r="Y127" s="724">
        <f t="shared" si="201"/>
        <v>0</v>
      </c>
      <c r="Z127" s="476">
        <f>SUM('3 pr-2'!X127)</f>
        <v>0</v>
      </c>
      <c r="AA127" s="474">
        <v>0</v>
      </c>
      <c r="AB127" s="475">
        <f t="shared" si="202"/>
        <v>0</v>
      </c>
      <c r="AC127" s="724">
        <f t="shared" si="203"/>
        <v>0</v>
      </c>
      <c r="AD127" s="476">
        <f>SUM('3 pr-2'!AA127)</f>
        <v>14778</v>
      </c>
      <c r="AE127" s="474">
        <v>0</v>
      </c>
      <c r="AF127" s="727">
        <f t="shared" si="204"/>
        <v>14778</v>
      </c>
      <c r="AG127" s="454">
        <f t="shared" si="205"/>
        <v>0</v>
      </c>
    </row>
    <row r="128" spans="1:33" ht="36.75" x14ac:dyDescent="0.25">
      <c r="A128" s="255" t="str">
        <f>CONCATENATE('3 pr-2'!A128)</f>
        <v>2.1.2.1.7</v>
      </c>
      <c r="B128" s="1015" t="str">
        <f>IF('ketv. 4 lent'!V128&gt;0,'ketv. 4 lent'!B128,"-")</f>
        <v>-</v>
      </c>
      <c r="C128" s="725" t="str">
        <f>CONCATENATE('3 pr-2'!D128)</f>
        <v>Pirminės asmens sveikatos priežiūros kokybės ir prieinamumo gerinimas Druskininkų savivaldybėje</v>
      </c>
      <c r="D128" s="255" t="str">
        <f>CONCATENATE('3 pr-2'!E128)</f>
        <v>VšĮ Druskininkų pirminės sveikatos priežiūros centras</v>
      </c>
      <c r="E128" s="255" t="str">
        <f>CONCATENATE('3 pr-2'!F128)</f>
        <v>Lietuvos Respublikos Sveikatos apsaugos ministerija</v>
      </c>
      <c r="F128" s="255" t="str">
        <f>CONCATENATE('3 pr-2'!G128)</f>
        <v>Druskininkų sav.</v>
      </c>
      <c r="G128" s="255" t="str">
        <f>CONCATENATE('3 pr-2'!H128)</f>
        <v>08.1.3-CPVA-R-609</v>
      </c>
      <c r="H128" s="255" t="str">
        <f>CONCATENATE('3 pr-2'!I128)</f>
        <v>R</v>
      </c>
      <c r="I128" s="255" t="str">
        <f>CONCATENATE('3 pr-2'!J128)</f>
        <v>-</v>
      </c>
      <c r="J128" s="474">
        <f>SUM('3 pr-2'!L128)</f>
        <v>163532</v>
      </c>
      <c r="K128" s="474">
        <v>0</v>
      </c>
      <c r="L128" s="475">
        <f t="shared" si="194"/>
        <v>163532</v>
      </c>
      <c r="M128" s="724">
        <f t="shared" si="195"/>
        <v>0</v>
      </c>
      <c r="N128" s="476">
        <f>SUM('3 pr-2'!O128)</f>
        <v>0</v>
      </c>
      <c r="O128" s="474">
        <v>0</v>
      </c>
      <c r="P128" s="475">
        <f t="shared" si="196"/>
        <v>0</v>
      </c>
      <c r="Q128" s="724">
        <f t="shared" si="197"/>
        <v>0</v>
      </c>
      <c r="R128" s="476">
        <f>SUM('3 pr-2'!R128)</f>
        <v>12265</v>
      </c>
      <c r="S128" s="474">
        <v>0</v>
      </c>
      <c r="T128" s="475">
        <f t="shared" si="198"/>
        <v>12265</v>
      </c>
      <c r="U128" s="724">
        <f t="shared" si="199"/>
        <v>0</v>
      </c>
      <c r="V128" s="476">
        <f>SUM('3 pr-2'!U128)</f>
        <v>12265</v>
      </c>
      <c r="W128" s="474">
        <v>0</v>
      </c>
      <c r="X128" s="475">
        <f t="shared" si="200"/>
        <v>12265</v>
      </c>
      <c r="Y128" s="724">
        <f t="shared" si="201"/>
        <v>0</v>
      </c>
      <c r="Z128" s="476">
        <f>SUM('3 pr-2'!X128)</f>
        <v>0</v>
      </c>
      <c r="AA128" s="474">
        <v>0</v>
      </c>
      <c r="AB128" s="475">
        <f t="shared" si="202"/>
        <v>0</v>
      </c>
      <c r="AC128" s="724">
        <f t="shared" si="203"/>
        <v>0</v>
      </c>
      <c r="AD128" s="476">
        <f>SUM('3 pr-2'!AA128)</f>
        <v>139002</v>
      </c>
      <c r="AE128" s="474">
        <v>0</v>
      </c>
      <c r="AF128" s="727">
        <f t="shared" si="204"/>
        <v>139002</v>
      </c>
      <c r="AG128" s="454">
        <f t="shared" si="205"/>
        <v>0</v>
      </c>
    </row>
    <row r="129" spans="1:33" ht="36.75" x14ac:dyDescent="0.25">
      <c r="A129" s="255" t="str">
        <f>CONCATENATE('3 pr-2'!A129)</f>
        <v>2.1.2.1.8</v>
      </c>
      <c r="B129" s="1015" t="str">
        <f>IF('ketv. 4 lent'!V129&gt;0,'ketv. 4 lent'!B129,"-")</f>
        <v>-</v>
      </c>
      <c r="C129" s="725" t="str">
        <f>CONCATENATE('3 pr-2'!D129)</f>
        <v>UAB "Druskininkų šeimos klinika" asmens sveikatos priežiūros paslaugų prieinamumo ir efektyvumo didinimas</v>
      </c>
      <c r="D129" s="255" t="str">
        <f>CONCATENATE('3 pr-2'!E129)</f>
        <v>UAB „Druskininkų šeimos klinika“</v>
      </c>
      <c r="E129" s="255" t="str">
        <f>CONCATENATE('3 pr-2'!F129)</f>
        <v>Lietuvos Respublikos Sveikatos apsaugos ministerija</v>
      </c>
      <c r="F129" s="255" t="str">
        <f>CONCATENATE('3 pr-2'!G129)</f>
        <v>Druskininkų sav.</v>
      </c>
      <c r="G129" s="255" t="str">
        <f>CONCATENATE('3 pr-2'!H129)</f>
        <v>08.1.3-CPVA-R-609</v>
      </c>
      <c r="H129" s="255" t="str">
        <f>CONCATENATE('3 pr-2'!I129)</f>
        <v>R</v>
      </c>
      <c r="I129" s="255" t="str">
        <f>CONCATENATE('3 pr-2'!J129)</f>
        <v>-</v>
      </c>
      <c r="J129" s="474">
        <f>SUM('3 pr-2'!L129)</f>
        <v>12289</v>
      </c>
      <c r="K129" s="474">
        <v>0</v>
      </c>
      <c r="L129" s="475">
        <f t="shared" si="194"/>
        <v>12289</v>
      </c>
      <c r="M129" s="724">
        <f t="shared" si="195"/>
        <v>0</v>
      </c>
      <c r="N129" s="476">
        <f>SUM('3 pr-2'!O129)</f>
        <v>0</v>
      </c>
      <c r="O129" s="474">
        <v>0</v>
      </c>
      <c r="P129" s="475">
        <f t="shared" si="196"/>
        <v>0</v>
      </c>
      <c r="Q129" s="724">
        <f t="shared" si="197"/>
        <v>0</v>
      </c>
      <c r="R129" s="476">
        <f>SUM('3 pr-2'!R129)</f>
        <v>922</v>
      </c>
      <c r="S129" s="474">
        <v>0</v>
      </c>
      <c r="T129" s="475">
        <f t="shared" si="198"/>
        <v>922</v>
      </c>
      <c r="U129" s="724">
        <f t="shared" si="199"/>
        <v>0</v>
      </c>
      <c r="V129" s="476">
        <f>SUM('3 pr-2'!U129)</f>
        <v>922</v>
      </c>
      <c r="W129" s="474">
        <v>0</v>
      </c>
      <c r="X129" s="475">
        <f t="shared" si="200"/>
        <v>922</v>
      </c>
      <c r="Y129" s="724">
        <f t="shared" si="201"/>
        <v>0</v>
      </c>
      <c r="Z129" s="476">
        <f>SUM('3 pr-2'!X129)</f>
        <v>0</v>
      </c>
      <c r="AA129" s="474">
        <v>0</v>
      </c>
      <c r="AB129" s="475">
        <f t="shared" si="202"/>
        <v>0</v>
      </c>
      <c r="AC129" s="724">
        <f t="shared" si="203"/>
        <v>0</v>
      </c>
      <c r="AD129" s="476">
        <f>SUM('3 pr-2'!AA129)</f>
        <v>10445</v>
      </c>
      <c r="AE129" s="474">
        <v>0</v>
      </c>
      <c r="AF129" s="727">
        <f t="shared" si="204"/>
        <v>10445</v>
      </c>
      <c r="AG129" s="454">
        <f t="shared" si="205"/>
        <v>0</v>
      </c>
    </row>
    <row r="130" spans="1:33" ht="36.75" x14ac:dyDescent="0.25">
      <c r="A130" s="255" t="str">
        <f>CONCATENATE('3 pr-2'!A130)</f>
        <v>2.1.2.1.9</v>
      </c>
      <c r="B130" s="1015" t="str">
        <f>IF('ketv. 4 lent'!V130&gt;0,'ketv. 4 lent'!B130,"-")</f>
        <v>-</v>
      </c>
      <c r="C130" s="725" t="str">
        <f>CONCATENATE('3 pr-2'!D130)</f>
        <v>I. S. Kavaliauskienės įmonės teikiamų pirminės ambulatorinės asmens sveikatos priežiūros paslaugų kokybės ir prieinamumo gerinimas.</v>
      </c>
      <c r="D130" s="255" t="str">
        <f>CONCATENATE('3 pr-2'!E130)</f>
        <v>Irenos Stanislavos Kavaliauskienės įmonė</v>
      </c>
      <c r="E130" s="255" t="str">
        <f>CONCATENATE('3 pr-2'!F130)</f>
        <v>Lietuvos Respublikos Sveikatos apsaugos ministerija</v>
      </c>
      <c r="F130" s="255" t="str">
        <f>CONCATENATE('3 pr-2'!G130)</f>
        <v>Druskininkų sav.</v>
      </c>
      <c r="G130" s="255" t="str">
        <f>CONCATENATE('3 pr-2'!H130)</f>
        <v>08.1.3-CPVA-R-609</v>
      </c>
      <c r="H130" s="255" t="str">
        <f>CONCATENATE('3 pr-2'!I130)</f>
        <v>R</v>
      </c>
      <c r="I130" s="255" t="str">
        <f>CONCATENATE('3 pr-2'!J130)</f>
        <v>-</v>
      </c>
      <c r="J130" s="474">
        <f>SUM('3 pr-2'!L130)</f>
        <v>25517</v>
      </c>
      <c r="K130" s="474">
        <v>0</v>
      </c>
      <c r="L130" s="475">
        <f t="shared" ref="L130:L132" si="206">SUM(J130-K130)</f>
        <v>25517</v>
      </c>
      <c r="M130" s="724">
        <f t="shared" ref="M130:M132" si="207">IF(K130&gt;0,J130-K130,0)</f>
        <v>0</v>
      </c>
      <c r="N130" s="476">
        <f>SUM('3 pr-2'!O130)</f>
        <v>0</v>
      </c>
      <c r="O130" s="474">
        <v>0</v>
      </c>
      <c r="P130" s="475">
        <f t="shared" ref="P130:P132" si="208">SUM(N130-O130)</f>
        <v>0</v>
      </c>
      <c r="Q130" s="724">
        <f t="shared" ref="Q130:Q132" si="209">IF(O130&gt;0,N130-O130,0)</f>
        <v>0</v>
      </c>
      <c r="R130" s="476">
        <f>SUM('3 pr-2'!R130)</f>
        <v>1914</v>
      </c>
      <c r="S130" s="474">
        <v>0</v>
      </c>
      <c r="T130" s="475">
        <f t="shared" ref="T130:T132" si="210">SUM(R130-S130)</f>
        <v>1914</v>
      </c>
      <c r="U130" s="724">
        <f t="shared" ref="U130:U132" si="211">IF(S130&gt;0,R130-S130,0)</f>
        <v>0</v>
      </c>
      <c r="V130" s="476">
        <f>SUM('3 pr-2'!U130)</f>
        <v>1914</v>
      </c>
      <c r="W130" s="474">
        <v>0</v>
      </c>
      <c r="X130" s="475">
        <f t="shared" ref="X130:X132" si="212">SUM(V130-W130)</f>
        <v>1914</v>
      </c>
      <c r="Y130" s="724">
        <f t="shared" ref="Y130:Y132" si="213">IF(W130&gt;0,V130-W130,0)</f>
        <v>0</v>
      </c>
      <c r="Z130" s="476">
        <f>SUM('3 pr-2'!X130)</f>
        <v>0</v>
      </c>
      <c r="AA130" s="474">
        <v>0</v>
      </c>
      <c r="AB130" s="475">
        <f t="shared" ref="AB130:AB132" si="214">SUM(Z130-AA130)</f>
        <v>0</v>
      </c>
      <c r="AC130" s="724">
        <f t="shared" ref="AC130:AC132" si="215">IF(AA130&gt;0,Z130-AA130,0)</f>
        <v>0</v>
      </c>
      <c r="AD130" s="476">
        <f>SUM('3 pr-2'!AA130)</f>
        <v>21689</v>
      </c>
      <c r="AE130" s="474">
        <v>0</v>
      </c>
      <c r="AF130" s="727">
        <f t="shared" ref="AF130:AF132" si="216">SUM(AD130-AE130)</f>
        <v>21689</v>
      </c>
      <c r="AG130" s="454">
        <f t="shared" ref="AG130:AG132" si="217">IF(AE130&gt;0,AD130-AE130,0)</f>
        <v>0</v>
      </c>
    </row>
    <row r="131" spans="1:33" ht="36.75" x14ac:dyDescent="0.25">
      <c r="A131" s="255" t="str">
        <f>CONCATENATE('3 pr-2'!A131)</f>
        <v>2.1.2.1.10</v>
      </c>
      <c r="B131" s="1015" t="str">
        <f>IF('ketv. 4 lent'!V131&gt;0,'ketv. 4 lent'!B131,"-")</f>
        <v>-</v>
      </c>
      <c r="C131" s="725" t="str">
        <f>CONCATENATE('3 pr-2'!D131)</f>
        <v>Pirminės ambulatorinės asmens sveikatos priežiūros efektyvumo didinimas R.Ambrazaitienės ir L. Puzinovienės šeimos gydytojų kabinetuose</v>
      </c>
      <c r="D131" s="255" t="str">
        <f>CONCATENATE('3 pr-2'!E131)</f>
        <v>UAB „Rasos Ambrazaitienės šeimos gydytojo kabinetas“</v>
      </c>
      <c r="E131" s="255" t="str">
        <f>CONCATENATE('3 pr-2'!F131)</f>
        <v>Lietuvos Respublikos Sveikatos apsaugos ministerija</v>
      </c>
      <c r="F131" s="255" t="str">
        <f>CONCATENATE('3 pr-2'!G131)</f>
        <v>Druskininkų sav.</v>
      </c>
      <c r="G131" s="255" t="str">
        <f>CONCATENATE('3 pr-2'!H131)</f>
        <v>08.1.3-CPVA-R-609</v>
      </c>
      <c r="H131" s="255" t="str">
        <f>CONCATENATE('3 pr-2'!I131)</f>
        <v>R</v>
      </c>
      <c r="I131" s="255" t="str">
        <f>CONCATENATE('3 pr-2'!J131)</f>
        <v>-</v>
      </c>
      <c r="J131" s="474">
        <f>SUM('3 pr-2'!L131)</f>
        <v>27906</v>
      </c>
      <c r="K131" s="474">
        <v>0</v>
      </c>
      <c r="L131" s="475">
        <f t="shared" si="206"/>
        <v>27906</v>
      </c>
      <c r="M131" s="724">
        <f t="shared" si="207"/>
        <v>0</v>
      </c>
      <c r="N131" s="476">
        <f>SUM('3 pr-2'!O131)</f>
        <v>0</v>
      </c>
      <c r="O131" s="474">
        <v>0</v>
      </c>
      <c r="P131" s="475">
        <f t="shared" si="208"/>
        <v>0</v>
      </c>
      <c r="Q131" s="724">
        <f t="shared" si="209"/>
        <v>0</v>
      </c>
      <c r="R131" s="476">
        <f>SUM('3 pr-2'!R131)</f>
        <v>2093</v>
      </c>
      <c r="S131" s="474">
        <v>0</v>
      </c>
      <c r="T131" s="475">
        <f t="shared" si="210"/>
        <v>2093</v>
      </c>
      <c r="U131" s="724">
        <f t="shared" si="211"/>
        <v>0</v>
      </c>
      <c r="V131" s="476">
        <f>SUM('3 pr-2'!U131)</f>
        <v>2093</v>
      </c>
      <c r="W131" s="474">
        <v>0</v>
      </c>
      <c r="X131" s="475">
        <f t="shared" si="212"/>
        <v>2093</v>
      </c>
      <c r="Y131" s="724">
        <f t="shared" si="213"/>
        <v>0</v>
      </c>
      <c r="Z131" s="476">
        <f>SUM('3 pr-2'!X131)</f>
        <v>0</v>
      </c>
      <c r="AA131" s="474">
        <v>0</v>
      </c>
      <c r="AB131" s="475">
        <f t="shared" si="214"/>
        <v>0</v>
      </c>
      <c r="AC131" s="724">
        <f t="shared" si="215"/>
        <v>0</v>
      </c>
      <c r="AD131" s="476">
        <f>SUM('3 pr-2'!AA131)</f>
        <v>23720</v>
      </c>
      <c r="AE131" s="474">
        <v>0</v>
      </c>
      <c r="AF131" s="727">
        <f t="shared" si="216"/>
        <v>23720</v>
      </c>
      <c r="AG131" s="454">
        <f t="shared" si="217"/>
        <v>0</v>
      </c>
    </row>
    <row r="132" spans="1:33" ht="36.75" x14ac:dyDescent="0.25">
      <c r="A132" s="255" t="str">
        <f>CONCATENATE('3 pr-2'!A132)</f>
        <v>2.1.2.1.11</v>
      </c>
      <c r="B132" s="1015" t="str">
        <f>IF('ketv. 4 lent'!V132&gt;0,'ketv. 4 lent'!B132,"-")</f>
        <v>-</v>
      </c>
      <c r="C132" s="725" t="str">
        <f>CONCATENATE('3 pr-2'!D132)</f>
        <v xml:space="preserve">Pirminės asmens sveikatos priežiūros veiklos efektyvumo didinimas Lazdijų rajono savivaldybėje </v>
      </c>
      <c r="D132" s="255" t="str">
        <f>CONCATENATE('3 pr-2'!E132)</f>
        <v>Lazdijų rajono savivaldybės administracija</v>
      </c>
      <c r="E132" s="255" t="str">
        <f>CONCATENATE('3 pr-2'!F132)</f>
        <v>Lietuvos Respublikos Sveikatos apsaugos ministerija</v>
      </c>
      <c r="F132" s="255" t="str">
        <f>CONCATENATE('3 pr-2'!G132)</f>
        <v>Lazdijai</v>
      </c>
      <c r="G132" s="255" t="str">
        <f>CONCATENATE('3 pr-2'!H132)</f>
        <v>08.1.3-CPVA-R-609</v>
      </c>
      <c r="H132" s="255" t="str">
        <f>CONCATENATE('3 pr-2'!I132)</f>
        <v>R</v>
      </c>
      <c r="I132" s="255" t="str">
        <f>CONCATENATE('3 pr-2'!J132)</f>
        <v>-</v>
      </c>
      <c r="J132" s="474">
        <f>SUM('3 pr-2'!L132)</f>
        <v>192719</v>
      </c>
      <c r="K132" s="474">
        <v>0</v>
      </c>
      <c r="L132" s="475">
        <f t="shared" si="206"/>
        <v>192719</v>
      </c>
      <c r="M132" s="724">
        <f t="shared" si="207"/>
        <v>0</v>
      </c>
      <c r="N132" s="476">
        <f>SUM('3 pr-2'!O132)</f>
        <v>2983</v>
      </c>
      <c r="O132" s="474">
        <v>0</v>
      </c>
      <c r="P132" s="475">
        <f t="shared" si="208"/>
        <v>2983</v>
      </c>
      <c r="Q132" s="724">
        <f t="shared" si="209"/>
        <v>0</v>
      </c>
      <c r="R132" s="476">
        <f>SUM('3 pr-2'!R132)</f>
        <v>14454</v>
      </c>
      <c r="S132" s="474">
        <v>0</v>
      </c>
      <c r="T132" s="475">
        <f t="shared" si="210"/>
        <v>14454</v>
      </c>
      <c r="U132" s="724">
        <f t="shared" si="211"/>
        <v>0</v>
      </c>
      <c r="V132" s="476">
        <f>SUM('3 pr-2'!U132)</f>
        <v>11471</v>
      </c>
      <c r="W132" s="474">
        <v>0</v>
      </c>
      <c r="X132" s="475">
        <f t="shared" si="212"/>
        <v>11471</v>
      </c>
      <c r="Y132" s="724">
        <f t="shared" si="213"/>
        <v>0</v>
      </c>
      <c r="Z132" s="476">
        <f>SUM('3 pr-2'!X132)</f>
        <v>0</v>
      </c>
      <c r="AA132" s="474">
        <v>0</v>
      </c>
      <c r="AB132" s="475">
        <f t="shared" si="214"/>
        <v>0</v>
      </c>
      <c r="AC132" s="724">
        <f t="shared" si="215"/>
        <v>0</v>
      </c>
      <c r="AD132" s="476">
        <f>SUM('3 pr-2'!AA132)</f>
        <v>163811</v>
      </c>
      <c r="AE132" s="474">
        <v>0</v>
      </c>
      <c r="AF132" s="727">
        <f t="shared" si="216"/>
        <v>163811</v>
      </c>
      <c r="AG132" s="454">
        <f t="shared" si="217"/>
        <v>0</v>
      </c>
    </row>
    <row r="133" spans="1:33" ht="37.5" thickBot="1" x14ac:dyDescent="0.3">
      <c r="A133" s="255" t="str">
        <f>CONCATENATE('3 pr-2'!A133)</f>
        <v>2.1.2.1.12</v>
      </c>
      <c r="B133" s="1015" t="str">
        <f>IF('ketv. 4 lent'!V133&gt;0,'ketv. 4 lent'!B133,"-")</f>
        <v>-</v>
      </c>
      <c r="C133" s="725" t="str">
        <f>CONCATENATE('3 pr-2'!D133)</f>
        <v>Pirminės asmens sveikatos priežiūros veiklos efektyvumo didinimas Varėnos rajono savivaldybėje</v>
      </c>
      <c r="D133" s="255" t="str">
        <f>CONCATENATE('3 pr-2'!E133)</f>
        <v>VšĮ Varėnos pirminės sveikatos priežiūros centras</v>
      </c>
      <c r="E133" s="255" t="str">
        <f>CONCATENATE('3 pr-2'!F133)</f>
        <v>Lietuvos Respublikos Sveikatos apsaugos ministerija</v>
      </c>
      <c r="F133" s="255" t="str">
        <f>CONCATENATE('3 pr-2'!G133)</f>
        <v>Varėnos r. sav.</v>
      </c>
      <c r="G133" s="255" t="str">
        <f>CONCATENATE('3 pr-2'!H133)</f>
        <v>08.1.3-CPVA-R-609</v>
      </c>
      <c r="H133" s="255" t="str">
        <f>CONCATENATE('3 pr-2'!I133)</f>
        <v>R</v>
      </c>
      <c r="I133" s="255" t="str">
        <f>CONCATENATE('3 pr-2'!J133)</f>
        <v>-</v>
      </c>
      <c r="J133" s="474">
        <f>SUM('3 pr-2'!L133)</f>
        <v>192678</v>
      </c>
      <c r="K133" s="474">
        <v>0</v>
      </c>
      <c r="L133" s="475">
        <f t="shared" ref="L133" si="218">SUM(J133-K133)</f>
        <v>192678</v>
      </c>
      <c r="M133" s="724">
        <f t="shared" ref="M133" si="219">IF(K133&gt;0,J133-K133,0)</f>
        <v>0</v>
      </c>
      <c r="N133" s="476">
        <f>SUM('3 pr-2'!O133)</f>
        <v>14451</v>
      </c>
      <c r="O133" s="474">
        <v>0</v>
      </c>
      <c r="P133" s="475">
        <f t="shared" ref="P133" si="220">SUM(N133-O133)</f>
        <v>14451</v>
      </c>
      <c r="Q133" s="724">
        <f t="shared" ref="Q133" si="221">IF(O133&gt;0,N133-O133,0)</f>
        <v>0</v>
      </c>
      <c r="R133" s="476">
        <f>SUM('3 pr-2'!R133)</f>
        <v>14451</v>
      </c>
      <c r="S133" s="474">
        <v>0</v>
      </c>
      <c r="T133" s="475">
        <f t="shared" ref="T133" si="222">SUM(R133-S133)</f>
        <v>14451</v>
      </c>
      <c r="U133" s="724">
        <f t="shared" ref="U133" si="223">IF(S133&gt;0,R133-S133,0)</f>
        <v>0</v>
      </c>
      <c r="V133" s="476">
        <f>SUM('3 pr-2'!U133)</f>
        <v>0</v>
      </c>
      <c r="W133" s="474">
        <v>0</v>
      </c>
      <c r="X133" s="475">
        <f t="shared" ref="X133" si="224">SUM(V133-W133)</f>
        <v>0</v>
      </c>
      <c r="Y133" s="724">
        <f t="shared" ref="Y133" si="225">IF(W133&gt;0,V133-W133,0)</f>
        <v>0</v>
      </c>
      <c r="Z133" s="476">
        <f>SUM('3 pr-2'!X133)</f>
        <v>0</v>
      </c>
      <c r="AA133" s="474">
        <v>0</v>
      </c>
      <c r="AB133" s="475">
        <f t="shared" ref="AB133" si="226">SUM(Z133-AA133)</f>
        <v>0</v>
      </c>
      <c r="AC133" s="724">
        <f t="shared" ref="AC133" si="227">IF(AA133&gt;0,Z133-AA133,0)</f>
        <v>0</v>
      </c>
      <c r="AD133" s="476">
        <f>SUM('3 pr-2'!AA133)</f>
        <v>163776</v>
      </c>
      <c r="AE133" s="474">
        <v>0</v>
      </c>
      <c r="AF133" s="727">
        <f t="shared" ref="AF133" si="228">SUM(AD133-AE133)</f>
        <v>163776</v>
      </c>
      <c r="AG133" s="454">
        <f t="shared" ref="AG133" si="229">IF(AE133&gt;0,AD133-AE133,0)</f>
        <v>0</v>
      </c>
    </row>
    <row r="134" spans="1:33" s="58" customFormat="1" ht="35.25" customHeight="1" thickBot="1" x14ac:dyDescent="0.3">
      <c r="A134" s="497" t="str">
        <f>CONCATENATE('3 pr-2'!A137)</f>
        <v>2.1.2.2.2</v>
      </c>
      <c r="B134" s="613" t="str">
        <f>CONCATENATE('ketv. 2lent'!B133)</f>
        <v/>
      </c>
      <c r="C134" s="1656" t="str">
        <f>CONCATENATE('3 pr-2'!D135)</f>
        <v/>
      </c>
      <c r="D134" s="1787"/>
      <c r="E134" s="1787"/>
      <c r="F134" s="1787"/>
      <c r="G134" s="1787"/>
      <c r="H134" s="1787"/>
      <c r="I134" s="1788"/>
      <c r="J134" s="987">
        <f>SUM('3 pr-2'!L135)</f>
        <v>994985.89999999991</v>
      </c>
      <c r="K134" s="987">
        <f>SUM(K135:K139)</f>
        <v>0</v>
      </c>
      <c r="L134" s="1003">
        <f>SUM(L135:L139)</f>
        <v>994985.89999999991</v>
      </c>
      <c r="M134" s="1004">
        <f>SUM(M135:M139)</f>
        <v>0</v>
      </c>
      <c r="N134" s="987">
        <f>SUM('3 pr-2'!O135)</f>
        <v>74623.950000000012</v>
      </c>
      <c r="O134" s="987">
        <f>SUM(O135:O139)</f>
        <v>0</v>
      </c>
      <c r="P134" s="987">
        <f>SUM(P135:P139)</f>
        <v>74623.950000000012</v>
      </c>
      <c r="Q134" s="987">
        <f>SUM(Q135:Q139)</f>
        <v>0</v>
      </c>
      <c r="R134" s="987">
        <f>SUM('3 pr-2'!R135)</f>
        <v>74623.950000000012</v>
      </c>
      <c r="S134" s="987">
        <f>SUM(S135:S139)</f>
        <v>0</v>
      </c>
      <c r="T134" s="987">
        <f>SUM(T135:T139)</f>
        <v>74623.950000000012</v>
      </c>
      <c r="U134" s="987">
        <f>SUM(U135:U139)</f>
        <v>0</v>
      </c>
      <c r="V134" s="987">
        <f>SUM('3 pr-2'!U135)</f>
        <v>0</v>
      </c>
      <c r="W134" s="987">
        <f>SUM(W135:W139)</f>
        <v>0</v>
      </c>
      <c r="X134" s="987">
        <f>SUM(X135:X139)</f>
        <v>0</v>
      </c>
      <c r="Y134" s="987">
        <f>SUM(Y135:Y139)</f>
        <v>0</v>
      </c>
      <c r="Z134" s="987">
        <f>SUM('3 pr-2'!X135)</f>
        <v>0</v>
      </c>
      <c r="AA134" s="987">
        <f>SUM(AA135:AA139)</f>
        <v>0</v>
      </c>
      <c r="AB134" s="987">
        <f>SUM(AB135:AB139)</f>
        <v>0</v>
      </c>
      <c r="AC134" s="987">
        <f>SUM(AC135:AC139)</f>
        <v>0</v>
      </c>
      <c r="AD134" s="987">
        <f>SUM('3 pr-2'!AA135)</f>
        <v>845738</v>
      </c>
      <c r="AE134" s="987">
        <f>SUM(AE135:AE139)</f>
        <v>0</v>
      </c>
      <c r="AF134" s="1005">
        <f>SUM(AF135:AF139)</f>
        <v>845738</v>
      </c>
      <c r="AG134" s="1006">
        <f>SUM(AG135:AG139)</f>
        <v>0</v>
      </c>
    </row>
    <row r="135" spans="1:33" s="58" customFormat="1" ht="48.75" x14ac:dyDescent="0.25">
      <c r="A135" s="992" t="str">
        <f>CONCATENATE('3 pr-2'!A136)</f>
        <v>2.1.2.2.1</v>
      </c>
      <c r="B135" s="1015" t="str">
        <f>IF('ketv. 4 lent'!V135&gt;0,'ketv. 4 lent'!B135,"-")</f>
        <v>-</v>
      </c>
      <c r="C135" s="1018" t="str">
        <f>CONCATENATE('3 pr-2'!D136)</f>
        <v>Sveikos gyvensenos skatinimas Alytaus rajone</v>
      </c>
      <c r="D135" s="992" t="str">
        <f>CONCATENATE('3 pr-2'!E136)</f>
        <v>Alytaus rajono savivaldybės visuomenės sveikatos biuras</v>
      </c>
      <c r="E135" s="992" t="str">
        <f>CONCATENATE('3 pr-2'!F136)</f>
        <v>Lietuvos Respublikos Sveikatos apsaugos ministerija</v>
      </c>
      <c r="F135" s="992" t="str">
        <f>CONCATENATE('3 pr-2'!G136)</f>
        <v>Alytaus rajono savivaldybė</v>
      </c>
      <c r="G135" s="1001" t="str">
        <f>CONCATENATE('3 pr-2'!H136)</f>
        <v>08.4.2-ESFA-R-630</v>
      </c>
      <c r="H135" s="1008" t="str">
        <f>CONCATENATE('3 pr-2'!I136)</f>
        <v>R</v>
      </c>
      <c r="I135" s="1008" t="str">
        <f>CONCATENATE('3 pr-2'!J136)</f>
        <v>-</v>
      </c>
      <c r="J135" s="994">
        <f>SUM('3 pr-2'!L136)</f>
        <v>198997.18</v>
      </c>
      <c r="K135" s="994">
        <v>0</v>
      </c>
      <c r="L135" s="1009">
        <f t="shared" ref="L135:L139" si="230">SUM(J135-K135)</f>
        <v>198997.18</v>
      </c>
      <c r="M135" s="1010">
        <f t="shared" ref="M135:M139" si="231">IF(K135&gt;0,J135-K135,0)</f>
        <v>0</v>
      </c>
      <c r="N135" s="684">
        <f>SUM('3 pr-2'!O136)</f>
        <v>14924.79</v>
      </c>
      <c r="O135" s="994">
        <v>0</v>
      </c>
      <c r="P135" s="1009">
        <f t="shared" ref="P135:P139" si="232">SUM(N135-O135)</f>
        <v>14924.79</v>
      </c>
      <c r="Q135" s="1010">
        <f t="shared" ref="Q135:Q139" si="233">IF(O135&gt;0,N135-O135,0)</f>
        <v>0</v>
      </c>
      <c r="R135" s="684">
        <f>SUM('3 pr-2'!R136)</f>
        <v>14924.79</v>
      </c>
      <c r="S135" s="994">
        <v>0</v>
      </c>
      <c r="T135" s="1009">
        <f t="shared" ref="T135:T139" si="234">SUM(R135-S135)</f>
        <v>14924.79</v>
      </c>
      <c r="U135" s="1010">
        <f t="shared" ref="U135:U139" si="235">IF(S135&gt;0,R135-S135,0)</f>
        <v>0</v>
      </c>
      <c r="V135" s="684">
        <f>SUM('3 pr-2'!U136)</f>
        <v>0</v>
      </c>
      <c r="W135" s="994">
        <v>0</v>
      </c>
      <c r="X135" s="1009">
        <f t="shared" ref="X135:X139" si="236">SUM(V135-W135)</f>
        <v>0</v>
      </c>
      <c r="Y135" s="1010">
        <f t="shared" ref="Y135:Y139" si="237">IF(W135&gt;0,V135-W135,0)</f>
        <v>0</v>
      </c>
      <c r="Z135" s="684">
        <f>SUM('3 pr-2'!X136)</f>
        <v>0</v>
      </c>
      <c r="AA135" s="994">
        <v>0</v>
      </c>
      <c r="AB135" s="1009">
        <f t="shared" ref="AB135:AB139" si="238">SUM(Z135-AA135)</f>
        <v>0</v>
      </c>
      <c r="AC135" s="1010">
        <f t="shared" ref="AC135:AC139" si="239">IF(AA135&gt;0,Z135-AA135,0)</f>
        <v>0</v>
      </c>
      <c r="AD135" s="684">
        <f>SUM('3 pr-2'!AA136)</f>
        <v>169147.6</v>
      </c>
      <c r="AE135" s="994">
        <v>0</v>
      </c>
      <c r="AF135" s="1011">
        <f t="shared" ref="AF135:AF139" si="240">SUM(AD135-AE135)</f>
        <v>169147.6</v>
      </c>
      <c r="AG135" s="1012">
        <f t="shared" ref="AG135:AG139" si="241">IF(AE135&gt;0,AD135-AE135,0)</f>
        <v>0</v>
      </c>
    </row>
    <row r="136" spans="1:33" s="58" customFormat="1" ht="36.75" x14ac:dyDescent="0.25">
      <c r="A136" s="992" t="str">
        <f>CONCATENATE('3 pr-2'!A137)</f>
        <v>2.1.2.2.2</v>
      </c>
      <c r="B136" s="1015" t="str">
        <f>IF('ketv. 4 lent'!V136&gt;0,'ketv. 4 lent'!B136,"-")</f>
        <v>-</v>
      </c>
      <c r="C136" s="1018" t="str">
        <f>CONCATENATE('3 pr-2'!D137)</f>
        <v>Mažais žingsneliais – sveikos gyvensenos link</v>
      </c>
      <c r="D136" s="992" t="str">
        <f>CONCATENATE('3 pr-2'!E137)</f>
        <v>Alytaus miesto savivaldybės administracija</v>
      </c>
      <c r="E136" s="992" t="str">
        <f>CONCATENATE('3 pr-2'!F137)</f>
        <v>Lietuvos Respublikos Sveikatos apsaugos ministerija</v>
      </c>
      <c r="F136" s="992" t="str">
        <f>CONCATENATE('3 pr-2'!G137)</f>
        <v>Alytaus  miestas</v>
      </c>
      <c r="G136" s="1001" t="str">
        <f>CONCATENATE('3 pr-2'!H137)</f>
        <v>08.4.2-ESFA-R-630</v>
      </c>
      <c r="H136" s="1008" t="str">
        <f>CONCATENATE('3 pr-2'!I137)</f>
        <v>R</v>
      </c>
      <c r="I136" s="1008" t="str">
        <f>CONCATENATE('3 pr-2'!J137)</f>
        <v>-</v>
      </c>
      <c r="J136" s="994">
        <f>SUM('3 pr-2'!L137)</f>
        <v>198997.18</v>
      </c>
      <c r="K136" s="994">
        <v>0</v>
      </c>
      <c r="L136" s="1009">
        <f t="shared" si="230"/>
        <v>198997.18</v>
      </c>
      <c r="M136" s="1010">
        <f t="shared" si="231"/>
        <v>0</v>
      </c>
      <c r="N136" s="684">
        <f>SUM('3 pr-2'!O137)</f>
        <v>14924.79</v>
      </c>
      <c r="O136" s="994">
        <v>0</v>
      </c>
      <c r="P136" s="1009">
        <f t="shared" si="232"/>
        <v>14924.79</v>
      </c>
      <c r="Q136" s="1010">
        <f t="shared" si="233"/>
        <v>0</v>
      </c>
      <c r="R136" s="684">
        <f>SUM('3 pr-2'!R137)</f>
        <v>14924.79</v>
      </c>
      <c r="S136" s="994">
        <v>0</v>
      </c>
      <c r="T136" s="1009">
        <f t="shared" si="234"/>
        <v>14924.79</v>
      </c>
      <c r="U136" s="1010">
        <f t="shared" si="235"/>
        <v>0</v>
      </c>
      <c r="V136" s="684">
        <f>SUM('3 pr-2'!U137)</f>
        <v>0</v>
      </c>
      <c r="W136" s="994">
        <v>0</v>
      </c>
      <c r="X136" s="1009">
        <f t="shared" si="236"/>
        <v>0</v>
      </c>
      <c r="Y136" s="1010">
        <f t="shared" si="237"/>
        <v>0</v>
      </c>
      <c r="Z136" s="684">
        <f>SUM('3 pr-2'!X137)</f>
        <v>0</v>
      </c>
      <c r="AA136" s="994">
        <v>0</v>
      </c>
      <c r="AB136" s="1009">
        <f t="shared" si="238"/>
        <v>0</v>
      </c>
      <c r="AC136" s="1010">
        <f t="shared" si="239"/>
        <v>0</v>
      </c>
      <c r="AD136" s="684">
        <f>SUM('3 pr-2'!AA137)</f>
        <v>169147.6</v>
      </c>
      <c r="AE136" s="994">
        <v>0</v>
      </c>
      <c r="AF136" s="1013">
        <f t="shared" si="240"/>
        <v>169147.6</v>
      </c>
      <c r="AG136" s="1012">
        <f t="shared" si="241"/>
        <v>0</v>
      </c>
    </row>
    <row r="137" spans="1:33" s="58" customFormat="1" ht="48.75" x14ac:dyDescent="0.25">
      <c r="A137" s="992" t="str">
        <f>CONCATENATE('3 pr-2'!A138)</f>
        <v>2.1.2.2.3</v>
      </c>
      <c r="B137" s="1015" t="str">
        <f>IF('ketv. 4 lent'!V137&gt;0,'ketv. 4 lent'!B137,"-")</f>
        <v>-</v>
      </c>
      <c r="C137" s="1018" t="str">
        <f>CONCATENATE('3 pr-2'!D138)</f>
        <v>Sveikos gyvensenos skatinimas Varėnos rajono savivaldybėje</v>
      </c>
      <c r="D137" s="992" t="str">
        <f>CONCATENATE('3 pr-2'!E138)</f>
        <v>Varėnos rajono savivaldybės visuomenės sveikatos biuras</v>
      </c>
      <c r="E137" s="992" t="str">
        <f>CONCATENATE('3 pr-2'!F138)</f>
        <v>Lietuvos Respublikos Sveikatos apsaugos ministerija</v>
      </c>
      <c r="F137" s="992" t="str">
        <f>CONCATENATE('3 pr-2'!G138)</f>
        <v>Varėnos rajono savivaldybė</v>
      </c>
      <c r="G137" s="1001" t="str">
        <f>CONCATENATE('3 pr-2'!H138)</f>
        <v>08.4.2-ESFA-R-630</v>
      </c>
      <c r="H137" s="1008" t="str">
        <f>CONCATENATE('3 pr-2'!I138)</f>
        <v>R</v>
      </c>
      <c r="I137" s="1008" t="str">
        <f>CONCATENATE('3 pr-2'!J138)</f>
        <v>-</v>
      </c>
      <c r="J137" s="994">
        <f>SUM('3 pr-2'!L138)</f>
        <v>198997.18</v>
      </c>
      <c r="K137" s="994">
        <v>0</v>
      </c>
      <c r="L137" s="1009">
        <f t="shared" si="230"/>
        <v>198997.18</v>
      </c>
      <c r="M137" s="1010">
        <f t="shared" si="231"/>
        <v>0</v>
      </c>
      <c r="N137" s="684">
        <f>SUM('3 pr-2'!O138)</f>
        <v>14924.79</v>
      </c>
      <c r="O137" s="994">
        <v>0</v>
      </c>
      <c r="P137" s="1009">
        <f t="shared" si="232"/>
        <v>14924.79</v>
      </c>
      <c r="Q137" s="1010">
        <f t="shared" si="233"/>
        <v>0</v>
      </c>
      <c r="R137" s="684">
        <f>SUM('3 pr-2'!R138)</f>
        <v>14924.79</v>
      </c>
      <c r="S137" s="994">
        <v>0</v>
      </c>
      <c r="T137" s="1009">
        <f t="shared" si="234"/>
        <v>14924.79</v>
      </c>
      <c r="U137" s="1010">
        <f t="shared" si="235"/>
        <v>0</v>
      </c>
      <c r="V137" s="684">
        <f>SUM('3 pr-2'!U138)</f>
        <v>0</v>
      </c>
      <c r="W137" s="994">
        <v>0</v>
      </c>
      <c r="X137" s="1009">
        <f t="shared" si="236"/>
        <v>0</v>
      </c>
      <c r="Y137" s="1010">
        <f t="shared" si="237"/>
        <v>0</v>
      </c>
      <c r="Z137" s="684">
        <f>SUM('3 pr-2'!X138)</f>
        <v>0</v>
      </c>
      <c r="AA137" s="994">
        <v>0</v>
      </c>
      <c r="AB137" s="1009">
        <f t="shared" si="238"/>
        <v>0</v>
      </c>
      <c r="AC137" s="1010">
        <f t="shared" si="239"/>
        <v>0</v>
      </c>
      <c r="AD137" s="684">
        <f>SUM('3 pr-2'!AA138)</f>
        <v>169147.6</v>
      </c>
      <c r="AE137" s="994">
        <v>0</v>
      </c>
      <c r="AF137" s="1013">
        <f t="shared" si="240"/>
        <v>169147.6</v>
      </c>
      <c r="AG137" s="1012">
        <f t="shared" si="241"/>
        <v>0</v>
      </c>
    </row>
    <row r="138" spans="1:33" s="58" customFormat="1" ht="48.75" x14ac:dyDescent="0.25">
      <c r="A138" s="992" t="str">
        <f>CONCATENATE('3 pr-2'!A139)</f>
        <v>2.1.2.2.4.</v>
      </c>
      <c r="B138" s="1015" t="str">
        <f>IF('ketv. 4 lent'!V138&gt;0,'ketv. 4 lent'!B138,"-")</f>
        <v>-</v>
      </c>
      <c r="C138" s="1018" t="str">
        <f>CONCATENATE('3 pr-2'!D139)</f>
        <v>Sveika bendruomenė – stipri visuomenė</v>
      </c>
      <c r="D138" s="992" t="str">
        <f>CONCATENATE('3 pr-2'!E139)</f>
        <v>Druskininkų savivaldybės visuomenės sveikatos biuras</v>
      </c>
      <c r="E138" s="992" t="str">
        <f>CONCATENATE('3 pr-2'!F139)</f>
        <v>Lietuvos Respublikos Sveikatos apsaugos ministerija</v>
      </c>
      <c r="F138" s="992" t="str">
        <f>CONCATENATE('3 pr-2'!G139)</f>
        <v>Druskininkų savivaldybė</v>
      </c>
      <c r="G138" s="1001" t="str">
        <f>CONCATENATE('3 pr-2'!H139)</f>
        <v>08.4.2-ESFA-R-630</v>
      </c>
      <c r="H138" s="1008" t="str">
        <f>CONCATENATE('3 pr-2'!I139)</f>
        <v>R</v>
      </c>
      <c r="I138" s="1008" t="str">
        <f>CONCATENATE('3 pr-2'!J139)</f>
        <v>-</v>
      </c>
      <c r="J138" s="994">
        <f>SUM('3 pr-2'!L139)</f>
        <v>198997.18</v>
      </c>
      <c r="K138" s="994">
        <v>0</v>
      </c>
      <c r="L138" s="1009">
        <f t="shared" si="230"/>
        <v>198997.18</v>
      </c>
      <c r="M138" s="1010">
        <f t="shared" si="231"/>
        <v>0</v>
      </c>
      <c r="N138" s="684">
        <f>SUM('3 pr-2'!O139)</f>
        <v>14924.79</v>
      </c>
      <c r="O138" s="994">
        <v>0</v>
      </c>
      <c r="P138" s="1009">
        <f t="shared" si="232"/>
        <v>14924.79</v>
      </c>
      <c r="Q138" s="1010">
        <f t="shared" si="233"/>
        <v>0</v>
      </c>
      <c r="R138" s="684">
        <f>SUM('3 pr-2'!R139)</f>
        <v>14924.79</v>
      </c>
      <c r="S138" s="994">
        <v>0</v>
      </c>
      <c r="T138" s="1009">
        <f t="shared" si="234"/>
        <v>14924.79</v>
      </c>
      <c r="U138" s="1010">
        <f t="shared" si="235"/>
        <v>0</v>
      </c>
      <c r="V138" s="684">
        <f>SUM('3 pr-2'!U139)</f>
        <v>0</v>
      </c>
      <c r="W138" s="994">
        <v>0</v>
      </c>
      <c r="X138" s="1009">
        <f t="shared" si="236"/>
        <v>0</v>
      </c>
      <c r="Y138" s="1010">
        <f t="shared" si="237"/>
        <v>0</v>
      </c>
      <c r="Z138" s="684">
        <f>SUM('3 pr-2'!X139)</f>
        <v>0</v>
      </c>
      <c r="AA138" s="994">
        <v>0</v>
      </c>
      <c r="AB138" s="1009">
        <f t="shared" si="238"/>
        <v>0</v>
      </c>
      <c r="AC138" s="1010">
        <f t="shared" si="239"/>
        <v>0</v>
      </c>
      <c r="AD138" s="684">
        <f>SUM('3 pr-2'!AA139)</f>
        <v>169147.6</v>
      </c>
      <c r="AE138" s="994">
        <v>0</v>
      </c>
      <c r="AF138" s="1013">
        <f t="shared" si="240"/>
        <v>169147.6</v>
      </c>
      <c r="AG138" s="1012">
        <f t="shared" si="241"/>
        <v>0</v>
      </c>
    </row>
    <row r="139" spans="1:33" s="58" customFormat="1" ht="49.5" thickBot="1" x14ac:dyDescent="0.3">
      <c r="A139" s="992" t="str">
        <f>CONCATENATE('3 pr-2'!A140)</f>
        <v>2.1.2.2.5</v>
      </c>
      <c r="B139" s="1015" t="str">
        <f>IF('ketv. 4 lent'!V139&gt;0,'ketv. 4 lent'!B139,"-")</f>
        <v>-</v>
      </c>
      <c r="C139" s="1018" t="str">
        <f>CONCATENATE('3 pr-2'!D140)</f>
        <v>Sveikos gyvensenos skatinimas Lazdijų rajono savivaldybėje</v>
      </c>
      <c r="D139" s="992" t="str">
        <f>CONCATENATE('3 pr-2'!E140)</f>
        <v>Lazdijų rajono savivaldybės visuomenės sveikatos biuras</v>
      </c>
      <c r="E139" s="992" t="str">
        <f>CONCATENATE('3 pr-2'!F140)</f>
        <v>Lietuvos Respublikos Sveikatos apsaugos ministerija</v>
      </c>
      <c r="F139" s="992" t="str">
        <f>CONCATENATE('3 pr-2'!G140)</f>
        <v>Lazdijų rajono savivaldybė</v>
      </c>
      <c r="G139" s="1001" t="str">
        <f>CONCATENATE('3 pr-2'!H140)</f>
        <v>08.4.2-ESFA-R-630</v>
      </c>
      <c r="H139" s="1008" t="str">
        <f>CONCATENATE('3 pr-2'!I140)</f>
        <v>R</v>
      </c>
      <c r="I139" s="1008" t="str">
        <f>CONCATENATE('3 pr-2'!J140)</f>
        <v>-</v>
      </c>
      <c r="J139" s="994">
        <f>SUM('3 pr-2'!L140)</f>
        <v>198997.18</v>
      </c>
      <c r="K139" s="994">
        <v>0</v>
      </c>
      <c r="L139" s="1009">
        <f t="shared" si="230"/>
        <v>198997.18</v>
      </c>
      <c r="M139" s="1010">
        <f t="shared" si="231"/>
        <v>0</v>
      </c>
      <c r="N139" s="684">
        <f>SUM('3 pr-2'!O140)</f>
        <v>14924.79</v>
      </c>
      <c r="O139" s="994">
        <v>0</v>
      </c>
      <c r="P139" s="1009">
        <f t="shared" si="232"/>
        <v>14924.79</v>
      </c>
      <c r="Q139" s="1010">
        <f t="shared" si="233"/>
        <v>0</v>
      </c>
      <c r="R139" s="684">
        <f>SUM('3 pr-2'!R140)</f>
        <v>14924.79</v>
      </c>
      <c r="S139" s="994">
        <v>0</v>
      </c>
      <c r="T139" s="1009">
        <f t="shared" si="234"/>
        <v>14924.79</v>
      </c>
      <c r="U139" s="1010">
        <f t="shared" si="235"/>
        <v>0</v>
      </c>
      <c r="V139" s="684">
        <f>SUM('3 pr-2'!U140)</f>
        <v>0</v>
      </c>
      <c r="W139" s="994">
        <v>0</v>
      </c>
      <c r="X139" s="1009">
        <f t="shared" si="236"/>
        <v>0</v>
      </c>
      <c r="Y139" s="1010">
        <f t="shared" si="237"/>
        <v>0</v>
      </c>
      <c r="Z139" s="684">
        <f>SUM('3 pr-2'!X140)</f>
        <v>0</v>
      </c>
      <c r="AA139" s="994">
        <v>0</v>
      </c>
      <c r="AB139" s="1009">
        <f t="shared" si="238"/>
        <v>0</v>
      </c>
      <c r="AC139" s="1010">
        <f t="shared" si="239"/>
        <v>0</v>
      </c>
      <c r="AD139" s="684">
        <f>SUM('3 pr-2'!AA140)</f>
        <v>169147.6</v>
      </c>
      <c r="AE139" s="994">
        <v>0</v>
      </c>
      <c r="AF139" s="1013">
        <f t="shared" si="240"/>
        <v>169147.6</v>
      </c>
      <c r="AG139" s="1012">
        <f t="shared" si="241"/>
        <v>0</v>
      </c>
    </row>
    <row r="140" spans="1:33" s="58" customFormat="1" ht="35.25" customHeight="1" thickBot="1" x14ac:dyDescent="0.3">
      <c r="A140" s="497" t="str">
        <f>CONCATENATE('3 pr-2'!A143)</f>
        <v>2.1.2.3.2</v>
      </c>
      <c r="B140" s="613" t="str">
        <f>CONCATENATE('ketv. 2lent'!B139)</f>
        <v/>
      </c>
      <c r="C140" s="1656" t="str">
        <f>CONCATENATE('3 pr-2'!D143)</f>
        <v>Ambulatorinių sveikatos priežiūros paslaugų gerinimas tuberkulioze sergantiems asmenims</v>
      </c>
      <c r="D140" s="1787"/>
      <c r="E140" s="1787"/>
      <c r="F140" s="1787"/>
      <c r="G140" s="1787"/>
      <c r="H140" s="1787"/>
      <c r="I140" s="1788"/>
      <c r="J140" s="987">
        <f>SUM('3 pr-2'!L141)</f>
        <v>65212.65</v>
      </c>
      <c r="K140" s="987">
        <f>SUM(K141:K145)</f>
        <v>0</v>
      </c>
      <c r="L140" s="1003">
        <f>SUM(L141:L151)</f>
        <v>65212.530000000006</v>
      </c>
      <c r="M140" s="1004">
        <f>SUM(M141:M151)</f>
        <v>-0.11999999999534339</v>
      </c>
      <c r="N140" s="987">
        <f>SUM('3 pr-2'!O141)</f>
        <v>4891.03</v>
      </c>
      <c r="O140" s="987">
        <f>SUM(O141:O145)</f>
        <v>0</v>
      </c>
      <c r="P140" s="987">
        <f>SUM(P141:P151)</f>
        <v>4890.5499999999893</v>
      </c>
      <c r="Q140" s="987">
        <f>SUM(Q141:Q151)</f>
        <v>-0.48000000001047738</v>
      </c>
      <c r="R140" s="987">
        <f>SUM('3 pr-2'!R141)</f>
        <v>4891.0199999999995</v>
      </c>
      <c r="S140" s="987">
        <f>SUM(S141:S145)</f>
        <v>0</v>
      </c>
      <c r="T140" s="987">
        <f>SUM(T141:T151)</f>
        <v>4891.0199999999995</v>
      </c>
      <c r="U140" s="987">
        <f>SUM(U141:U151)</f>
        <v>0</v>
      </c>
      <c r="V140" s="987">
        <f>SUM('3 pr-2'!U141)</f>
        <v>0</v>
      </c>
      <c r="W140" s="987">
        <f>SUM(W141:W145)</f>
        <v>0</v>
      </c>
      <c r="X140" s="987">
        <f>SUM(X141:X151)</f>
        <v>0</v>
      </c>
      <c r="Y140" s="987">
        <f>SUM(Y141:Y151)</f>
        <v>0</v>
      </c>
      <c r="Z140" s="987">
        <f>SUM('3 pr-2'!X141)</f>
        <v>0</v>
      </c>
      <c r="AA140" s="987">
        <f>SUM(AA141:AA145)</f>
        <v>0</v>
      </c>
      <c r="AB140" s="987">
        <f>SUM(AB141:AB151)</f>
        <v>0</v>
      </c>
      <c r="AC140" s="987">
        <f>SUM(AC141:AC151)</f>
        <v>0</v>
      </c>
      <c r="AD140" s="987">
        <f>SUM('3 pr-2'!AA141)</f>
        <v>55430.6</v>
      </c>
      <c r="AE140" s="987">
        <f>SUM(AE141:AE145)</f>
        <v>0</v>
      </c>
      <c r="AF140" s="1005">
        <f>SUM(AF141:AF151)</f>
        <v>55430.960000000014</v>
      </c>
      <c r="AG140" s="1006">
        <f>SUM(AG141:AG151)</f>
        <v>0.36000000001513399</v>
      </c>
    </row>
    <row r="141" spans="1:33" s="58" customFormat="1" ht="48.75" x14ac:dyDescent="0.25">
      <c r="A141" s="992" t="str">
        <f>CONCATENATE('3 pr-2'!A142)</f>
        <v>2.1.2.3.1</v>
      </c>
      <c r="B141" s="1015" t="str">
        <f>IF('ketv. 4 lent'!V141&gt;0,'ketv. 4 lent'!B141,"-")</f>
        <v>-</v>
      </c>
      <c r="C141" s="1018" t="str">
        <f>CONCATENATE('3 pr-2'!D142)</f>
        <v>Priemonių gerinančių ambulatorinių sveikatos priežiūros paslaugų prieinamumą tuberkulioze sergantiems asmenims, Alytaus rajone įgyvendinimas</v>
      </c>
      <c r="D141" s="992" t="str">
        <f>CONCATENATE('3 pr-2'!E142)</f>
        <v>VšĮ Alytaus rajono savivaldybės pirminės sveikatos priežiūros centras</v>
      </c>
      <c r="E141" s="992" t="str">
        <f>CONCATENATE('3 pr-2'!F142)</f>
        <v>Lietuvos Respublikos Sveikatos apsaugos ministerija</v>
      </c>
      <c r="F141" s="992" t="str">
        <f>CONCATENATE('3 pr-2'!G142)</f>
        <v>Alytaus rajono savivaldybė</v>
      </c>
      <c r="G141" s="1001" t="str">
        <f>CONCATENATE('3 pr-2'!H142)</f>
        <v>08.4.2-ESFA-R-615</v>
      </c>
      <c r="H141" s="1008" t="str">
        <f>CONCATENATE('3 pr-2'!I142)</f>
        <v>R</v>
      </c>
      <c r="I141" s="1008" t="str">
        <f>CONCATENATE('3 pr-2'!J142)</f>
        <v>-</v>
      </c>
      <c r="J141" s="994">
        <f>SUM('3 pr-2'!L142)</f>
        <v>10452.94</v>
      </c>
      <c r="K141" s="994">
        <v>0</v>
      </c>
      <c r="L141" s="1009">
        <f t="shared" ref="L141:L145" si="242">SUM(J141-K141)</f>
        <v>10452.94</v>
      </c>
      <c r="M141" s="1010">
        <f t="shared" ref="M141:M145" si="243">IF(K141&gt;0,J141-K141,0)</f>
        <v>0</v>
      </c>
      <c r="N141" s="684">
        <f>SUM('3 pr-2'!O142)</f>
        <v>783.97</v>
      </c>
      <c r="O141" s="994">
        <v>0</v>
      </c>
      <c r="P141" s="1009">
        <f t="shared" ref="P141:P145" si="244">SUM(N141-O141)</f>
        <v>783.97</v>
      </c>
      <c r="Q141" s="1010">
        <f t="shared" ref="Q141:Q145" si="245">IF(O141&gt;0,N141-O141,0)</f>
        <v>0</v>
      </c>
      <c r="R141" s="684">
        <f>SUM('3 pr-2'!R142)</f>
        <v>783.97</v>
      </c>
      <c r="S141" s="994">
        <v>0</v>
      </c>
      <c r="T141" s="1009">
        <f t="shared" ref="T141:T145" si="246">SUM(R141-S141)</f>
        <v>783.97</v>
      </c>
      <c r="U141" s="1010">
        <f t="shared" ref="U141:U145" si="247">IF(S141&gt;0,R141-S141,0)</f>
        <v>0</v>
      </c>
      <c r="V141" s="684">
        <f>SUM('3 pr-2'!U142)</f>
        <v>0</v>
      </c>
      <c r="W141" s="994">
        <v>0</v>
      </c>
      <c r="X141" s="1009">
        <f t="shared" ref="X141:X145" si="248">SUM(V141-W141)</f>
        <v>0</v>
      </c>
      <c r="Y141" s="1010">
        <f t="shared" ref="Y141:Y145" si="249">IF(W141&gt;0,V141-W141,0)</f>
        <v>0</v>
      </c>
      <c r="Z141" s="684">
        <f>SUM('3 pr-2'!X142)</f>
        <v>0</v>
      </c>
      <c r="AA141" s="994">
        <v>0</v>
      </c>
      <c r="AB141" s="1009">
        <f t="shared" ref="AB141:AB145" si="250">SUM(Z141-AA141)</f>
        <v>0</v>
      </c>
      <c r="AC141" s="1010">
        <f t="shared" ref="AC141:AC145" si="251">IF(AA141&gt;0,Z141-AA141,0)</f>
        <v>0</v>
      </c>
      <c r="AD141" s="684">
        <f>SUM('3 pr-2'!AA142)</f>
        <v>8885</v>
      </c>
      <c r="AE141" s="994">
        <v>0</v>
      </c>
      <c r="AF141" s="1011">
        <f t="shared" ref="AF141:AF145" si="252">SUM(AD141-AE141)</f>
        <v>8885</v>
      </c>
      <c r="AG141" s="1012">
        <f t="shared" ref="AG141:AG145" si="253">IF(AE141&gt;0,AD141-AE141,0)</f>
        <v>0</v>
      </c>
    </row>
    <row r="142" spans="1:33" s="58" customFormat="1" ht="36.75" x14ac:dyDescent="0.25">
      <c r="A142" s="992" t="str">
        <f>CONCATENATE('3 pr-2'!A143)</f>
        <v>2.1.2.3.2</v>
      </c>
      <c r="B142" s="1015" t="str">
        <f>IF('ketv. 4 lent'!V142&gt;0,'ketv. 4 lent'!B142,"-")</f>
        <v>-</v>
      </c>
      <c r="C142" s="1018" t="str">
        <f>CONCATENATE('3 pr-2'!D143)</f>
        <v>Ambulatorinių sveikatos priežiūros paslaugų gerinimas tuberkulioze sergantiems asmenims</v>
      </c>
      <c r="D142" s="992" t="str">
        <f>CONCATENATE('3 pr-2'!E143)</f>
        <v>Alytaus miesto savivaldybės administracija</v>
      </c>
      <c r="E142" s="992" t="str">
        <f>CONCATENATE('3 pr-2'!F143)</f>
        <v>Lietuvos Respublikos Sveikatos apsaugos ministerija</v>
      </c>
      <c r="F142" s="992" t="str">
        <f>CONCATENATE('3 pr-2'!G143)</f>
        <v>Alytaus  miestas</v>
      </c>
      <c r="G142" s="1001" t="str">
        <f>CONCATENATE('3 pr-2'!H143)</f>
        <v>08.4.2-ESFA-R-615</v>
      </c>
      <c r="H142" s="1008" t="str">
        <f>CONCATENATE('3 pr-2'!I143)</f>
        <v>R</v>
      </c>
      <c r="I142" s="1008" t="str">
        <f>CONCATENATE('3 pr-2'!J143)</f>
        <v>-</v>
      </c>
      <c r="J142" s="994">
        <f>SUM('3 pr-2'!L143)</f>
        <v>17041.18</v>
      </c>
      <c r="K142" s="994">
        <v>0</v>
      </c>
      <c r="L142" s="1009">
        <f t="shared" si="242"/>
        <v>17041.18</v>
      </c>
      <c r="M142" s="1010">
        <f t="shared" si="243"/>
        <v>0</v>
      </c>
      <c r="N142" s="684">
        <f>SUM('3 pr-2'!O143)</f>
        <v>1278.0899999999999</v>
      </c>
      <c r="O142" s="994">
        <v>0</v>
      </c>
      <c r="P142" s="1009">
        <f t="shared" si="244"/>
        <v>1278.0899999999999</v>
      </c>
      <c r="Q142" s="1010">
        <f t="shared" si="245"/>
        <v>0</v>
      </c>
      <c r="R142" s="684">
        <f>SUM('3 pr-2'!R143)</f>
        <v>1278.0899999999999</v>
      </c>
      <c r="S142" s="994">
        <v>0</v>
      </c>
      <c r="T142" s="1009">
        <f t="shared" si="246"/>
        <v>1278.0899999999999</v>
      </c>
      <c r="U142" s="1010">
        <f t="shared" si="247"/>
        <v>0</v>
      </c>
      <c r="V142" s="684">
        <f>SUM('3 pr-2'!U143)</f>
        <v>0</v>
      </c>
      <c r="W142" s="994">
        <v>0</v>
      </c>
      <c r="X142" s="1009">
        <f t="shared" si="248"/>
        <v>0</v>
      </c>
      <c r="Y142" s="1010">
        <f t="shared" si="249"/>
        <v>0</v>
      </c>
      <c r="Z142" s="684">
        <f>SUM('3 pr-2'!X143)</f>
        <v>0</v>
      </c>
      <c r="AA142" s="994">
        <v>0</v>
      </c>
      <c r="AB142" s="1009">
        <f t="shared" si="250"/>
        <v>0</v>
      </c>
      <c r="AC142" s="1010">
        <f t="shared" si="251"/>
        <v>0</v>
      </c>
      <c r="AD142" s="684">
        <f>SUM('3 pr-2'!AA143)</f>
        <v>14485</v>
      </c>
      <c r="AE142" s="994">
        <v>0</v>
      </c>
      <c r="AF142" s="1013">
        <f t="shared" si="252"/>
        <v>14485</v>
      </c>
      <c r="AG142" s="1012">
        <f t="shared" si="253"/>
        <v>0</v>
      </c>
    </row>
    <row r="143" spans="1:33" s="58" customFormat="1" ht="36.75" x14ac:dyDescent="0.25">
      <c r="A143" s="992" t="str">
        <f>CONCATENATE('3 pr-2'!A144)</f>
        <v>2.1.2.3.3</v>
      </c>
      <c r="B143" s="1015" t="str">
        <f>IF('ketv. 4 lent'!V143&gt;0,'ketv. 4 lent'!B143,"-")</f>
        <v>-</v>
      </c>
      <c r="C143" s="1018" t="str">
        <f>CONCATENATE('3 pr-2'!D144)</f>
        <v xml:space="preserve">Paslaugų tuberkulioze sergantiems asmenims gerinimas Lazdijų rajono savivaldybėje </v>
      </c>
      <c r="D143" s="992" t="str">
        <f>CONCATENATE('3 pr-2'!E144)</f>
        <v>Lazdijų rajono savivaldybės administracija</v>
      </c>
      <c r="E143" s="992" t="str">
        <f>CONCATENATE('3 pr-2'!F144)</f>
        <v>Lietuvos Respublikos Sveikatos apsaugos ministerija</v>
      </c>
      <c r="F143" s="992" t="str">
        <f>CONCATENATE('3 pr-2'!G144)</f>
        <v>Lazdijų rajono savivaldybė</v>
      </c>
      <c r="G143" s="1001" t="str">
        <f>CONCATENATE('3 pr-2'!H144)</f>
        <v>08.4.2-ESFA-R-615</v>
      </c>
      <c r="H143" s="1008" t="str">
        <f>CONCATENATE('3 pr-2'!I144)</f>
        <v>R</v>
      </c>
      <c r="I143" s="1008" t="str">
        <f>CONCATENATE('3 pr-2'!J144)</f>
        <v>-</v>
      </c>
      <c r="J143" s="994">
        <f>SUM('3 pr-2'!L144)</f>
        <v>15223.53</v>
      </c>
      <c r="K143" s="994">
        <v>0</v>
      </c>
      <c r="L143" s="1009">
        <f t="shared" si="242"/>
        <v>15223.53</v>
      </c>
      <c r="M143" s="1010">
        <f t="shared" si="243"/>
        <v>0</v>
      </c>
      <c r="N143" s="684">
        <f>SUM('3 pr-2'!O144)</f>
        <v>1141.77</v>
      </c>
      <c r="O143" s="994">
        <v>0</v>
      </c>
      <c r="P143" s="1009">
        <f t="shared" si="244"/>
        <v>1141.77</v>
      </c>
      <c r="Q143" s="1010">
        <f t="shared" si="245"/>
        <v>0</v>
      </c>
      <c r="R143" s="684">
        <f>SUM('3 pr-2'!R144)</f>
        <v>1141.76</v>
      </c>
      <c r="S143" s="994">
        <v>0</v>
      </c>
      <c r="T143" s="1009">
        <f t="shared" si="246"/>
        <v>1141.76</v>
      </c>
      <c r="U143" s="1010">
        <f t="shared" si="247"/>
        <v>0</v>
      </c>
      <c r="V143" s="684">
        <f>SUM('3 pr-2'!U144)</f>
        <v>0</v>
      </c>
      <c r="W143" s="994">
        <v>0</v>
      </c>
      <c r="X143" s="1009">
        <f t="shared" si="248"/>
        <v>0</v>
      </c>
      <c r="Y143" s="1010">
        <f t="shared" si="249"/>
        <v>0</v>
      </c>
      <c r="Z143" s="684">
        <f>SUM('3 pr-2'!X144)</f>
        <v>0</v>
      </c>
      <c r="AA143" s="994">
        <v>0</v>
      </c>
      <c r="AB143" s="1009">
        <f t="shared" si="250"/>
        <v>0</v>
      </c>
      <c r="AC143" s="1010">
        <f t="shared" si="251"/>
        <v>0</v>
      </c>
      <c r="AD143" s="684">
        <f>SUM('3 pr-2'!AA144)</f>
        <v>12940</v>
      </c>
      <c r="AE143" s="994">
        <v>0</v>
      </c>
      <c r="AF143" s="1013">
        <f t="shared" si="252"/>
        <v>12940</v>
      </c>
      <c r="AG143" s="1012">
        <f t="shared" si="253"/>
        <v>0</v>
      </c>
    </row>
    <row r="144" spans="1:33" s="58" customFormat="1" ht="36.75" x14ac:dyDescent="0.25">
      <c r="A144" s="992" t="str">
        <f>CONCATENATE('3 pr-2'!A145)</f>
        <v>2.1.2.3.4</v>
      </c>
      <c r="B144" s="1015" t="str">
        <f>IF('ketv. 4 lent'!V144&gt;0,'ketv. 4 lent'!B144,"-")</f>
        <v>-</v>
      </c>
      <c r="C144" s="1018" t="str">
        <f>CONCATENATE('3 pr-2'!D145)</f>
        <v>Ambulatorinių sveikatos priežiūros paslaugų tuberkulioze sergantiems asmenims prieinamumo gerinimas Druskininkų savivaldybėje</v>
      </c>
      <c r="D144" s="992" t="str">
        <f>CONCATENATE('3 pr-2'!E145)</f>
        <v>Druskininkų pirminės sveikatos priežiūros centras</v>
      </c>
      <c r="E144" s="992" t="str">
        <f>CONCATENATE('3 pr-2'!F145)</f>
        <v>Lietuvos Respublikos Sveikatos apsaugos ministerija</v>
      </c>
      <c r="F144" s="992" t="str">
        <f>CONCATENATE('3 pr-2'!G145)</f>
        <v>Druskininkų savivaldybė</v>
      </c>
      <c r="G144" s="1001" t="str">
        <f>CONCATENATE('3 pr-2'!H145)</f>
        <v>08.4.2-ESFA-R-615</v>
      </c>
      <c r="H144" s="1008" t="str">
        <f>CONCATENATE('3 pr-2'!I145)</f>
        <v>R</v>
      </c>
      <c r="I144" s="1008" t="str">
        <f>CONCATENATE('3 pr-2'!J145)</f>
        <v>-</v>
      </c>
      <c r="J144" s="994">
        <f>SUM('3 pr-2'!L145)</f>
        <v>6816</v>
      </c>
      <c r="K144" s="994">
        <v>0</v>
      </c>
      <c r="L144" s="1009">
        <f t="shared" si="242"/>
        <v>6816</v>
      </c>
      <c r="M144" s="1010">
        <f t="shared" si="243"/>
        <v>0</v>
      </c>
      <c r="N144" s="684">
        <f>SUM('3 pr-2'!O145)</f>
        <v>511.2</v>
      </c>
      <c r="O144" s="994">
        <v>0</v>
      </c>
      <c r="P144" s="1009">
        <f t="shared" si="244"/>
        <v>511.2</v>
      </c>
      <c r="Q144" s="1010">
        <f t="shared" si="245"/>
        <v>0</v>
      </c>
      <c r="R144" s="684">
        <f>SUM('3 pr-2'!R145)</f>
        <v>511.2</v>
      </c>
      <c r="S144" s="994">
        <v>0</v>
      </c>
      <c r="T144" s="1009">
        <f t="shared" si="246"/>
        <v>511.2</v>
      </c>
      <c r="U144" s="1010">
        <f t="shared" si="247"/>
        <v>0</v>
      </c>
      <c r="V144" s="684">
        <f>SUM('3 pr-2'!U145)</f>
        <v>0</v>
      </c>
      <c r="W144" s="994">
        <v>0</v>
      </c>
      <c r="X144" s="1009">
        <f t="shared" si="248"/>
        <v>0</v>
      </c>
      <c r="Y144" s="1010">
        <f t="shared" si="249"/>
        <v>0</v>
      </c>
      <c r="Z144" s="684">
        <f>SUM('3 pr-2'!X145)</f>
        <v>0</v>
      </c>
      <c r="AA144" s="994">
        <v>0</v>
      </c>
      <c r="AB144" s="1009">
        <f t="shared" si="250"/>
        <v>0</v>
      </c>
      <c r="AC144" s="1010">
        <f t="shared" si="251"/>
        <v>0</v>
      </c>
      <c r="AD144" s="684">
        <f>SUM('3 pr-2'!AA145)</f>
        <v>5793.6</v>
      </c>
      <c r="AE144" s="994">
        <v>0</v>
      </c>
      <c r="AF144" s="1013">
        <f t="shared" si="252"/>
        <v>5793.6</v>
      </c>
      <c r="AG144" s="1012">
        <f t="shared" si="253"/>
        <v>0</v>
      </c>
    </row>
    <row r="145" spans="1:33" s="58" customFormat="1" ht="37.5" thickBot="1" x14ac:dyDescent="0.3">
      <c r="A145" s="992" t="str">
        <f>CONCATENATE('3 pr-2'!A146)</f>
        <v>2.1.2.3.5</v>
      </c>
      <c r="B145" s="1015" t="str">
        <f>IF('ketv. 4 lent'!V145&gt;0,'ketv. 4 lent'!B145,"-")</f>
        <v>-</v>
      </c>
      <c r="C145" s="1018" t="str">
        <f>CONCATENATE('3 pr-2'!D146)</f>
        <v>Ambulatorinių sveikatos priežiūros paslaugų prieinamumo gerinimas tuberkulioze sergantiems asmenims Varėnos rajono savivaldybėje</v>
      </c>
      <c r="D145" s="992" t="str">
        <f>CONCATENATE('3 pr-2'!E146)</f>
        <v>Varėnos rajono savivaldybės administracija</v>
      </c>
      <c r="E145" s="992" t="str">
        <f>CONCATENATE('3 pr-2'!F146)</f>
        <v>Lietuvos Respublikos Sveikatos apsaugos ministerija</v>
      </c>
      <c r="F145" s="992" t="str">
        <f>CONCATENATE('3 pr-2'!G146)</f>
        <v>Varėnos rajono savivaldybė</v>
      </c>
      <c r="G145" s="1001" t="str">
        <f>CONCATENATE('3 pr-2'!H146)</f>
        <v>08.4.2-ESFA-R-615</v>
      </c>
      <c r="H145" s="1008" t="str">
        <f>CONCATENATE('3 pr-2'!I146)</f>
        <v>R</v>
      </c>
      <c r="I145" s="1008" t="str">
        <f>CONCATENATE('3 pr-2'!J146)</f>
        <v>-</v>
      </c>
      <c r="J145" s="994">
        <f>SUM('3 pr-2'!L146)</f>
        <v>15679</v>
      </c>
      <c r="K145" s="994">
        <v>0</v>
      </c>
      <c r="L145" s="1009">
        <f t="shared" si="242"/>
        <v>15679</v>
      </c>
      <c r="M145" s="1010">
        <f t="shared" si="243"/>
        <v>0</v>
      </c>
      <c r="N145" s="684">
        <f>SUM('3 pr-2'!O146)</f>
        <v>1176</v>
      </c>
      <c r="O145" s="994">
        <v>0</v>
      </c>
      <c r="P145" s="1009">
        <f t="shared" si="244"/>
        <v>1176</v>
      </c>
      <c r="Q145" s="1010">
        <f t="shared" si="245"/>
        <v>0</v>
      </c>
      <c r="R145" s="684">
        <f>SUM('3 pr-2'!R146)</f>
        <v>1176</v>
      </c>
      <c r="S145" s="994">
        <v>0</v>
      </c>
      <c r="T145" s="1009">
        <f t="shared" si="246"/>
        <v>1176</v>
      </c>
      <c r="U145" s="1010">
        <f t="shared" si="247"/>
        <v>0</v>
      </c>
      <c r="V145" s="684">
        <f>SUM('3 pr-2'!U146)</f>
        <v>0</v>
      </c>
      <c r="W145" s="994">
        <v>0</v>
      </c>
      <c r="X145" s="1009">
        <f t="shared" si="248"/>
        <v>0</v>
      </c>
      <c r="Y145" s="1010">
        <f t="shared" si="249"/>
        <v>0</v>
      </c>
      <c r="Z145" s="684">
        <f>SUM('3 pr-2'!X146)</f>
        <v>0</v>
      </c>
      <c r="AA145" s="994">
        <v>0</v>
      </c>
      <c r="AB145" s="1009">
        <f t="shared" si="250"/>
        <v>0</v>
      </c>
      <c r="AC145" s="1010">
        <f t="shared" si="251"/>
        <v>0</v>
      </c>
      <c r="AD145" s="684">
        <f>SUM('3 pr-2'!AA146)</f>
        <v>13327</v>
      </c>
      <c r="AE145" s="994">
        <v>0</v>
      </c>
      <c r="AF145" s="1013">
        <f t="shared" si="252"/>
        <v>13327</v>
      </c>
      <c r="AG145" s="1012">
        <f t="shared" si="253"/>
        <v>0</v>
      </c>
    </row>
    <row r="146" spans="1:33" ht="35.25" customHeight="1" thickBot="1" x14ac:dyDescent="0.3">
      <c r="A146" s="345" t="str">
        <f>CONCATENATE('3 pr-2'!A147)</f>
        <v>2.1.3.</v>
      </c>
      <c r="B146" s="648" t="str">
        <f>CONCATENATE('ketv. 2lent'!B145)</f>
        <v/>
      </c>
      <c r="C146" s="1668" t="str">
        <f>CONCATENATE('3 pr-2'!D147)</f>
        <v/>
      </c>
      <c r="D146" s="1669"/>
      <c r="E146" s="1669"/>
      <c r="F146" s="1669"/>
      <c r="G146" s="1669"/>
      <c r="H146" s="1669"/>
      <c r="I146" s="1670"/>
      <c r="J146" s="303">
        <f>SUM('3 pr-2'!L147)</f>
        <v>4238690.55</v>
      </c>
      <c r="K146" s="355">
        <f>SUM(K147+K153)</f>
        <v>4238690.67</v>
      </c>
      <c r="L146" s="356">
        <f>SUM(L147+L153)</f>
        <v>-0.11999999999534339</v>
      </c>
      <c r="M146" s="457">
        <f>SUM(M147+M153)</f>
        <v>-0.11999999999534339</v>
      </c>
      <c r="N146" s="303">
        <f>SUM('3 pr-2'!O147)</f>
        <v>810007.55</v>
      </c>
      <c r="O146" s="303">
        <f>SUM(O147+O153)</f>
        <v>810008.03</v>
      </c>
      <c r="P146" s="303">
        <f>SUM(P147+P153)</f>
        <v>-0.48000000001047738</v>
      </c>
      <c r="Q146" s="303">
        <f>SUM(Q147+Q153)</f>
        <v>-0.48000000001047738</v>
      </c>
      <c r="R146" s="303">
        <f>SUM('3 pr-2'!R147)</f>
        <v>21948</v>
      </c>
      <c r="S146" s="303">
        <f>SUM(S147+S153)</f>
        <v>21948</v>
      </c>
      <c r="T146" s="303">
        <f>SUM(T147+T153)</f>
        <v>0</v>
      </c>
      <c r="U146" s="303">
        <f>SUM(U147+U153)</f>
        <v>0</v>
      </c>
      <c r="V146" s="303">
        <f>SUM('3 pr-2'!U147)</f>
        <v>0</v>
      </c>
      <c r="W146" s="303">
        <f>SUM(W147+W153)</f>
        <v>0</v>
      </c>
      <c r="X146" s="303">
        <f>SUM(X147+X153)</f>
        <v>0</v>
      </c>
      <c r="Y146" s="303">
        <f>SUM(Y147+Y153)</f>
        <v>0</v>
      </c>
      <c r="Z146" s="303">
        <f>SUM('3 pr-2'!X147)</f>
        <v>0</v>
      </c>
      <c r="AA146" s="303">
        <f>SUM(AA147+AA153)</f>
        <v>0</v>
      </c>
      <c r="AB146" s="303">
        <f>SUM(AB147+AB153)</f>
        <v>0</v>
      </c>
      <c r="AC146" s="303">
        <f>SUM(AC147+AC153)</f>
        <v>0</v>
      </c>
      <c r="AD146" s="303">
        <f>SUM('3 pr-2'!AA147)</f>
        <v>3406735</v>
      </c>
      <c r="AE146" s="303">
        <f>SUM(AE147+AE153)</f>
        <v>3406734.6399999997</v>
      </c>
      <c r="AF146" s="363">
        <f>SUM(AF147+AF153)</f>
        <v>0.36000000001513399</v>
      </c>
      <c r="AG146" s="456">
        <f>SUM(AG147+AG153)</f>
        <v>0.36000000001513399</v>
      </c>
    </row>
    <row r="147" spans="1:33" ht="36" customHeight="1" thickBot="1" x14ac:dyDescent="0.3">
      <c r="A147" s="497" t="str">
        <f>CONCATENATE('3 pr-2'!A148)</f>
        <v>2.1.3.1</v>
      </c>
      <c r="B147" s="613" t="str">
        <f>CONCATENATE('ketv. 2lent'!B146)</f>
        <v/>
      </c>
      <c r="C147" s="1656" t="str">
        <f>CONCATENATE('3 pr-2'!D148)</f>
        <v/>
      </c>
      <c r="D147" s="1789"/>
      <c r="E147" s="1789"/>
      <c r="F147" s="1789"/>
      <c r="G147" s="1789"/>
      <c r="H147" s="1789"/>
      <c r="I147" s="1790"/>
      <c r="J147" s="629">
        <f>SUM('3 pr-2'!L148)</f>
        <v>1272489.55</v>
      </c>
      <c r="K147" s="629">
        <f>SUM(K148:K152)</f>
        <v>1272489.55</v>
      </c>
      <c r="L147" s="722">
        <f>SUM(L148:L152)</f>
        <v>0</v>
      </c>
      <c r="M147" s="723">
        <f>SUM(M148:M152)</f>
        <v>0</v>
      </c>
      <c r="N147" s="629">
        <f>SUM('3 pr-2'!O148)</f>
        <v>364780.55000000005</v>
      </c>
      <c r="O147" s="629">
        <f>SUM(O148:O152)</f>
        <v>364780.55000000005</v>
      </c>
      <c r="P147" s="629">
        <f>SUM(P148:P152)</f>
        <v>0</v>
      </c>
      <c r="Q147" s="629">
        <f>SUM(Q148:Q152)</f>
        <v>0</v>
      </c>
      <c r="R147" s="629">
        <f>SUM('3 pr-2'!R148)</f>
        <v>21948</v>
      </c>
      <c r="S147" s="629">
        <f>SUM(S148:S152)</f>
        <v>21948</v>
      </c>
      <c r="T147" s="629">
        <f>SUM(T148:T152)</f>
        <v>0</v>
      </c>
      <c r="U147" s="629">
        <f>SUM(U148:U152)</f>
        <v>0</v>
      </c>
      <c r="V147" s="629">
        <f>SUM('3 pr-2'!U148)</f>
        <v>0</v>
      </c>
      <c r="W147" s="629">
        <f>SUM(W148:W152)</f>
        <v>0</v>
      </c>
      <c r="X147" s="629">
        <f>SUM(X148:X152)</f>
        <v>0</v>
      </c>
      <c r="Y147" s="629">
        <f>SUM(Y148:Y152)</f>
        <v>0</v>
      </c>
      <c r="Z147" s="629">
        <f>SUM('3 pr-2'!X148)</f>
        <v>0</v>
      </c>
      <c r="AA147" s="629">
        <f>SUM(AA148:AA152)</f>
        <v>0</v>
      </c>
      <c r="AB147" s="629">
        <f>SUM(AB148:AB152)</f>
        <v>0</v>
      </c>
      <c r="AC147" s="629">
        <f>SUM(AC148:AC152)</f>
        <v>0</v>
      </c>
      <c r="AD147" s="629">
        <f>SUM('3 pr-2'!AA148)</f>
        <v>885761</v>
      </c>
      <c r="AE147" s="629">
        <f>SUM(AE148:AE152)</f>
        <v>885761</v>
      </c>
      <c r="AF147" s="352">
        <f>SUM(AF148:AF152)</f>
        <v>0</v>
      </c>
      <c r="AG147" s="455">
        <f>SUM(AG148:AG152)</f>
        <v>0</v>
      </c>
    </row>
    <row r="148" spans="1:33" ht="36.75" x14ac:dyDescent="0.25">
      <c r="A148" s="255" t="str">
        <f>CONCATENATE('3 pr-2'!A149)</f>
        <v>2.1.3.1.1</v>
      </c>
      <c r="B148" s="1015" t="str">
        <f>IF('ketv. 4 lent'!V148&gt;0,'ketv. 4 lent'!B148,"-")</f>
        <v>08.1.1-CPVA-R-407-11-0002</v>
      </c>
      <c r="C148" s="725" t="str">
        <f>CONCATENATE('3 pr-2'!D149)</f>
        <v>Socialinių paslaugų infrastruktūros plėtra Varėnos rajono savivaldybėje</v>
      </c>
      <c r="D148" s="255" t="str">
        <f>CONCATENATE('3 pr-2'!E149)</f>
        <v>Varėnos rajono savivaldybės administracija</v>
      </c>
      <c r="E148" s="255" t="str">
        <f>CONCATENATE('3 pr-2'!F149)</f>
        <v>Lietuvos Respublikos socialinės apsaugos ir darbo ministerija</v>
      </c>
      <c r="F148" s="255" t="str">
        <f>CONCATENATE('3 pr-2'!G149)</f>
        <v>Varėnos rajono savivaldybė</v>
      </c>
      <c r="G148" s="255" t="str">
        <f>CONCATENATE('3 pr-2'!H149)</f>
        <v>08.1.2-CPVA-R-407</v>
      </c>
      <c r="H148" s="255" t="str">
        <f>CONCATENATE('3 pr-2'!I149)</f>
        <v>R</v>
      </c>
      <c r="I148" s="255" t="str">
        <f>CONCATENATE('3 pr-2'!J149)</f>
        <v>-</v>
      </c>
      <c r="J148" s="474">
        <f>SUM('3 pr-2'!L149)</f>
        <v>148480</v>
      </c>
      <c r="K148" s="476">
        <v>148480</v>
      </c>
      <c r="L148" s="475">
        <f t="shared" ref="L148:L152" si="254">SUM(J148-K148)</f>
        <v>0</v>
      </c>
      <c r="M148" s="724">
        <f t="shared" ref="M148:M152" si="255">IF(K148&gt;0,J148-K148,0)</f>
        <v>0</v>
      </c>
      <c r="N148" s="476">
        <f>SUM('3 pr-2'!O149)</f>
        <v>22272</v>
      </c>
      <c r="O148" s="476">
        <f>SUM(K148-AE148)</f>
        <v>22272</v>
      </c>
      <c r="P148" s="475">
        <f t="shared" ref="P148:P152" si="256">SUM(N148-O148)</f>
        <v>0</v>
      </c>
      <c r="Q148" s="724">
        <f t="shared" ref="Q148:Q152" si="257">IF(O148&gt;0,N148-O148,0)</f>
        <v>0</v>
      </c>
      <c r="R148" s="476">
        <f>SUM('3 pr-2'!R149)</f>
        <v>0</v>
      </c>
      <c r="S148" s="476">
        <v>0</v>
      </c>
      <c r="T148" s="475">
        <f t="shared" ref="T148:T152" si="258">SUM(R148-S148)</f>
        <v>0</v>
      </c>
      <c r="U148" s="724">
        <f t="shared" ref="U148:U152" si="259">IF(S148&gt;0,R148-S148,0)</f>
        <v>0</v>
      </c>
      <c r="V148" s="476">
        <f>SUM('3 pr-2'!U149)</f>
        <v>0</v>
      </c>
      <c r="W148" s="476">
        <v>0</v>
      </c>
      <c r="X148" s="475">
        <f t="shared" ref="X148:X152" si="260">SUM(V148-W148)</f>
        <v>0</v>
      </c>
      <c r="Y148" s="724">
        <f t="shared" ref="Y148:Y152" si="261">IF(W148&gt;0,V148-W148,0)</f>
        <v>0</v>
      </c>
      <c r="Z148" s="476">
        <f>SUM('3 pr-2'!X149)</f>
        <v>0</v>
      </c>
      <c r="AA148" s="476">
        <v>0</v>
      </c>
      <c r="AB148" s="475">
        <f>SUM(Z148-AA148)</f>
        <v>0</v>
      </c>
      <c r="AC148" s="724">
        <f t="shared" ref="AC148:AC152" si="262">IF(AA148&gt;0,Z148-AA148,0)</f>
        <v>0</v>
      </c>
      <c r="AD148" s="476">
        <f>SUM('3 pr-2'!AA149)</f>
        <v>126208</v>
      </c>
      <c r="AE148" s="476">
        <v>126208</v>
      </c>
      <c r="AF148" s="728">
        <f t="shared" ref="AF148:AF152" si="263">SUM(AD148-AE148)</f>
        <v>0</v>
      </c>
      <c r="AG148" s="454">
        <f t="shared" ref="AG148:AG152" si="264">IF(AE148&gt;0,AD148-AE148,0)</f>
        <v>0</v>
      </c>
    </row>
    <row r="149" spans="1:33" ht="36.75" x14ac:dyDescent="0.25">
      <c r="A149" s="255" t="str">
        <f>CONCATENATE('3 pr-2'!A150)</f>
        <v>2.1.3.1.2</v>
      </c>
      <c r="B149" s="1015" t="str">
        <f>IF('ketv. 4 lent'!V149&gt;0,'ketv. 4 lent'!B149,"-")</f>
        <v>08.1.1-CPVA-R-407-11-0004</v>
      </c>
      <c r="C149" s="725" t="str">
        <f>CONCATENATE('3 pr-2'!D150)</f>
        <v>Psichosocialinės pagalbos centro įkūrimas</v>
      </c>
      <c r="D149" s="255" t="str">
        <f>CONCATENATE('3 pr-2'!E150)</f>
        <v>Alytaus rajono savivaldybės administracija</v>
      </c>
      <c r="E149" s="255" t="str">
        <f>CONCATENATE('3 pr-2'!F150)</f>
        <v>Lietuvos Respublikos socialinės apsaugos ir darbo ministerija</v>
      </c>
      <c r="F149" s="255" t="str">
        <f>CONCATENATE('3 pr-2'!G150)</f>
        <v>Alytaus  miestas</v>
      </c>
      <c r="G149" s="255" t="str">
        <f>CONCATENATE('3 pr-2'!H150)</f>
        <v>08.1.2-CPVA-R-407</v>
      </c>
      <c r="H149" s="255" t="str">
        <f>CONCATENATE('3 pr-2'!I150)</f>
        <v>R</v>
      </c>
      <c r="I149" s="255" t="str">
        <f>CONCATENATE('3 pr-2'!J150)</f>
        <v/>
      </c>
      <c r="J149" s="474">
        <f>SUM('3 pr-2'!L150)</f>
        <v>188353</v>
      </c>
      <c r="K149" s="476">
        <v>188353</v>
      </c>
      <c r="L149" s="475">
        <f t="shared" si="254"/>
        <v>0</v>
      </c>
      <c r="M149" s="724">
        <f t="shared" si="255"/>
        <v>0</v>
      </c>
      <c r="N149" s="476">
        <f>SUM('3 pr-2'!O150)</f>
        <v>28253</v>
      </c>
      <c r="O149" s="476">
        <f>SUM(K149-AE149)</f>
        <v>28253</v>
      </c>
      <c r="P149" s="475">
        <f t="shared" si="256"/>
        <v>0</v>
      </c>
      <c r="Q149" s="724">
        <f t="shared" si="257"/>
        <v>0</v>
      </c>
      <c r="R149" s="476">
        <f>SUM('3 pr-2'!R150)</f>
        <v>0</v>
      </c>
      <c r="S149" s="476">
        <v>0</v>
      </c>
      <c r="T149" s="475">
        <f t="shared" si="258"/>
        <v>0</v>
      </c>
      <c r="U149" s="724">
        <f t="shared" si="259"/>
        <v>0</v>
      </c>
      <c r="V149" s="476">
        <f>SUM('3 pr-2'!U150)</f>
        <v>0</v>
      </c>
      <c r="W149" s="476">
        <v>0</v>
      </c>
      <c r="X149" s="475">
        <f t="shared" si="260"/>
        <v>0</v>
      </c>
      <c r="Y149" s="724">
        <f t="shared" si="261"/>
        <v>0</v>
      </c>
      <c r="Z149" s="476">
        <f>SUM('3 pr-2'!X150)</f>
        <v>0</v>
      </c>
      <c r="AA149" s="476">
        <v>0</v>
      </c>
      <c r="AB149" s="475">
        <f>SUM(Z149-AA149)</f>
        <v>0</v>
      </c>
      <c r="AC149" s="724">
        <f t="shared" si="262"/>
        <v>0</v>
      </c>
      <c r="AD149" s="476">
        <f>SUM('3 pr-2'!AA150)</f>
        <v>160100</v>
      </c>
      <c r="AE149" s="476">
        <v>160100</v>
      </c>
      <c r="AF149" s="721">
        <f t="shared" si="263"/>
        <v>0</v>
      </c>
      <c r="AG149" s="454">
        <f t="shared" si="264"/>
        <v>0</v>
      </c>
    </row>
    <row r="150" spans="1:33" ht="36.75" x14ac:dyDescent="0.25">
      <c r="A150" s="255" t="str">
        <f>CONCATENATE('3 pr-2'!A151)</f>
        <v>2.1.3.1.3</v>
      </c>
      <c r="B150" s="1015" t="str">
        <f>IF('ketv. 4 lent'!V150&gt;0,'ketv. 4 lent'!B150,"-")</f>
        <v>08.1.1-CPVA-R-407-11-0005</v>
      </c>
      <c r="C150" s="725" t="str">
        <f>CONCATENATE('3 pr-2'!D151)</f>
        <v>Socialinių paslaugų plėtra Alytaus mieste</v>
      </c>
      <c r="D150" s="255" t="str">
        <f>CONCATENATE('3 pr-2'!E151)</f>
        <v>Alytaus miesto savivaldybės administracija</v>
      </c>
      <c r="E150" s="255" t="str">
        <f>CONCATENATE('3 pr-2'!F151)</f>
        <v>Lietuvos Respublikos socialinės apsaugos ir darbo ministerija</v>
      </c>
      <c r="F150" s="255" t="str">
        <f>CONCATENATE('3 pr-2'!G151)</f>
        <v>Alytaus  miestas</v>
      </c>
      <c r="G150" s="255" t="str">
        <f>CONCATENATE('3 pr-2'!H151)</f>
        <v>08.1.2-CPVA-R-407</v>
      </c>
      <c r="H150" s="255" t="str">
        <f>CONCATENATE('3 pr-2'!I151)</f>
        <v>R</v>
      </c>
      <c r="I150" s="255" t="str">
        <f>CONCATENATE('3 pr-2'!J151)</f>
        <v>-</v>
      </c>
      <c r="J150" s="474">
        <f>SUM('3 pr-2'!L151)</f>
        <v>637900.55000000005</v>
      </c>
      <c r="K150" s="476">
        <v>637900.55000000005</v>
      </c>
      <c r="L150" s="475">
        <f t="shared" si="254"/>
        <v>0</v>
      </c>
      <c r="M150" s="724">
        <f t="shared" si="255"/>
        <v>0</v>
      </c>
      <c r="N150" s="476">
        <f>SUM('3 pr-2'!O151)</f>
        <v>291539.55000000005</v>
      </c>
      <c r="O150" s="476">
        <f>SUM(K150-AE150)</f>
        <v>291539.55000000005</v>
      </c>
      <c r="P150" s="475">
        <f t="shared" si="256"/>
        <v>0</v>
      </c>
      <c r="Q150" s="724">
        <f t="shared" si="257"/>
        <v>0</v>
      </c>
      <c r="R150" s="476">
        <f>SUM('3 pr-2'!R151)</f>
        <v>0</v>
      </c>
      <c r="S150" s="476">
        <v>0</v>
      </c>
      <c r="T150" s="475">
        <f t="shared" si="258"/>
        <v>0</v>
      </c>
      <c r="U150" s="724">
        <f t="shared" si="259"/>
        <v>0</v>
      </c>
      <c r="V150" s="476">
        <f>SUM('3 pr-2'!U151)</f>
        <v>0</v>
      </c>
      <c r="W150" s="476">
        <v>0</v>
      </c>
      <c r="X150" s="475">
        <f t="shared" si="260"/>
        <v>0</v>
      </c>
      <c r="Y150" s="724">
        <f t="shared" si="261"/>
        <v>0</v>
      </c>
      <c r="Z150" s="476">
        <f>SUM('3 pr-2'!X151)</f>
        <v>0</v>
      </c>
      <c r="AA150" s="476">
        <v>0</v>
      </c>
      <c r="AB150" s="475">
        <f>SUM(Z150-AA150)</f>
        <v>0</v>
      </c>
      <c r="AC150" s="724">
        <f t="shared" si="262"/>
        <v>0</v>
      </c>
      <c r="AD150" s="476">
        <f>SUM('3 pr-2'!AA151)</f>
        <v>346361</v>
      </c>
      <c r="AE150" s="476">
        <v>346361</v>
      </c>
      <c r="AF150" s="721">
        <f t="shared" si="263"/>
        <v>0</v>
      </c>
      <c r="AG150" s="454">
        <f t="shared" si="264"/>
        <v>0</v>
      </c>
    </row>
    <row r="151" spans="1:33" ht="36.75" x14ac:dyDescent="0.25">
      <c r="A151" s="255" t="str">
        <f>CONCATENATE('3 pr-2'!A152)</f>
        <v>2.1.3.1.4</v>
      </c>
      <c r="B151" s="1015" t="str">
        <f>IF('ketv. 4 lent'!V151&gt;0,'ketv. 4 lent'!B151,"-")</f>
        <v>08.1.1-CPVA-R-407-11-0001</v>
      </c>
      <c r="C151" s="725" t="str">
        <f>CONCATENATE('3 pr-2'!D152)</f>
        <v>Socialinių paslaugų infrastruktūros plėtra Druskininkų savivaldybėje</v>
      </c>
      <c r="D151" s="255" t="str">
        <f>CONCATENATE('3 pr-2'!E152)</f>
        <v>Druskininkų savivaldybės administracija</v>
      </c>
      <c r="E151" s="255" t="str">
        <f>CONCATENATE('3 pr-2'!F152)</f>
        <v>Lietuvos Respublikos socialinės apsaugos ir darbo ministerija</v>
      </c>
      <c r="F151" s="255" t="str">
        <f>CONCATENATE('3 pr-2'!G152)</f>
        <v>Druskininkų savivaldybė</v>
      </c>
      <c r="G151" s="255" t="str">
        <f>CONCATENATE('3 pr-2'!H152)</f>
        <v>08.1.2-CPVA-R-407</v>
      </c>
      <c r="H151" s="255" t="str">
        <f>CONCATENATE('3 pr-2'!I152)</f>
        <v>R</v>
      </c>
      <c r="I151" s="255" t="str">
        <f>CONCATENATE('3 pr-2'!J152)</f>
        <v>-</v>
      </c>
      <c r="J151" s="474">
        <f>SUM('3 pr-2'!L152)</f>
        <v>151437</v>
      </c>
      <c r="K151" s="476">
        <v>151437</v>
      </c>
      <c r="L151" s="475">
        <f t="shared" si="254"/>
        <v>0</v>
      </c>
      <c r="M151" s="724">
        <f t="shared" si="255"/>
        <v>0</v>
      </c>
      <c r="N151" s="476">
        <f>SUM('3 pr-2'!O152)</f>
        <v>22716</v>
      </c>
      <c r="O151" s="476">
        <f>SUM(K151-AE151)</f>
        <v>22716</v>
      </c>
      <c r="P151" s="475">
        <f t="shared" si="256"/>
        <v>0</v>
      </c>
      <c r="Q151" s="724">
        <f t="shared" si="257"/>
        <v>0</v>
      </c>
      <c r="R151" s="476">
        <f>SUM('3 pr-2'!R152)</f>
        <v>0</v>
      </c>
      <c r="S151" s="476">
        <v>0</v>
      </c>
      <c r="T151" s="475">
        <f t="shared" si="258"/>
        <v>0</v>
      </c>
      <c r="U151" s="724">
        <f t="shared" si="259"/>
        <v>0</v>
      </c>
      <c r="V151" s="476">
        <f>SUM('3 pr-2'!U152)</f>
        <v>0</v>
      </c>
      <c r="W151" s="476">
        <v>0</v>
      </c>
      <c r="X151" s="475">
        <f t="shared" si="260"/>
        <v>0</v>
      </c>
      <c r="Y151" s="724">
        <f t="shared" si="261"/>
        <v>0</v>
      </c>
      <c r="Z151" s="476">
        <f>SUM('3 pr-2'!X152)</f>
        <v>0</v>
      </c>
      <c r="AA151" s="476">
        <v>0</v>
      </c>
      <c r="AB151" s="475">
        <f>SUM(Z151-AA151)</f>
        <v>0</v>
      </c>
      <c r="AC151" s="724">
        <f t="shared" si="262"/>
        <v>0</v>
      </c>
      <c r="AD151" s="476">
        <f>SUM('3 pr-2'!AA152)</f>
        <v>128721</v>
      </c>
      <c r="AE151" s="476">
        <v>128721</v>
      </c>
      <c r="AF151" s="721">
        <f t="shared" si="263"/>
        <v>0</v>
      </c>
      <c r="AG151" s="454">
        <f t="shared" si="264"/>
        <v>0</v>
      </c>
    </row>
    <row r="152" spans="1:33" ht="37.5" thickBot="1" x14ac:dyDescent="0.3">
      <c r="A152" s="255" t="str">
        <f>CONCATENATE('3 pr-2'!A153)</f>
        <v>2.1.3.1.5</v>
      </c>
      <c r="B152" s="1015" t="str">
        <f>IF('ketv. 4 lent'!V152&gt;0,'ketv. 4 lent'!B152,"-")</f>
        <v>08.1.1-CPVA-R-407-11-0003</v>
      </c>
      <c r="C152" s="725" t="str">
        <f>CONCATENATE('3 pr-2'!D153)</f>
        <v>Socialinių paslaugų infrastruktūros modernizavimas ir plėtra VšĮ Kapčiamiesčio globos namuose</v>
      </c>
      <c r="D152" s="255" t="str">
        <f>CONCATENATE('3 pr-2'!E153)</f>
        <v>VšĮ Kapčiamiesčio globos namai</v>
      </c>
      <c r="E152" s="255" t="str">
        <f>CONCATENATE('3 pr-2'!F153)</f>
        <v>Lietuvos Respublikos socialinės apsaugos ir darbo ministerija</v>
      </c>
      <c r="F152" s="255" t="str">
        <f>CONCATENATE('3 pr-2'!G153)</f>
        <v>Lazdijų rajono savivaldybė</v>
      </c>
      <c r="G152" s="255" t="str">
        <f>CONCATENATE('3 pr-2'!H153)</f>
        <v>08.1.2-CPVA-R-407</v>
      </c>
      <c r="H152" s="255" t="str">
        <f>CONCATENATE('3 pr-2'!I153)</f>
        <v>R</v>
      </c>
      <c r="I152" s="255" t="str">
        <f>CONCATENATE('3 pr-2'!J153)</f>
        <v>-</v>
      </c>
      <c r="J152" s="474">
        <f>SUM('3 pr-2'!L153)</f>
        <v>146319</v>
      </c>
      <c r="K152" s="476">
        <v>146319</v>
      </c>
      <c r="L152" s="475">
        <f t="shared" si="254"/>
        <v>0</v>
      </c>
      <c r="M152" s="724">
        <f t="shared" si="255"/>
        <v>0</v>
      </c>
      <c r="N152" s="476">
        <f>SUM('3 pr-2'!O153)</f>
        <v>0</v>
      </c>
      <c r="O152" s="476">
        <v>0</v>
      </c>
      <c r="P152" s="475">
        <f t="shared" si="256"/>
        <v>0</v>
      </c>
      <c r="Q152" s="724">
        <f t="shared" si="257"/>
        <v>0</v>
      </c>
      <c r="R152" s="476">
        <f>SUM('3 pr-2'!R153)</f>
        <v>21948</v>
      </c>
      <c r="S152" s="476">
        <v>21948</v>
      </c>
      <c r="T152" s="475">
        <f t="shared" si="258"/>
        <v>0</v>
      </c>
      <c r="U152" s="724">
        <f t="shared" si="259"/>
        <v>0</v>
      </c>
      <c r="V152" s="476">
        <f>SUM('3 pr-2'!U153)</f>
        <v>0</v>
      </c>
      <c r="W152" s="476">
        <v>0</v>
      </c>
      <c r="X152" s="475">
        <f t="shared" si="260"/>
        <v>0</v>
      </c>
      <c r="Y152" s="724">
        <f t="shared" si="261"/>
        <v>0</v>
      </c>
      <c r="Z152" s="476">
        <f>SUM('3 pr-2'!X153)</f>
        <v>0</v>
      </c>
      <c r="AA152" s="476">
        <v>0</v>
      </c>
      <c r="AB152" s="475">
        <f>SUM(Z152-AA152)</f>
        <v>0</v>
      </c>
      <c r="AC152" s="724">
        <f t="shared" si="262"/>
        <v>0</v>
      </c>
      <c r="AD152" s="476">
        <f>SUM('3 pr-2'!AA153)</f>
        <v>124371</v>
      </c>
      <c r="AE152" s="476">
        <v>124371</v>
      </c>
      <c r="AF152" s="727">
        <f t="shared" si="263"/>
        <v>0</v>
      </c>
      <c r="AG152" s="454">
        <f t="shared" si="264"/>
        <v>0</v>
      </c>
    </row>
    <row r="153" spans="1:33" ht="39.75" customHeight="1" thickBot="1" x14ac:dyDescent="0.3">
      <c r="A153" s="497" t="str">
        <f>CONCATENATE('3 pr-2'!A154)</f>
        <v>2.1.3.2</v>
      </c>
      <c r="B153" s="613" t="str">
        <f>CONCATENATE('ketv. 2lent'!B152)</f>
        <v/>
      </c>
      <c r="C153" s="1656" t="str">
        <f>CONCATENATE('3 pr-2'!D154)</f>
        <v/>
      </c>
      <c r="D153" s="1789"/>
      <c r="E153" s="1789"/>
      <c r="F153" s="1789"/>
      <c r="G153" s="1789"/>
      <c r="H153" s="1789"/>
      <c r="I153" s="1790"/>
      <c r="J153" s="629">
        <f>SUM('3 pr-2'!L154)</f>
        <v>2966201</v>
      </c>
      <c r="K153" s="629">
        <f>SUM(K154:K158)</f>
        <v>2966201.12</v>
      </c>
      <c r="L153" s="722">
        <f>SUM(L154:L158)</f>
        <v>-0.11999999999534339</v>
      </c>
      <c r="M153" s="723">
        <f>SUM(M154:M158)</f>
        <v>-0.11999999999534339</v>
      </c>
      <c r="N153" s="629">
        <f>SUM('3 pr-2'!O154)</f>
        <v>445227</v>
      </c>
      <c r="O153" s="629">
        <f>SUM(O154:O158)</f>
        <v>445227.48</v>
      </c>
      <c r="P153" s="629">
        <f>SUM(P154:P158)</f>
        <v>-0.48000000001047738</v>
      </c>
      <c r="Q153" s="629">
        <f>SUM(Q154:Q158)</f>
        <v>-0.48000000001047738</v>
      </c>
      <c r="R153" s="629">
        <f>SUM('3 pr-2'!R154)</f>
        <v>0</v>
      </c>
      <c r="S153" s="629">
        <f>SUM(S154:S158)</f>
        <v>0</v>
      </c>
      <c r="T153" s="629">
        <f>SUM(T154:T158)</f>
        <v>0</v>
      </c>
      <c r="U153" s="629">
        <f>SUM(U154:U158)</f>
        <v>0</v>
      </c>
      <c r="V153" s="629">
        <f>SUM('3 pr-2'!U154)</f>
        <v>0</v>
      </c>
      <c r="W153" s="629">
        <f>SUM(W154:W158)</f>
        <v>0</v>
      </c>
      <c r="X153" s="629">
        <f>SUM(X154:X158)</f>
        <v>0</v>
      </c>
      <c r="Y153" s="629">
        <f>SUM(Y154:Y158)</f>
        <v>0</v>
      </c>
      <c r="Z153" s="629">
        <f>SUM('3 pr-2'!X154)</f>
        <v>0</v>
      </c>
      <c r="AA153" s="629">
        <f>SUM(AA154:AA158)</f>
        <v>0</v>
      </c>
      <c r="AB153" s="629">
        <f>SUM(AB154:AB158)</f>
        <v>0</v>
      </c>
      <c r="AC153" s="629">
        <f>SUM(AC154:AC158)</f>
        <v>0</v>
      </c>
      <c r="AD153" s="629">
        <f>SUM('3 pr-2'!AA154)</f>
        <v>2520974</v>
      </c>
      <c r="AE153" s="629">
        <f>SUM(AE154:AE158)</f>
        <v>2520973.6399999997</v>
      </c>
      <c r="AF153" s="354">
        <f>SUM(AF154:AF158)</f>
        <v>0.36000000001513399</v>
      </c>
      <c r="AG153" s="461">
        <f>SUM(AG154:AG158)</f>
        <v>0.36000000001513399</v>
      </c>
    </row>
    <row r="154" spans="1:33" ht="36.75" x14ac:dyDescent="0.25">
      <c r="A154" s="255" t="str">
        <f>CONCATENATE('3 pr-2'!A155)</f>
        <v>2.1.3.2.1</v>
      </c>
      <c r="B154" s="1015" t="str">
        <f>IF('ketv. 4 lent'!V154&gt;0,'ketv. 4 lent'!B154,"-")</f>
        <v>08.1.2-CPVA-R-408-11-0001</v>
      </c>
      <c r="C154" s="725" t="str">
        <f>CONCATENATE('3 pr-2'!D155)</f>
        <v>Socialinio būsto plėtra Varėnos rajone</v>
      </c>
      <c r="D154" s="255" t="str">
        <f>CONCATENATE('3 pr-2'!E155)</f>
        <v>Varėnos rajono savivaldybės administracija</v>
      </c>
      <c r="E154" s="255" t="str">
        <f>CONCATENATE('3 pr-2'!F155)</f>
        <v>Lietuvos Respublikos socialinės apsaugos ir darbo ministerija</v>
      </c>
      <c r="F154" s="255" t="str">
        <f>CONCATENATE('3 pr-2'!G155)</f>
        <v>Varėnos rajono savivaldybė</v>
      </c>
      <c r="G154" s="255" t="str">
        <f>CONCATENATE('3 pr-2'!H155)</f>
        <v>08.1.1-CPVA·R-408</v>
      </c>
      <c r="H154" s="255" t="str">
        <f>CONCATENATE('3 pr-2'!I155)</f>
        <v>R</v>
      </c>
      <c r="I154" s="255" t="str">
        <f>CONCATENATE('3 pr-2'!J155)</f>
        <v>-</v>
      </c>
      <c r="J154" s="474">
        <f>SUM('3 pr-2'!L155)</f>
        <v>736499</v>
      </c>
      <c r="K154" s="476">
        <v>736499</v>
      </c>
      <c r="L154" s="475">
        <f t="shared" ref="L154:L158" si="265">SUM(J154-K154)</f>
        <v>0</v>
      </c>
      <c r="M154" s="724">
        <f t="shared" ref="M154:M158" si="266">IF(K154&gt;0,J154-K154,0)</f>
        <v>0</v>
      </c>
      <c r="N154" s="476">
        <f>SUM('3 pr-2'!O155)</f>
        <v>110475</v>
      </c>
      <c r="O154" s="476">
        <f>SUM(K154-AE154)</f>
        <v>110475</v>
      </c>
      <c r="P154" s="475">
        <f t="shared" ref="P154:P158" si="267">SUM(N154-O154)</f>
        <v>0</v>
      </c>
      <c r="Q154" s="724">
        <f t="shared" ref="Q154:Q158" si="268">IF(O154&gt;0,N154-O154,0)</f>
        <v>0</v>
      </c>
      <c r="R154" s="476">
        <f>SUM('3 pr-2'!R155)</f>
        <v>0</v>
      </c>
      <c r="S154" s="476">
        <v>0</v>
      </c>
      <c r="T154" s="475">
        <f t="shared" ref="T154:T158" si="269">SUM(R154-S154)</f>
        <v>0</v>
      </c>
      <c r="U154" s="724">
        <f t="shared" ref="U154:U158" si="270">IF(S154&gt;0,R154-S154,0)</f>
        <v>0</v>
      </c>
      <c r="V154" s="476">
        <f>SUM('3 pr-2'!U155)</f>
        <v>0</v>
      </c>
      <c r="W154" s="476">
        <v>0</v>
      </c>
      <c r="X154" s="475">
        <f t="shared" ref="X154:X158" si="271">SUM(V154-W154)</f>
        <v>0</v>
      </c>
      <c r="Y154" s="724">
        <f t="shared" ref="Y154:Y158" si="272">IF(W154&gt;0,V154-W154,0)</f>
        <v>0</v>
      </c>
      <c r="Z154" s="476">
        <f>SUM('3 pr-2'!X155)</f>
        <v>0</v>
      </c>
      <c r="AA154" s="476">
        <v>0</v>
      </c>
      <c r="AB154" s="475">
        <f>SUM(Z154-AA154)</f>
        <v>0</v>
      </c>
      <c r="AC154" s="724">
        <f t="shared" ref="AC154:AC158" si="273">IF(AA154&gt;0,Z154-AA154,0)</f>
        <v>0</v>
      </c>
      <c r="AD154" s="476">
        <f>SUM('3 pr-2'!AA155)</f>
        <v>626024</v>
      </c>
      <c r="AE154" s="476">
        <v>626024</v>
      </c>
      <c r="AF154" s="728">
        <f t="shared" ref="AF154:AF158" si="274">SUM(AD154-AE154)</f>
        <v>0</v>
      </c>
      <c r="AG154" s="454">
        <f t="shared" ref="AG154:AG158" si="275">IF(AE154&gt;0,AD154-AE154,0)</f>
        <v>0</v>
      </c>
    </row>
    <row r="155" spans="1:33" ht="36.75" x14ac:dyDescent="0.25">
      <c r="A155" s="255" t="str">
        <f>CONCATENATE('3 pr-2'!A156)</f>
        <v>2.1.3.2.2</v>
      </c>
      <c r="B155" s="1015" t="str">
        <f>IF('ketv. 4 lent'!V155&gt;0,'ketv. 4 lent'!B155,"-")</f>
        <v>08.1.2-CPVA-R-408-11-0005</v>
      </c>
      <c r="C155" s="725" t="str">
        <f>CONCATENATE('3 pr-2'!D156)</f>
        <v>Būsto prieinamumo pažeidžiamoms gyventojų grupėms didinimas Alytaus rajone</v>
      </c>
      <c r="D155" s="255" t="str">
        <f>CONCATENATE('3 pr-2'!E156)</f>
        <v>Alytaus rajono savivaldybės administracija</v>
      </c>
      <c r="E155" s="255" t="str">
        <f>CONCATENATE('3 pr-2'!F156)</f>
        <v>Lietuvos Respublikos socialinės apsaugos ir darbo ministerija</v>
      </c>
      <c r="F155" s="255" t="str">
        <f>CONCATENATE('3 pr-2'!G156)</f>
        <v>Alytaus  rajono savivaldybė</v>
      </c>
      <c r="G155" s="255" t="str">
        <f>CONCATENATE('3 pr-2'!H156)</f>
        <v>08.1.1-CPVA·R-408</v>
      </c>
      <c r="H155" s="255" t="str">
        <f>CONCATENATE('3 pr-2'!I156)</f>
        <v>R</v>
      </c>
      <c r="I155" s="255" t="str">
        <f>CONCATENATE('3 pr-2'!J156)</f>
        <v>-</v>
      </c>
      <c r="J155" s="474">
        <f>SUM('3 pr-2'!L156)</f>
        <v>241889</v>
      </c>
      <c r="K155" s="476">
        <v>241889</v>
      </c>
      <c r="L155" s="475">
        <f t="shared" si="265"/>
        <v>0</v>
      </c>
      <c r="M155" s="724">
        <f t="shared" si="266"/>
        <v>0</v>
      </c>
      <c r="N155" s="476">
        <f>SUM('3 pr-2'!O156)</f>
        <v>36283</v>
      </c>
      <c r="O155" s="476">
        <f>SUM(K155-AE155)</f>
        <v>36283.350000000006</v>
      </c>
      <c r="P155" s="475">
        <f t="shared" si="267"/>
        <v>-0.35000000000582077</v>
      </c>
      <c r="Q155" s="724">
        <f t="shared" si="268"/>
        <v>-0.35000000000582077</v>
      </c>
      <c r="R155" s="476">
        <f>SUM('3 pr-2'!R156)</f>
        <v>0</v>
      </c>
      <c r="S155" s="476">
        <v>0</v>
      </c>
      <c r="T155" s="475">
        <f t="shared" si="269"/>
        <v>0</v>
      </c>
      <c r="U155" s="724">
        <f t="shared" si="270"/>
        <v>0</v>
      </c>
      <c r="V155" s="476">
        <f>SUM('3 pr-2'!U156)</f>
        <v>0</v>
      </c>
      <c r="W155" s="476">
        <v>0</v>
      </c>
      <c r="X155" s="475">
        <f t="shared" si="271"/>
        <v>0</v>
      </c>
      <c r="Y155" s="724">
        <f t="shared" si="272"/>
        <v>0</v>
      </c>
      <c r="Z155" s="476">
        <f>SUM('3 pr-2'!X156)</f>
        <v>0</v>
      </c>
      <c r="AA155" s="476">
        <v>0</v>
      </c>
      <c r="AB155" s="475">
        <f>SUM(Z155-AA155)</f>
        <v>0</v>
      </c>
      <c r="AC155" s="724">
        <f t="shared" si="273"/>
        <v>0</v>
      </c>
      <c r="AD155" s="476">
        <f>SUM('3 pr-2'!AA156)</f>
        <v>205606</v>
      </c>
      <c r="AE155" s="476">
        <v>205605.65</v>
      </c>
      <c r="AF155" s="721">
        <f t="shared" si="274"/>
        <v>0.35000000000582077</v>
      </c>
      <c r="AG155" s="454">
        <f t="shared" si="275"/>
        <v>0.35000000000582077</v>
      </c>
    </row>
    <row r="156" spans="1:33" ht="36.75" x14ac:dyDescent="0.25">
      <c r="A156" s="255" t="str">
        <f>CONCATENATE('3 pr-2'!A157)</f>
        <v>2.1.3.1.3</v>
      </c>
      <c r="B156" s="1015" t="str">
        <f>IF('ketv. 4 lent'!V156&gt;0,'ketv. 4 lent'!B156,"-")</f>
        <v>08.1.2-CPVA-R-408-11-0002</v>
      </c>
      <c r="C156" s="725" t="str">
        <f>CONCATENATE('3 pr-2'!D157)</f>
        <v>Socialinio būsto plėtra Alytaus mieste</v>
      </c>
      <c r="D156" s="255" t="str">
        <f>CONCATENATE('3 pr-2'!E157)</f>
        <v>Alytaus miesto savivaldybės administracija</v>
      </c>
      <c r="E156" s="255" t="str">
        <f>CONCATENATE('3 pr-2'!F157)</f>
        <v>Lietuvos Respublikos socialinės apsaugos ir darbo ministerija</v>
      </c>
      <c r="F156" s="255" t="str">
        <f>CONCATENATE('3 pr-2'!G157)</f>
        <v>Alytaus miestas</v>
      </c>
      <c r="G156" s="255" t="str">
        <f>CONCATENATE('3 pr-2'!H157)</f>
        <v>08.1.1-CPVA·R-408</v>
      </c>
      <c r="H156" s="255" t="str">
        <f>CONCATENATE('3 pr-2'!I157)</f>
        <v>R</v>
      </c>
      <c r="I156" s="255" t="str">
        <f>CONCATENATE('3 pr-2'!J157)</f>
        <v>-</v>
      </c>
      <c r="J156" s="474">
        <f>SUM('3 pr-2'!L157)</f>
        <v>891741</v>
      </c>
      <c r="K156" s="476">
        <v>891741.18</v>
      </c>
      <c r="L156" s="475">
        <f t="shared" si="265"/>
        <v>-0.18000000005122274</v>
      </c>
      <c r="M156" s="724">
        <f t="shared" si="266"/>
        <v>-0.18000000005122274</v>
      </c>
      <c r="N156" s="476">
        <f>SUM('3 pr-2'!O157)</f>
        <v>133761</v>
      </c>
      <c r="O156" s="476">
        <f>SUM(K156-AE156)</f>
        <v>133761.18000000005</v>
      </c>
      <c r="P156" s="475">
        <f t="shared" si="267"/>
        <v>-0.18000000005122274</v>
      </c>
      <c r="Q156" s="724">
        <f t="shared" si="268"/>
        <v>-0.18000000005122274</v>
      </c>
      <c r="R156" s="476">
        <f>SUM('3 pr-2'!R157)</f>
        <v>0</v>
      </c>
      <c r="S156" s="476">
        <v>0</v>
      </c>
      <c r="T156" s="475">
        <f t="shared" si="269"/>
        <v>0</v>
      </c>
      <c r="U156" s="724">
        <f t="shared" si="270"/>
        <v>0</v>
      </c>
      <c r="V156" s="476">
        <f>SUM('3 pr-2'!U157)</f>
        <v>0</v>
      </c>
      <c r="W156" s="476">
        <v>0</v>
      </c>
      <c r="X156" s="475">
        <f t="shared" si="271"/>
        <v>0</v>
      </c>
      <c r="Y156" s="724">
        <f t="shared" si="272"/>
        <v>0</v>
      </c>
      <c r="Z156" s="476">
        <f>SUM('3 pr-2'!X157)</f>
        <v>0</v>
      </c>
      <c r="AA156" s="476">
        <v>0</v>
      </c>
      <c r="AB156" s="475">
        <f>SUM(Z156-AA156)</f>
        <v>0</v>
      </c>
      <c r="AC156" s="724">
        <f t="shared" si="273"/>
        <v>0</v>
      </c>
      <c r="AD156" s="476">
        <f>SUM('3 pr-2'!AA157)</f>
        <v>757980</v>
      </c>
      <c r="AE156" s="476">
        <v>757980</v>
      </c>
      <c r="AF156" s="721">
        <f t="shared" si="274"/>
        <v>0</v>
      </c>
      <c r="AG156" s="454">
        <f t="shared" si="275"/>
        <v>0</v>
      </c>
    </row>
    <row r="157" spans="1:33" ht="36.75" x14ac:dyDescent="0.25">
      <c r="A157" s="255" t="str">
        <f>CONCATENATE('3 pr-2'!A158)</f>
        <v>2.1.3.2.4</v>
      </c>
      <c r="B157" s="1015" t="str">
        <f>IF('ketv. 4 lent'!V157&gt;0,'ketv. 4 lent'!B157,"-")</f>
        <v>08.1.2-CPVA-R-408-11-0003</v>
      </c>
      <c r="C157" s="725" t="str">
        <f>CONCATENATE('3 pr-2'!D158)</f>
        <v>Socialinio būsto fondo plėtra Druskininkų savivaldybėje</v>
      </c>
      <c r="D157" s="255" t="str">
        <f>CONCATENATE('3 pr-2'!E158)</f>
        <v>Druskininkų savivaldybės administracija</v>
      </c>
      <c r="E157" s="255" t="str">
        <f>CONCATENATE('3 pr-2'!F158)</f>
        <v>Lietuvos Respublikos socialinės apsaugos ir darbo ministerija</v>
      </c>
      <c r="F157" s="255" t="str">
        <f>CONCATENATE('3 pr-2'!G158)</f>
        <v>Druskininkų savivaldybė</v>
      </c>
      <c r="G157" s="255" t="str">
        <f>CONCATENATE('3 pr-2'!H158)</f>
        <v>08.1.1-CPVA·R-408</v>
      </c>
      <c r="H157" s="255" t="str">
        <f>CONCATENATE('3 pr-2'!I158)</f>
        <v>R</v>
      </c>
      <c r="I157" s="255" t="str">
        <f>CONCATENATE('3 pr-2'!J158)</f>
        <v>-</v>
      </c>
      <c r="J157" s="474">
        <f>SUM('3 pr-2'!L158)</f>
        <v>727473</v>
      </c>
      <c r="K157" s="476">
        <v>727472.94</v>
      </c>
      <c r="L157" s="475">
        <f t="shared" si="265"/>
        <v>6.0000000055879354E-2</v>
      </c>
      <c r="M157" s="724">
        <f t="shared" si="266"/>
        <v>6.0000000055879354E-2</v>
      </c>
      <c r="N157" s="476">
        <f>SUM('3 pr-2'!O158)</f>
        <v>109121</v>
      </c>
      <c r="O157" s="476">
        <f>SUM(K157-AE157)</f>
        <v>109120.94999999995</v>
      </c>
      <c r="P157" s="475">
        <f t="shared" si="267"/>
        <v>5.0000000046566129E-2</v>
      </c>
      <c r="Q157" s="724">
        <f t="shared" si="268"/>
        <v>5.0000000046566129E-2</v>
      </c>
      <c r="R157" s="476">
        <f>SUM('3 pr-2'!R158)</f>
        <v>0</v>
      </c>
      <c r="S157" s="476">
        <v>0</v>
      </c>
      <c r="T157" s="475">
        <f t="shared" si="269"/>
        <v>0</v>
      </c>
      <c r="U157" s="724">
        <f t="shared" si="270"/>
        <v>0</v>
      </c>
      <c r="V157" s="476">
        <f>SUM('3 pr-2'!U158)</f>
        <v>0</v>
      </c>
      <c r="W157" s="476">
        <v>0</v>
      </c>
      <c r="X157" s="475">
        <f t="shared" si="271"/>
        <v>0</v>
      </c>
      <c r="Y157" s="724">
        <f t="shared" si="272"/>
        <v>0</v>
      </c>
      <c r="Z157" s="476">
        <f>SUM('3 pr-2'!X158)</f>
        <v>0</v>
      </c>
      <c r="AA157" s="476">
        <v>0</v>
      </c>
      <c r="AB157" s="475">
        <f>SUM(Z157-AA157)</f>
        <v>0</v>
      </c>
      <c r="AC157" s="724">
        <f t="shared" si="273"/>
        <v>0</v>
      </c>
      <c r="AD157" s="476">
        <f>SUM('3 pr-2'!AA158)</f>
        <v>618352</v>
      </c>
      <c r="AE157" s="476">
        <v>618351.99</v>
      </c>
      <c r="AF157" s="721">
        <f t="shared" si="274"/>
        <v>1.0000000009313226E-2</v>
      </c>
      <c r="AG157" s="454">
        <f t="shared" si="275"/>
        <v>1.0000000009313226E-2</v>
      </c>
    </row>
    <row r="158" spans="1:33" ht="37.5" thickBot="1" x14ac:dyDescent="0.3">
      <c r="A158" s="255" t="str">
        <f>CONCATENATE('3 pr-2'!A159)</f>
        <v>2.1.3.2.5</v>
      </c>
      <c r="B158" s="1015" t="str">
        <f>IF('ketv. 4 lent'!V158&gt;0,'ketv. 4 lent'!B158,"-")</f>
        <v>08.1.2-CPVA-R-408-11-0004</v>
      </c>
      <c r="C158" s="725" t="str">
        <f>CONCATENATE('3 pr-2'!D159)</f>
        <v>Socialinio būsto fondo plėtra Lazdijų rajono savivaldybėje</v>
      </c>
      <c r="D158" s="255" t="str">
        <f>CONCATENATE('3 pr-2'!E159)</f>
        <v>Lazdijų rajono savivaldybės administracija</v>
      </c>
      <c r="E158" s="255" t="str">
        <f>CONCATENATE('3 pr-2'!F159)</f>
        <v>Lietuvos Respublikos socialinės apsaugos ir darbo ministerija</v>
      </c>
      <c r="F158" s="255" t="str">
        <f>CONCATENATE('3 pr-2'!G159)</f>
        <v>Lazdijų rajono savivaldybė</v>
      </c>
      <c r="G158" s="255" t="str">
        <f>CONCATENATE('3 pr-2'!H159)</f>
        <v>08.1.1-CPVA·R-408</v>
      </c>
      <c r="H158" s="255" t="str">
        <f>CONCATENATE('3 pr-2'!I159)</f>
        <v>R</v>
      </c>
      <c r="I158" s="255" t="str">
        <f>CONCATENATE('3 pr-2'!J159)</f>
        <v>-</v>
      </c>
      <c r="J158" s="474">
        <f>SUM('3 pr-2'!L159)</f>
        <v>368599</v>
      </c>
      <c r="K158" s="476">
        <v>368599</v>
      </c>
      <c r="L158" s="475">
        <f t="shared" si="265"/>
        <v>0</v>
      </c>
      <c r="M158" s="724">
        <f t="shared" si="266"/>
        <v>0</v>
      </c>
      <c r="N158" s="476">
        <f>SUM('3 pr-2'!O159)</f>
        <v>55587</v>
      </c>
      <c r="O158" s="476">
        <f>SUM(K158-AE158)</f>
        <v>55587</v>
      </c>
      <c r="P158" s="475">
        <f t="shared" si="267"/>
        <v>0</v>
      </c>
      <c r="Q158" s="724">
        <f t="shared" si="268"/>
        <v>0</v>
      </c>
      <c r="R158" s="476">
        <f>SUM('3 pr-2'!R159)</f>
        <v>0</v>
      </c>
      <c r="S158" s="476">
        <v>0</v>
      </c>
      <c r="T158" s="475">
        <f t="shared" si="269"/>
        <v>0</v>
      </c>
      <c r="U158" s="724">
        <f t="shared" si="270"/>
        <v>0</v>
      </c>
      <c r="V158" s="476">
        <f>SUM('3 pr-2'!U159)</f>
        <v>0</v>
      </c>
      <c r="W158" s="476">
        <v>0</v>
      </c>
      <c r="X158" s="475">
        <f t="shared" si="271"/>
        <v>0</v>
      </c>
      <c r="Y158" s="724">
        <f t="shared" si="272"/>
        <v>0</v>
      </c>
      <c r="Z158" s="476">
        <f>SUM('3 pr-2'!X159)</f>
        <v>0</v>
      </c>
      <c r="AA158" s="476">
        <v>0</v>
      </c>
      <c r="AB158" s="475">
        <f>SUM(Z158-AA158)</f>
        <v>0</v>
      </c>
      <c r="AC158" s="724">
        <f t="shared" si="273"/>
        <v>0</v>
      </c>
      <c r="AD158" s="476">
        <f>SUM('3 pr-2'!AA159)</f>
        <v>313012</v>
      </c>
      <c r="AE158" s="476">
        <v>313012</v>
      </c>
      <c r="AF158" s="727">
        <f t="shared" si="274"/>
        <v>0</v>
      </c>
      <c r="AG158" s="454">
        <f t="shared" si="275"/>
        <v>0</v>
      </c>
    </row>
    <row r="159" spans="1:33" ht="44.25" customHeight="1" thickBot="1" x14ac:dyDescent="0.3">
      <c r="A159" s="345" t="str">
        <f>CONCATENATE('3 pr-2'!A160)</f>
        <v>2.1.4.</v>
      </c>
      <c r="B159" s="648" t="str">
        <f>CONCATENATE('ketv. 2lent'!B158)</f>
        <v/>
      </c>
      <c r="C159" s="1668" t="str">
        <f>CONCATENATE('3 pr-2'!D160)</f>
        <v/>
      </c>
      <c r="D159" s="1669"/>
      <c r="E159" s="1669"/>
      <c r="F159" s="1669"/>
      <c r="G159" s="1669"/>
      <c r="H159" s="1669"/>
      <c r="I159" s="1670"/>
      <c r="J159" s="303">
        <f>SUM('3 pr-2'!L160)</f>
        <v>1144134.52</v>
      </c>
      <c r="K159" s="355">
        <f>SUM(K160)</f>
        <v>172733.52</v>
      </c>
      <c r="L159" s="356">
        <f>SUM(L160)</f>
        <v>771401</v>
      </c>
      <c r="M159" s="457">
        <f>SUM(M160)</f>
        <v>0</v>
      </c>
      <c r="N159" s="303">
        <f>SUM('3 pr-2'!O160)</f>
        <v>171620.03</v>
      </c>
      <c r="O159" s="303">
        <f>SUM(O160)</f>
        <v>25910.03</v>
      </c>
      <c r="P159" s="303">
        <f>SUM(P160)</f>
        <v>115710</v>
      </c>
      <c r="Q159" s="303">
        <f>SUM(Q160)</f>
        <v>0</v>
      </c>
      <c r="R159" s="303">
        <f>SUM('3 pr-2'!R160)</f>
        <v>0</v>
      </c>
      <c r="S159" s="303">
        <f>SUM(S160)</f>
        <v>0</v>
      </c>
      <c r="T159" s="303">
        <f>SUM(T160)</f>
        <v>0</v>
      </c>
      <c r="U159" s="303">
        <f>SUM(U160)</f>
        <v>0</v>
      </c>
      <c r="V159" s="303">
        <f>SUM('3 pr-2'!U160)</f>
        <v>0</v>
      </c>
      <c r="W159" s="303">
        <f>SUM(W160)</f>
        <v>0</v>
      </c>
      <c r="X159" s="303">
        <f>SUM(X160)</f>
        <v>0</v>
      </c>
      <c r="Y159" s="303">
        <f>SUM(Y160)</f>
        <v>0</v>
      </c>
      <c r="Z159" s="303">
        <f>SUM('3 pr-2'!X160)</f>
        <v>0</v>
      </c>
      <c r="AA159" s="303">
        <f>SUM(AA160)</f>
        <v>0</v>
      </c>
      <c r="AB159" s="303">
        <f>SUM(AB160)</f>
        <v>0</v>
      </c>
      <c r="AC159" s="303">
        <f>SUM(AC160)</f>
        <v>0</v>
      </c>
      <c r="AD159" s="303">
        <f>SUM('3 pr-2'!AA160)</f>
        <v>972514.49</v>
      </c>
      <c r="AE159" s="303">
        <f>SUM(AE160)</f>
        <v>146823.49</v>
      </c>
      <c r="AF159" s="363">
        <f>SUM(AF160)</f>
        <v>655691</v>
      </c>
      <c r="AG159" s="456">
        <f>SUM(AG160)</f>
        <v>0</v>
      </c>
    </row>
    <row r="160" spans="1:33" ht="37.5" customHeight="1" thickBot="1" x14ac:dyDescent="0.3">
      <c r="A160" s="497" t="str">
        <f>CONCATENATE('3 pr-2'!A161)</f>
        <v>2.1.4.1</v>
      </c>
      <c r="B160" s="613" t="str">
        <f>CONCATENATE('ketv. 2lent'!B159)</f>
        <v/>
      </c>
      <c r="C160" s="1656" t="str">
        <f>CONCATENATE('3 pr-2'!D161)</f>
        <v/>
      </c>
      <c r="D160" s="1789"/>
      <c r="E160" s="1789"/>
      <c r="F160" s="1789"/>
      <c r="G160" s="1789"/>
      <c r="H160" s="1789"/>
      <c r="I160" s="1790"/>
      <c r="J160" s="629">
        <f>SUM('3 pr-2'!L161)</f>
        <v>1144134.52</v>
      </c>
      <c r="K160" s="629">
        <f>SUM(K161:K165)</f>
        <v>172733.52</v>
      </c>
      <c r="L160" s="722">
        <f>SUM(L161:L165)</f>
        <v>771401</v>
      </c>
      <c r="M160" s="723">
        <f>SUM(M161:M165)</f>
        <v>0</v>
      </c>
      <c r="N160" s="629">
        <f>SUM('3 pr-2'!O161)</f>
        <v>171620.03</v>
      </c>
      <c r="O160" s="629">
        <f>SUM(O161:O165)</f>
        <v>25910.03</v>
      </c>
      <c r="P160" s="629">
        <f>SUM(P161:P165)</f>
        <v>115710</v>
      </c>
      <c r="Q160" s="629">
        <f>SUM(Q161:Q165)</f>
        <v>0</v>
      </c>
      <c r="R160" s="629">
        <f>SUM('3 pr-2'!R161)</f>
        <v>0</v>
      </c>
      <c r="S160" s="629">
        <f>SUM(S161:S165)</f>
        <v>0</v>
      </c>
      <c r="T160" s="629">
        <f>SUM(T161:T165)</f>
        <v>0</v>
      </c>
      <c r="U160" s="629">
        <f>SUM(U161:U165)</f>
        <v>0</v>
      </c>
      <c r="V160" s="629">
        <f>SUM('3 pr-2'!U161)</f>
        <v>0</v>
      </c>
      <c r="W160" s="629">
        <f>SUM(W161:W165)</f>
        <v>0</v>
      </c>
      <c r="X160" s="629">
        <f>SUM(X161:X165)</f>
        <v>0</v>
      </c>
      <c r="Y160" s="629">
        <f>SUM(Y161:Y165)</f>
        <v>0</v>
      </c>
      <c r="Z160" s="629">
        <f>SUM('3 pr-2'!X161)</f>
        <v>0</v>
      </c>
      <c r="AA160" s="629">
        <f>SUM(AA161:AA165)</f>
        <v>0</v>
      </c>
      <c r="AB160" s="629">
        <f>SUM(AB161:AB165)</f>
        <v>0</v>
      </c>
      <c r="AC160" s="629">
        <f>SUM(AC161:AC165)</f>
        <v>0</v>
      </c>
      <c r="AD160" s="629">
        <f>SUM('3 pr-2'!AA161)</f>
        <v>972514.49</v>
      </c>
      <c r="AE160" s="629">
        <f>SUM(AE161:AE165)</f>
        <v>146823.49</v>
      </c>
      <c r="AF160" s="352">
        <f>SUM(AF161:AF165)</f>
        <v>655691</v>
      </c>
      <c r="AG160" s="455">
        <f>SUM(AG161:AG165)</f>
        <v>0</v>
      </c>
    </row>
    <row r="161" spans="1:33" ht="36.75" x14ac:dyDescent="0.25">
      <c r="A161" s="255" t="str">
        <f>CONCATENATE('3 pr-2'!A162)</f>
        <v>2.1.4.1.1</v>
      </c>
      <c r="B161" s="1015" t="str">
        <f>IF('ketv. 4 lent'!V161&gt;0,'ketv. 4 lent'!B161,"-")</f>
        <v>10.1.3-ESFA-R-920-11-0001</v>
      </c>
      <c r="C161" s="725" t="str">
        <f>CONCATENATE('3 pr-2'!D162)</f>
        <v>Paslaugų teikimo ir asmenų aptarnavimo kokybės gerinimas Varėnos rajono savivaldybėje</v>
      </c>
      <c r="D161" s="255" t="str">
        <f>CONCATENATE('3 pr-2'!E162)</f>
        <v>Varėnos rajono savivaldybės administracija</v>
      </c>
      <c r="E161" s="255" t="str">
        <f>CONCATENATE('3 pr-2'!F162)</f>
        <v>Lietuvos Respublikos vidaus reikalų ministerija</v>
      </c>
      <c r="F161" s="255" t="str">
        <f>CONCATENATE('3 pr-2'!G162)</f>
        <v>Varėnos miestas</v>
      </c>
      <c r="G161" s="255" t="str">
        <f>CONCATENATE('3 pr-2'!H162)</f>
        <v>10.1.3-ESFA-R-920</v>
      </c>
      <c r="H161" s="255" t="str">
        <f>CONCATENATE('3 pr-2'!I162)</f>
        <v>R</v>
      </c>
      <c r="I161" s="255" t="str">
        <f>CONCATENATE('3 pr-2'!J162)</f>
        <v>-</v>
      </c>
      <c r="J161" s="474">
        <f>SUM('3 pr-2'!L162)</f>
        <v>172733.52</v>
      </c>
      <c r="K161" s="476">
        <f>SUM(O161+S161+W161+AA161+AE161)</f>
        <v>172733.52</v>
      </c>
      <c r="L161" s="475">
        <f t="shared" ref="L161:L165" si="276">SUM(J161-K161)</f>
        <v>0</v>
      </c>
      <c r="M161" s="724">
        <f t="shared" ref="M161:M165" si="277">IF(K161&gt;0,J161-K161,0)</f>
        <v>0</v>
      </c>
      <c r="N161" s="476">
        <f>SUM('3 pr-2'!O162)</f>
        <v>25910.03</v>
      </c>
      <c r="O161" s="476">
        <v>25910.03</v>
      </c>
      <c r="P161" s="475">
        <f t="shared" ref="P161:P165" si="278">SUM(N161-O161)</f>
        <v>0</v>
      </c>
      <c r="Q161" s="724">
        <f t="shared" ref="Q161:Q165" si="279">IF(O161&gt;0,N161-O161,0)</f>
        <v>0</v>
      </c>
      <c r="R161" s="476">
        <f>SUM('3 pr-2'!R162)</f>
        <v>0</v>
      </c>
      <c r="S161" s="476">
        <v>0</v>
      </c>
      <c r="T161" s="475">
        <f t="shared" ref="T161:T165" si="280">SUM(R161-S161)</f>
        <v>0</v>
      </c>
      <c r="U161" s="724">
        <f t="shared" ref="U161:U165" si="281">IF(S161&gt;0,R161-S161,0)</f>
        <v>0</v>
      </c>
      <c r="V161" s="476">
        <f>SUM('3 pr-2'!U162)</f>
        <v>0</v>
      </c>
      <c r="W161" s="476">
        <v>0</v>
      </c>
      <c r="X161" s="475">
        <f t="shared" ref="X161:X165" si="282">SUM(V161-W161)</f>
        <v>0</v>
      </c>
      <c r="Y161" s="724">
        <f t="shared" ref="Y161:Y165" si="283">IF(W161&gt;0,V161-W161,0)</f>
        <v>0</v>
      </c>
      <c r="Z161" s="476">
        <f>SUM('3 pr-2'!X162)</f>
        <v>0</v>
      </c>
      <c r="AA161" s="476">
        <v>0</v>
      </c>
      <c r="AB161" s="475">
        <f t="shared" ref="AB161:AB166" si="284">SUM(Z161-AA161)</f>
        <v>0</v>
      </c>
      <c r="AC161" s="724">
        <f t="shared" ref="AC161:AC165" si="285">IF(AA161&gt;0,Z161-AA161,0)</f>
        <v>0</v>
      </c>
      <c r="AD161" s="476">
        <f>SUM('3 pr-2'!AA162)</f>
        <v>146823.49</v>
      </c>
      <c r="AE161" s="476">
        <v>146823.49</v>
      </c>
      <c r="AF161" s="728">
        <f t="shared" ref="AF161:AF165" si="286">SUM(AD161-AE161)</f>
        <v>0</v>
      </c>
      <c r="AG161" s="454">
        <f t="shared" ref="AG161:AG165" si="287">IF(AE161&gt;0,AD161-AE161,0)</f>
        <v>0</v>
      </c>
    </row>
    <row r="162" spans="1:33" ht="36.75" x14ac:dyDescent="0.25">
      <c r="A162" s="255" t="str">
        <f>CONCATENATE('3 pr-2'!A163)</f>
        <v>2.1.4.1.2</v>
      </c>
      <c r="B162" s="1015" t="str">
        <f>IF('ketv. 4 lent'!V162&gt;0,'ketv. 4 lent'!B162,"-")</f>
        <v>-</v>
      </c>
      <c r="C162" s="725" t="str">
        <f>CONCATENATE('3 pr-2'!D163)</f>
        <v>Paslaugų ir asmenų aptarnavimo kokybės gerinimas Alytaus rajono savivaldybėje</v>
      </c>
      <c r="D162" s="255" t="str">
        <f>CONCATENATE('3 pr-2'!E163)</f>
        <v>Alytaus rajono savivaldybės administracija</v>
      </c>
      <c r="E162" s="255" t="str">
        <f>CONCATENATE('3 pr-2'!F163)</f>
        <v>Lietuvos Respublikos vidaus reikalų ministerija</v>
      </c>
      <c r="F162" s="255" t="str">
        <f>CONCATENATE('3 pr-2'!G163)</f>
        <v>Alytaus  rajono savivaldybė</v>
      </c>
      <c r="G162" s="255" t="str">
        <f>CONCATENATE('3 pr-2'!H163)</f>
        <v>10.1.3-ESFA-R-920</v>
      </c>
      <c r="H162" s="255" t="str">
        <f>CONCATENATE('3 pr-2'!I163)</f>
        <v>R</v>
      </c>
      <c r="I162" s="255" t="str">
        <f>CONCATENATE('3 pr-2'!J163)</f>
        <v>-</v>
      </c>
      <c r="J162" s="474">
        <f>SUM('3 pr-2'!L163)</f>
        <v>210999</v>
      </c>
      <c r="K162" s="476">
        <v>0</v>
      </c>
      <c r="L162" s="475">
        <f t="shared" si="276"/>
        <v>210999</v>
      </c>
      <c r="M162" s="724">
        <f t="shared" si="277"/>
        <v>0</v>
      </c>
      <c r="N162" s="476">
        <f>SUM('3 pr-2'!O163)</f>
        <v>31650</v>
      </c>
      <c r="O162" s="476">
        <v>0</v>
      </c>
      <c r="P162" s="475">
        <f t="shared" si="278"/>
        <v>31650</v>
      </c>
      <c r="Q162" s="724">
        <f t="shared" si="279"/>
        <v>0</v>
      </c>
      <c r="R162" s="476">
        <f>SUM('3 pr-2'!R163)</f>
        <v>0</v>
      </c>
      <c r="S162" s="476">
        <v>0</v>
      </c>
      <c r="T162" s="475">
        <f t="shared" si="280"/>
        <v>0</v>
      </c>
      <c r="U162" s="724">
        <f t="shared" si="281"/>
        <v>0</v>
      </c>
      <c r="V162" s="476">
        <f>SUM('3 pr-2'!U163)</f>
        <v>0</v>
      </c>
      <c r="W162" s="476">
        <v>0</v>
      </c>
      <c r="X162" s="475">
        <f t="shared" si="282"/>
        <v>0</v>
      </c>
      <c r="Y162" s="724">
        <f t="shared" si="283"/>
        <v>0</v>
      </c>
      <c r="Z162" s="476">
        <f>SUM('3 pr-2'!X163)</f>
        <v>0</v>
      </c>
      <c r="AA162" s="476">
        <v>0</v>
      </c>
      <c r="AB162" s="475">
        <f t="shared" si="284"/>
        <v>0</v>
      </c>
      <c r="AC162" s="724">
        <f t="shared" si="285"/>
        <v>0</v>
      </c>
      <c r="AD162" s="476">
        <f>SUM('3 pr-2'!AA163)</f>
        <v>179349</v>
      </c>
      <c r="AE162" s="476">
        <v>0</v>
      </c>
      <c r="AF162" s="728">
        <f t="shared" si="286"/>
        <v>179349</v>
      </c>
      <c r="AG162" s="454">
        <f t="shared" si="287"/>
        <v>0</v>
      </c>
    </row>
    <row r="163" spans="1:33" ht="36.75" x14ac:dyDescent="0.25">
      <c r="A163" s="255" t="str">
        <f>CONCATENATE('3 pr-2'!A164)</f>
        <v>2.1.4.1.3</v>
      </c>
      <c r="B163" s="1015" t="str">
        <f>IF('ketv. 4 lent'!V163&gt;0,'ketv. 4 lent'!B163,"-")</f>
        <v>-</v>
      </c>
      <c r="C163" s="725" t="str">
        <f>CONCATENATE('3 pr-2'!D164)</f>
        <v>Lazdijų rajono savivaldybės administracijos ir jos viešojo valdymo institucijų teikiamų paslaugų procesų tobulinimas</v>
      </c>
      <c r="D163" s="255" t="str">
        <f>CONCATENATE('3 pr-2'!E164)</f>
        <v>Lazdijų rajono savivaldybės administracija</v>
      </c>
      <c r="E163" s="255" t="str">
        <f>CONCATENATE('3 pr-2'!F164)</f>
        <v>Lietuvos Respublikos vidaus reikalų ministerija</v>
      </c>
      <c r="F163" s="255" t="str">
        <f>CONCATENATE('3 pr-2'!G164)</f>
        <v>Lazdijų rajono savivaldybė</v>
      </c>
      <c r="G163" s="255" t="str">
        <f>CONCATENATE('3 pr-2'!H164)</f>
        <v>10.1.3-ESFA-R-920</v>
      </c>
      <c r="H163" s="255" t="str">
        <f>CONCATENATE('3 pr-2'!I164)</f>
        <v>R</v>
      </c>
      <c r="I163" s="255" t="str">
        <f>CONCATENATE('3 pr-2'!J164)</f>
        <v>-</v>
      </c>
      <c r="J163" s="474">
        <f>SUM('3 pr-2'!L164)</f>
        <v>163987</v>
      </c>
      <c r="K163" s="476">
        <v>0</v>
      </c>
      <c r="L163" s="475">
        <f t="shared" si="276"/>
        <v>163987</v>
      </c>
      <c r="M163" s="724">
        <f t="shared" si="277"/>
        <v>0</v>
      </c>
      <c r="N163" s="476">
        <f>SUM('3 pr-2'!O164)</f>
        <v>24598</v>
      </c>
      <c r="O163" s="476">
        <v>0</v>
      </c>
      <c r="P163" s="475">
        <f t="shared" si="278"/>
        <v>24598</v>
      </c>
      <c r="Q163" s="724">
        <f t="shared" si="279"/>
        <v>0</v>
      </c>
      <c r="R163" s="476">
        <f>SUM('3 pr-2'!R164)</f>
        <v>0</v>
      </c>
      <c r="S163" s="476">
        <v>0</v>
      </c>
      <c r="T163" s="475">
        <f t="shared" si="280"/>
        <v>0</v>
      </c>
      <c r="U163" s="724">
        <f t="shared" si="281"/>
        <v>0</v>
      </c>
      <c r="V163" s="476">
        <f>SUM('3 pr-2'!U164)</f>
        <v>0</v>
      </c>
      <c r="W163" s="476">
        <v>0</v>
      </c>
      <c r="X163" s="475">
        <f t="shared" si="282"/>
        <v>0</v>
      </c>
      <c r="Y163" s="724">
        <f t="shared" si="283"/>
        <v>0</v>
      </c>
      <c r="Z163" s="476">
        <f>SUM('3 pr-2'!X164)</f>
        <v>0</v>
      </c>
      <c r="AA163" s="476">
        <v>0</v>
      </c>
      <c r="AB163" s="475">
        <f t="shared" si="284"/>
        <v>0</v>
      </c>
      <c r="AC163" s="724">
        <f t="shared" si="285"/>
        <v>0</v>
      </c>
      <c r="AD163" s="476">
        <f>SUM('3 pr-2'!AA164)</f>
        <v>139389</v>
      </c>
      <c r="AE163" s="476">
        <v>0</v>
      </c>
      <c r="AF163" s="728">
        <f t="shared" si="286"/>
        <v>139389</v>
      </c>
      <c r="AG163" s="454">
        <f t="shared" si="287"/>
        <v>0</v>
      </c>
    </row>
    <row r="164" spans="1:33" ht="48.75" x14ac:dyDescent="0.25">
      <c r="A164" s="255" t="str">
        <f>CONCATENATE('3 pr-2'!A165)</f>
        <v>2.1.4.1.4</v>
      </c>
      <c r="B164" s="1015" t="str">
        <f>IF('ketv. 4 lent'!V164&gt;0,'ketv. 4 lent'!B164,"-")</f>
        <v>-</v>
      </c>
      <c r="C164" s="725" t="str">
        <f>CONCATENATE('3 pr-2'!D165)</f>
        <v>Teikiamų paslaugų procesų tobulinimas ir asmenų aptarnavimo kokybės gerinimas Alytaus miesto savivaldybės administracijoje ir jai pavaldžiose įstaigose. I etapas</v>
      </c>
      <c r="D164" s="255" t="str">
        <f>CONCATENATE('3 pr-2'!E165)</f>
        <v>Alytaus miesto savivaldybės administracija</v>
      </c>
      <c r="E164" s="255" t="str">
        <f>CONCATENATE('3 pr-2'!F165)</f>
        <v>Lietuvos Respublikos vidaus reikalų ministerija</v>
      </c>
      <c r="F164" s="255" t="str">
        <f>CONCATENATE('3 pr-2'!G165)</f>
        <v>Alytaus miestas</v>
      </c>
      <c r="G164" s="255" t="str">
        <f>CONCATENATE('3 pr-2'!H165)</f>
        <v>10.1.3-ESFA-R-920</v>
      </c>
      <c r="H164" s="255" t="str">
        <f>CONCATENATE('3 pr-2'!I165)</f>
        <v>R</v>
      </c>
      <c r="I164" s="255" t="str">
        <f>CONCATENATE('3 pr-2'!J165)</f>
        <v>-</v>
      </c>
      <c r="J164" s="474">
        <f>SUM('3 pr-2'!L165)</f>
        <v>234827</v>
      </c>
      <c r="K164" s="476">
        <v>0</v>
      </c>
      <c r="L164" s="475">
        <f t="shared" si="276"/>
        <v>234827</v>
      </c>
      <c r="M164" s="724">
        <f t="shared" si="277"/>
        <v>0</v>
      </c>
      <c r="N164" s="476">
        <f>SUM('3 pr-2'!O165)</f>
        <v>35224</v>
      </c>
      <c r="O164" s="476">
        <v>0</v>
      </c>
      <c r="P164" s="475">
        <f t="shared" si="278"/>
        <v>35224</v>
      </c>
      <c r="Q164" s="724">
        <f t="shared" si="279"/>
        <v>0</v>
      </c>
      <c r="R164" s="476">
        <f>SUM('3 pr-2'!R165)</f>
        <v>0</v>
      </c>
      <c r="S164" s="476">
        <v>0</v>
      </c>
      <c r="T164" s="475">
        <f t="shared" si="280"/>
        <v>0</v>
      </c>
      <c r="U164" s="724">
        <f t="shared" si="281"/>
        <v>0</v>
      </c>
      <c r="V164" s="476">
        <f>SUM('3 pr-2'!U165)</f>
        <v>0</v>
      </c>
      <c r="W164" s="476">
        <v>0</v>
      </c>
      <c r="X164" s="475">
        <f t="shared" si="282"/>
        <v>0</v>
      </c>
      <c r="Y164" s="724">
        <f t="shared" si="283"/>
        <v>0</v>
      </c>
      <c r="Z164" s="476">
        <f>SUM('3 pr-2'!X165)</f>
        <v>0</v>
      </c>
      <c r="AA164" s="476">
        <v>0</v>
      </c>
      <c r="AB164" s="475">
        <f t="shared" si="284"/>
        <v>0</v>
      </c>
      <c r="AC164" s="724">
        <f t="shared" si="285"/>
        <v>0</v>
      </c>
      <c r="AD164" s="476">
        <f>SUM('3 pr-2'!AA165)</f>
        <v>199603</v>
      </c>
      <c r="AE164" s="476">
        <v>0</v>
      </c>
      <c r="AF164" s="728">
        <f t="shared" si="286"/>
        <v>199603</v>
      </c>
      <c r="AG164" s="454">
        <f t="shared" si="287"/>
        <v>0</v>
      </c>
    </row>
    <row r="165" spans="1:33" ht="36.75" x14ac:dyDescent="0.25">
      <c r="A165" s="255" t="str">
        <f>CONCATENATE('3 pr-2'!A166)</f>
        <v>2.1.4.1.5</v>
      </c>
      <c r="B165" s="1015" t="str">
        <f>IF('ketv. 4 lent'!V165&gt;0,'ketv. 4 lent'!B165,"-")</f>
        <v>-</v>
      </c>
      <c r="C165" s="725" t="str">
        <f>CONCATENATE('3 pr-2'!D166)</f>
        <v>Paslaugų teikimo ir asmenų aptarnavimo kokybės gerinimas Druskininkų savivaldybėje</v>
      </c>
      <c r="D165" s="255" t="str">
        <f>CONCATENATE('3 pr-2'!E166)</f>
        <v>Druskininkų savivaldybės administracija</v>
      </c>
      <c r="E165" s="255" t="str">
        <f>CONCATENATE('3 pr-2'!F166)</f>
        <v>Lietuvos Respublikos vidaus reikalų ministerija</v>
      </c>
      <c r="F165" s="255" t="str">
        <f>CONCATENATE('3 pr-2'!G166)</f>
        <v>Druskininkų savivaldybė</v>
      </c>
      <c r="G165" s="255" t="str">
        <f>CONCATENATE('3 pr-2'!H166)</f>
        <v>10.1.3-ESFA-R-920</v>
      </c>
      <c r="H165" s="255" t="str">
        <f>CONCATENATE('3 pr-2'!I166)</f>
        <v>R</v>
      </c>
      <c r="I165" s="255" t="str">
        <f>CONCATENATE('3 pr-2'!J166)</f>
        <v>-</v>
      </c>
      <c r="J165" s="474">
        <f>SUM('3 pr-2'!L166)</f>
        <v>161588</v>
      </c>
      <c r="K165" s="476">
        <v>0</v>
      </c>
      <c r="L165" s="475">
        <f t="shared" si="276"/>
        <v>161588</v>
      </c>
      <c r="M165" s="724">
        <f t="shared" si="277"/>
        <v>0</v>
      </c>
      <c r="N165" s="476">
        <f>SUM('3 pr-2'!O166)</f>
        <v>24238</v>
      </c>
      <c r="O165" s="476">
        <v>0</v>
      </c>
      <c r="P165" s="475">
        <f t="shared" si="278"/>
        <v>24238</v>
      </c>
      <c r="Q165" s="724">
        <f t="shared" si="279"/>
        <v>0</v>
      </c>
      <c r="R165" s="476">
        <f>SUM('3 pr-2'!R166)</f>
        <v>0</v>
      </c>
      <c r="S165" s="476">
        <v>0</v>
      </c>
      <c r="T165" s="475">
        <f t="shared" si="280"/>
        <v>0</v>
      </c>
      <c r="U165" s="724">
        <f t="shared" si="281"/>
        <v>0</v>
      </c>
      <c r="V165" s="476">
        <f>SUM('3 pr-2'!U166)</f>
        <v>0</v>
      </c>
      <c r="W165" s="476">
        <v>0</v>
      </c>
      <c r="X165" s="475">
        <f t="shared" si="282"/>
        <v>0</v>
      </c>
      <c r="Y165" s="724">
        <f t="shared" si="283"/>
        <v>0</v>
      </c>
      <c r="Z165" s="476">
        <f>SUM('3 pr-2'!X166)</f>
        <v>0</v>
      </c>
      <c r="AA165" s="476">
        <v>0</v>
      </c>
      <c r="AB165" s="475">
        <f t="shared" si="284"/>
        <v>0</v>
      </c>
      <c r="AC165" s="724">
        <f t="shared" si="285"/>
        <v>0</v>
      </c>
      <c r="AD165" s="476">
        <f>SUM('3 pr-2'!AA166)</f>
        <v>137350</v>
      </c>
      <c r="AE165" s="476">
        <v>0</v>
      </c>
      <c r="AF165" s="726">
        <f t="shared" si="286"/>
        <v>137350</v>
      </c>
      <c r="AG165" s="454">
        <f t="shared" si="287"/>
        <v>0</v>
      </c>
    </row>
    <row r="166" spans="1:33" ht="81.75" customHeight="1" thickBot="1" x14ac:dyDescent="0.3">
      <c r="A166" s="255" t="str">
        <f>CONCATENATE('3 pr-2'!A167)</f>
        <v>2.1.4.1.6</v>
      </c>
      <c r="B166" s="1015" t="str">
        <f>IF('ketv. 4 lent'!V166&gt;0,'ketv. 4 lent'!B166,"-")</f>
        <v>-</v>
      </c>
      <c r="C166" s="725" t="str">
        <f>CONCATENATE('3 pr-2'!D167)</f>
        <v>Teikiamų paslaugų procesų tobulinimas ir asmenų aptarnavimo kokybės gerinimas Alytaus miesto savivaldybės administracijoje ir jai pavaldžiose įstaigose. II etapas</v>
      </c>
      <c r="D166" s="255" t="str">
        <f>CONCATENATE('3 pr-2'!E167)</f>
        <v>Alytaus miesto savivaldybės administracija</v>
      </c>
      <c r="E166" s="255" t="str">
        <f>CONCATENATE('3 pr-2'!F167)</f>
        <v>Lietuvos Respublikos vidaus reikalų ministerija</v>
      </c>
      <c r="F166" s="255" t="str">
        <f>CONCATENATE('3 pr-2'!G167)</f>
        <v>Alytaus miestas</v>
      </c>
      <c r="G166" s="255" t="str">
        <f>CONCATENATE('3 pr-2'!H167)</f>
        <v>10.1.3-ESFA-R-920</v>
      </c>
      <c r="H166" s="255" t="str">
        <f>CONCATENATE('3 pr-2'!I167)</f>
        <v>R</v>
      </c>
      <c r="I166" s="255" t="str">
        <f>CONCATENATE('3 pr-2'!J167)</f>
        <v>-</v>
      </c>
      <c r="J166" s="474">
        <f>SUM('3 pr-2'!L167)</f>
        <v>200000</v>
      </c>
      <c r="K166" s="476">
        <v>0</v>
      </c>
      <c r="L166" s="475">
        <f t="shared" ref="L166" si="288">SUM(J166-K166)</f>
        <v>200000</v>
      </c>
      <c r="M166" s="724">
        <f t="shared" ref="M166" si="289">IF(K166&gt;0,J166-K166,0)</f>
        <v>0</v>
      </c>
      <c r="N166" s="476">
        <f>SUM('3 pr-2'!O167)</f>
        <v>30000</v>
      </c>
      <c r="O166" s="476">
        <v>0</v>
      </c>
      <c r="P166" s="475">
        <f t="shared" ref="P166" si="290">SUM(N166-O166)</f>
        <v>30000</v>
      </c>
      <c r="Q166" s="724">
        <f t="shared" ref="Q166" si="291">IF(O166&gt;0,N166-O166,0)</f>
        <v>0</v>
      </c>
      <c r="R166" s="476">
        <f>SUM('3 pr-2'!R167)</f>
        <v>0</v>
      </c>
      <c r="S166" s="476">
        <v>0</v>
      </c>
      <c r="T166" s="475">
        <f t="shared" ref="T166" si="292">SUM(R166-S166)</f>
        <v>0</v>
      </c>
      <c r="U166" s="724">
        <f t="shared" ref="U166" si="293">IF(S166&gt;0,R166-S166,0)</f>
        <v>0</v>
      </c>
      <c r="V166" s="476">
        <f>SUM('3 pr-2'!U167)</f>
        <v>0</v>
      </c>
      <c r="W166" s="476">
        <v>0</v>
      </c>
      <c r="X166" s="475">
        <f t="shared" ref="X166" si="294">SUM(V166-W166)</f>
        <v>0</v>
      </c>
      <c r="Y166" s="724">
        <f t="shared" ref="Y166" si="295">IF(W166&gt;0,V166-W166,0)</f>
        <v>0</v>
      </c>
      <c r="Z166" s="476">
        <f>SUM('3 pr-2'!X167)</f>
        <v>0</v>
      </c>
      <c r="AA166" s="476">
        <v>0</v>
      </c>
      <c r="AB166" s="475">
        <f t="shared" si="284"/>
        <v>0</v>
      </c>
      <c r="AC166" s="724">
        <f t="shared" ref="AC166" si="296">IF(AA166&gt;0,Z166-AA166,0)</f>
        <v>0</v>
      </c>
      <c r="AD166" s="476">
        <f>SUM('3 pr-2'!AA167)</f>
        <v>170000</v>
      </c>
      <c r="AE166" s="476">
        <v>0</v>
      </c>
      <c r="AF166" s="726"/>
      <c r="AG166" s="469"/>
    </row>
    <row r="167" spans="1:33" ht="51.75" customHeight="1" thickBot="1" x14ac:dyDescent="0.35">
      <c r="A167" s="714" t="str">
        <f>CONCATENATE('3 pr-2'!A168)</f>
        <v>3.1.</v>
      </c>
      <c r="B167" s="715" t="str">
        <f>CONCATENATE('ketv. 2lent'!B166)</f>
        <v/>
      </c>
      <c r="C167" s="1837" t="str">
        <f>CONCATENATE('3 pr-2'!D168)</f>
        <v/>
      </c>
      <c r="D167" s="1838"/>
      <c r="E167" s="1838"/>
      <c r="F167" s="1838"/>
      <c r="G167" s="1838"/>
      <c r="H167" s="1838"/>
      <c r="I167" s="1839"/>
      <c r="J167" s="1020">
        <f>SUM('3 pr-2'!L168)</f>
        <v>6638485.1511764703</v>
      </c>
      <c r="K167" s="1021">
        <f>SUM(K168+K171)</f>
        <v>5109419.8899999997</v>
      </c>
      <c r="L167" s="1022">
        <f>SUM(L168+L171)</f>
        <v>1440541.1670588236</v>
      </c>
      <c r="M167" s="1023">
        <f>SUM(M168+M171)</f>
        <v>256979.29999999993</v>
      </c>
      <c r="N167" s="1020">
        <f>SUM('3 pr-2'!O168)</f>
        <v>1154049.0311764702</v>
      </c>
      <c r="O167" s="1020">
        <f>SUM(O168+O171)</f>
        <v>924689.23999999976</v>
      </c>
      <c r="P167" s="1020">
        <f>SUM(P168+P171)</f>
        <v>216081.17705882352</v>
      </c>
      <c r="Q167" s="1020">
        <f>SUM(Q168+Q171)</f>
        <v>38546.69999999999</v>
      </c>
      <c r="R167" s="1020">
        <f>SUM('3 pr-2'!R168)</f>
        <v>0</v>
      </c>
      <c r="S167" s="1020">
        <f>SUM(S168+S171)</f>
        <v>0</v>
      </c>
      <c r="T167" s="1020">
        <f>SUM(T168+T171)</f>
        <v>0</v>
      </c>
      <c r="U167" s="1020">
        <f>SUM(U168+U171)</f>
        <v>0</v>
      </c>
      <c r="V167" s="1020">
        <f>SUM('3 pr-2'!U168)</f>
        <v>0</v>
      </c>
      <c r="W167" s="1020">
        <f>SUM(W168+W171)</f>
        <v>0</v>
      </c>
      <c r="X167" s="1020">
        <f>SUM(X168+X171)</f>
        <v>0</v>
      </c>
      <c r="Y167" s="1020">
        <f>SUM(Y168+Y171)</f>
        <v>0</v>
      </c>
      <c r="Z167" s="1020">
        <f>SUM('3 pr-2'!X168)</f>
        <v>0</v>
      </c>
      <c r="AA167" s="1020">
        <f>SUM(AA168+AA171)</f>
        <v>0</v>
      </c>
      <c r="AB167" s="1020">
        <f>SUM(AB168+AB171)</f>
        <v>0</v>
      </c>
      <c r="AC167" s="1020">
        <f>SUM(AC168+AC171)</f>
        <v>0</v>
      </c>
      <c r="AD167" s="1020">
        <f>SUM('3 pr-2'!AA168)</f>
        <v>5484435.8200000003</v>
      </c>
      <c r="AE167" s="1020">
        <f>SUM(AE168+AE171)</f>
        <v>4184730.65</v>
      </c>
      <c r="AF167" s="356">
        <f>SUM(AF168+AF171)</f>
        <v>1224459.69</v>
      </c>
      <c r="AG167" s="457">
        <f>SUM(AG168+AG171)</f>
        <v>218432.3</v>
      </c>
    </row>
    <row r="168" spans="1:33" ht="35.25" customHeight="1" thickBot="1" x14ac:dyDescent="0.3">
      <c r="A168" s="345" t="str">
        <f>CONCATENATE('3 pr-2'!A169)</f>
        <v>3.1.1.</v>
      </c>
      <c r="B168" s="648" t="str">
        <f>CONCATENATE('ketv. 2lent'!B167)</f>
        <v/>
      </c>
      <c r="C168" s="1668" t="str">
        <f>CONCATENATE('3 pr-2'!D169)</f>
        <v/>
      </c>
      <c r="D168" s="1669"/>
      <c r="E168" s="1669"/>
      <c r="F168" s="1669"/>
      <c r="G168" s="1669"/>
      <c r="H168" s="1669"/>
      <c r="I168" s="1670"/>
      <c r="J168" s="303">
        <f>SUM('3 pr-2'!L169)</f>
        <v>4130687.05</v>
      </c>
      <c r="K168" s="355">
        <f>SUM(K169)</f>
        <v>4130687.05</v>
      </c>
      <c r="L168" s="356">
        <f>SUM(L169)</f>
        <v>0</v>
      </c>
      <c r="M168" s="457">
        <f>SUM(M169)</f>
        <v>0</v>
      </c>
      <c r="N168" s="303">
        <f>SUM('3 pr-2'!O169)</f>
        <v>777879.2799999998</v>
      </c>
      <c r="O168" s="303">
        <f>SUM(O169)</f>
        <v>777879.2799999998</v>
      </c>
      <c r="P168" s="303">
        <f>SUM(P169)</f>
        <v>0</v>
      </c>
      <c r="Q168" s="303">
        <f>SUM(Q169)</f>
        <v>0</v>
      </c>
      <c r="R168" s="303">
        <f>SUM('3 pr-2'!R169)</f>
        <v>0</v>
      </c>
      <c r="S168" s="303">
        <f>SUM(S169)</f>
        <v>0</v>
      </c>
      <c r="T168" s="303">
        <f>SUM(T169)</f>
        <v>0</v>
      </c>
      <c r="U168" s="303">
        <f>SUM(U169)</f>
        <v>0</v>
      </c>
      <c r="V168" s="303">
        <f>SUM('3 pr-2'!U169)</f>
        <v>0</v>
      </c>
      <c r="W168" s="303">
        <f>SUM(W169)</f>
        <v>0</v>
      </c>
      <c r="X168" s="303">
        <f>SUM(X169)</f>
        <v>0</v>
      </c>
      <c r="Y168" s="303">
        <f>SUM(Y169)</f>
        <v>0</v>
      </c>
      <c r="Z168" s="303">
        <f>SUM('3 pr-2'!X169)</f>
        <v>0</v>
      </c>
      <c r="AA168" s="303">
        <f>SUM(AA169)</f>
        <v>0</v>
      </c>
      <c r="AB168" s="303">
        <f>SUM(AB169)</f>
        <v>0</v>
      </c>
      <c r="AC168" s="303">
        <f>SUM(AC169)</f>
        <v>0</v>
      </c>
      <c r="AD168" s="303">
        <f>SUM('3 pr-2'!AA169)</f>
        <v>3352807.77</v>
      </c>
      <c r="AE168" s="303">
        <f>SUM(AE169)</f>
        <v>3352807.77</v>
      </c>
      <c r="AF168" s="363">
        <f>SUM(AF169)</f>
        <v>0</v>
      </c>
      <c r="AG168" s="456">
        <f>SUM(AG169)</f>
        <v>0</v>
      </c>
    </row>
    <row r="169" spans="1:33" ht="36.75" customHeight="1" thickBot="1" x14ac:dyDescent="0.3">
      <c r="A169" s="497" t="str">
        <f>CONCATENATE('3 pr-2'!A170)</f>
        <v>3.1.1.1</v>
      </c>
      <c r="B169" s="613" t="str">
        <f>CONCATENATE('ketv. 2lent'!B168)</f>
        <v/>
      </c>
      <c r="C169" s="1656" t="str">
        <f>CONCATENATE('3 pr-2'!D170)</f>
        <v/>
      </c>
      <c r="D169" s="1789"/>
      <c r="E169" s="1789"/>
      <c r="F169" s="1789"/>
      <c r="G169" s="1789"/>
      <c r="H169" s="1789"/>
      <c r="I169" s="1790"/>
      <c r="J169" s="629">
        <f>SUM('3 pr-2'!L170)</f>
        <v>4130687.05</v>
      </c>
      <c r="K169" s="629">
        <f>SUM(K170)</f>
        <v>4130687.05</v>
      </c>
      <c r="L169" s="722">
        <f>SUM(L170)</f>
        <v>0</v>
      </c>
      <c r="M169" s="723">
        <f t="shared" ref="M169" si="297">SUM(M170)</f>
        <v>0</v>
      </c>
      <c r="N169" s="629">
        <f>SUM('3 pr-2'!O170)</f>
        <v>777879.2799999998</v>
      </c>
      <c r="O169" s="629">
        <f>SUM(O170)</f>
        <v>777879.2799999998</v>
      </c>
      <c r="P169" s="629">
        <f>SUM(P170)</f>
        <v>0</v>
      </c>
      <c r="Q169" s="629">
        <f t="shared" ref="Q169" si="298">SUM(Q170)</f>
        <v>0</v>
      </c>
      <c r="R169" s="629">
        <f>SUM('3 pr-2'!R170)</f>
        <v>0</v>
      </c>
      <c r="S169" s="629">
        <f>SUM(S170)</f>
        <v>0</v>
      </c>
      <c r="T169" s="629">
        <f>SUM(T170)</f>
        <v>0</v>
      </c>
      <c r="U169" s="629">
        <f t="shared" ref="U169" si="299">SUM(U170)</f>
        <v>0</v>
      </c>
      <c r="V169" s="629">
        <f>SUM('3 pr-2'!U170)</f>
        <v>0</v>
      </c>
      <c r="W169" s="629">
        <f>SUM(W170)</f>
        <v>0</v>
      </c>
      <c r="X169" s="629">
        <f>SUM(X170)</f>
        <v>0</v>
      </c>
      <c r="Y169" s="629">
        <f t="shared" ref="Y169" si="300">SUM(Y170)</f>
        <v>0</v>
      </c>
      <c r="Z169" s="629">
        <f>SUM('3 pr-2'!X170)</f>
        <v>0</v>
      </c>
      <c r="AA169" s="629">
        <f>SUM(AA170)</f>
        <v>0</v>
      </c>
      <c r="AB169" s="629">
        <f>SUM(AB170)</f>
        <v>0</v>
      </c>
      <c r="AC169" s="629">
        <f t="shared" ref="AC169" si="301">SUM(AC170)</f>
        <v>0</v>
      </c>
      <c r="AD169" s="629">
        <f>SUM('3 pr-2'!AA170)</f>
        <v>3352807.77</v>
      </c>
      <c r="AE169" s="629">
        <f>SUM(AE170)</f>
        <v>3352807.77</v>
      </c>
      <c r="AF169" s="352">
        <f t="shared" ref="AF169:AG169" si="302">SUM(AF170)</f>
        <v>0</v>
      </c>
      <c r="AG169" s="455">
        <f t="shared" si="302"/>
        <v>0</v>
      </c>
    </row>
    <row r="170" spans="1:33" ht="37.5" thickBot="1" x14ac:dyDescent="0.3">
      <c r="A170" s="255" t="str">
        <f>CONCATENATE('3 pr-2'!A171)</f>
        <v>3.1.1.1.1</v>
      </c>
      <c r="B170" s="1015" t="str">
        <f>IF('ketv. 4 lent'!V170&gt;0,'ketv. 4 lent'!B170,"-")</f>
        <v>05.2.1-APVA-R-008-11-0001</v>
      </c>
      <c r="C170" s="725" t="str">
        <f>CONCATENATE('3 pr-2'!D171)</f>
        <v>Komunalinių atliekų tvarkymo sistemos plėtra Alytaus regione</v>
      </c>
      <c r="D170" s="255" t="str">
        <f>CONCATENATE('3 pr-2'!E171)</f>
        <v>Alytaus regiono atliekų tvarkymo centras</v>
      </c>
      <c r="E170" s="255" t="str">
        <f>CONCATENATE('3 pr-2'!F171)</f>
        <v>Lietuvos Respublikos aplinkos ministerija</v>
      </c>
      <c r="F170" s="255" t="str">
        <f>CONCATENATE('3 pr-2'!G171)</f>
        <v>Alytaus atliekų tvarkymo regionas</v>
      </c>
      <c r="G170" s="255" t="str">
        <f>CONCATENATE('3 pr-2'!H171)</f>
        <v>05.2.1-APVA-R-008</v>
      </c>
      <c r="H170" s="255" t="str">
        <f>CONCATENATE('3 pr-2'!I171)</f>
        <v>R</v>
      </c>
      <c r="I170" s="255" t="str">
        <f>CONCATENATE('3 pr-2'!J171)</f>
        <v>-</v>
      </c>
      <c r="J170" s="474">
        <f>SUM('3 pr-2'!L171)</f>
        <v>4130687.05</v>
      </c>
      <c r="K170" s="476">
        <v>4130687.05</v>
      </c>
      <c r="L170" s="475">
        <f t="shared" ref="L170" si="303">SUM(J170-K170)</f>
        <v>0</v>
      </c>
      <c r="M170" s="724">
        <f>IF(K170&gt;0,J170-K170,0)</f>
        <v>0</v>
      </c>
      <c r="N170" s="476">
        <f>SUM('3 pr-2'!O171)</f>
        <v>777879.2799999998</v>
      </c>
      <c r="O170" s="476">
        <f>SUM(K170-AE170)</f>
        <v>777879.2799999998</v>
      </c>
      <c r="P170" s="475">
        <f t="shared" ref="P170" si="304">SUM(N170-O170)</f>
        <v>0</v>
      </c>
      <c r="Q170" s="724">
        <f>IF(O170&gt;0,N170-O170,0)</f>
        <v>0</v>
      </c>
      <c r="R170" s="476">
        <f>SUM('3 pr-2'!R171)</f>
        <v>0</v>
      </c>
      <c r="S170" s="476">
        <v>0</v>
      </c>
      <c r="T170" s="475">
        <f t="shared" ref="T170" si="305">SUM(R170-S170)</f>
        <v>0</v>
      </c>
      <c r="U170" s="724">
        <f>IF(S170&gt;0,R170-S170,0)</f>
        <v>0</v>
      </c>
      <c r="V170" s="476">
        <f>SUM('3 pr-2'!U171)</f>
        <v>0</v>
      </c>
      <c r="W170" s="476">
        <v>0</v>
      </c>
      <c r="X170" s="475">
        <f t="shared" ref="X170" si="306">SUM(V170-W170)</f>
        <v>0</v>
      </c>
      <c r="Y170" s="724">
        <f>IF(W170&gt;0,V170-W170,0)</f>
        <v>0</v>
      </c>
      <c r="Z170" s="476">
        <f>SUM('3 pr-2'!X171)</f>
        <v>0</v>
      </c>
      <c r="AA170" s="476">
        <v>0</v>
      </c>
      <c r="AB170" s="475">
        <f>SUM(Z170-AA170)</f>
        <v>0</v>
      </c>
      <c r="AC170" s="724">
        <f>IF(AA170&gt;0,Z170-AA170,0)</f>
        <v>0</v>
      </c>
      <c r="AD170" s="476">
        <f>SUM('3 pr-2'!AA171)</f>
        <v>3352807.77</v>
      </c>
      <c r="AE170" s="476">
        <v>3352807.77</v>
      </c>
      <c r="AF170" s="726">
        <f t="shared" ref="AF170" si="307">SUM(AD170-AE170)</f>
        <v>0</v>
      </c>
      <c r="AG170" s="454">
        <f>IF(AE170&gt;0,AD170-AE170,0)</f>
        <v>0</v>
      </c>
    </row>
    <row r="171" spans="1:33" ht="36.75" customHeight="1" thickBot="1" x14ac:dyDescent="0.3">
      <c r="A171" s="345" t="str">
        <f>CONCATENATE('3 pr-2'!A172)</f>
        <v>3.1.2.</v>
      </c>
      <c r="B171" s="648" t="str">
        <f>CONCATENATE('ketv. 2lent'!B170)</f>
        <v/>
      </c>
      <c r="C171" s="1668" t="str">
        <f>CONCATENATE('3 pr-2'!D172)</f>
        <v/>
      </c>
      <c r="D171" s="1669"/>
      <c r="E171" s="1669"/>
      <c r="F171" s="1669"/>
      <c r="G171" s="1669"/>
      <c r="H171" s="1669"/>
      <c r="I171" s="1670"/>
      <c r="J171" s="303">
        <f>SUM('3 pr-2'!L172)</f>
        <v>2507798.1011764705</v>
      </c>
      <c r="K171" s="355">
        <f>SUM(K172)</f>
        <v>978732.84000000008</v>
      </c>
      <c r="L171" s="356">
        <f>SUM(L172)</f>
        <v>1440541.1670588236</v>
      </c>
      <c r="M171" s="457">
        <f>SUM(M172)</f>
        <v>256979.29999999993</v>
      </c>
      <c r="N171" s="303">
        <f>SUM('3 pr-2'!O172)</f>
        <v>376169.75117647054</v>
      </c>
      <c r="O171" s="303">
        <f>SUM(O172)</f>
        <v>146809.96000000002</v>
      </c>
      <c r="P171" s="303">
        <f>SUM(P172)</f>
        <v>216081.17705882352</v>
      </c>
      <c r="Q171" s="303">
        <f>SUM(Q172)</f>
        <v>38546.69999999999</v>
      </c>
      <c r="R171" s="303">
        <f>SUM('3 pr-2'!R172)</f>
        <v>0</v>
      </c>
      <c r="S171" s="303">
        <f>SUM(S172)</f>
        <v>0</v>
      </c>
      <c r="T171" s="303">
        <f>SUM(T172)</f>
        <v>0</v>
      </c>
      <c r="U171" s="303">
        <f>SUM(U172)</f>
        <v>0</v>
      </c>
      <c r="V171" s="303">
        <f>SUM('3 pr-2'!U172)</f>
        <v>0</v>
      </c>
      <c r="W171" s="303">
        <f>SUM(W172)</f>
        <v>0</v>
      </c>
      <c r="X171" s="303">
        <f>SUM(X172)</f>
        <v>0</v>
      </c>
      <c r="Y171" s="303">
        <f>SUM(Y172)</f>
        <v>0</v>
      </c>
      <c r="Z171" s="303">
        <f>SUM('3 pr-2'!X172)</f>
        <v>0</v>
      </c>
      <c r="AA171" s="303">
        <f>SUM(AA172)</f>
        <v>0</v>
      </c>
      <c r="AB171" s="303">
        <f>SUM(AB172)</f>
        <v>0</v>
      </c>
      <c r="AC171" s="303">
        <f>SUM(AC172)</f>
        <v>0</v>
      </c>
      <c r="AD171" s="303">
        <f>SUM('3 pr-2'!AA172)</f>
        <v>2131628.0500000003</v>
      </c>
      <c r="AE171" s="303">
        <f>SUM(AE172)</f>
        <v>831922.88</v>
      </c>
      <c r="AF171" s="363">
        <f>SUM(AF172)</f>
        <v>1224459.69</v>
      </c>
      <c r="AG171" s="456">
        <f>SUM(AG172)</f>
        <v>218432.3</v>
      </c>
    </row>
    <row r="172" spans="1:33" ht="40.5" customHeight="1" thickBot="1" x14ac:dyDescent="0.3">
      <c r="A172" s="497" t="str">
        <f>CONCATENATE('3 pr-2'!A173)</f>
        <v>3.1.2.1</v>
      </c>
      <c r="B172" s="613" t="str">
        <f>CONCATENATE('ketv. 2lent'!B171)</f>
        <v/>
      </c>
      <c r="C172" s="1656" t="str">
        <f>CONCATENATE('3 pr-2'!D173)</f>
        <v/>
      </c>
      <c r="D172" s="1789"/>
      <c r="E172" s="1789"/>
      <c r="F172" s="1789"/>
      <c r="G172" s="1789"/>
      <c r="H172" s="1789"/>
      <c r="I172" s="1790"/>
      <c r="J172" s="629">
        <f>SUM('3 pr-2'!L173)</f>
        <v>2507798.1011764705</v>
      </c>
      <c r="K172" s="629">
        <f>SUM(K173:K180)</f>
        <v>978732.84000000008</v>
      </c>
      <c r="L172" s="722">
        <f>SUM(L173:L180)</f>
        <v>1440541.1670588236</v>
      </c>
      <c r="M172" s="723">
        <f>SUM(M173:M180)</f>
        <v>256979.29999999993</v>
      </c>
      <c r="N172" s="629">
        <f>SUM('3 pr-2'!O173)</f>
        <v>376169.75117647054</v>
      </c>
      <c r="O172" s="629">
        <f>SUM(O173:O180)</f>
        <v>146809.96000000002</v>
      </c>
      <c r="P172" s="629">
        <f>SUM(P173:P180)</f>
        <v>216081.17705882352</v>
      </c>
      <c r="Q172" s="629">
        <f>SUM(Q173:Q180)</f>
        <v>38546.69999999999</v>
      </c>
      <c r="R172" s="629">
        <f>SUM('3 pr-2'!R173)</f>
        <v>0</v>
      </c>
      <c r="S172" s="629">
        <f>SUM(S173:S180)</f>
        <v>0</v>
      </c>
      <c r="T172" s="629">
        <f>SUM(T173:T180)</f>
        <v>0</v>
      </c>
      <c r="U172" s="629">
        <f>SUM(U173:U180)</f>
        <v>0</v>
      </c>
      <c r="V172" s="629">
        <f>SUM('3 pr-2'!U173)</f>
        <v>0</v>
      </c>
      <c r="W172" s="629">
        <f>SUM(W173:W180)</f>
        <v>0</v>
      </c>
      <c r="X172" s="629">
        <f>SUM(X173:X180)</f>
        <v>0</v>
      </c>
      <c r="Y172" s="629">
        <f>SUM(Y173:Y180)</f>
        <v>0</v>
      </c>
      <c r="Z172" s="629">
        <f>SUM('3 pr-2'!X173)</f>
        <v>0</v>
      </c>
      <c r="AA172" s="629">
        <f>SUM(AA173:AA180)</f>
        <v>0</v>
      </c>
      <c r="AB172" s="629">
        <f>SUM(AB173:AB180)</f>
        <v>0</v>
      </c>
      <c r="AC172" s="629">
        <f>SUM(AC173:AC180)</f>
        <v>0</v>
      </c>
      <c r="AD172" s="629">
        <f>SUM('3 pr-2'!AA173)</f>
        <v>2131628.0500000003</v>
      </c>
      <c r="AE172" s="629">
        <f>SUM(AE173:AE180)</f>
        <v>831922.88</v>
      </c>
      <c r="AF172" s="352">
        <f>SUM(AF173:AF180)</f>
        <v>1224459.69</v>
      </c>
      <c r="AG172" s="455">
        <f>SUM(AG173:AG180)</f>
        <v>218432.3</v>
      </c>
    </row>
    <row r="173" spans="1:33" ht="36.75" x14ac:dyDescent="0.25">
      <c r="A173" s="255" t="str">
        <f>CONCATENATE('3 pr-2'!A174)</f>
        <v>3.1.2.1.1</v>
      </c>
      <c r="B173" s="1015" t="str">
        <f>IF('ketv. 4 lent'!V173&gt;0,'ketv. 4 lent'!B173,"-")</f>
        <v>05.5.1-APVA-R-019-11-0002</v>
      </c>
      <c r="C173" s="725" t="str">
        <f>CONCATENATE('3 pr-2'!D174)</f>
        <v>Kraštovaizdžio formavimas ir tvarkymas Varėnos r. savivaldybėje (I etapas)</v>
      </c>
      <c r="D173" s="255" t="str">
        <f>CONCATENATE('3 pr-2'!E174)</f>
        <v>Varėnos rajono savivaldybės administracija</v>
      </c>
      <c r="E173" s="255" t="str">
        <f>CONCATENATE('3 pr-2'!F174)</f>
        <v>Lietuvos Respublikos aplinkos ministerija</v>
      </c>
      <c r="F173" s="255" t="str">
        <f>CONCATENATE('3 pr-2'!G174)</f>
        <v>Varėnos  rajono savivaldybė</v>
      </c>
      <c r="G173" s="255" t="str">
        <f>CONCATENATE('3 pr-2'!H174)</f>
        <v>05.5.1-APVA-R-019</v>
      </c>
      <c r="H173" s="255" t="str">
        <f>CONCATENATE('3 pr-2'!I174)</f>
        <v>R</v>
      </c>
      <c r="I173" s="255" t="str">
        <f>CONCATENATE('3 pr-2'!J174)</f>
        <v>-</v>
      </c>
      <c r="J173" s="474">
        <f>SUM('3 pr-2'!L174)</f>
        <v>566501</v>
      </c>
      <c r="K173" s="476">
        <v>309522</v>
      </c>
      <c r="L173" s="475">
        <f>SUM(J173-K173)</f>
        <v>256979</v>
      </c>
      <c r="M173" s="724">
        <f>IF(K173&gt;0,J173-K173,0)</f>
        <v>256979</v>
      </c>
      <c r="N173" s="476">
        <f>SUM('3 pr-2'!O174)</f>
        <v>84975</v>
      </c>
      <c r="O173" s="476">
        <f>SUM(K173-AE173)</f>
        <v>46428.299999999988</v>
      </c>
      <c r="P173" s="475">
        <f t="shared" ref="P173:P180" si="308">SUM(N173-O173)</f>
        <v>38546.700000000012</v>
      </c>
      <c r="Q173" s="724">
        <f>IF(O173&gt;0,N173-O173,0)</f>
        <v>38546.700000000012</v>
      </c>
      <c r="R173" s="476">
        <f>SUM('3 pr-2'!R174)</f>
        <v>0</v>
      </c>
      <c r="S173" s="476">
        <v>0</v>
      </c>
      <c r="T173" s="475">
        <f t="shared" ref="T173:T180" si="309">SUM(R173-S173)</f>
        <v>0</v>
      </c>
      <c r="U173" s="724">
        <f>IF(S173&gt;0,R173-S173,0)</f>
        <v>0</v>
      </c>
      <c r="V173" s="476">
        <f>SUM('3 pr-2'!U174)</f>
        <v>0</v>
      </c>
      <c r="W173" s="476">
        <v>0</v>
      </c>
      <c r="X173" s="475">
        <f t="shared" ref="X173:X180" si="310">SUM(V173-W173)</f>
        <v>0</v>
      </c>
      <c r="Y173" s="724">
        <f>IF(W173&gt;0,V173-W173,0)</f>
        <v>0</v>
      </c>
      <c r="Z173" s="476">
        <f>SUM('3 pr-2'!X174)</f>
        <v>0</v>
      </c>
      <c r="AA173" s="476">
        <v>0</v>
      </c>
      <c r="AB173" s="475">
        <f t="shared" ref="AB173:AB180" si="311">SUM(Z173-AA173)</f>
        <v>0</v>
      </c>
      <c r="AC173" s="724">
        <f>IF(AA173&gt;0,Z173-AA173,0)</f>
        <v>0</v>
      </c>
      <c r="AD173" s="476">
        <f>SUM('3 pr-2'!AA174)</f>
        <v>481526</v>
      </c>
      <c r="AE173" s="476">
        <v>263093.7</v>
      </c>
      <c r="AF173" s="728">
        <f t="shared" ref="AF173:AF180" si="312">SUM(AD173-AE173)</f>
        <v>218432.3</v>
      </c>
      <c r="AG173" s="454">
        <f>IF(AE173&gt;0,AD173-AE173,0)</f>
        <v>218432.3</v>
      </c>
    </row>
    <row r="174" spans="1:33" ht="36.75" x14ac:dyDescent="0.25">
      <c r="A174" s="255" t="str">
        <f>CONCATENATE('3 pr-2'!A175)</f>
        <v>3.1.2.1.2</v>
      </c>
      <c r="B174" s="1015" t="str">
        <f>IF('ketv. 4 lent'!V174&gt;0,'ketv. 4 lent'!B174,"-")</f>
        <v>-</v>
      </c>
      <c r="C174" s="725" t="str">
        <f>CONCATENATE('3 pr-2'!D175)</f>
        <v>Kraštovaizdžio formavimas ir tvarkymas Varėnos r. savivaldybėje (II etapas)</v>
      </c>
      <c r="D174" s="255" t="str">
        <f>CONCATENATE('3 pr-2'!E175)</f>
        <v>Varėnos rajono savivaldybės administracija</v>
      </c>
      <c r="E174" s="255" t="str">
        <f>CONCATENATE('3 pr-2'!F175)</f>
        <v>Lietuvos Respublikos aplinkos ministerija</v>
      </c>
      <c r="F174" s="255" t="str">
        <f>CONCATENATE('3 pr-2'!G175)</f>
        <v>Varėnos  rajono savivaldybė</v>
      </c>
      <c r="G174" s="255" t="str">
        <f>CONCATENATE('3 pr-2'!H175)</f>
        <v>05.5.1-APVA-R-019</v>
      </c>
      <c r="H174" s="255" t="str">
        <f>CONCATENATE('3 pr-2'!I175)</f>
        <v>R</v>
      </c>
      <c r="I174" s="255" t="str">
        <f>CONCATENATE('3 pr-2'!J175)</f>
        <v>-</v>
      </c>
      <c r="J174" s="474">
        <f>SUM('3 pr-2'!L175)</f>
        <v>297232</v>
      </c>
      <c r="K174" s="476">
        <v>0</v>
      </c>
      <c r="L174" s="475">
        <f t="shared" ref="L174:L180" si="313">SUM(J174-K174)</f>
        <v>297232</v>
      </c>
      <c r="M174" s="724">
        <f t="shared" ref="M174:M180" si="314">IF(K174&gt;0,J174-K174,0)</f>
        <v>0</v>
      </c>
      <c r="N174" s="476">
        <f>SUM('3 pr-2'!O175)</f>
        <v>44585</v>
      </c>
      <c r="O174" s="476">
        <v>0</v>
      </c>
      <c r="P174" s="475">
        <f t="shared" si="308"/>
        <v>44585</v>
      </c>
      <c r="Q174" s="724">
        <f t="shared" ref="Q174:Q180" si="315">IF(O174&gt;0,N174-O174,0)</f>
        <v>0</v>
      </c>
      <c r="R174" s="476">
        <f>SUM('3 pr-2'!R175)</f>
        <v>0</v>
      </c>
      <c r="S174" s="476">
        <v>0</v>
      </c>
      <c r="T174" s="475">
        <f t="shared" si="309"/>
        <v>0</v>
      </c>
      <c r="U174" s="724">
        <f t="shared" ref="U174:U180" si="316">IF(S174&gt;0,R174-S174,0)</f>
        <v>0</v>
      </c>
      <c r="V174" s="476">
        <f>SUM('3 pr-2'!U175)</f>
        <v>0</v>
      </c>
      <c r="W174" s="476">
        <v>0</v>
      </c>
      <c r="X174" s="475">
        <f t="shared" si="310"/>
        <v>0</v>
      </c>
      <c r="Y174" s="724">
        <f t="shared" ref="Y174:Y180" si="317">IF(W174&gt;0,V174-W174,0)</f>
        <v>0</v>
      </c>
      <c r="Z174" s="476">
        <f>SUM('3 pr-2'!X175)</f>
        <v>0</v>
      </c>
      <c r="AA174" s="476">
        <v>0</v>
      </c>
      <c r="AB174" s="475">
        <f t="shared" si="311"/>
        <v>0</v>
      </c>
      <c r="AC174" s="724">
        <f t="shared" ref="AC174:AC180" si="318">IF(AA174&gt;0,Z174-AA174,0)</f>
        <v>0</v>
      </c>
      <c r="AD174" s="476">
        <f>SUM('3 pr-2'!AA175)</f>
        <v>252647</v>
      </c>
      <c r="AE174" s="476">
        <v>0</v>
      </c>
      <c r="AF174" s="728">
        <f t="shared" si="312"/>
        <v>252647</v>
      </c>
      <c r="AG174" s="454">
        <f t="shared" ref="AG174:AG180" si="319">IF(AE174&gt;0,AD174-AE174,0)</f>
        <v>0</v>
      </c>
    </row>
    <row r="175" spans="1:33" ht="36.75" x14ac:dyDescent="0.25">
      <c r="A175" s="255" t="str">
        <f>CONCATENATE('3 pr-2'!A176)</f>
        <v>3.1.2.1.3</v>
      </c>
      <c r="B175" s="1015" t="str">
        <f>IF('ketv. 4 lent'!V175&gt;0,'ketv. 4 lent'!B175,"-")</f>
        <v>05.5.1-APVA-R-019-11-0001</v>
      </c>
      <c r="C175" s="725" t="str">
        <f>CONCATENATE('3 pr-2'!D176)</f>
        <v>Bešeimininkių apleistų pastatų ir įrenginių tvarkymas Alytaus rajono savivaldybėje</v>
      </c>
      <c r="D175" s="255" t="str">
        <f>CONCATENATE('3 pr-2'!E176)</f>
        <v>Alytaus rajono savivaldybės administracija</v>
      </c>
      <c r="E175" s="255" t="str">
        <f>CONCATENATE('3 pr-2'!F176)</f>
        <v>Lietuvos Respublikos aplinkos ministerija</v>
      </c>
      <c r="F175" s="255" t="str">
        <f>CONCATENATE('3 pr-2'!G176)</f>
        <v>Alytaus rajonas</v>
      </c>
      <c r="G175" s="255" t="str">
        <f>CONCATENATE('3 pr-2'!H176)</f>
        <v>05.5.1-APVA-R-019</v>
      </c>
      <c r="H175" s="255" t="str">
        <f>CONCATENATE('3 pr-2'!I176)</f>
        <v>R</v>
      </c>
      <c r="I175" s="255" t="str">
        <f>CONCATENATE('3 pr-2'!J176)</f>
        <v/>
      </c>
      <c r="J175" s="474">
        <f>SUM('3 pr-2'!L176)</f>
        <v>101766</v>
      </c>
      <c r="K175" s="476">
        <v>101765.7</v>
      </c>
      <c r="L175" s="475">
        <f t="shared" si="313"/>
        <v>0.30000000000291038</v>
      </c>
      <c r="M175" s="724">
        <f t="shared" si="314"/>
        <v>0.30000000000291038</v>
      </c>
      <c r="N175" s="476">
        <f>SUM('3 pr-2'!O176)</f>
        <v>15264.9</v>
      </c>
      <c r="O175" s="476">
        <f>SUM(K175-AE175)</f>
        <v>15264.899999999994</v>
      </c>
      <c r="P175" s="475">
        <f t="shared" si="308"/>
        <v>5.4569682106375694E-12</v>
      </c>
      <c r="Q175" s="724">
        <f t="shared" si="315"/>
        <v>5.4569682106375694E-12</v>
      </c>
      <c r="R175" s="476">
        <f>SUM('3 pr-2'!R176)</f>
        <v>0</v>
      </c>
      <c r="S175" s="476">
        <v>0</v>
      </c>
      <c r="T175" s="475">
        <f t="shared" si="309"/>
        <v>0</v>
      </c>
      <c r="U175" s="724">
        <f t="shared" si="316"/>
        <v>0</v>
      </c>
      <c r="V175" s="476">
        <f>SUM('3 pr-2'!U176)</f>
        <v>0</v>
      </c>
      <c r="W175" s="476">
        <v>0</v>
      </c>
      <c r="X175" s="475">
        <f t="shared" si="310"/>
        <v>0</v>
      </c>
      <c r="Y175" s="724">
        <f t="shared" si="317"/>
        <v>0</v>
      </c>
      <c r="Z175" s="476">
        <f>SUM('3 pr-2'!X176)</f>
        <v>0</v>
      </c>
      <c r="AA175" s="476">
        <v>0</v>
      </c>
      <c r="AB175" s="475">
        <f t="shared" si="311"/>
        <v>0</v>
      </c>
      <c r="AC175" s="724">
        <f t="shared" si="318"/>
        <v>0</v>
      </c>
      <c r="AD175" s="476">
        <f>SUM('3 pr-2'!AA176)</f>
        <v>86500.800000000003</v>
      </c>
      <c r="AE175" s="476">
        <v>86500.800000000003</v>
      </c>
      <c r="AF175" s="728">
        <f t="shared" si="312"/>
        <v>0</v>
      </c>
      <c r="AG175" s="454">
        <f t="shared" si="319"/>
        <v>0</v>
      </c>
    </row>
    <row r="176" spans="1:33" ht="36.75" x14ac:dyDescent="0.25">
      <c r="A176" s="255" t="str">
        <f>CONCATENATE('3 pr-2'!A177)</f>
        <v>3.1.2.1.4</v>
      </c>
      <c r="B176" s="1015" t="str">
        <f>IF('ketv. 4 lent'!V176&gt;0,'ketv. 4 lent'!B176,"-")</f>
        <v>05.5.1-APVA-R-019-11-0004</v>
      </c>
      <c r="C176" s="725" t="str">
        <f>CONCATENATE('3 pr-2'!D177)</f>
        <v>Alytaus miesto bendrojo plano korektūra zonuojant kraštovaizdžio struktūrą, nustatant reglamentus ir principus</v>
      </c>
      <c r="D176" s="255" t="str">
        <f>CONCATENATE('3 pr-2'!E177)</f>
        <v>Alytaus miesto savivaldybės administracija</v>
      </c>
      <c r="E176" s="255" t="str">
        <f>CONCATENATE('3 pr-2'!F177)</f>
        <v>Lietuvos Respublikos aplinkos ministerija</v>
      </c>
      <c r="F176" s="255" t="str">
        <f>CONCATENATE('3 pr-2'!G177)</f>
        <v>Alytaus miestas</v>
      </c>
      <c r="G176" s="255" t="str">
        <f>CONCATENATE('3 pr-2'!H177)</f>
        <v>05.5.1-APVA-R-019</v>
      </c>
      <c r="H176" s="255" t="str">
        <f>CONCATENATE('3 pr-2'!I177)</f>
        <v>R</v>
      </c>
      <c r="I176" s="255" t="str">
        <f>CONCATENATE('3 pr-2'!J177)</f>
        <v/>
      </c>
      <c r="J176" s="474">
        <f>SUM('3 pr-2'!L177)</f>
        <v>3993</v>
      </c>
      <c r="K176" s="476">
        <v>3993</v>
      </c>
      <c r="L176" s="475">
        <f t="shared" si="313"/>
        <v>0</v>
      </c>
      <c r="M176" s="724">
        <f t="shared" si="314"/>
        <v>0</v>
      </c>
      <c r="N176" s="476">
        <f>SUM('3 pr-2'!O177)</f>
        <v>598.95000000000005</v>
      </c>
      <c r="O176" s="476">
        <f>SUM(K176-AE176)</f>
        <v>598.94999999999982</v>
      </c>
      <c r="P176" s="475">
        <f t="shared" si="308"/>
        <v>2.2737367544323206E-13</v>
      </c>
      <c r="Q176" s="724">
        <f t="shared" si="315"/>
        <v>2.2737367544323206E-13</v>
      </c>
      <c r="R176" s="476">
        <f>SUM('3 pr-2'!R177)</f>
        <v>0</v>
      </c>
      <c r="S176" s="476">
        <v>0</v>
      </c>
      <c r="T176" s="475">
        <f t="shared" si="309"/>
        <v>0</v>
      </c>
      <c r="U176" s="724">
        <f t="shared" si="316"/>
        <v>0</v>
      </c>
      <c r="V176" s="476">
        <f>SUM('3 pr-2'!U177)</f>
        <v>0</v>
      </c>
      <c r="W176" s="476">
        <v>0</v>
      </c>
      <c r="X176" s="475">
        <f t="shared" si="310"/>
        <v>0</v>
      </c>
      <c r="Y176" s="724">
        <f t="shared" si="317"/>
        <v>0</v>
      </c>
      <c r="Z176" s="476">
        <f>SUM('3 pr-2'!X177)</f>
        <v>0</v>
      </c>
      <c r="AA176" s="476">
        <v>0</v>
      </c>
      <c r="AB176" s="475">
        <f t="shared" si="311"/>
        <v>0</v>
      </c>
      <c r="AC176" s="724">
        <f t="shared" si="318"/>
        <v>0</v>
      </c>
      <c r="AD176" s="476">
        <f>SUM('3 pr-2'!AA177)</f>
        <v>3394.05</v>
      </c>
      <c r="AE176" s="476">
        <v>3394.05</v>
      </c>
      <c r="AF176" s="728">
        <f t="shared" si="312"/>
        <v>0</v>
      </c>
      <c r="AG176" s="454">
        <f t="shared" si="319"/>
        <v>0</v>
      </c>
    </row>
    <row r="177" spans="1:33" ht="36.75" x14ac:dyDescent="0.25">
      <c r="A177" s="255" t="str">
        <f>CONCATENATE('3 pr-2'!A178)</f>
        <v>3.1.2.1.5</v>
      </c>
      <c r="B177" s="1015" t="str">
        <f>IF('ketv. 4 lent'!V177&gt;0,'ketv. 4 lent'!B177,"-")</f>
        <v>05.5.1-APVA-R-019-11-0005</v>
      </c>
      <c r="C177" s="725" t="str">
        <f>CONCATENATE('3 pr-2'!D178)</f>
        <v>Bešeimininkių apleistų pastatų Druskininkų savivaldybės teritorijoje likvidavimas</v>
      </c>
      <c r="D177" s="255" t="str">
        <f>CONCATENATE('3 pr-2'!E178)</f>
        <v>Druskininkų savivaldybės administracija</v>
      </c>
      <c r="E177" s="255" t="str">
        <f>CONCATENATE('3 pr-2'!F178)</f>
        <v>Lietuvos Respublikos aplinkos ministerija</v>
      </c>
      <c r="F177" s="255" t="str">
        <f>CONCATENATE('3 pr-2'!G178)</f>
        <v>Druskininkų savivaldybė</v>
      </c>
      <c r="G177" s="255" t="str">
        <f>CONCATENATE('3 pr-2'!H178)</f>
        <v>05.5.1-APVA-R-019</v>
      </c>
      <c r="H177" s="255" t="str">
        <f>CONCATENATE('3 pr-2'!I178)</f>
        <v>R</v>
      </c>
      <c r="I177" s="255" t="str">
        <f>CONCATENATE('3 pr-2'!J178)</f>
        <v>-</v>
      </c>
      <c r="J177" s="474">
        <f>SUM('3 pr-2'!L178)</f>
        <v>121153.55</v>
      </c>
      <c r="K177" s="476">
        <v>121153.55</v>
      </c>
      <c r="L177" s="475">
        <f t="shared" si="313"/>
        <v>0</v>
      </c>
      <c r="M177" s="724">
        <f t="shared" si="314"/>
        <v>0</v>
      </c>
      <c r="N177" s="476">
        <f>SUM('3 pr-2'!O178)</f>
        <v>18173.03</v>
      </c>
      <c r="O177" s="476">
        <f>SUM(K177-AE177)</f>
        <v>18173.03</v>
      </c>
      <c r="P177" s="475">
        <f t="shared" si="308"/>
        <v>0</v>
      </c>
      <c r="Q177" s="724">
        <f t="shared" si="315"/>
        <v>0</v>
      </c>
      <c r="R177" s="476">
        <f>SUM('3 pr-2'!R178)</f>
        <v>0</v>
      </c>
      <c r="S177" s="476">
        <v>0</v>
      </c>
      <c r="T177" s="475">
        <f t="shared" si="309"/>
        <v>0</v>
      </c>
      <c r="U177" s="724">
        <f t="shared" si="316"/>
        <v>0</v>
      </c>
      <c r="V177" s="476">
        <f>SUM('3 pr-2'!U178)</f>
        <v>0</v>
      </c>
      <c r="W177" s="476">
        <v>0</v>
      </c>
      <c r="X177" s="475">
        <f t="shared" si="310"/>
        <v>0</v>
      </c>
      <c r="Y177" s="724">
        <f t="shared" si="317"/>
        <v>0</v>
      </c>
      <c r="Z177" s="476">
        <f>SUM('3 pr-2'!X178)</f>
        <v>0</v>
      </c>
      <c r="AA177" s="476">
        <v>0</v>
      </c>
      <c r="AB177" s="475">
        <f t="shared" si="311"/>
        <v>0</v>
      </c>
      <c r="AC177" s="724">
        <f t="shared" si="318"/>
        <v>0</v>
      </c>
      <c r="AD177" s="476">
        <f>SUM('3 pr-2'!AA178)</f>
        <v>102980.52</v>
      </c>
      <c r="AE177" s="476">
        <v>102980.52</v>
      </c>
      <c r="AF177" s="728">
        <f t="shared" si="312"/>
        <v>0</v>
      </c>
      <c r="AG177" s="454">
        <f t="shared" si="319"/>
        <v>0</v>
      </c>
    </row>
    <row r="178" spans="1:33" ht="36.75" x14ac:dyDescent="0.25">
      <c r="A178" s="255" t="str">
        <f>CONCATENATE('3 pr-2'!A179)</f>
        <v>3.1.2.1.6</v>
      </c>
      <c r="B178" s="1015" t="str">
        <f>IF('ketv. 4 lent'!V178&gt;0,'ketv. 4 lent'!B178,"-")</f>
        <v>05.5.1-APVA-R-019-11-0003</v>
      </c>
      <c r="C178" s="725" t="str">
        <f>CONCATENATE('3 pr-2'!D179)</f>
        <v>Kraštovaizdžio formavimas Lazdijų rajono savivaldybėje</v>
      </c>
      <c r="D178" s="255" t="str">
        <f>CONCATENATE('3 pr-2'!E179)</f>
        <v>Lazdijų rajono savivaldybės administracija</v>
      </c>
      <c r="E178" s="255" t="str">
        <f>CONCATENATE('3 pr-2'!F179)</f>
        <v>Lietuvos Respublikos aplinkos ministerija</v>
      </c>
      <c r="F178" s="255" t="str">
        <f>CONCATENATE('3 pr-2'!G179)</f>
        <v>Lazdijų rajono savivaldybė</v>
      </c>
      <c r="G178" s="255" t="str">
        <f>CONCATENATE('3 pr-2'!H179)</f>
        <v>05.5.1-APVA-R-019</v>
      </c>
      <c r="H178" s="255" t="str">
        <f>CONCATENATE('3 pr-2'!I179)</f>
        <v>R</v>
      </c>
      <c r="I178" s="255" t="str">
        <f>CONCATENATE('3 pr-2'!J179)</f>
        <v>-</v>
      </c>
      <c r="J178" s="474">
        <f>SUM('3 pr-2'!L179)</f>
        <v>442298.58999999997</v>
      </c>
      <c r="K178" s="476">
        <v>442298.59</v>
      </c>
      <c r="L178" s="475">
        <f t="shared" si="313"/>
        <v>-5.8207660913467407E-11</v>
      </c>
      <c r="M178" s="724">
        <f t="shared" si="314"/>
        <v>-5.8207660913467407E-11</v>
      </c>
      <c r="N178" s="476">
        <f>SUM('3 pr-2'!O179)</f>
        <v>66344.78</v>
      </c>
      <c r="O178" s="476">
        <f>SUM(K178-AE178)</f>
        <v>66344.780000000028</v>
      </c>
      <c r="P178" s="475">
        <f t="shared" si="308"/>
        <v>-2.9103830456733704E-11</v>
      </c>
      <c r="Q178" s="724">
        <f t="shared" si="315"/>
        <v>-2.9103830456733704E-11</v>
      </c>
      <c r="R178" s="476">
        <f>SUM('3 pr-2'!R179)</f>
        <v>0</v>
      </c>
      <c r="S178" s="476">
        <v>0</v>
      </c>
      <c r="T178" s="475">
        <f t="shared" si="309"/>
        <v>0</v>
      </c>
      <c r="U178" s="724">
        <f t="shared" si="316"/>
        <v>0</v>
      </c>
      <c r="V178" s="476">
        <f>SUM('3 pr-2'!U179)</f>
        <v>0</v>
      </c>
      <c r="W178" s="476">
        <v>0</v>
      </c>
      <c r="X178" s="475">
        <f t="shared" si="310"/>
        <v>0</v>
      </c>
      <c r="Y178" s="724">
        <f t="shared" si="317"/>
        <v>0</v>
      </c>
      <c r="Z178" s="476">
        <f>SUM('3 pr-2'!X179)</f>
        <v>0</v>
      </c>
      <c r="AA178" s="476">
        <v>0</v>
      </c>
      <c r="AB178" s="475">
        <f t="shared" si="311"/>
        <v>0</v>
      </c>
      <c r="AC178" s="724">
        <f t="shared" si="318"/>
        <v>0</v>
      </c>
      <c r="AD178" s="476">
        <f>SUM('3 pr-2'!AA179)</f>
        <v>375953.81</v>
      </c>
      <c r="AE178" s="476">
        <v>375953.81</v>
      </c>
      <c r="AF178" s="728">
        <f t="shared" si="312"/>
        <v>0</v>
      </c>
      <c r="AG178" s="454">
        <f t="shared" si="319"/>
        <v>0</v>
      </c>
    </row>
    <row r="179" spans="1:33" ht="36.75" x14ac:dyDescent="0.25">
      <c r="A179" s="255" t="str">
        <f>CONCATENATE('3 pr-2'!A180)</f>
        <v>3.1.2.1.7</v>
      </c>
      <c r="B179" s="1015" t="str">
        <f>IF('ketv. 4 lent'!V179&gt;0,'ketv. 4 lent'!B179,"-")</f>
        <v>-</v>
      </c>
      <c r="C179" s="725" t="str">
        <f>CONCATENATE('3 pr-2'!D180)</f>
        <v>Kraštovaizdžio formavimas Lazdijų rajono savivaldybėje (II etapas)</v>
      </c>
      <c r="D179" s="255" t="str">
        <f>CONCATENATE('3 pr-2'!E180)</f>
        <v>Lazdijų rajono savivaldybės administracija</v>
      </c>
      <c r="E179" s="255" t="str">
        <f>CONCATENATE('3 pr-2'!F180)</f>
        <v>Lietuvos Respublikos aplinkos ministerija</v>
      </c>
      <c r="F179" s="255" t="str">
        <f>CONCATENATE('3 pr-2'!G180)</f>
        <v>Lazdijų rajono savivaldybė</v>
      </c>
      <c r="G179" s="255" t="str">
        <f>CONCATENATE('3 pr-2'!H180)</f>
        <v>05.5.1-APVA-R-019</v>
      </c>
      <c r="H179" s="255" t="str">
        <f>CONCATENATE('3 pr-2'!I180)</f>
        <v>R</v>
      </c>
      <c r="I179" s="255" t="str">
        <f>CONCATENATE('3 pr-2'!J180)</f>
        <v>-</v>
      </c>
      <c r="J179" s="474">
        <f>SUM('3 pr-2'!L180)</f>
        <v>149792.22</v>
      </c>
      <c r="K179" s="476">
        <v>0</v>
      </c>
      <c r="L179" s="475">
        <f t="shared" si="313"/>
        <v>149792.22</v>
      </c>
      <c r="M179" s="724">
        <f t="shared" si="314"/>
        <v>0</v>
      </c>
      <c r="N179" s="476">
        <f>SUM('3 pr-2'!O180)</f>
        <v>22468.83</v>
      </c>
      <c r="O179" s="476">
        <v>0</v>
      </c>
      <c r="P179" s="475">
        <f t="shared" si="308"/>
        <v>22468.83</v>
      </c>
      <c r="Q179" s="724">
        <f t="shared" si="315"/>
        <v>0</v>
      </c>
      <c r="R179" s="476">
        <f>SUM('3 pr-2'!R180)</f>
        <v>0</v>
      </c>
      <c r="S179" s="476">
        <v>0</v>
      </c>
      <c r="T179" s="475">
        <f t="shared" si="309"/>
        <v>0</v>
      </c>
      <c r="U179" s="724">
        <f t="shared" si="316"/>
        <v>0</v>
      </c>
      <c r="V179" s="476">
        <f>SUM('3 pr-2'!U180)</f>
        <v>0</v>
      </c>
      <c r="W179" s="476">
        <v>0</v>
      </c>
      <c r="X179" s="475">
        <f t="shared" si="310"/>
        <v>0</v>
      </c>
      <c r="Y179" s="724">
        <f t="shared" si="317"/>
        <v>0</v>
      </c>
      <c r="Z179" s="476">
        <f>SUM('3 pr-2'!X180)</f>
        <v>0</v>
      </c>
      <c r="AA179" s="476">
        <v>0</v>
      </c>
      <c r="AB179" s="475">
        <f t="shared" si="311"/>
        <v>0</v>
      </c>
      <c r="AC179" s="724">
        <f t="shared" si="318"/>
        <v>0</v>
      </c>
      <c r="AD179" s="476">
        <f>SUM('3 pr-2'!AA180)</f>
        <v>127323.39</v>
      </c>
      <c r="AE179" s="476">
        <v>0</v>
      </c>
      <c r="AF179" s="728">
        <f t="shared" si="312"/>
        <v>127323.39</v>
      </c>
      <c r="AG179" s="454">
        <f t="shared" si="319"/>
        <v>0</v>
      </c>
    </row>
    <row r="180" spans="1:33" ht="37.5" thickBot="1" x14ac:dyDescent="0.3">
      <c r="A180" s="255" t="str">
        <f>CONCATENATE('3 pr-2'!A181)</f>
        <v>3.1.2.1.8</v>
      </c>
      <c r="B180" s="1015" t="str">
        <f>IF('ketv. 4 lent'!V180&gt;0,'ketv. 4 lent'!B180,"-")</f>
        <v>-</v>
      </c>
      <c r="C180" s="1019" t="str">
        <f>CONCATENATE('3 pr-2'!D181)</f>
        <v>Bešeimininkių apleistų pastatų ir įrenginių tvarkymas Alytaus rajono savivaldybėje (II etapas)</v>
      </c>
      <c r="D180" s="343" t="str">
        <f>CONCATENATE('3 pr-2'!E181)</f>
        <v>Alytaus rajono savivaldybės administracija</v>
      </c>
      <c r="E180" s="343" t="str">
        <f>CONCATENATE('3 pr-2'!F181)</f>
        <v>Lietuvos Respublikos aplinkos ministerija</v>
      </c>
      <c r="F180" s="343" t="str">
        <f>CONCATENATE('3 pr-2'!G181)</f>
        <v>Alytaus rajono savivaldybė</v>
      </c>
      <c r="G180" s="343" t="str">
        <f>CONCATENATE('3 pr-2'!H181)</f>
        <v>05.5.1-APVA-R-019</v>
      </c>
      <c r="H180" s="343" t="str">
        <f>CONCATENATE('3 pr-2'!I181)</f>
        <v>R</v>
      </c>
      <c r="I180" s="343" t="str">
        <f>CONCATENATE('3 pr-2'!J181)</f>
        <v>-</v>
      </c>
      <c r="J180" s="633">
        <f>SUM('3 pr-2'!L181)</f>
        <v>736537.6470588235</v>
      </c>
      <c r="K180" s="691">
        <v>0</v>
      </c>
      <c r="L180" s="729">
        <f t="shared" si="313"/>
        <v>736537.6470588235</v>
      </c>
      <c r="M180" s="730">
        <f t="shared" si="314"/>
        <v>0</v>
      </c>
      <c r="N180" s="691">
        <f>SUM('3 pr-2'!O181)</f>
        <v>110480.64705882352</v>
      </c>
      <c r="O180" s="691">
        <v>0</v>
      </c>
      <c r="P180" s="729">
        <f t="shared" si="308"/>
        <v>110480.64705882352</v>
      </c>
      <c r="Q180" s="730">
        <f t="shared" si="315"/>
        <v>0</v>
      </c>
      <c r="R180" s="691">
        <f>SUM('3 pr-2'!R181)</f>
        <v>0</v>
      </c>
      <c r="S180" s="691">
        <v>0</v>
      </c>
      <c r="T180" s="729">
        <f t="shared" si="309"/>
        <v>0</v>
      </c>
      <c r="U180" s="730">
        <f t="shared" si="316"/>
        <v>0</v>
      </c>
      <c r="V180" s="691">
        <f>SUM('3 pr-2'!U181)</f>
        <v>0</v>
      </c>
      <c r="W180" s="691">
        <v>0</v>
      </c>
      <c r="X180" s="729">
        <f t="shared" si="310"/>
        <v>0</v>
      </c>
      <c r="Y180" s="730">
        <f t="shared" si="317"/>
        <v>0</v>
      </c>
      <c r="Z180" s="691">
        <f>SUM('3 pr-2'!X181)</f>
        <v>0</v>
      </c>
      <c r="AA180" s="691">
        <v>0</v>
      </c>
      <c r="AB180" s="729">
        <f t="shared" si="311"/>
        <v>0</v>
      </c>
      <c r="AC180" s="730">
        <f t="shared" si="318"/>
        <v>0</v>
      </c>
      <c r="AD180" s="691">
        <f>SUM('3 pr-2'!AA181)</f>
        <v>626057</v>
      </c>
      <c r="AE180" s="691">
        <v>0</v>
      </c>
      <c r="AF180" s="728">
        <f t="shared" si="312"/>
        <v>626057</v>
      </c>
      <c r="AG180" s="454">
        <f t="shared" si="319"/>
        <v>0</v>
      </c>
    </row>
    <row r="181" spans="1:33" ht="19.5" thickBot="1" x14ac:dyDescent="0.3">
      <c r="C181" s="1835" t="s">
        <v>351</v>
      </c>
      <c r="D181" s="1836"/>
      <c r="E181" s="1836"/>
      <c r="F181" s="1836"/>
      <c r="G181" s="1836"/>
      <c r="H181" s="1836"/>
      <c r="I181" s="1836"/>
      <c r="J181" s="1024">
        <f t="shared" ref="J181:O181" si="320">SUM(J6+J100+J167)</f>
        <v>66508918.586470574</v>
      </c>
      <c r="K181" s="1025">
        <f t="shared" si="320"/>
        <v>38116803.810000002</v>
      </c>
      <c r="L181" s="363" t="e">
        <f t="shared" si="320"/>
        <v>#REF!</v>
      </c>
      <c r="M181" s="456" t="e">
        <f t="shared" si="320"/>
        <v>#REF!</v>
      </c>
      <c r="N181" s="1024">
        <f t="shared" si="320"/>
        <v>7520833.0664705876</v>
      </c>
      <c r="O181" s="1025">
        <f t="shared" si="320"/>
        <v>3484504.1599999997</v>
      </c>
      <c r="P181" s="1026"/>
      <c r="Q181" s="456" t="e">
        <f>SUM(Q6+Q100+Q167)</f>
        <v>#REF!</v>
      </c>
      <c r="R181" s="1024">
        <f>SUM(R6+R100+R167)</f>
        <v>2011565.093783784</v>
      </c>
      <c r="S181" s="1025">
        <f>SUM(S6+S100+S167)</f>
        <v>894917.78</v>
      </c>
      <c r="T181" s="1026"/>
      <c r="U181" s="456" t="e">
        <f>SUM(U6+U100+U167)</f>
        <v>#REF!</v>
      </c>
      <c r="V181" s="1024">
        <f>SUM(V6+V100+V167)</f>
        <v>8679113.3399999999</v>
      </c>
      <c r="W181" s="1025">
        <f>SUM(W6+W100+W167)</f>
        <v>6624263.0899999999</v>
      </c>
      <c r="X181" s="1026"/>
      <c r="Y181" s="456" t="e">
        <f>SUM(Y6+Y100+Y167)</f>
        <v>#REF!</v>
      </c>
      <c r="Z181" s="1024">
        <f>SUM(Z6+Z100+Z167)</f>
        <v>62660</v>
      </c>
      <c r="AA181" s="1025">
        <f>SUM(AA6+AA100+AA167)</f>
        <v>62660</v>
      </c>
      <c r="AB181" s="456"/>
      <c r="AC181" s="456" t="e">
        <f>SUM(AC6+AC100+AC167)</f>
        <v>#REF!</v>
      </c>
      <c r="AD181" s="1024">
        <f>SUM(AD6+AD100+AD167)</f>
        <v>48062973.786216214</v>
      </c>
      <c r="AE181" s="1027">
        <f>SUM(AE6+AE100+AE167)</f>
        <v>27050458.779999997</v>
      </c>
      <c r="AG181" s="457">
        <f>SUM(AG6+AG100+AG167)</f>
        <v>2643569.3199999994</v>
      </c>
    </row>
  </sheetData>
  <mergeCells count="44">
    <mergeCell ref="C120:I120"/>
    <mergeCell ref="C146:I146"/>
    <mergeCell ref="C181:I181"/>
    <mergeCell ref="C169:I169"/>
    <mergeCell ref="C171:I171"/>
    <mergeCell ref="C172:I172"/>
    <mergeCell ref="C134:I134"/>
    <mergeCell ref="C147:I147"/>
    <mergeCell ref="C153:I153"/>
    <mergeCell ref="C159:I159"/>
    <mergeCell ref="C160:I160"/>
    <mergeCell ref="C167:I167"/>
    <mergeCell ref="C168:I168"/>
    <mergeCell ref="C121:I121"/>
    <mergeCell ref="C140:I140"/>
    <mergeCell ref="C38:I38"/>
    <mergeCell ref="C101:I101"/>
    <mergeCell ref="C49:I49"/>
    <mergeCell ref="C55:I55"/>
    <mergeCell ref="C57:I57"/>
    <mergeCell ref="C61:I61"/>
    <mergeCell ref="C66:I66"/>
    <mergeCell ref="C72:I72"/>
    <mergeCell ref="C73:I73"/>
    <mergeCell ref="C79:I79"/>
    <mergeCell ref="C86:I86"/>
    <mergeCell ref="C92:I92"/>
    <mergeCell ref="C100:I100"/>
    <mergeCell ref="C102:I102"/>
    <mergeCell ref="C108:I108"/>
    <mergeCell ref="C114:I114"/>
    <mergeCell ref="C45:I45"/>
    <mergeCell ref="J3:AF3"/>
    <mergeCell ref="C6:I6"/>
    <mergeCell ref="C7:I7"/>
    <mergeCell ref="C8:I8"/>
    <mergeCell ref="C32:I32"/>
    <mergeCell ref="J4:M4"/>
    <mergeCell ref="N4:Q4"/>
    <mergeCell ref="R4:U4"/>
    <mergeCell ref="V4:Y4"/>
    <mergeCell ref="Z4:AC4"/>
    <mergeCell ref="AD4:AG4"/>
    <mergeCell ref="A3:I3"/>
  </mergeCells>
  <pageMargins left="0.25" right="0.25" top="0.75" bottom="0.75" header="0.3" footer="0.3"/>
  <pageSetup paperSize="8" scale="75" fitToHeight="0" orientation="landscape"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E179"/>
  <sheetViews>
    <sheetView workbookViewId="0">
      <pane ySplit="2265" topLeftCell="A124" activePane="bottomLeft"/>
      <selection activeCell="N1" sqref="N1:N1048576"/>
      <selection pane="bottomLeft" activeCell="C129" sqref="C129"/>
    </sheetView>
  </sheetViews>
  <sheetFormatPr defaultRowHeight="15" x14ac:dyDescent="0.25"/>
  <cols>
    <col min="1" max="1" width="9.28515625" style="58" customWidth="1"/>
    <col min="2" max="2" width="16.28515625" hidden="1" customWidth="1"/>
    <col min="3" max="3" width="24.5703125" customWidth="1"/>
    <col min="4" max="4" width="15.140625" customWidth="1"/>
    <col min="5" max="5" width="16.7109375" customWidth="1"/>
    <col min="6" max="6" width="14.140625" customWidth="1"/>
    <col min="7" max="7" width="24.85546875" customWidth="1"/>
    <col min="8" max="8" width="4.5703125" bestFit="1" customWidth="1"/>
    <col min="9" max="9" width="5" bestFit="1" customWidth="1"/>
    <col min="10" max="10" width="14.28515625" bestFit="1" customWidth="1"/>
    <col min="11" max="11" width="12.7109375" bestFit="1" customWidth="1"/>
    <col min="12" max="12" width="14.28515625" style="333" hidden="1" customWidth="1"/>
    <col min="13" max="13" width="12.7109375" bestFit="1" customWidth="1"/>
    <col min="14" max="14" width="11.140625" customWidth="1"/>
    <col min="15" max="15" width="12.7109375" style="333" hidden="1" customWidth="1"/>
    <col min="16" max="17" width="10.5703125" bestFit="1" customWidth="1"/>
    <col min="18" max="18" width="10.5703125" style="333" hidden="1" customWidth="1"/>
    <col min="19" max="19" width="12.7109375" bestFit="1" customWidth="1"/>
    <col min="20" max="20" width="12.5703125" customWidth="1"/>
    <col min="21" max="21" width="12.7109375" style="333" hidden="1" customWidth="1"/>
    <col min="22" max="22" width="9.140625" bestFit="1" customWidth="1"/>
    <col min="23" max="23" width="9.85546875" bestFit="1" customWidth="1"/>
    <col min="24" max="24" width="9.140625" style="333" hidden="1" customWidth="1"/>
    <col min="25" max="25" width="14.28515625" bestFit="1" customWidth="1"/>
    <col min="26" max="26" width="12.7109375" bestFit="1" customWidth="1"/>
    <col min="27" max="27" width="14.28515625" style="333" hidden="1" customWidth="1"/>
    <col min="28" max="29" width="10" bestFit="1" customWidth="1"/>
  </cols>
  <sheetData>
    <row r="1" spans="1:27" ht="16.5" thickBot="1" x14ac:dyDescent="0.3">
      <c r="A1" s="1845" t="s">
        <v>791</v>
      </c>
      <c r="B1" s="1846"/>
      <c r="C1" s="1846"/>
      <c r="D1" s="1846"/>
      <c r="E1" s="1846"/>
      <c r="F1" s="1846"/>
    </row>
    <row r="2" spans="1:27" ht="16.5" thickTop="1" thickBot="1" x14ac:dyDescent="0.3">
      <c r="A2" s="1847" t="s">
        <v>46</v>
      </c>
      <c r="B2" s="1826"/>
      <c r="C2" s="1826"/>
      <c r="D2" s="1826"/>
      <c r="E2" s="1826"/>
      <c r="F2" s="1826"/>
      <c r="G2" s="1826"/>
      <c r="H2" s="1826"/>
      <c r="I2" s="1826"/>
      <c r="J2" s="1832" t="s">
        <v>47</v>
      </c>
      <c r="K2" s="1833"/>
      <c r="L2" s="1833"/>
      <c r="M2" s="1833"/>
      <c r="N2" s="1833"/>
      <c r="O2" s="1833"/>
      <c r="P2" s="1833"/>
      <c r="Q2" s="1833"/>
      <c r="R2" s="1833"/>
      <c r="S2" s="1833"/>
      <c r="T2" s="1833"/>
      <c r="U2" s="1833"/>
      <c r="V2" s="1833"/>
      <c r="W2" s="1833"/>
      <c r="X2" s="1833"/>
      <c r="Y2" s="1833"/>
      <c r="Z2" s="1833"/>
      <c r="AA2" s="1834"/>
    </row>
    <row r="3" spans="1:27" ht="48.75" thickBot="1" x14ac:dyDescent="0.3">
      <c r="A3" s="1040" t="s">
        <v>7</v>
      </c>
      <c r="B3" s="1033"/>
      <c r="C3" s="1035" t="s">
        <v>49</v>
      </c>
      <c r="D3" s="1035" t="s">
        <v>50</v>
      </c>
      <c r="E3" s="1035" t="s">
        <v>51</v>
      </c>
      <c r="F3" s="1035" t="s">
        <v>52</v>
      </c>
      <c r="G3" s="1035" t="s">
        <v>722</v>
      </c>
      <c r="H3" s="1035" t="s">
        <v>54</v>
      </c>
      <c r="I3" s="1036" t="s">
        <v>55</v>
      </c>
      <c r="J3" s="1848" t="s">
        <v>57</v>
      </c>
      <c r="K3" s="1849"/>
      <c r="L3" s="1850"/>
      <c r="M3" s="1828" t="s">
        <v>58</v>
      </c>
      <c r="N3" s="1829"/>
      <c r="O3" s="1851"/>
      <c r="P3" s="1848" t="s">
        <v>59</v>
      </c>
      <c r="Q3" s="1849"/>
      <c r="R3" s="1850"/>
      <c r="S3" s="1828" t="s">
        <v>60</v>
      </c>
      <c r="T3" s="1829"/>
      <c r="U3" s="1851"/>
      <c r="V3" s="1848" t="s">
        <v>61</v>
      </c>
      <c r="W3" s="1849"/>
      <c r="X3" s="1850"/>
      <c r="Y3" s="1828" t="s">
        <v>10</v>
      </c>
      <c r="Z3" s="1829"/>
      <c r="AA3" s="1851"/>
    </row>
    <row r="4" spans="1:27" ht="16.5" thickBot="1" x14ac:dyDescent="0.3">
      <c r="A4" s="1041"/>
      <c r="B4" s="1042"/>
      <c r="C4" s="1043"/>
      <c r="D4" s="1043"/>
      <c r="E4" s="1043"/>
      <c r="F4" s="1043"/>
      <c r="G4" s="1043"/>
      <c r="H4" s="1043"/>
      <c r="I4" s="1044"/>
      <c r="J4" s="1037" t="s">
        <v>748</v>
      </c>
      <c r="K4" s="1038" t="s">
        <v>749</v>
      </c>
      <c r="L4" s="1039" t="s">
        <v>399</v>
      </c>
      <c r="M4" s="1037" t="s">
        <v>748</v>
      </c>
      <c r="N4" s="1038" t="s">
        <v>749</v>
      </c>
      <c r="O4" s="1039" t="s">
        <v>399</v>
      </c>
      <c r="P4" s="1037" t="s">
        <v>748</v>
      </c>
      <c r="Q4" s="1038" t="s">
        <v>749</v>
      </c>
      <c r="R4" s="1039" t="s">
        <v>399</v>
      </c>
      <c r="S4" s="1037" t="s">
        <v>748</v>
      </c>
      <c r="T4" s="1038" t="s">
        <v>749</v>
      </c>
      <c r="U4" s="1039" t="s">
        <v>399</v>
      </c>
      <c r="V4" s="1037" t="s">
        <v>748</v>
      </c>
      <c r="W4" s="1038" t="s">
        <v>749</v>
      </c>
      <c r="X4" s="1039" t="s">
        <v>399</v>
      </c>
      <c r="Y4" s="1037" t="s">
        <v>748</v>
      </c>
      <c r="Z4" s="1038" t="s">
        <v>749</v>
      </c>
      <c r="AA4" s="1039" t="s">
        <v>399</v>
      </c>
    </row>
    <row r="5" spans="1:27" ht="82.5" customHeight="1" thickBot="1" x14ac:dyDescent="0.35">
      <c r="A5" s="714" t="str">
        <f>CONCATENATE('3 pr-2'!A7)</f>
        <v>1.1.</v>
      </c>
      <c r="B5" s="715"/>
      <c r="C5" s="1813" t="str">
        <f>CONCATENATE('3 pr-2'!D7)</f>
        <v/>
      </c>
      <c r="D5" s="1814"/>
      <c r="E5" s="1814"/>
      <c r="F5" s="1814"/>
      <c r="G5" s="1814"/>
      <c r="H5" s="1814"/>
      <c r="I5" s="1815"/>
      <c r="J5" s="716">
        <f>SUM('ketv. 6 lent'!K6)</f>
        <v>26130914.140000001</v>
      </c>
      <c r="K5" s="716">
        <f>SUM(K6+K71)</f>
        <v>7179306.7999999989</v>
      </c>
      <c r="L5" s="716">
        <f>SUM(J5-K5)</f>
        <v>18951607.340000004</v>
      </c>
      <c r="M5" s="716">
        <f>SUM('ketv. 6 lent'!O6)</f>
        <v>1199195.27</v>
      </c>
      <c r="N5" s="716">
        <f>SUM(N6+N71)</f>
        <v>238483.81</v>
      </c>
      <c r="O5" s="716">
        <f>SUM(M5-N5)</f>
        <v>960711.46</v>
      </c>
      <c r="P5" s="716">
        <f>SUM('ketv. 6 lent'!S6)</f>
        <v>836130.78</v>
      </c>
      <c r="Q5" s="716">
        <f>SUM(Q6+Q71)</f>
        <v>220185.99</v>
      </c>
      <c r="R5" s="716">
        <f>SUM(P5-Q5)</f>
        <v>615944.79</v>
      </c>
      <c r="S5" s="716">
        <f>SUM('ketv. 6 lent'!W6)</f>
        <v>6624263.0899999999</v>
      </c>
      <c r="T5" s="716">
        <f>SUM(T6+T71)</f>
        <v>1440051.81</v>
      </c>
      <c r="U5" s="716">
        <f>SUM(S5-T5)</f>
        <v>5184211.2799999993</v>
      </c>
      <c r="V5" s="716">
        <f>SUM('ketv. 6 lent'!AA6)</f>
        <v>62660</v>
      </c>
      <c r="W5" s="716">
        <f>SUM(W6+W71)</f>
        <v>32545.37</v>
      </c>
      <c r="X5" s="716">
        <f>SUM(V5-W5)</f>
        <v>30114.63</v>
      </c>
      <c r="Y5" s="716">
        <f>SUM('ketv. 6 lent'!AE6)</f>
        <v>17408665</v>
      </c>
      <c r="Z5" s="716">
        <f>SUM(Z6+Z71)</f>
        <v>5248039.82</v>
      </c>
      <c r="AA5" s="357">
        <f>SUM(Y5-Z5)</f>
        <v>12160625.18</v>
      </c>
    </row>
    <row r="6" spans="1:27" ht="60" customHeight="1" thickBot="1" x14ac:dyDescent="0.3">
      <c r="A6" s="345" t="str">
        <f>CONCATENATE('3 pr-2'!A8)</f>
        <v>1.1.1.</v>
      </c>
      <c r="B6" s="648"/>
      <c r="C6" s="1668" t="str">
        <f>CONCATENATE('3 pr-2'!D8)</f>
        <v/>
      </c>
      <c r="D6" s="1669"/>
      <c r="E6" s="1669"/>
      <c r="F6" s="1669"/>
      <c r="G6" s="1669"/>
      <c r="H6" s="1669"/>
      <c r="I6" s="1670"/>
      <c r="J6" s="303">
        <f>SUM('ketv. 6 lent'!K7)</f>
        <v>24197215.010000002</v>
      </c>
      <c r="K6" s="303">
        <f>SUM(K7+K31+K37+K44+K48+K54+K56+K60+K65)</f>
        <v>6214537.6199999992</v>
      </c>
      <c r="L6" s="303">
        <f t="shared" ref="L6:L70" si="0">SUM(J6-K6)</f>
        <v>17982677.390000001</v>
      </c>
      <c r="M6" s="303">
        <f>SUM('ketv. 6 lent'!O7)</f>
        <v>942900</v>
      </c>
      <c r="N6" s="303">
        <f>SUM(N7+N31+N37+N44+N48+N54+N56+N60+N65)</f>
        <v>121978.6</v>
      </c>
      <c r="O6" s="303">
        <f t="shared" ref="O6:O55" si="1">SUM(M6-N6)</f>
        <v>820921.4</v>
      </c>
      <c r="P6" s="303">
        <f>SUM('ketv. 6 lent'!S7)</f>
        <v>836130.78</v>
      </c>
      <c r="Q6" s="303">
        <f>SUM(Q7+Q31+Q37+Q44+Q48+Q54+Q56+Q60+Q65)</f>
        <v>220185.99</v>
      </c>
      <c r="R6" s="303">
        <f t="shared" ref="R6:R59" si="2">SUM(P6-Q6)</f>
        <v>615944.79</v>
      </c>
      <c r="S6" s="303">
        <f>SUM('ketv. 6 lent'!W7)</f>
        <v>6624263.0899999999</v>
      </c>
      <c r="T6" s="303">
        <f>SUM(T7+T31+T37+T44+T48+T54+T56+T60+T65)</f>
        <v>1440051.81</v>
      </c>
      <c r="U6" s="303">
        <f t="shared" ref="U6:U59" si="3">SUM(S6-T6)</f>
        <v>5184211.2799999993</v>
      </c>
      <c r="V6" s="303">
        <f>SUM('ketv. 6 lent'!AA7)</f>
        <v>0</v>
      </c>
      <c r="W6" s="303">
        <f>SUM(W7+W31+W37+W44+W48+W54+W56+W60+W65)</f>
        <v>0</v>
      </c>
      <c r="X6" s="303">
        <f t="shared" ref="X6:X59" si="4">SUM(V6-W6)</f>
        <v>0</v>
      </c>
      <c r="Y6" s="303">
        <f>SUM('ketv. 6 lent'!AE7)</f>
        <v>15793921.139999999</v>
      </c>
      <c r="Z6" s="303">
        <f>SUM(Z7+Z31+Z37+Z44+Z48+Z54+Z56+Z60+Z65)</f>
        <v>4432321.22</v>
      </c>
      <c r="AA6" s="364">
        <f t="shared" ref="AA6:AA59" si="5">SUM(Y6-Z6)</f>
        <v>11361599.919999998</v>
      </c>
    </row>
    <row r="7" spans="1:27" s="329" customFormat="1" ht="36" customHeight="1" thickBot="1" x14ac:dyDescent="0.25">
      <c r="A7" s="497" t="str">
        <f>CONCATENATE('3 pr-2'!A9)</f>
        <v>1.1.1.1</v>
      </c>
      <c r="B7" s="613"/>
      <c r="C7" s="1656" t="str">
        <f>CONCATENATE('3 pr-2'!D9)</f>
        <v/>
      </c>
      <c r="D7" s="1789"/>
      <c r="E7" s="1789"/>
      <c r="F7" s="1789"/>
      <c r="G7" s="1789"/>
      <c r="H7" s="1789"/>
      <c r="I7" s="1790"/>
      <c r="J7" s="629">
        <f>SUM('ketv. 6 lent'!K8)</f>
        <v>535932.75</v>
      </c>
      <c r="K7" s="629">
        <f>SUM(K8:K30)</f>
        <v>0</v>
      </c>
      <c r="L7" s="629">
        <f>SUM(L8:L30)</f>
        <v>535932.75</v>
      </c>
      <c r="M7" s="629">
        <f>SUM('ketv. 6 lent'!O8)</f>
        <v>107433.75</v>
      </c>
      <c r="N7" s="629">
        <f>SUM(N8:N30)</f>
        <v>0</v>
      </c>
      <c r="O7" s="629">
        <f>SUM(O8:O30)</f>
        <v>107433.75</v>
      </c>
      <c r="P7" s="629">
        <f>SUM('ketv. 6 lent'!S8)</f>
        <v>64274.85</v>
      </c>
      <c r="Q7" s="629">
        <f>SUM(Q8:Q30)</f>
        <v>0</v>
      </c>
      <c r="R7" s="629">
        <f>SUM(R8:R30)</f>
        <v>64274.85</v>
      </c>
      <c r="S7" s="629">
        <f>SUM('ketv. 6 lent'!W8)</f>
        <v>0</v>
      </c>
      <c r="T7" s="629">
        <f>SUM(T8:T30)</f>
        <v>0</v>
      </c>
      <c r="U7" s="629">
        <f>SUM(U8:U30)</f>
        <v>0</v>
      </c>
      <c r="V7" s="629">
        <f>SUM('ketv. 6 lent'!AA8)</f>
        <v>0</v>
      </c>
      <c r="W7" s="629">
        <f>SUM(W8:W30)</f>
        <v>0</v>
      </c>
      <c r="X7" s="629">
        <f>SUM(X8:X30)</f>
        <v>0</v>
      </c>
      <c r="Y7" s="629">
        <f>SUM('ketv. 6 lent'!AE8)</f>
        <v>364224.15</v>
      </c>
      <c r="Z7" s="629">
        <f>SUM(Z8:Z30)</f>
        <v>0</v>
      </c>
      <c r="AA7" s="353">
        <f>SUM(AA8:AA30)</f>
        <v>364224.15</v>
      </c>
    </row>
    <row r="8" spans="1:27" ht="48.75" x14ac:dyDescent="0.25">
      <c r="A8" s="1028" t="str">
        <f>CONCATENATE('3 pr-2'!A10)</f>
        <v>1.1.1.1.1</v>
      </c>
      <c r="B8" s="1016" t="str">
        <f>CONCATENATE('ketv. 6 lent'!B9)</f>
        <v>-</v>
      </c>
      <c r="C8" s="316" t="str">
        <f>CONCATENATE('3 pr-2'!D10)</f>
        <v xml:space="preserve">Druskininkų savivaldybės Viečiūnų seniūnijos Ilgio ir Raigardo seniūnaitijų kelių būklės gerinimas  </v>
      </c>
      <c r="D8" s="316" t="str">
        <f>CONCATENATE('3 pr-2'!E10)</f>
        <v xml:space="preserve">Druskininkų savivaldybės administracija  </v>
      </c>
      <c r="E8" s="316" t="str">
        <f>CONCATENATE('3 pr-2'!F10)</f>
        <v>Lietuvos Respublikos žemės ūkio ministerija</v>
      </c>
      <c r="F8" s="316" t="str">
        <f>CONCATENATE('3 pr-2'!G10)</f>
        <v>Druskininkų savivaldybė</v>
      </c>
      <c r="G8" s="316" t="str">
        <f>CONCATENATE('3 pr-2'!H10)</f>
        <v xml:space="preserve">Pagrindinės paslaugos ir kaimų atnaujinimas kaimo vietovėse </v>
      </c>
      <c r="H8" s="316" t="str">
        <f>CONCATENATE('3 pr-2'!I10)</f>
        <v>R</v>
      </c>
      <c r="I8" s="316" t="str">
        <f>CONCATENATE('3 pr-2'!J10)</f>
        <v>-</v>
      </c>
      <c r="J8" s="293">
        <f>SUM('ketv. 6 lent'!K9)</f>
        <v>0</v>
      </c>
      <c r="K8" s="293">
        <v>0</v>
      </c>
      <c r="L8" s="737">
        <f t="shared" si="0"/>
        <v>0</v>
      </c>
      <c r="M8" s="293">
        <f>SUM('ketv. 6 lent'!O9)</f>
        <v>0</v>
      </c>
      <c r="N8" s="293">
        <v>0</v>
      </c>
      <c r="O8" s="737">
        <f t="shared" ref="O8:O30" si="6">SUM(M8-N8)</f>
        <v>0</v>
      </c>
      <c r="P8" s="293">
        <f>SUM('ketv. 6 lent'!S9)</f>
        <v>0</v>
      </c>
      <c r="Q8" s="293">
        <v>0</v>
      </c>
      <c r="R8" s="737">
        <f t="shared" ref="R8:R30" si="7">SUM(P8-Q8)</f>
        <v>0</v>
      </c>
      <c r="S8" s="293">
        <f>SUM('ketv. 6 lent'!W9)</f>
        <v>0</v>
      </c>
      <c r="T8" s="293">
        <v>0</v>
      </c>
      <c r="U8" s="737">
        <f t="shared" ref="U8:U30" si="8">SUM(S8-T8)</f>
        <v>0</v>
      </c>
      <c r="V8" s="293">
        <f>SUM('ketv. 6 lent'!AA9)</f>
        <v>0</v>
      </c>
      <c r="W8" s="293">
        <v>0</v>
      </c>
      <c r="X8" s="737">
        <f t="shared" ref="X8:X30" si="9">SUM(V8-W8)</f>
        <v>0</v>
      </c>
      <c r="Y8" s="293">
        <f>SUM('ketv. 6 lent'!AE9)</f>
        <v>0</v>
      </c>
      <c r="Z8" s="293">
        <v>0</v>
      </c>
      <c r="AA8" s="728">
        <f>IF(Y8&gt;0,Y8-Z8,0)</f>
        <v>0</v>
      </c>
    </row>
    <row r="9" spans="1:27" ht="48.75" x14ac:dyDescent="0.25">
      <c r="A9" s="992" t="str">
        <f>CONCATENATE('3 pr-2'!A11)</f>
        <v>1.1.1.1.2</v>
      </c>
      <c r="B9" s="1016" t="str">
        <f>CONCATENATE('ketv. 6 lent'!B10)</f>
        <v>-</v>
      </c>
      <c r="C9" s="255" t="str">
        <f>CONCATENATE('3 pr-2'!D11)</f>
        <v>Druskininkų savivaldybės Viečiūnų seniūnijos Ratnyčėlės seniūnaitijos kelių būklės gerinimas</v>
      </c>
      <c r="D9" s="255" t="str">
        <f>CONCATENATE('3 pr-2'!E11)</f>
        <v xml:space="preserve">Druskininkų savivaldybės administracija  </v>
      </c>
      <c r="E9" s="255" t="str">
        <f>CONCATENATE('3 pr-2'!F11)</f>
        <v>Lietuvos Respublikos žemės ūkio ministerija</v>
      </c>
      <c r="F9" s="255" t="str">
        <f>CONCATENATE('3 pr-2'!G11)</f>
        <v>Druskininkų savivaldybė</v>
      </c>
      <c r="G9" s="255" t="str">
        <f>CONCATENATE('3 pr-2'!H11)</f>
        <v xml:space="preserve">Pagrindinės paslaugos ir kaimų atnaujinimas kaimo vietovėse </v>
      </c>
      <c r="H9" s="255" t="str">
        <f>CONCATENATE('3 pr-2'!I11)</f>
        <v>R</v>
      </c>
      <c r="I9" s="255" t="str">
        <f>CONCATENATE('3 pr-2'!J11)</f>
        <v>-</v>
      </c>
      <c r="J9" s="474">
        <f>SUM('ketv. 6 lent'!K10)</f>
        <v>0</v>
      </c>
      <c r="K9" s="474">
        <v>0</v>
      </c>
      <c r="L9" s="475">
        <f t="shared" si="0"/>
        <v>0</v>
      </c>
      <c r="M9" s="474">
        <f>SUM('ketv. 6 lent'!O10)</f>
        <v>0</v>
      </c>
      <c r="N9" s="474">
        <v>0</v>
      </c>
      <c r="O9" s="475">
        <f t="shared" si="6"/>
        <v>0</v>
      </c>
      <c r="P9" s="474">
        <f>SUM('ketv. 6 lent'!S10)</f>
        <v>0</v>
      </c>
      <c r="Q9" s="474">
        <v>0</v>
      </c>
      <c r="R9" s="475">
        <f t="shared" si="7"/>
        <v>0</v>
      </c>
      <c r="S9" s="474">
        <f>SUM('ketv. 6 lent'!W10)</f>
        <v>0</v>
      </c>
      <c r="T9" s="474">
        <v>0</v>
      </c>
      <c r="U9" s="475">
        <f t="shared" si="8"/>
        <v>0</v>
      </c>
      <c r="V9" s="474">
        <f>SUM('ketv. 6 lent'!AA10)</f>
        <v>0</v>
      </c>
      <c r="W9" s="474">
        <v>0</v>
      </c>
      <c r="X9" s="475">
        <f t="shared" si="9"/>
        <v>0</v>
      </c>
      <c r="Y9" s="474">
        <f>SUM('ketv. 6 lent'!AE10)</f>
        <v>0</v>
      </c>
      <c r="Z9" s="474">
        <v>0</v>
      </c>
      <c r="AA9" s="728">
        <f t="shared" ref="AA9:AA30" si="10">IF(Y9&gt;0,Y9-Z9,0)</f>
        <v>0</v>
      </c>
    </row>
    <row r="10" spans="1:27" ht="48.75" x14ac:dyDescent="0.25">
      <c r="A10" s="992" t="str">
        <f>CONCATENATE('3 pr-2'!A12)</f>
        <v>1.1.1.1.3</v>
      </c>
      <c r="B10" s="1016" t="str">
        <f>CONCATENATE('ketv. 6 lent'!B11)</f>
        <v>-</v>
      </c>
      <c r="C10" s="255" t="str">
        <f>CONCATENATE('3 pr-2'!D12)</f>
        <v>Druskininkų savivaldybės Leipalingio seniūnijos Klonio seniūnaitijos kelių būklės gerinimas</v>
      </c>
      <c r="D10" s="255" t="str">
        <f>CONCATENATE('3 pr-2'!E12)</f>
        <v xml:space="preserve">Druskininkų savivaldybės administracija  </v>
      </c>
      <c r="E10" s="255" t="str">
        <f>CONCATENATE('3 pr-2'!F12)</f>
        <v>Lietuvos Respublikos žemės ūkio ministerija</v>
      </c>
      <c r="F10" s="255" t="str">
        <f>CONCATENATE('3 pr-2'!G12)</f>
        <v>Druskininkų savivaldybė</v>
      </c>
      <c r="G10" s="255" t="str">
        <f>CONCATENATE('3 pr-2'!H12)</f>
        <v xml:space="preserve">Pagrindinės paslaugos ir kaimų atnaujinimas kaimo vietovėse </v>
      </c>
      <c r="H10" s="255" t="str">
        <f>CONCATENATE('3 pr-2'!I12)</f>
        <v>R</v>
      </c>
      <c r="I10" s="255" t="str">
        <f>CONCATENATE('3 pr-2'!J12)</f>
        <v>-</v>
      </c>
      <c r="J10" s="474">
        <f>SUM('ketv. 6 lent'!K11)</f>
        <v>0</v>
      </c>
      <c r="K10" s="474">
        <v>0</v>
      </c>
      <c r="L10" s="475">
        <f t="shared" si="0"/>
        <v>0</v>
      </c>
      <c r="M10" s="474">
        <f>SUM('ketv. 6 lent'!O11)</f>
        <v>0</v>
      </c>
      <c r="N10" s="474">
        <v>0</v>
      </c>
      <c r="O10" s="475">
        <f t="shared" si="6"/>
        <v>0</v>
      </c>
      <c r="P10" s="474">
        <f>SUM('ketv. 6 lent'!S11)</f>
        <v>0</v>
      </c>
      <c r="Q10" s="474">
        <v>0</v>
      </c>
      <c r="R10" s="475">
        <f t="shared" si="7"/>
        <v>0</v>
      </c>
      <c r="S10" s="474">
        <f>SUM('ketv. 6 lent'!W11)</f>
        <v>0</v>
      </c>
      <c r="T10" s="474">
        <v>0</v>
      </c>
      <c r="U10" s="475">
        <f t="shared" si="8"/>
        <v>0</v>
      </c>
      <c r="V10" s="474">
        <f>SUM('ketv. 6 lent'!AA11)</f>
        <v>0</v>
      </c>
      <c r="W10" s="474">
        <v>0</v>
      </c>
      <c r="X10" s="475">
        <f t="shared" si="9"/>
        <v>0</v>
      </c>
      <c r="Y10" s="474">
        <f>SUM('ketv. 6 lent'!AE11)</f>
        <v>0</v>
      </c>
      <c r="Z10" s="474">
        <v>0</v>
      </c>
      <c r="AA10" s="728">
        <f t="shared" si="10"/>
        <v>0</v>
      </c>
    </row>
    <row r="11" spans="1:27" ht="48.75" x14ac:dyDescent="0.25">
      <c r="A11" s="992" t="str">
        <f>CONCATENATE('3 pr-2'!A13)</f>
        <v>1.1.1.1.4</v>
      </c>
      <c r="B11" s="1016" t="str">
        <f>CONCATENATE('ketv. 6 lent'!B12)</f>
        <v>-</v>
      </c>
      <c r="C11" s="255" t="str">
        <f>CONCATENATE('3 pr-2'!D13)</f>
        <v>Rudaminos laisvalaikio salės pritaikymas bendruomenės poreikiams ir liaudies amatų plėtrai</v>
      </c>
      <c r="D11" s="255" t="str">
        <f>CONCATENATE('3 pr-2'!E13)</f>
        <v>Viešoji įstaiga Lazdijų kultūros centras</v>
      </c>
      <c r="E11" s="255" t="str">
        <f>CONCATENATE('3 pr-2'!F13)</f>
        <v>Lietuvos Respublikos žemės ūkio ministerija</v>
      </c>
      <c r="F11" s="255" t="str">
        <f>CONCATENATE('3 pr-2'!G13)</f>
        <v>Lazdijų rajono savivaldybė</v>
      </c>
      <c r="G11" s="255" t="str">
        <f>CONCATENATE('3 pr-2'!H13)</f>
        <v xml:space="preserve">Pagrindinės paslaugos ir kaimų atnaujinimas kaimo vietovėse </v>
      </c>
      <c r="H11" s="255" t="str">
        <f>CONCATENATE('3 pr-2'!I13)</f>
        <v>R</v>
      </c>
      <c r="I11" s="255" t="str">
        <f>CONCATENATE('3 pr-2'!J13)</f>
        <v>-</v>
      </c>
      <c r="J11" s="474">
        <f>SUM('ketv. 6 lent'!K12)</f>
        <v>0</v>
      </c>
      <c r="K11" s="474">
        <v>0</v>
      </c>
      <c r="L11" s="475">
        <f t="shared" si="0"/>
        <v>0</v>
      </c>
      <c r="M11" s="474">
        <f>SUM('ketv. 6 lent'!O12)</f>
        <v>0</v>
      </c>
      <c r="N11" s="474">
        <v>0</v>
      </c>
      <c r="O11" s="475">
        <f t="shared" si="6"/>
        <v>0</v>
      </c>
      <c r="P11" s="474">
        <f>SUM('ketv. 6 lent'!S12)</f>
        <v>0</v>
      </c>
      <c r="Q11" s="474">
        <v>0</v>
      </c>
      <c r="R11" s="475">
        <f t="shared" si="7"/>
        <v>0</v>
      </c>
      <c r="S11" s="474">
        <f>SUM('ketv. 6 lent'!W12)</f>
        <v>0</v>
      </c>
      <c r="T11" s="474">
        <v>0</v>
      </c>
      <c r="U11" s="475">
        <f t="shared" si="8"/>
        <v>0</v>
      </c>
      <c r="V11" s="474">
        <f>SUM('ketv. 6 lent'!AA12)</f>
        <v>0</v>
      </c>
      <c r="W11" s="474">
        <v>0</v>
      </c>
      <c r="X11" s="475">
        <f t="shared" si="9"/>
        <v>0</v>
      </c>
      <c r="Y11" s="474">
        <f>SUM('ketv. 6 lent'!AE12)</f>
        <v>0</v>
      </c>
      <c r="Z11" s="474">
        <v>0</v>
      </c>
      <c r="AA11" s="728">
        <f t="shared" si="10"/>
        <v>0</v>
      </c>
    </row>
    <row r="12" spans="1:27" ht="48.75" x14ac:dyDescent="0.25">
      <c r="A12" s="992" t="str">
        <f>CONCATENATE('3 pr-2'!A14)</f>
        <v>1.1.1.1.5</v>
      </c>
      <c r="B12" s="1016" t="str">
        <f>CONCATENATE('ketv. 6 lent'!B13)</f>
        <v>-</v>
      </c>
      <c r="C12" s="255" t="str">
        <f>CONCATENATE('3 pr-2'!D14)</f>
        <v>Druskininkų savivaldybės Leipalingio seniūnijos Bilso seniūnaitijos kelių būklės gerinimas</v>
      </c>
      <c r="D12" s="255" t="str">
        <f>CONCATENATE('3 pr-2'!E14)</f>
        <v xml:space="preserve">Druskininkų savivaldybės administracija  </v>
      </c>
      <c r="E12" s="255" t="str">
        <f>CONCATENATE('3 pr-2'!F14)</f>
        <v>Lietuvos Respublikos žemės ūkio ministerija</v>
      </c>
      <c r="F12" s="255" t="str">
        <f>CONCATENATE('3 pr-2'!G14)</f>
        <v>Druskininkų savivaldybė</v>
      </c>
      <c r="G12" s="255" t="str">
        <f>CONCATENATE('3 pr-2'!H14)</f>
        <v xml:space="preserve">Pagrindinės paslaugos ir kaimų atnaujinimas kaimo vietovėse </v>
      </c>
      <c r="H12" s="255" t="str">
        <f>CONCATENATE('3 pr-2'!I14)</f>
        <v>R</v>
      </c>
      <c r="I12" s="255" t="str">
        <f>CONCATENATE('3 pr-2'!J14)</f>
        <v>-</v>
      </c>
      <c r="J12" s="474">
        <f>SUM('ketv. 6 lent'!K13)</f>
        <v>0</v>
      </c>
      <c r="K12" s="474">
        <v>0</v>
      </c>
      <c r="L12" s="475">
        <f t="shared" si="0"/>
        <v>0</v>
      </c>
      <c r="M12" s="474">
        <f>SUM('ketv. 6 lent'!O13)</f>
        <v>0</v>
      </c>
      <c r="N12" s="474">
        <v>0</v>
      </c>
      <c r="O12" s="475">
        <f t="shared" si="6"/>
        <v>0</v>
      </c>
      <c r="P12" s="474">
        <f>SUM('ketv. 6 lent'!S13)</f>
        <v>0</v>
      </c>
      <c r="Q12" s="474">
        <v>0</v>
      </c>
      <c r="R12" s="475">
        <f t="shared" si="7"/>
        <v>0</v>
      </c>
      <c r="S12" s="474">
        <f>SUM('ketv. 6 lent'!W13)</f>
        <v>0</v>
      </c>
      <c r="T12" s="474">
        <v>0</v>
      </c>
      <c r="U12" s="475">
        <f t="shared" si="8"/>
        <v>0</v>
      </c>
      <c r="V12" s="474">
        <f>SUM('ketv. 6 lent'!AA13)</f>
        <v>0</v>
      </c>
      <c r="W12" s="474">
        <v>0</v>
      </c>
      <c r="X12" s="475">
        <f t="shared" si="9"/>
        <v>0</v>
      </c>
      <c r="Y12" s="474">
        <f>SUM('ketv. 6 lent'!AE13)</f>
        <v>0</v>
      </c>
      <c r="Z12" s="474">
        <v>0</v>
      </c>
      <c r="AA12" s="728">
        <f t="shared" si="10"/>
        <v>0</v>
      </c>
    </row>
    <row r="13" spans="1:27" ht="48.75" x14ac:dyDescent="0.25">
      <c r="A13" s="992" t="str">
        <f>CONCATENATE('3 pr-2'!A15)</f>
        <v>1.1.1.1.6</v>
      </c>
      <c r="B13" s="1016" t="str">
        <f>CONCATENATE('ketv. 6 lent'!B14)</f>
        <v>-</v>
      </c>
      <c r="C13" s="255" t="str">
        <f>CONCATENATE('3 pr-2'!D15)</f>
        <v>Lazdijų rajono kaimų patrauklumo didinimas atnaujinant bibliotekas</v>
      </c>
      <c r="D13" s="255" t="str">
        <f>CONCATENATE('3 pr-2'!E15)</f>
        <v xml:space="preserve">Biudžetinė įstaiga Lazdijų rajono savivaldybės viešoji biblioteka </v>
      </c>
      <c r="E13" s="255" t="str">
        <f>CONCATENATE('3 pr-2'!F15)</f>
        <v>Lietuvos Respublikos žemės ūkio ministerija</v>
      </c>
      <c r="F13" s="255" t="str">
        <f>CONCATENATE('3 pr-2'!G15)</f>
        <v>Lazdijų rajono savivaldybė</v>
      </c>
      <c r="G13" s="255" t="str">
        <f>CONCATENATE('3 pr-2'!H15)</f>
        <v xml:space="preserve">Pagrindinės paslaugos ir kaimų atnaujinimas kaimo vietovėse </v>
      </c>
      <c r="H13" s="255" t="str">
        <f>CONCATENATE('3 pr-2'!I15)</f>
        <v>R</v>
      </c>
      <c r="I13" s="255" t="str">
        <f>CONCATENATE('3 pr-2'!J15)</f>
        <v>-</v>
      </c>
      <c r="J13" s="474">
        <f>SUM('ketv. 6 lent'!K14)</f>
        <v>0</v>
      </c>
      <c r="K13" s="474">
        <v>0</v>
      </c>
      <c r="L13" s="475">
        <f t="shared" si="0"/>
        <v>0</v>
      </c>
      <c r="M13" s="474">
        <f>SUM('ketv. 6 lent'!O14)</f>
        <v>0</v>
      </c>
      <c r="N13" s="474">
        <v>0</v>
      </c>
      <c r="O13" s="475">
        <f t="shared" si="6"/>
        <v>0</v>
      </c>
      <c r="P13" s="474">
        <f>SUM('ketv. 6 lent'!S14)</f>
        <v>0</v>
      </c>
      <c r="Q13" s="474">
        <v>0</v>
      </c>
      <c r="R13" s="475">
        <f t="shared" si="7"/>
        <v>0</v>
      </c>
      <c r="S13" s="474">
        <f>SUM('ketv. 6 lent'!W14)</f>
        <v>0</v>
      </c>
      <c r="T13" s="474">
        <v>0</v>
      </c>
      <c r="U13" s="475">
        <f t="shared" si="8"/>
        <v>0</v>
      </c>
      <c r="V13" s="474">
        <f>SUM('ketv. 6 lent'!AA14)</f>
        <v>0</v>
      </c>
      <c r="W13" s="474">
        <v>0</v>
      </c>
      <c r="X13" s="475">
        <f t="shared" si="9"/>
        <v>0</v>
      </c>
      <c r="Y13" s="474">
        <f>SUM('ketv. 6 lent'!AE14)</f>
        <v>0</v>
      </c>
      <c r="Z13" s="474">
        <v>0</v>
      </c>
      <c r="AA13" s="728">
        <f t="shared" si="10"/>
        <v>0</v>
      </c>
    </row>
    <row r="14" spans="1:27" ht="48.75" x14ac:dyDescent="0.25">
      <c r="A14" s="992" t="str">
        <f>CONCATENATE('3 pr-2'!A16)</f>
        <v>1.1.1.1.7</v>
      </c>
      <c r="B14" s="1016" t="str">
        <f>CONCATENATE('ketv. 6 lent'!B15)</f>
        <v>-</v>
      </c>
      <c r="C14" s="255" t="str">
        <f>CONCATENATE('3 pr-2'!D16)</f>
        <v>Alytaus rajono Miroslavo kaimo multifunkcinės sporto aikštės įrengimas ir gatvių bei šaligatvių rekonstrukcija</v>
      </c>
      <c r="D14" s="255" t="str">
        <f>CONCATENATE('3 pr-2'!E16)</f>
        <v>Alytaus rajono savivaldybės administracija</v>
      </c>
      <c r="E14" s="255" t="str">
        <f>CONCATENATE('3 pr-2'!F16)</f>
        <v>Lietuvos Respublikos žemės ūkio ministerija</v>
      </c>
      <c r="F14" s="255" t="str">
        <f>CONCATENATE('3 pr-2'!G16)</f>
        <v>Alytaus rajono savivaldybė</v>
      </c>
      <c r="G14" s="255" t="str">
        <f>CONCATENATE('3 pr-2'!H16)</f>
        <v xml:space="preserve">Pagrindinės paslaugos ir kaimų atnaujinimas kaimo vietovėse </v>
      </c>
      <c r="H14" s="255" t="str">
        <f>CONCATENATE('3 pr-2'!I16)</f>
        <v>R</v>
      </c>
      <c r="I14" s="255" t="str">
        <f>CONCATENATE('3 pr-2'!J16)</f>
        <v>-</v>
      </c>
      <c r="J14" s="474">
        <f>SUM('ketv. 6 lent'!K15)</f>
        <v>0</v>
      </c>
      <c r="K14" s="474">
        <v>0</v>
      </c>
      <c r="L14" s="475">
        <f t="shared" si="0"/>
        <v>0</v>
      </c>
      <c r="M14" s="474">
        <f>SUM('ketv. 6 lent'!O15)</f>
        <v>0</v>
      </c>
      <c r="N14" s="474">
        <v>0</v>
      </c>
      <c r="O14" s="475">
        <f t="shared" si="6"/>
        <v>0</v>
      </c>
      <c r="P14" s="474">
        <f>SUM('ketv. 6 lent'!S15)</f>
        <v>0</v>
      </c>
      <c r="Q14" s="474">
        <v>0</v>
      </c>
      <c r="R14" s="475">
        <f t="shared" si="7"/>
        <v>0</v>
      </c>
      <c r="S14" s="474">
        <f>SUM('ketv. 6 lent'!W15)</f>
        <v>0</v>
      </c>
      <c r="T14" s="474">
        <v>0</v>
      </c>
      <c r="U14" s="475">
        <f t="shared" si="8"/>
        <v>0</v>
      </c>
      <c r="V14" s="474">
        <f>SUM('ketv. 6 lent'!AA15)</f>
        <v>0</v>
      </c>
      <c r="W14" s="474">
        <v>0</v>
      </c>
      <c r="X14" s="475">
        <f t="shared" si="9"/>
        <v>0</v>
      </c>
      <c r="Y14" s="474">
        <f>SUM('ketv. 6 lent'!AE15)</f>
        <v>0</v>
      </c>
      <c r="Z14" s="474">
        <v>0</v>
      </c>
      <c r="AA14" s="728">
        <f t="shared" si="10"/>
        <v>0</v>
      </c>
    </row>
    <row r="15" spans="1:27" ht="36.75" x14ac:dyDescent="0.25">
      <c r="A15" s="992" t="str">
        <f>CONCATENATE('3 pr-2'!A17)</f>
        <v>1.1.1.1.8</v>
      </c>
      <c r="B15" s="1016" t="str">
        <f>CONCATENATE('ketv. 6 lent'!B16)</f>
        <v>20KI-KA-17-1-02242-PR001</v>
      </c>
      <c r="C15" s="255" t="str">
        <f>CONCATENATE('3 pr-2'!D17)</f>
        <v>Alytaus rajono Luksnėnų kaimo multifunkcinės sporto aikštės įrengimas ir gatvių rekonstrukcija</v>
      </c>
      <c r="D15" s="255" t="str">
        <f>CONCATENATE('3 pr-2'!E17)</f>
        <v>Alytaus rajono savivaldybės administracija</v>
      </c>
      <c r="E15" s="255" t="str">
        <f>CONCATENATE('3 pr-2'!F17)</f>
        <v>Lietuvos Respublikos žemės ūkio ministerija</v>
      </c>
      <c r="F15" s="255" t="str">
        <f>CONCATENATE('3 pr-2'!G17)</f>
        <v>Alytaus rajono savivaldybė</v>
      </c>
      <c r="G15" s="255" t="str">
        <f>CONCATENATE('3 pr-2'!H17)</f>
        <v xml:space="preserve">Pagrindinės paslaugos ir kaimų atnaujinimas kaimo vietovėse </v>
      </c>
      <c r="H15" s="255" t="str">
        <f>CONCATENATE('3 pr-2'!I17)</f>
        <v>R</v>
      </c>
      <c r="I15" s="255" t="str">
        <f>CONCATENATE('3 pr-2'!J17)</f>
        <v>-</v>
      </c>
      <c r="J15" s="474">
        <f>SUM('ketv. 6 lent'!K16)</f>
        <v>250309</v>
      </c>
      <c r="K15" s="474">
        <v>0</v>
      </c>
      <c r="L15" s="475">
        <f t="shared" si="0"/>
        <v>250309</v>
      </c>
      <c r="M15" s="474">
        <f>SUM('ketv. 6 lent'!O16)</f>
        <v>50309</v>
      </c>
      <c r="N15" s="474">
        <v>0</v>
      </c>
      <c r="O15" s="475">
        <f t="shared" si="6"/>
        <v>50309</v>
      </c>
      <c r="P15" s="474">
        <f>SUM('ketv. 6 lent'!S16)</f>
        <v>30000</v>
      </c>
      <c r="Q15" s="474">
        <v>0</v>
      </c>
      <c r="R15" s="475">
        <f t="shared" si="7"/>
        <v>30000</v>
      </c>
      <c r="S15" s="474">
        <f>SUM('ketv. 6 lent'!W16)</f>
        <v>0</v>
      </c>
      <c r="T15" s="474">
        <v>0</v>
      </c>
      <c r="U15" s="475">
        <f t="shared" si="8"/>
        <v>0</v>
      </c>
      <c r="V15" s="474">
        <f>SUM('ketv. 6 lent'!AA16)</f>
        <v>0</v>
      </c>
      <c r="W15" s="474">
        <v>0</v>
      </c>
      <c r="X15" s="475">
        <f t="shared" si="9"/>
        <v>0</v>
      </c>
      <c r="Y15" s="474">
        <f>SUM('ketv. 6 lent'!AE16)</f>
        <v>170000</v>
      </c>
      <c r="Z15" s="474">
        <v>0</v>
      </c>
      <c r="AA15" s="728">
        <f t="shared" si="10"/>
        <v>170000</v>
      </c>
    </row>
    <row r="16" spans="1:27" ht="36.75" x14ac:dyDescent="0.25">
      <c r="A16" s="992" t="str">
        <f>CONCATENATE('3 pr-2'!A18)</f>
        <v>1.1.1.1.9</v>
      </c>
      <c r="B16" s="1016" t="str">
        <f>CONCATENATE('ketv. 6 lent'!B17)</f>
        <v>-</v>
      </c>
      <c r="C16" s="255" t="str">
        <f>CONCATENATE('3 pr-2'!D18)</f>
        <v>Krikštonių laisvalaikio salės pritaikymas bendruomenės poreikiams</v>
      </c>
      <c r="D16" s="255" t="str">
        <f>CONCATENATE('3 pr-2'!E18)</f>
        <v xml:space="preserve">Viešoji įstaiga Lazdijų kultūros centras </v>
      </c>
      <c r="E16" s="255" t="str">
        <f>CONCATENATE('3 pr-2'!F18)</f>
        <v>Lietuvos Respublikos žemės ūkio ministerija</v>
      </c>
      <c r="F16" s="255" t="str">
        <f>CONCATENATE('3 pr-2'!G18)</f>
        <v>Lazdijų rajono savivaldybė</v>
      </c>
      <c r="G16" s="255" t="str">
        <f>CONCATENATE('3 pr-2'!H18)</f>
        <v xml:space="preserve">Pagrindinės paslaugos ir kaimų atnaujinimas kaimo vietovėse </v>
      </c>
      <c r="H16" s="255" t="str">
        <f>CONCATENATE('3 pr-2'!I18)</f>
        <v>R</v>
      </c>
      <c r="I16" s="255" t="str">
        <f>CONCATENATE('3 pr-2'!J18)</f>
        <v>-</v>
      </c>
      <c r="J16" s="474">
        <f>SUM('ketv. 6 lent'!K17)</f>
        <v>0</v>
      </c>
      <c r="K16" s="474">
        <v>0</v>
      </c>
      <c r="L16" s="475">
        <f t="shared" si="0"/>
        <v>0</v>
      </c>
      <c r="M16" s="474">
        <f>SUM('ketv. 6 lent'!O17)</f>
        <v>0</v>
      </c>
      <c r="N16" s="474">
        <v>0</v>
      </c>
      <c r="O16" s="475">
        <f t="shared" si="6"/>
        <v>0</v>
      </c>
      <c r="P16" s="474">
        <f>SUM('ketv. 6 lent'!S17)</f>
        <v>0</v>
      </c>
      <c r="Q16" s="474">
        <v>0</v>
      </c>
      <c r="R16" s="475">
        <f t="shared" si="7"/>
        <v>0</v>
      </c>
      <c r="S16" s="474">
        <f>SUM('ketv. 6 lent'!W17)</f>
        <v>0</v>
      </c>
      <c r="T16" s="474">
        <v>0</v>
      </c>
      <c r="U16" s="475">
        <f t="shared" si="8"/>
        <v>0</v>
      </c>
      <c r="V16" s="474">
        <f>SUM('ketv. 6 lent'!AA17)</f>
        <v>0</v>
      </c>
      <c r="W16" s="474">
        <v>0</v>
      </c>
      <c r="X16" s="475">
        <f t="shared" si="9"/>
        <v>0</v>
      </c>
      <c r="Y16" s="474">
        <f>SUM('ketv. 6 lent'!AE17)</f>
        <v>0</v>
      </c>
      <c r="Z16" s="474">
        <v>0</v>
      </c>
      <c r="AA16" s="728">
        <f t="shared" si="10"/>
        <v>0</v>
      </c>
    </row>
    <row r="17" spans="1:27" ht="36.75" x14ac:dyDescent="0.25">
      <c r="A17" s="992" t="str">
        <f>CONCATENATE('3 pr-2'!A19)</f>
        <v>1.1.1.1.10</v>
      </c>
      <c r="B17" s="1016" t="str">
        <f>CONCATENATE('ketv. 6 lent'!B18)</f>
        <v>-</v>
      </c>
      <c r="C17" s="255" t="str">
        <f>CONCATENATE('3 pr-2'!D19)</f>
        <v>Kučiūnų laisvalaikio salės pritaikymas bendruomenės poreikiams</v>
      </c>
      <c r="D17" s="255" t="str">
        <f>CONCATENATE('3 pr-2'!E19)</f>
        <v xml:space="preserve">Viešoji įstaiga Lazdijų kultūros centras </v>
      </c>
      <c r="E17" s="255" t="str">
        <f>CONCATENATE('3 pr-2'!F19)</f>
        <v>Lietuvos Respublikos žemės ūkio ministerija</v>
      </c>
      <c r="F17" s="255" t="str">
        <f>CONCATENATE('3 pr-2'!G19)</f>
        <v>Lazdijų rajono savivaldybė</v>
      </c>
      <c r="G17" s="255" t="str">
        <f>CONCATENATE('3 pr-2'!H19)</f>
        <v xml:space="preserve">Pagrindinės paslaugos ir kaimų atnaujinimas kaimo vietovėse </v>
      </c>
      <c r="H17" s="255" t="str">
        <f>CONCATENATE('3 pr-2'!I19)</f>
        <v>R</v>
      </c>
      <c r="I17" s="255" t="str">
        <f>CONCATENATE('3 pr-2'!J19)</f>
        <v>-</v>
      </c>
      <c r="J17" s="474">
        <f>SUM('ketv. 6 lent'!K18)</f>
        <v>0</v>
      </c>
      <c r="K17" s="474">
        <v>0</v>
      </c>
      <c r="L17" s="475">
        <f t="shared" si="0"/>
        <v>0</v>
      </c>
      <c r="M17" s="474">
        <f>SUM('ketv. 6 lent'!O18)</f>
        <v>0</v>
      </c>
      <c r="N17" s="474">
        <v>0</v>
      </c>
      <c r="O17" s="475">
        <f t="shared" si="6"/>
        <v>0</v>
      </c>
      <c r="P17" s="474">
        <f>SUM('ketv. 6 lent'!S18)</f>
        <v>0</v>
      </c>
      <c r="Q17" s="474">
        <v>0</v>
      </c>
      <c r="R17" s="475">
        <f t="shared" si="7"/>
        <v>0</v>
      </c>
      <c r="S17" s="474">
        <f>SUM('ketv. 6 lent'!W18)</f>
        <v>0</v>
      </c>
      <c r="T17" s="474">
        <v>0</v>
      </c>
      <c r="U17" s="475">
        <f t="shared" si="8"/>
        <v>0</v>
      </c>
      <c r="V17" s="474">
        <f>SUM('ketv. 6 lent'!AA18)</f>
        <v>0</v>
      </c>
      <c r="W17" s="474">
        <v>0</v>
      </c>
      <c r="X17" s="475">
        <f t="shared" si="9"/>
        <v>0</v>
      </c>
      <c r="Y17" s="474">
        <f>SUM('ketv. 6 lent'!AE18)</f>
        <v>0</v>
      </c>
      <c r="Z17" s="474">
        <v>0</v>
      </c>
      <c r="AA17" s="728">
        <f t="shared" si="10"/>
        <v>0</v>
      </c>
    </row>
    <row r="18" spans="1:27" ht="36.75" x14ac:dyDescent="0.25">
      <c r="A18" s="992" t="str">
        <f>CONCATENATE('3 pr-2'!A20)</f>
        <v>1.1.1.1.11</v>
      </c>
      <c r="B18" s="1016" t="str">
        <f>CONCATENATE('ketv. 6 lent'!B19)</f>
        <v>-</v>
      </c>
      <c r="C18" s="255" t="str">
        <f>CONCATENATE('3 pr-2'!D20)</f>
        <v>Laisvalaikio infrastruktūros sukūrimas Lazdijų rajono kaimo gyvenamosiose vietovėse</v>
      </c>
      <c r="D18" s="255" t="str">
        <f>CONCATENATE('3 pr-2'!E20)</f>
        <v>Lazdijų rajono savivaldybės administracija</v>
      </c>
      <c r="E18" s="255" t="str">
        <f>CONCATENATE('3 pr-2'!F20)</f>
        <v>Lietuvos Respublikos žemės ūkio ministerija</v>
      </c>
      <c r="F18" s="255" t="str">
        <f>CONCATENATE('3 pr-2'!G20)</f>
        <v>Lazdijų rajono savivaldybė</v>
      </c>
      <c r="G18" s="255" t="str">
        <f>CONCATENATE('3 pr-2'!H20)</f>
        <v xml:space="preserve">Pagrindinės paslaugos ir kaimų atnaujinimas kaimo vietovėse </v>
      </c>
      <c r="H18" s="255" t="str">
        <f>CONCATENATE('3 pr-2'!I20)</f>
        <v>R</v>
      </c>
      <c r="I18" s="255" t="str">
        <f>CONCATENATE('3 pr-2'!J20)</f>
        <v>-</v>
      </c>
      <c r="J18" s="474">
        <f>SUM('ketv. 6 lent'!K19)</f>
        <v>0</v>
      </c>
      <c r="K18" s="474">
        <v>0</v>
      </c>
      <c r="L18" s="475">
        <f t="shared" si="0"/>
        <v>0</v>
      </c>
      <c r="M18" s="474">
        <f>SUM('ketv. 6 lent'!O19)</f>
        <v>0</v>
      </c>
      <c r="N18" s="474">
        <v>0</v>
      </c>
      <c r="O18" s="475">
        <f t="shared" si="6"/>
        <v>0</v>
      </c>
      <c r="P18" s="474">
        <f>SUM('ketv. 6 lent'!S19)</f>
        <v>0</v>
      </c>
      <c r="Q18" s="474">
        <v>0</v>
      </c>
      <c r="R18" s="475">
        <f t="shared" si="7"/>
        <v>0</v>
      </c>
      <c r="S18" s="474">
        <f>SUM('ketv. 6 lent'!W19)</f>
        <v>0</v>
      </c>
      <c r="T18" s="474">
        <v>0</v>
      </c>
      <c r="U18" s="475">
        <f t="shared" si="8"/>
        <v>0</v>
      </c>
      <c r="V18" s="474">
        <f>SUM('ketv. 6 lent'!AA19)</f>
        <v>0</v>
      </c>
      <c r="W18" s="474">
        <v>0</v>
      </c>
      <c r="X18" s="475">
        <f t="shared" si="9"/>
        <v>0</v>
      </c>
      <c r="Y18" s="474">
        <f>SUM('ketv. 6 lent'!AE19)</f>
        <v>0</v>
      </c>
      <c r="Z18" s="474">
        <v>0</v>
      </c>
      <c r="AA18" s="728">
        <f t="shared" si="10"/>
        <v>0</v>
      </c>
    </row>
    <row r="19" spans="1:27" ht="48.75" x14ac:dyDescent="0.25">
      <c r="A19" s="992" t="str">
        <f>CONCATENATE('3 pr-2'!A21)</f>
        <v>1.1.1.1.12</v>
      </c>
      <c r="B19" s="1016" t="str">
        <f>CONCATENATE('ketv. 6 lent'!B20)</f>
        <v>-</v>
      </c>
      <c r="C19" s="255" t="str">
        <f>CONCATENATE('3 pr-2'!D21)</f>
        <v>Alytaus rajono Butrimonių miestelio šaligatvių kapitalinis remontas ir gyvenvietės apšvietimo įrengimas</v>
      </c>
      <c r="D19" s="255" t="str">
        <f>CONCATENATE('3 pr-2'!E21)</f>
        <v>Alytaus rajono savivaldybės administracija</v>
      </c>
      <c r="E19" s="255" t="str">
        <f>CONCATENATE('3 pr-2'!F21)</f>
        <v>Lietuvos Respublikos žemės ūkio ministerija</v>
      </c>
      <c r="F19" s="255" t="str">
        <f>CONCATENATE('3 pr-2'!G21)</f>
        <v>Alytaus rajono savivaldybė</v>
      </c>
      <c r="G19" s="255" t="str">
        <f>CONCATENATE('3 pr-2'!H21)</f>
        <v xml:space="preserve">Pagrindinės paslaugos ir kaimų atnaujinimas kaimo vietovėse </v>
      </c>
      <c r="H19" s="255" t="str">
        <f>CONCATENATE('3 pr-2'!I21)</f>
        <v>R</v>
      </c>
      <c r="I19" s="255" t="str">
        <f>CONCATENATE('3 pr-2'!J21)</f>
        <v>-</v>
      </c>
      <c r="J19" s="474">
        <f>SUM('ketv. 6 lent'!K20)</f>
        <v>0</v>
      </c>
      <c r="K19" s="474">
        <v>0</v>
      </c>
      <c r="L19" s="475">
        <f t="shared" si="0"/>
        <v>0</v>
      </c>
      <c r="M19" s="474">
        <f>SUM('ketv. 6 lent'!O20)</f>
        <v>0</v>
      </c>
      <c r="N19" s="474">
        <v>0</v>
      </c>
      <c r="O19" s="475">
        <f t="shared" si="6"/>
        <v>0</v>
      </c>
      <c r="P19" s="474">
        <f>SUM('ketv. 6 lent'!S20)</f>
        <v>0</v>
      </c>
      <c r="Q19" s="474">
        <v>0</v>
      </c>
      <c r="R19" s="475">
        <f t="shared" si="7"/>
        <v>0</v>
      </c>
      <c r="S19" s="474">
        <f>SUM('ketv. 6 lent'!W20)</f>
        <v>0</v>
      </c>
      <c r="T19" s="474">
        <v>0</v>
      </c>
      <c r="U19" s="475">
        <f t="shared" si="8"/>
        <v>0</v>
      </c>
      <c r="V19" s="474">
        <f>SUM('ketv. 6 lent'!AA20)</f>
        <v>0</v>
      </c>
      <c r="W19" s="474">
        <v>0</v>
      </c>
      <c r="X19" s="475">
        <f t="shared" si="9"/>
        <v>0</v>
      </c>
      <c r="Y19" s="474">
        <f>SUM('ketv. 6 lent'!AE20)</f>
        <v>0</v>
      </c>
      <c r="Z19" s="474">
        <v>0</v>
      </c>
      <c r="AA19" s="728">
        <f t="shared" si="10"/>
        <v>0</v>
      </c>
    </row>
    <row r="20" spans="1:27" ht="36.75" x14ac:dyDescent="0.25">
      <c r="A20" s="992" t="str">
        <f>CONCATENATE('3 pr-2'!A22)</f>
        <v>1.1.1.1.13</v>
      </c>
      <c r="B20" s="1016" t="str">
        <f>CONCATENATE('ketv. 6 lent'!B21)</f>
        <v>-</v>
      </c>
      <c r="C20" s="255" t="str">
        <f>CONCATENATE('3 pr-2'!D22)</f>
        <v>Alytaus rajono Genių kaimo sporto aikštės įrengimas ir gatvių rekonstrukcija</v>
      </c>
      <c r="D20" s="255" t="str">
        <f>CONCATENATE('3 pr-2'!E22)</f>
        <v>Alytaus rajono savivaldybės administracija</v>
      </c>
      <c r="E20" s="255" t="str">
        <f>CONCATENATE('3 pr-2'!F22)</f>
        <v>Lietuvos Respublikos žemės ūkio ministerija</v>
      </c>
      <c r="F20" s="255" t="str">
        <f>CONCATENATE('3 pr-2'!G22)</f>
        <v>Alytaus rajono savivaldybė</v>
      </c>
      <c r="G20" s="255" t="str">
        <f>CONCATENATE('3 pr-2'!H22)</f>
        <v xml:space="preserve">Pagrindinės paslaugos ir kaimų atnaujinimas kaimo vietovėse </v>
      </c>
      <c r="H20" s="255" t="str">
        <f>CONCATENATE('3 pr-2'!I22)</f>
        <v>R</v>
      </c>
      <c r="I20" s="255" t="str">
        <f>CONCATENATE('3 pr-2'!J22)</f>
        <v>-</v>
      </c>
      <c r="J20" s="474">
        <f>SUM('ketv. 6 lent'!K21)</f>
        <v>0</v>
      </c>
      <c r="K20" s="474">
        <v>0</v>
      </c>
      <c r="L20" s="475">
        <f t="shared" si="0"/>
        <v>0</v>
      </c>
      <c r="M20" s="474">
        <f>SUM('ketv. 6 lent'!O21)</f>
        <v>0</v>
      </c>
      <c r="N20" s="474">
        <v>0</v>
      </c>
      <c r="O20" s="475">
        <f t="shared" si="6"/>
        <v>0</v>
      </c>
      <c r="P20" s="474">
        <f>SUM('ketv. 6 lent'!S21)</f>
        <v>0</v>
      </c>
      <c r="Q20" s="474">
        <v>0</v>
      </c>
      <c r="R20" s="475">
        <f t="shared" si="7"/>
        <v>0</v>
      </c>
      <c r="S20" s="474">
        <f>SUM('ketv. 6 lent'!W21)</f>
        <v>0</v>
      </c>
      <c r="T20" s="474">
        <v>0</v>
      </c>
      <c r="U20" s="475">
        <f t="shared" si="8"/>
        <v>0</v>
      </c>
      <c r="V20" s="474">
        <f>SUM('ketv. 6 lent'!AA21)</f>
        <v>0</v>
      </c>
      <c r="W20" s="474">
        <v>0</v>
      </c>
      <c r="X20" s="475">
        <f t="shared" si="9"/>
        <v>0</v>
      </c>
      <c r="Y20" s="474">
        <f>SUM('ketv. 6 lent'!AE21)</f>
        <v>0</v>
      </c>
      <c r="Z20" s="474">
        <v>0</v>
      </c>
      <c r="AA20" s="728">
        <f t="shared" si="10"/>
        <v>0</v>
      </c>
    </row>
    <row r="21" spans="1:27" ht="36.75" x14ac:dyDescent="0.25">
      <c r="A21" s="992" t="str">
        <f>CONCATENATE('3 pr-2'!A23)</f>
        <v>1.1.1.1.14</v>
      </c>
      <c r="B21" s="1016" t="str">
        <f>CONCATENATE('ketv. 6 lent'!B22)</f>
        <v>-</v>
      </c>
      <c r="C21" s="255" t="str">
        <f>CONCATENATE('3 pr-2'!D23)</f>
        <v>Varėnos r. Dargužių kaimo Liepų gatvės ir viešosios erdvės įrengimas</v>
      </c>
      <c r="D21" s="255" t="str">
        <f>CONCATENATE('3 pr-2'!E23)</f>
        <v xml:space="preserve">Varėnos rajono savivaldybės administracija </v>
      </c>
      <c r="E21" s="255" t="str">
        <f>CONCATENATE('3 pr-2'!F23)</f>
        <v>Lietuvos Respublikos žemės ūkio ministerija</v>
      </c>
      <c r="F21" s="255" t="str">
        <f>CONCATENATE('3 pr-2'!G23)</f>
        <v>Varėnos rajono savivaldybė</v>
      </c>
      <c r="G21" s="255" t="str">
        <f>CONCATENATE('3 pr-2'!H23)</f>
        <v xml:space="preserve">Pagrindinės paslaugos ir kaimų atnaujinimas kaimo vietovėse </v>
      </c>
      <c r="H21" s="255" t="str">
        <f>CONCATENATE('3 pr-2'!I23)</f>
        <v>R</v>
      </c>
      <c r="I21" s="255" t="str">
        <f>CONCATENATE('3 pr-2'!J23)</f>
        <v>-</v>
      </c>
      <c r="J21" s="474">
        <f>SUM('ketv. 6 lent'!K22)</f>
        <v>0</v>
      </c>
      <c r="K21" s="474">
        <v>0</v>
      </c>
      <c r="L21" s="475">
        <f t="shared" si="0"/>
        <v>0</v>
      </c>
      <c r="M21" s="474">
        <f>SUM('ketv. 6 lent'!O22)</f>
        <v>0</v>
      </c>
      <c r="N21" s="474">
        <v>0</v>
      </c>
      <c r="O21" s="475">
        <f t="shared" si="6"/>
        <v>0</v>
      </c>
      <c r="P21" s="474">
        <f>SUM('ketv. 6 lent'!S22)</f>
        <v>0</v>
      </c>
      <c r="Q21" s="474">
        <v>0</v>
      </c>
      <c r="R21" s="475">
        <f t="shared" si="7"/>
        <v>0</v>
      </c>
      <c r="S21" s="474">
        <f>SUM('ketv. 6 lent'!W22)</f>
        <v>0</v>
      </c>
      <c r="T21" s="474">
        <v>0</v>
      </c>
      <c r="U21" s="475">
        <f t="shared" si="8"/>
        <v>0</v>
      </c>
      <c r="V21" s="474">
        <f>SUM('ketv. 6 lent'!AA22)</f>
        <v>0</v>
      </c>
      <c r="W21" s="474">
        <v>0</v>
      </c>
      <c r="X21" s="475">
        <f t="shared" si="9"/>
        <v>0</v>
      </c>
      <c r="Y21" s="474">
        <f>SUM('ketv. 6 lent'!AE22)</f>
        <v>0</v>
      </c>
      <c r="Z21" s="474">
        <v>0</v>
      </c>
      <c r="AA21" s="728">
        <f t="shared" si="10"/>
        <v>0</v>
      </c>
    </row>
    <row r="22" spans="1:27" ht="48.75" x14ac:dyDescent="0.25">
      <c r="A22" s="992" t="str">
        <f>CONCATENATE('3 pr-2'!A24)</f>
        <v>1.1.1.1.15</v>
      </c>
      <c r="B22" s="1016" t="str">
        <f>CONCATENATE('ketv. 6 lent'!B23)</f>
        <v>-</v>
      </c>
      <c r="C22" s="255" t="str">
        <f>CONCATENATE('3 pr-2'!D24)</f>
        <v>Alytaus rajono Vaisodžių kaimo sporto aikštės įrengimas ir gatvių apšvietimo atnaujinimas bei plėtra</v>
      </c>
      <c r="D22" s="255" t="str">
        <f>CONCATENATE('3 pr-2'!E24)</f>
        <v>Alytaus rajono savivaldybės administracija</v>
      </c>
      <c r="E22" s="255" t="str">
        <f>CONCATENATE('3 pr-2'!F24)</f>
        <v>Lietuvos Respublikos žemės ūkio ministerija</v>
      </c>
      <c r="F22" s="255" t="str">
        <f>CONCATENATE('3 pr-2'!G24)</f>
        <v>Alytaus rajono savivaldybė</v>
      </c>
      <c r="G22" s="255" t="str">
        <f>CONCATENATE('3 pr-2'!H24)</f>
        <v xml:space="preserve">Pagrindinės paslaugos ir kaimų atnaujinimas kaimo vietovėse </v>
      </c>
      <c r="H22" s="255" t="str">
        <f>CONCATENATE('3 pr-2'!I24)</f>
        <v>R</v>
      </c>
      <c r="I22" s="255" t="str">
        <f>CONCATENATE('3 pr-2'!J24)</f>
        <v>-</v>
      </c>
      <c r="J22" s="474">
        <f>SUM('ketv. 6 lent'!K23)</f>
        <v>0</v>
      </c>
      <c r="K22" s="474">
        <v>0</v>
      </c>
      <c r="L22" s="475">
        <f t="shared" si="0"/>
        <v>0</v>
      </c>
      <c r="M22" s="474">
        <f>SUM('ketv. 6 lent'!O23)</f>
        <v>0</v>
      </c>
      <c r="N22" s="474">
        <v>0</v>
      </c>
      <c r="O22" s="475">
        <f t="shared" si="6"/>
        <v>0</v>
      </c>
      <c r="P22" s="474">
        <f>SUM('ketv. 6 lent'!S23)</f>
        <v>0</v>
      </c>
      <c r="Q22" s="474">
        <v>0</v>
      </c>
      <c r="R22" s="475">
        <f t="shared" si="7"/>
        <v>0</v>
      </c>
      <c r="S22" s="474">
        <f>SUM('ketv. 6 lent'!W23)</f>
        <v>0</v>
      </c>
      <c r="T22" s="474">
        <v>0</v>
      </c>
      <c r="U22" s="475">
        <f t="shared" si="8"/>
        <v>0</v>
      </c>
      <c r="V22" s="474">
        <f>SUM('ketv. 6 lent'!AA23)</f>
        <v>0</v>
      </c>
      <c r="W22" s="474">
        <v>0</v>
      </c>
      <c r="X22" s="475">
        <f t="shared" si="9"/>
        <v>0</v>
      </c>
      <c r="Y22" s="474">
        <f>SUM('ketv. 6 lent'!AE23)</f>
        <v>0</v>
      </c>
      <c r="Z22" s="474">
        <v>0</v>
      </c>
      <c r="AA22" s="728">
        <f t="shared" si="10"/>
        <v>0</v>
      </c>
    </row>
    <row r="23" spans="1:27" ht="36.75" x14ac:dyDescent="0.25">
      <c r="A23" s="992" t="str">
        <f>CONCATENATE('3 pr-2'!A25)</f>
        <v>1.1.1.1.16</v>
      </c>
      <c r="B23" s="1016" t="str">
        <f>CONCATENATE('ketv. 6 lent'!B24)</f>
        <v>-</v>
      </c>
      <c r="C23" s="255" t="str">
        <f>CONCATENATE('3 pr-2'!D25)</f>
        <v>Alytaus rajono Talokių kaimo sporto aikštės įrengimas ir Plytinės gatvės apšvietimas</v>
      </c>
      <c r="D23" s="255" t="str">
        <f>CONCATENATE('3 pr-2'!E25)</f>
        <v>Alytaus rajono savivaldybės administracija</v>
      </c>
      <c r="E23" s="255" t="str">
        <f>CONCATENATE('3 pr-2'!F25)</f>
        <v>Lietuvos Respublikos žemės ūkio ministerija</v>
      </c>
      <c r="F23" s="255" t="str">
        <f>CONCATENATE('3 pr-2'!G25)</f>
        <v>Alytaus rajono savivaldybė</v>
      </c>
      <c r="G23" s="255" t="str">
        <f>CONCATENATE('3 pr-2'!H25)</f>
        <v xml:space="preserve">Pagrindinės paslaugos ir kaimų atnaujinimas kaimo vietovėse </v>
      </c>
      <c r="H23" s="255" t="str">
        <f>CONCATENATE('3 pr-2'!I25)</f>
        <v>R</v>
      </c>
      <c r="I23" s="255" t="str">
        <f>CONCATENATE('3 pr-2'!J25)</f>
        <v>-</v>
      </c>
      <c r="J23" s="474">
        <f>SUM('ketv. 6 lent'!K24)</f>
        <v>0</v>
      </c>
      <c r="K23" s="474">
        <v>0</v>
      </c>
      <c r="L23" s="475">
        <f t="shared" si="0"/>
        <v>0</v>
      </c>
      <c r="M23" s="474">
        <f>SUM('ketv. 6 lent'!O24)</f>
        <v>0</v>
      </c>
      <c r="N23" s="474">
        <v>0</v>
      </c>
      <c r="O23" s="475">
        <f t="shared" si="6"/>
        <v>0</v>
      </c>
      <c r="P23" s="474">
        <f>SUM('ketv. 6 lent'!S24)</f>
        <v>0</v>
      </c>
      <c r="Q23" s="474">
        <v>0</v>
      </c>
      <c r="R23" s="475">
        <f t="shared" si="7"/>
        <v>0</v>
      </c>
      <c r="S23" s="474">
        <f>SUM('ketv. 6 lent'!W24)</f>
        <v>0</v>
      </c>
      <c r="T23" s="474">
        <v>0</v>
      </c>
      <c r="U23" s="475">
        <f t="shared" si="8"/>
        <v>0</v>
      </c>
      <c r="V23" s="474">
        <f>SUM('ketv. 6 lent'!AA24)</f>
        <v>0</v>
      </c>
      <c r="W23" s="474">
        <v>0</v>
      </c>
      <c r="X23" s="475">
        <f t="shared" si="9"/>
        <v>0</v>
      </c>
      <c r="Y23" s="474">
        <f>SUM('ketv. 6 lent'!AE24)</f>
        <v>0</v>
      </c>
      <c r="Z23" s="474">
        <v>0</v>
      </c>
      <c r="AA23" s="728">
        <f t="shared" si="10"/>
        <v>0</v>
      </c>
    </row>
    <row r="24" spans="1:27" ht="36.75" x14ac:dyDescent="0.25">
      <c r="A24" s="992" t="str">
        <f>CONCATENATE('3 pr-2'!A26)</f>
        <v>1.1.1.1.17</v>
      </c>
      <c r="B24" s="1016" t="str">
        <f>CONCATENATE('ketv. 6 lent'!B25)</f>
        <v>20KI-KA-17-1-01639-PR001</v>
      </c>
      <c r="C24" s="255" t="str">
        <f>CONCATENATE('3 pr-2'!D26)</f>
        <v>Varėnos r. Rudnios kaimo Pušyno gatvės įrengimas</v>
      </c>
      <c r="D24" s="255" t="str">
        <f>CONCATENATE('3 pr-2'!E26)</f>
        <v xml:space="preserve">Varėnos rajono savivaldybės administracija </v>
      </c>
      <c r="E24" s="255" t="str">
        <f>CONCATENATE('3 pr-2'!F26)</f>
        <v>Lietuvos Respublikos žemės ūkio ministerija</v>
      </c>
      <c r="F24" s="255" t="str">
        <f>CONCATENATE('3 pr-2'!G26)</f>
        <v>Varėnos rajono savivaldybė</v>
      </c>
      <c r="G24" s="255" t="str">
        <f>CONCATENATE('3 pr-2'!H26)</f>
        <v xml:space="preserve">Pagrindinės paslaugos ir kaimų atnaujinimas kaimo vietovėse </v>
      </c>
      <c r="H24" s="255" t="str">
        <f>CONCATENATE('3 pr-2'!I26)</f>
        <v>R</v>
      </c>
      <c r="I24" s="255" t="str">
        <f>CONCATENATE('3 pr-2'!J26)</f>
        <v>-</v>
      </c>
      <c r="J24" s="474">
        <f>SUM('ketv. 6 lent'!K25)</f>
        <v>115623.75</v>
      </c>
      <c r="K24" s="474">
        <v>0</v>
      </c>
      <c r="L24" s="475">
        <f t="shared" si="0"/>
        <v>115623.75</v>
      </c>
      <c r="M24" s="474">
        <f>SUM('ketv. 6 lent'!O25)</f>
        <v>23124.75</v>
      </c>
      <c r="N24" s="474">
        <v>0</v>
      </c>
      <c r="O24" s="475">
        <f t="shared" si="6"/>
        <v>23124.75</v>
      </c>
      <c r="P24" s="474">
        <f>SUM('ketv. 6 lent'!S25)</f>
        <v>13874.85</v>
      </c>
      <c r="Q24" s="474">
        <v>0</v>
      </c>
      <c r="R24" s="475">
        <f t="shared" si="7"/>
        <v>13874.85</v>
      </c>
      <c r="S24" s="474">
        <f>SUM('ketv. 6 lent'!W25)</f>
        <v>0</v>
      </c>
      <c r="T24" s="474">
        <v>0</v>
      </c>
      <c r="U24" s="475">
        <f t="shared" si="8"/>
        <v>0</v>
      </c>
      <c r="V24" s="474">
        <f>SUM('ketv. 6 lent'!AA25)</f>
        <v>0</v>
      </c>
      <c r="W24" s="474">
        <v>0</v>
      </c>
      <c r="X24" s="475">
        <f t="shared" si="9"/>
        <v>0</v>
      </c>
      <c r="Y24" s="474">
        <f>SUM('ketv. 6 lent'!AE25)</f>
        <v>78624.149999999994</v>
      </c>
      <c r="Z24" s="474">
        <v>0</v>
      </c>
      <c r="AA24" s="728">
        <f t="shared" si="10"/>
        <v>78624.149999999994</v>
      </c>
    </row>
    <row r="25" spans="1:27" ht="48.75" x14ac:dyDescent="0.25">
      <c r="A25" s="992" t="str">
        <f>CONCATENATE('3 pr-2'!A27)</f>
        <v>1.1.1.1.18</v>
      </c>
      <c r="B25" s="1016" t="str">
        <f>CONCATENATE('ketv. 6 lent'!B26)</f>
        <v>-</v>
      </c>
      <c r="C25" s="255" t="str">
        <f>CONCATENATE('3 pr-2'!D27)</f>
        <v>Varėnos kultūros centro Žilinų filialo pastato atnaujinimas ir pritaikymas bendruomenės poreikiams</v>
      </c>
      <c r="D25" s="255" t="str">
        <f>CONCATENATE('3 pr-2'!E27)</f>
        <v xml:space="preserve">Varėnos rajono savivaldybės administracija </v>
      </c>
      <c r="E25" s="255" t="str">
        <f>CONCATENATE('3 pr-2'!F27)</f>
        <v>Lietuvos Respublikos žemės ūkio ministerija</v>
      </c>
      <c r="F25" s="255" t="str">
        <f>CONCATENATE('3 pr-2'!G27)</f>
        <v>Varėnos rajono savivaldybė</v>
      </c>
      <c r="G25" s="255" t="str">
        <f>CONCATENATE('3 pr-2'!H27)</f>
        <v xml:space="preserve">Pagrindinės paslaugos ir kaimų atnaujinimas kaimo vietovėse </v>
      </c>
      <c r="H25" s="255" t="str">
        <f>CONCATENATE('3 pr-2'!I27)</f>
        <v>R</v>
      </c>
      <c r="I25" s="255" t="str">
        <f>CONCATENATE('3 pr-2'!J27)</f>
        <v>-</v>
      </c>
      <c r="J25" s="474">
        <f>SUM('ketv. 6 lent'!K26)</f>
        <v>0</v>
      </c>
      <c r="K25" s="474">
        <v>0</v>
      </c>
      <c r="L25" s="475">
        <f t="shared" si="0"/>
        <v>0</v>
      </c>
      <c r="M25" s="474">
        <f>SUM('ketv. 6 lent'!O26)</f>
        <v>0</v>
      </c>
      <c r="N25" s="474">
        <v>0</v>
      </c>
      <c r="O25" s="475">
        <f t="shared" si="6"/>
        <v>0</v>
      </c>
      <c r="P25" s="474">
        <f>SUM('ketv. 6 lent'!S26)</f>
        <v>0</v>
      </c>
      <c r="Q25" s="474">
        <v>0</v>
      </c>
      <c r="R25" s="475">
        <f t="shared" si="7"/>
        <v>0</v>
      </c>
      <c r="S25" s="474">
        <f>SUM('ketv. 6 lent'!W26)</f>
        <v>0</v>
      </c>
      <c r="T25" s="474">
        <v>0</v>
      </c>
      <c r="U25" s="475">
        <f t="shared" si="8"/>
        <v>0</v>
      </c>
      <c r="V25" s="474">
        <f>SUM('ketv. 6 lent'!AA26)</f>
        <v>0</v>
      </c>
      <c r="W25" s="474">
        <v>0</v>
      </c>
      <c r="X25" s="475">
        <f t="shared" si="9"/>
        <v>0</v>
      </c>
      <c r="Y25" s="474">
        <f>SUM('ketv. 6 lent'!AE26)</f>
        <v>0</v>
      </c>
      <c r="Z25" s="474">
        <v>0</v>
      </c>
      <c r="AA25" s="728">
        <f t="shared" si="10"/>
        <v>0</v>
      </c>
    </row>
    <row r="26" spans="1:27" ht="48.75" x14ac:dyDescent="0.25">
      <c r="A26" s="992" t="str">
        <f>CONCATENATE('3 pr-2'!A28)</f>
        <v>1.1.1.1.19</v>
      </c>
      <c r="B26" s="1016" t="str">
        <f>CONCATENATE('ketv. 6 lent'!B27)</f>
        <v>-</v>
      </c>
      <c r="C26" s="255" t="str">
        <f>CONCATENATE('3 pr-2'!D28)</f>
        <v>Alytaus rajono Pivašiūnų kaimo šaligatvių, laiptų kapitalinis remontas ir gyvenvietės apšvietimo įrengimas</v>
      </c>
      <c r="D26" s="255" t="str">
        <f>CONCATENATE('3 pr-2'!E28)</f>
        <v>Alytaus rajono savivaldybės administracija</v>
      </c>
      <c r="E26" s="255" t="str">
        <f>CONCATENATE('3 pr-2'!F28)</f>
        <v>Lietuvos Respublikos žemės ūkio ministerija</v>
      </c>
      <c r="F26" s="255" t="str">
        <f>CONCATENATE('3 pr-2'!G28)</f>
        <v>Alytaus rajono savivaldybė</v>
      </c>
      <c r="G26" s="255" t="str">
        <f>CONCATENATE('3 pr-2'!H28)</f>
        <v xml:space="preserve">Pagrindinės paslaugos ir kaimų atnaujinimas kaimo vietovėse </v>
      </c>
      <c r="H26" s="255" t="str">
        <f>CONCATENATE('3 pr-2'!I28)</f>
        <v>R</v>
      </c>
      <c r="I26" s="255" t="str">
        <f>CONCATENATE('3 pr-2'!J28)</f>
        <v>-</v>
      </c>
      <c r="J26" s="474">
        <f>SUM('ketv. 6 lent'!K27)</f>
        <v>0</v>
      </c>
      <c r="K26" s="474">
        <v>0</v>
      </c>
      <c r="L26" s="475">
        <f t="shared" si="0"/>
        <v>0</v>
      </c>
      <c r="M26" s="474">
        <f>SUM('ketv. 6 lent'!O27)</f>
        <v>0</v>
      </c>
      <c r="N26" s="474">
        <v>0</v>
      </c>
      <c r="O26" s="475">
        <f t="shared" si="6"/>
        <v>0</v>
      </c>
      <c r="P26" s="474">
        <f>SUM('ketv. 6 lent'!S27)</f>
        <v>0</v>
      </c>
      <c r="Q26" s="474">
        <v>0</v>
      </c>
      <c r="R26" s="475">
        <f t="shared" si="7"/>
        <v>0</v>
      </c>
      <c r="S26" s="474">
        <f>SUM('ketv. 6 lent'!W27)</f>
        <v>0</v>
      </c>
      <c r="T26" s="474">
        <v>0</v>
      </c>
      <c r="U26" s="475">
        <f t="shared" si="8"/>
        <v>0</v>
      </c>
      <c r="V26" s="474">
        <f>SUM('ketv. 6 lent'!AA27)</f>
        <v>0</v>
      </c>
      <c r="W26" s="474">
        <v>0</v>
      </c>
      <c r="X26" s="475">
        <f t="shared" si="9"/>
        <v>0</v>
      </c>
      <c r="Y26" s="474">
        <f>SUM('ketv. 6 lent'!AE27)</f>
        <v>0</v>
      </c>
      <c r="Z26" s="474">
        <v>0</v>
      </c>
      <c r="AA26" s="728">
        <f t="shared" si="10"/>
        <v>0</v>
      </c>
    </row>
    <row r="27" spans="1:27" ht="48.75" x14ac:dyDescent="0.25">
      <c r="A27" s="992" t="str">
        <f>CONCATENATE('3 pr-2'!A29)</f>
        <v>1.1.1.1.20</v>
      </c>
      <c r="B27" s="1016" t="str">
        <f>CONCATENATE('ketv. 6 lent'!B28)</f>
        <v>-</v>
      </c>
      <c r="C27" s="255" t="str">
        <f>CONCATENATE('3 pr-2'!D29)</f>
        <v>Pastato, esančio Pušelės g. 11, Naujųjų Valkininkų k., Varėnos r., atnaujinimas ir pritaikymas bendruomenės poreikiams</v>
      </c>
      <c r="D27" s="255" t="str">
        <f>CONCATENATE('3 pr-2'!E29)</f>
        <v xml:space="preserve">Varėnos rajono savivaldybės administracija </v>
      </c>
      <c r="E27" s="255" t="str">
        <f>CONCATENATE('3 pr-2'!F29)</f>
        <v>Lietuvos Respublikos žemės ūkio ministerija</v>
      </c>
      <c r="F27" s="255" t="str">
        <f>CONCATENATE('3 pr-2'!G29)</f>
        <v>Varėnos rajono savivaldybė</v>
      </c>
      <c r="G27" s="255" t="str">
        <f>CONCATENATE('3 pr-2'!H29)</f>
        <v xml:space="preserve">Pagrindinės paslaugos ir kaimų atnaujinimas kaimo vietovėse </v>
      </c>
      <c r="H27" s="255" t="str">
        <f>CONCATENATE('3 pr-2'!I29)</f>
        <v>R</v>
      </c>
      <c r="I27" s="255" t="str">
        <f>CONCATENATE('3 pr-2'!J29)</f>
        <v>-</v>
      </c>
      <c r="J27" s="474">
        <f>SUM('ketv. 6 lent'!K28)</f>
        <v>0</v>
      </c>
      <c r="K27" s="474">
        <v>0</v>
      </c>
      <c r="L27" s="475">
        <f t="shared" si="0"/>
        <v>0</v>
      </c>
      <c r="M27" s="474">
        <f>SUM('ketv. 6 lent'!O28)</f>
        <v>0</v>
      </c>
      <c r="N27" s="474">
        <v>0</v>
      </c>
      <c r="O27" s="475">
        <f t="shared" si="6"/>
        <v>0</v>
      </c>
      <c r="P27" s="474">
        <f>SUM('ketv. 6 lent'!S28)</f>
        <v>0</v>
      </c>
      <c r="Q27" s="474">
        <v>0</v>
      </c>
      <c r="R27" s="475">
        <f t="shared" si="7"/>
        <v>0</v>
      </c>
      <c r="S27" s="474">
        <f>SUM('ketv. 6 lent'!W28)</f>
        <v>0</v>
      </c>
      <c r="T27" s="474">
        <v>0</v>
      </c>
      <c r="U27" s="475">
        <f t="shared" si="8"/>
        <v>0</v>
      </c>
      <c r="V27" s="474">
        <f>SUM('ketv. 6 lent'!AA28)</f>
        <v>0</v>
      </c>
      <c r="W27" s="474">
        <v>0</v>
      </c>
      <c r="X27" s="475">
        <f t="shared" si="9"/>
        <v>0</v>
      </c>
      <c r="Y27" s="474">
        <f>SUM('ketv. 6 lent'!AE28)</f>
        <v>0</v>
      </c>
      <c r="Z27" s="474">
        <v>0</v>
      </c>
      <c r="AA27" s="728">
        <f t="shared" si="10"/>
        <v>0</v>
      </c>
    </row>
    <row r="28" spans="1:27" ht="36.75" x14ac:dyDescent="0.25">
      <c r="A28" s="992" t="str">
        <f>CONCATENATE('3 pr-2'!A30)</f>
        <v>1.1.1.1.21</v>
      </c>
      <c r="B28" s="1016" t="str">
        <f>CONCATENATE('ketv. 6 lent'!B29)</f>
        <v>20KI-KA-17-1-02364-PR001</v>
      </c>
      <c r="C28" s="255" t="str">
        <f>CONCATENATE('3 pr-2'!D30)</f>
        <v>Kaimo gyvenamųjų vietovių Lazdijų rajono savivaldybėje patrauklumo gerinimas</v>
      </c>
      <c r="D28" s="255" t="str">
        <f>CONCATENATE('3 pr-2'!E30)</f>
        <v>Lazdijų rajono savivaldybės administracija</v>
      </c>
      <c r="E28" s="255" t="str">
        <f>CONCATENATE('3 pr-2'!F30)</f>
        <v>Lietuvos Respublikos žemės ūkio ministerija</v>
      </c>
      <c r="F28" s="255" t="str">
        <f>CONCATENATE('3 pr-2'!G30)</f>
        <v>Lazdijų rajono savivaldybė</v>
      </c>
      <c r="G28" s="255" t="str">
        <f>CONCATENATE('3 pr-2'!H30)</f>
        <v xml:space="preserve">Pagrindinės paslaugos ir kaimų atnaujinimas kaimo vietovėse </v>
      </c>
      <c r="H28" s="255" t="str">
        <f>CONCATENATE('3 pr-2'!I30)</f>
        <v>R</v>
      </c>
      <c r="I28" s="255" t="str">
        <f>CONCATENATE('3 pr-2'!J30)</f>
        <v>-</v>
      </c>
      <c r="J28" s="474">
        <f>SUM('ketv. 6 lent'!K29)</f>
        <v>170000</v>
      </c>
      <c r="K28" s="474">
        <v>0</v>
      </c>
      <c r="L28" s="475">
        <f t="shared" si="0"/>
        <v>170000</v>
      </c>
      <c r="M28" s="474">
        <f>SUM('ketv. 6 lent'!O29)</f>
        <v>34000</v>
      </c>
      <c r="N28" s="474">
        <v>0</v>
      </c>
      <c r="O28" s="475">
        <f t="shared" si="6"/>
        <v>34000</v>
      </c>
      <c r="P28" s="474">
        <f>SUM('ketv. 6 lent'!S29)</f>
        <v>20400</v>
      </c>
      <c r="Q28" s="474">
        <v>0</v>
      </c>
      <c r="R28" s="475">
        <f t="shared" si="7"/>
        <v>20400</v>
      </c>
      <c r="S28" s="474">
        <f>SUM('ketv. 6 lent'!W29)</f>
        <v>0</v>
      </c>
      <c r="T28" s="474">
        <v>0</v>
      </c>
      <c r="U28" s="475">
        <f t="shared" si="8"/>
        <v>0</v>
      </c>
      <c r="V28" s="474">
        <f>SUM('ketv. 6 lent'!AA29)</f>
        <v>0</v>
      </c>
      <c r="W28" s="474">
        <v>0</v>
      </c>
      <c r="X28" s="475">
        <f t="shared" si="9"/>
        <v>0</v>
      </c>
      <c r="Y28" s="474">
        <f>SUM('ketv. 6 lent'!AE29)</f>
        <v>115600</v>
      </c>
      <c r="Z28" s="474">
        <v>0</v>
      </c>
      <c r="AA28" s="728">
        <f t="shared" si="10"/>
        <v>115600</v>
      </c>
    </row>
    <row r="29" spans="1:27" ht="36.75" x14ac:dyDescent="0.25">
      <c r="A29" s="992" t="str">
        <f>CONCATENATE('3 pr-2'!A31)</f>
        <v>1.1.1.1.22</v>
      </c>
      <c r="B29" s="1016" t="str">
        <f>CONCATENATE('ketv. 6 lent'!B30)</f>
        <v>-</v>
      </c>
      <c r="C29" s="255" t="str">
        <f>CONCATENATE('3 pr-2'!D31)</f>
        <v>Alytaus rajono Makniūnų kaimo šaligatvių atnaujinimas ir plėtra</v>
      </c>
      <c r="D29" s="255" t="str">
        <f>CONCATENATE('3 pr-2'!E31)</f>
        <v>Alytaus rajono savivaldybės administracija</v>
      </c>
      <c r="E29" s="255" t="str">
        <f>CONCATENATE('3 pr-2'!F31)</f>
        <v>Lietuvos Respublikos žemės ūkio ministerija</v>
      </c>
      <c r="F29" s="255" t="str">
        <f>CONCATENATE('3 pr-2'!G31)</f>
        <v>Alytaus rajono savivaldybė</v>
      </c>
      <c r="G29" s="255" t="str">
        <f>CONCATENATE('3 pr-2'!H31)</f>
        <v xml:space="preserve">Pagrindinės paslaugos ir kaimų atnaujinimas kaimo vietovėse </v>
      </c>
      <c r="H29" s="255" t="str">
        <f>CONCATENATE('3 pr-2'!I31)</f>
        <v>R</v>
      </c>
      <c r="I29" s="255" t="str">
        <f>CONCATENATE('3 pr-2'!J31)</f>
        <v>-</v>
      </c>
      <c r="J29" s="474">
        <f>SUM('ketv. 6 lent'!K30)</f>
        <v>0</v>
      </c>
      <c r="K29" s="474">
        <v>0</v>
      </c>
      <c r="L29" s="475">
        <f t="shared" si="0"/>
        <v>0</v>
      </c>
      <c r="M29" s="476">
        <f>SUM('ketv. 6 lent'!O30)</f>
        <v>0</v>
      </c>
      <c r="N29" s="474">
        <v>0</v>
      </c>
      <c r="O29" s="475">
        <f t="shared" si="6"/>
        <v>0</v>
      </c>
      <c r="P29" s="476">
        <f>SUM('ketv. 6 lent'!S30)</f>
        <v>0</v>
      </c>
      <c r="Q29" s="474">
        <v>0</v>
      </c>
      <c r="R29" s="475">
        <f t="shared" si="7"/>
        <v>0</v>
      </c>
      <c r="S29" s="476">
        <f>SUM('ketv. 6 lent'!W30)</f>
        <v>0</v>
      </c>
      <c r="T29" s="474">
        <v>0</v>
      </c>
      <c r="U29" s="475">
        <f t="shared" si="8"/>
        <v>0</v>
      </c>
      <c r="V29" s="476">
        <f>SUM('ketv. 6 lent'!AA30)</f>
        <v>0</v>
      </c>
      <c r="W29" s="474">
        <v>0</v>
      </c>
      <c r="X29" s="475">
        <f t="shared" si="9"/>
        <v>0</v>
      </c>
      <c r="Y29" s="476">
        <f>SUM('ketv. 6 lent'!AE30)</f>
        <v>0</v>
      </c>
      <c r="Z29" s="474">
        <v>0</v>
      </c>
      <c r="AA29" s="728">
        <f t="shared" si="10"/>
        <v>0</v>
      </c>
    </row>
    <row r="30" spans="1:27" ht="37.5" thickBot="1" x14ac:dyDescent="0.3">
      <c r="A30" s="992" t="str">
        <f>CONCATENATE('3 pr-2'!A32)</f>
        <v>1.1.1.1.23</v>
      </c>
      <c r="B30" s="1016" t="str">
        <f>CONCATENATE('ketv. 6 lent'!B31)</f>
        <v>-</v>
      </c>
      <c r="C30" s="255" t="str">
        <f>CONCATENATE('3 pr-2'!D32)</f>
        <v>Varėnos r. Vazgirdonių kaimo Klevų gatvės įrengimas</v>
      </c>
      <c r="D30" s="255" t="str">
        <f>CONCATENATE('3 pr-2'!E32)</f>
        <v xml:space="preserve">Varėnos rajono savivaldybės administracija </v>
      </c>
      <c r="E30" s="255" t="str">
        <f>CONCATENATE('3 pr-2'!F32)</f>
        <v>Lietuvos Respublikos žemės ūkio ministerija</v>
      </c>
      <c r="F30" s="255" t="str">
        <f>CONCATENATE('3 pr-2'!G32)</f>
        <v>Varėnos rajono savivaldybė</v>
      </c>
      <c r="G30" s="255" t="str">
        <f>CONCATENATE('3 pr-2'!H32)</f>
        <v xml:space="preserve">Pagrindinės paslaugos ir kaimų atnaujinimas kaimo vietovėse </v>
      </c>
      <c r="H30" s="255" t="str">
        <f>CONCATENATE('3 pr-2'!I32)</f>
        <v>R</v>
      </c>
      <c r="I30" s="255" t="str">
        <f>CONCATENATE('3 pr-2'!J32)</f>
        <v>-</v>
      </c>
      <c r="J30" s="474">
        <f>SUM('ketv. 6 lent'!K31)</f>
        <v>0</v>
      </c>
      <c r="K30" s="474">
        <v>0</v>
      </c>
      <c r="L30" s="475">
        <f t="shared" si="0"/>
        <v>0</v>
      </c>
      <c r="M30" s="476">
        <f>SUM('ketv. 6 lent'!O31)</f>
        <v>0</v>
      </c>
      <c r="N30" s="474">
        <v>0</v>
      </c>
      <c r="O30" s="475">
        <f t="shared" si="6"/>
        <v>0</v>
      </c>
      <c r="P30" s="476">
        <f>SUM('ketv. 6 lent'!S31)</f>
        <v>0</v>
      </c>
      <c r="Q30" s="474">
        <v>0</v>
      </c>
      <c r="R30" s="475">
        <f t="shared" si="7"/>
        <v>0</v>
      </c>
      <c r="S30" s="476">
        <f>SUM('ketv. 6 lent'!W31)</f>
        <v>0</v>
      </c>
      <c r="T30" s="474">
        <v>0</v>
      </c>
      <c r="U30" s="475">
        <f t="shared" si="8"/>
        <v>0</v>
      </c>
      <c r="V30" s="476">
        <f>SUM('ketv. 6 lent'!AA31)</f>
        <v>0</v>
      </c>
      <c r="W30" s="474">
        <v>0</v>
      </c>
      <c r="X30" s="475">
        <f t="shared" si="9"/>
        <v>0</v>
      </c>
      <c r="Y30" s="476">
        <f>SUM('ketv. 6 lent'!AE31)</f>
        <v>0</v>
      </c>
      <c r="Z30" s="474">
        <v>0</v>
      </c>
      <c r="AA30" s="728">
        <f t="shared" si="10"/>
        <v>0</v>
      </c>
    </row>
    <row r="31" spans="1:27" ht="40.5" customHeight="1" thickBot="1" x14ac:dyDescent="0.3">
      <c r="A31" s="497" t="str">
        <f>CONCATENATE('3 pr-2'!A33)</f>
        <v>1.1.1.2</v>
      </c>
      <c r="B31" s="613" t="str">
        <f>CONCATENATE('ketv. 2lent'!B32)</f>
        <v/>
      </c>
      <c r="C31" s="1656" t="str">
        <f>CONCATENATE('3 pr-2'!D33)</f>
        <v/>
      </c>
      <c r="D31" s="1789"/>
      <c r="E31" s="1789"/>
      <c r="F31" s="1789"/>
      <c r="G31" s="1789"/>
      <c r="H31" s="1789"/>
      <c r="I31" s="1790"/>
      <c r="J31" s="629">
        <f>SUM('ketv. 6 lent'!K32)</f>
        <v>0</v>
      </c>
      <c r="K31" s="629">
        <f>SUM(K32:K36)</f>
        <v>0</v>
      </c>
      <c r="L31" s="629">
        <f>SUM(L32:L36)</f>
        <v>0</v>
      </c>
      <c r="M31" s="629">
        <f>SUM('ketv. 6 lent'!O32)</f>
        <v>0</v>
      </c>
      <c r="N31" s="629">
        <f>SUM(N32:N36)</f>
        <v>0</v>
      </c>
      <c r="O31" s="629">
        <f>SUM(O32:O36)</f>
        <v>0</v>
      </c>
      <c r="P31" s="629">
        <f>SUM('ketv. 6 lent'!S32)</f>
        <v>0</v>
      </c>
      <c r="Q31" s="629">
        <f>SUM(Q32:Q36)</f>
        <v>0</v>
      </c>
      <c r="R31" s="629">
        <f>SUM(R32:R36)</f>
        <v>0</v>
      </c>
      <c r="S31" s="629">
        <f>SUM('ketv. 6 lent'!W32)</f>
        <v>0</v>
      </c>
      <c r="T31" s="629">
        <f>SUM(T32:T36)</f>
        <v>0</v>
      </c>
      <c r="U31" s="629">
        <f>SUM(U32:U36)</f>
        <v>0</v>
      </c>
      <c r="V31" s="629">
        <f>SUM('ketv. 6 lent'!AA32)</f>
        <v>0</v>
      </c>
      <c r="W31" s="629">
        <f>SUM(W32:W36)</f>
        <v>0</v>
      </c>
      <c r="X31" s="629">
        <f>SUM(X32:X36)</f>
        <v>0</v>
      </c>
      <c r="Y31" s="629">
        <f>SUM('ketv. 6 lent'!AE32)</f>
        <v>0</v>
      </c>
      <c r="Z31" s="629">
        <f>SUM(Z32:Z36)</f>
        <v>0</v>
      </c>
      <c r="AA31" s="335">
        <f>SUM(AA32:AA36)</f>
        <v>0</v>
      </c>
    </row>
    <row r="32" spans="1:27" ht="48.75" x14ac:dyDescent="0.25">
      <c r="A32" s="992" t="str">
        <f>CONCATENATE('3 pr-2'!A34)</f>
        <v>1.1.1.2.1</v>
      </c>
      <c r="B32" s="1016" t="str">
        <f>CONCATENATE('ketv. 6 lent'!B33)</f>
        <v>-</v>
      </c>
      <c r="C32" s="255" t="str">
        <f>CONCATENATE('3 pr-2'!D34)</f>
        <v>Matuizų kaimo viešosios infrastruktūros atnaujinimas ir pritaikymas bendruomenės poreikiams</v>
      </c>
      <c r="D32" s="255" t="str">
        <f>CONCATENATE('3 pr-2'!E34)</f>
        <v>Varėnos rajono savivaldybės administracija</v>
      </c>
      <c r="E32" s="255" t="str">
        <f>CONCATENATE('3 pr-2'!F34)</f>
        <v>Lietuvos Respublikos vidaus reikalų ministerija</v>
      </c>
      <c r="F32" s="255" t="str">
        <f>CONCATENATE('3 pr-2'!G34)</f>
        <v>Varėnos rajono savivaldybė</v>
      </c>
      <c r="G32" s="255" t="str">
        <f>CONCATENATE('3 pr-2'!H34)</f>
        <v>8.2.1-CPVA-R-908</v>
      </c>
      <c r="H32" s="255" t="str">
        <f>CONCATENATE('3 pr-2'!I34)</f>
        <v>R</v>
      </c>
      <c r="I32" s="255" t="str">
        <f>CONCATENATE('3 pr-2'!J34)</f>
        <v>-</v>
      </c>
      <c r="J32" s="474">
        <f>SUM('ketv. 6 lent'!K33)</f>
        <v>0</v>
      </c>
      <c r="K32" s="474">
        <v>0</v>
      </c>
      <c r="L32" s="475">
        <f t="shared" ref="L32:L36" si="11">SUM(J32-K32)</f>
        <v>0</v>
      </c>
      <c r="M32" s="476">
        <f>SUM('ketv. 6 lent'!O33)</f>
        <v>0</v>
      </c>
      <c r="N32" s="474">
        <v>0</v>
      </c>
      <c r="O32" s="475">
        <f t="shared" ref="O32:O36" si="12">SUM(M32-N32)</f>
        <v>0</v>
      </c>
      <c r="P32" s="476">
        <f>SUM('ketv. 6 lent'!S33)</f>
        <v>0</v>
      </c>
      <c r="Q32" s="474">
        <v>0</v>
      </c>
      <c r="R32" s="475">
        <f t="shared" ref="R32:R36" si="13">SUM(P32-Q32)</f>
        <v>0</v>
      </c>
      <c r="S32" s="476">
        <f>SUM('ketv. 6 lent'!W33)</f>
        <v>0</v>
      </c>
      <c r="T32" s="474">
        <v>0</v>
      </c>
      <c r="U32" s="475">
        <f t="shared" ref="U32:U36" si="14">SUM(S32-T32)</f>
        <v>0</v>
      </c>
      <c r="V32" s="476">
        <f>SUM('ketv. 6 lent'!AA33)</f>
        <v>0</v>
      </c>
      <c r="W32" s="474">
        <v>0</v>
      </c>
      <c r="X32" s="475">
        <f t="shared" ref="X32:X36" si="15">SUM(V32-W32)</f>
        <v>0</v>
      </c>
      <c r="Y32" s="476">
        <f>SUM('ketv. 6 lent'!AE33)</f>
        <v>0</v>
      </c>
      <c r="Z32" s="474">
        <v>0</v>
      </c>
      <c r="AA32" s="728">
        <f t="shared" ref="AA32:AA36" si="16">IF(Y32&gt;0,Y32-Z32,0)</f>
        <v>0</v>
      </c>
    </row>
    <row r="33" spans="1:31" ht="48.75" x14ac:dyDescent="0.25">
      <c r="A33" s="992" t="str">
        <f>CONCATENATE('3 pr-2'!A35)</f>
        <v>1.1.1.2.2</v>
      </c>
      <c r="B33" s="1016" t="str">
        <f>CONCATENATE('ketv. 6 lent'!B34)</f>
        <v>-</v>
      </c>
      <c r="C33" s="255" t="str">
        <f>CONCATENATE('3 pr-2'!D35)</f>
        <v>Senosios Varėnos kaimo viešosios infrastruktūros atnaujinimas ir pritaikymas bendruomenės poreikiams</v>
      </c>
      <c r="D33" s="255" t="str">
        <f>CONCATENATE('3 pr-2'!E35)</f>
        <v>Varėnos rajono savivaldybės administracija</v>
      </c>
      <c r="E33" s="255" t="str">
        <f>CONCATENATE('3 pr-2'!F35)</f>
        <v>Lietuvos Respublikos vidaus reikalų ministerija</v>
      </c>
      <c r="F33" s="255" t="str">
        <f>CONCATENATE('3 pr-2'!G35)</f>
        <v>Varėnos rajono savivaldybė</v>
      </c>
      <c r="G33" s="255" t="str">
        <f>CONCATENATE('3 pr-2'!H35)</f>
        <v>8.2.1-CPVA-R-908</v>
      </c>
      <c r="H33" s="255" t="str">
        <f>CONCATENATE('3 pr-2'!I35)</f>
        <v>R</v>
      </c>
      <c r="I33" s="255" t="str">
        <f>CONCATENATE('3 pr-2'!J35)</f>
        <v>-</v>
      </c>
      <c r="J33" s="474">
        <f>SUM('ketv. 6 lent'!K34)</f>
        <v>0</v>
      </c>
      <c r="K33" s="474">
        <v>0</v>
      </c>
      <c r="L33" s="475">
        <f t="shared" si="11"/>
        <v>0</v>
      </c>
      <c r="M33" s="476">
        <f>SUM('ketv. 6 lent'!O34)</f>
        <v>0</v>
      </c>
      <c r="N33" s="474">
        <v>0</v>
      </c>
      <c r="O33" s="475">
        <f t="shared" si="12"/>
        <v>0</v>
      </c>
      <c r="P33" s="476">
        <f>SUM('ketv. 6 lent'!S34)</f>
        <v>0</v>
      </c>
      <c r="Q33" s="474">
        <v>0</v>
      </c>
      <c r="R33" s="475">
        <f t="shared" si="13"/>
        <v>0</v>
      </c>
      <c r="S33" s="476">
        <f>SUM('ketv. 6 lent'!W34)</f>
        <v>0</v>
      </c>
      <c r="T33" s="474">
        <v>0</v>
      </c>
      <c r="U33" s="475">
        <f t="shared" si="14"/>
        <v>0</v>
      </c>
      <c r="V33" s="476">
        <f>SUM('ketv. 6 lent'!AA34)</f>
        <v>0</v>
      </c>
      <c r="W33" s="474">
        <v>0</v>
      </c>
      <c r="X33" s="475">
        <f t="shared" si="15"/>
        <v>0</v>
      </c>
      <c r="Y33" s="476">
        <f>SUM('ketv. 6 lent'!AE34)</f>
        <v>0</v>
      </c>
      <c r="Z33" s="474">
        <v>0</v>
      </c>
      <c r="AA33" s="728">
        <f t="shared" si="16"/>
        <v>0</v>
      </c>
    </row>
    <row r="34" spans="1:31" ht="36.75" x14ac:dyDescent="0.25">
      <c r="A34" s="992" t="str">
        <f>CONCATENATE('3 pr-2'!A36)</f>
        <v>1.1.1.2.3</v>
      </c>
      <c r="B34" s="1016" t="str">
        <f>CONCATENATE('ketv. 6 lent'!B35)</f>
        <v>-</v>
      </c>
      <c r="C34" s="255" t="str">
        <f>CONCATENATE('3 pr-2'!D36)</f>
        <v>Kompleksinė Miklusėnų gyvenvietės plėtra</v>
      </c>
      <c r="D34" s="255" t="str">
        <f>CONCATENATE('3 pr-2'!E36)</f>
        <v>Alytaus rajono savivaldybės administracija</v>
      </c>
      <c r="E34" s="255" t="str">
        <f>CONCATENATE('3 pr-2'!F36)</f>
        <v>Lietuvos Respublikos vidaus reikalų ministerija</v>
      </c>
      <c r="F34" s="255" t="str">
        <f>CONCATENATE('3 pr-2'!G36)</f>
        <v>Alytaus rajono  savivaldybė</v>
      </c>
      <c r="G34" s="255" t="str">
        <f>CONCATENATE('3 pr-2'!H36)</f>
        <v>8.2.1-CPVA-R-908</v>
      </c>
      <c r="H34" s="255" t="str">
        <f>CONCATENATE('3 pr-2'!I36)</f>
        <v>R</v>
      </c>
      <c r="I34" s="255" t="str">
        <f>CONCATENATE('3 pr-2'!J36)</f>
        <v>-</v>
      </c>
      <c r="J34" s="474">
        <f>SUM('ketv. 6 lent'!K35)</f>
        <v>0</v>
      </c>
      <c r="K34" s="474">
        <v>0</v>
      </c>
      <c r="L34" s="475">
        <f t="shared" si="11"/>
        <v>0</v>
      </c>
      <c r="M34" s="476">
        <f>SUM('ketv. 6 lent'!O35)</f>
        <v>0</v>
      </c>
      <c r="N34" s="474">
        <v>0</v>
      </c>
      <c r="O34" s="475">
        <f t="shared" si="12"/>
        <v>0</v>
      </c>
      <c r="P34" s="476">
        <f>SUM('ketv. 6 lent'!S35)</f>
        <v>0</v>
      </c>
      <c r="Q34" s="474">
        <v>0</v>
      </c>
      <c r="R34" s="475">
        <f t="shared" si="13"/>
        <v>0</v>
      </c>
      <c r="S34" s="476">
        <f>SUM('ketv. 6 lent'!W35)</f>
        <v>0</v>
      </c>
      <c r="T34" s="474">
        <v>0</v>
      </c>
      <c r="U34" s="475">
        <f t="shared" si="14"/>
        <v>0</v>
      </c>
      <c r="V34" s="476">
        <f>SUM('ketv. 6 lent'!AA35)</f>
        <v>0</v>
      </c>
      <c r="W34" s="474">
        <v>0</v>
      </c>
      <c r="X34" s="475">
        <f t="shared" si="15"/>
        <v>0</v>
      </c>
      <c r="Y34" s="476">
        <f>SUM('ketv. 6 lent'!AE35)</f>
        <v>0</v>
      </c>
      <c r="Z34" s="474">
        <v>0</v>
      </c>
      <c r="AA34" s="728">
        <f t="shared" si="16"/>
        <v>0</v>
      </c>
    </row>
    <row r="35" spans="1:31" ht="48.75" x14ac:dyDescent="0.25">
      <c r="A35" s="992" t="str">
        <f>CONCATENATE('3 pr-2'!A37)</f>
        <v>1.1.1.2.4</v>
      </c>
      <c r="B35" s="1016" t="str">
        <f>CONCATENATE('ketv. 6 lent'!B36)</f>
        <v>-</v>
      </c>
      <c r="C35" s="255" t="str">
        <f>CONCATENATE('3 pr-2'!D37)</f>
        <v>Leipalingio viešosios erdvės pritaikymas bendruomenės poreikiams</v>
      </c>
      <c r="D35" s="255" t="str">
        <f>CONCATENATE('3 pr-2'!E37)</f>
        <v xml:space="preserve">Druskininkų savivaldybės administracija  </v>
      </c>
      <c r="E35" s="255" t="str">
        <f>CONCATENATE('3 pr-2'!F37)</f>
        <v>Lietuvos Respublikos vidaus reikalų ministerija</v>
      </c>
      <c r="F35" s="255" t="str">
        <f>CONCATENATE('3 pr-2'!G37)</f>
        <v>Druskininkų savivaldybė, Leipalingio seniūnija</v>
      </c>
      <c r="G35" s="255" t="str">
        <f>CONCATENATE('3 pr-2'!H37)</f>
        <v>8.2.1-CPVA-R-908</v>
      </c>
      <c r="H35" s="255" t="str">
        <f>CONCATENATE('3 pr-2'!I37)</f>
        <v>R</v>
      </c>
      <c r="I35" s="255" t="str">
        <f>CONCATENATE('3 pr-2'!J37)</f>
        <v>-</v>
      </c>
      <c r="J35" s="474">
        <f>SUM('ketv. 6 lent'!K36)</f>
        <v>0</v>
      </c>
      <c r="K35" s="474">
        <v>0</v>
      </c>
      <c r="L35" s="475">
        <f t="shared" si="11"/>
        <v>0</v>
      </c>
      <c r="M35" s="476">
        <f>SUM('ketv. 6 lent'!O36)</f>
        <v>0</v>
      </c>
      <c r="N35" s="474">
        <v>0</v>
      </c>
      <c r="O35" s="475">
        <f t="shared" si="12"/>
        <v>0</v>
      </c>
      <c r="P35" s="476">
        <f>SUM('ketv. 6 lent'!S36)</f>
        <v>0</v>
      </c>
      <c r="Q35" s="474">
        <v>0</v>
      </c>
      <c r="R35" s="475">
        <f t="shared" si="13"/>
        <v>0</v>
      </c>
      <c r="S35" s="476">
        <f>SUM('ketv. 6 lent'!W36)</f>
        <v>0</v>
      </c>
      <c r="T35" s="474">
        <v>0</v>
      </c>
      <c r="U35" s="475">
        <f t="shared" si="14"/>
        <v>0</v>
      </c>
      <c r="V35" s="476">
        <f>SUM('ketv. 6 lent'!AA36)</f>
        <v>0</v>
      </c>
      <c r="W35" s="474">
        <v>0</v>
      </c>
      <c r="X35" s="475">
        <f t="shared" si="15"/>
        <v>0</v>
      </c>
      <c r="Y35" s="476">
        <f>SUM('ketv. 6 lent'!AE36)</f>
        <v>0</v>
      </c>
      <c r="Z35" s="474">
        <v>0</v>
      </c>
      <c r="AA35" s="728">
        <f t="shared" si="16"/>
        <v>0</v>
      </c>
    </row>
    <row r="36" spans="1:31" ht="37.5" thickBot="1" x14ac:dyDescent="0.3">
      <c r="A36" s="992" t="str">
        <f>CONCATENATE('3 pr-2'!A38)</f>
        <v>1.1.1.2.5</v>
      </c>
      <c r="B36" s="1016" t="str">
        <f>CONCATENATE('ketv. 6 lent'!B37)</f>
        <v>-</v>
      </c>
      <c r="C36" s="255" t="str">
        <f>CONCATENATE('3 pr-2'!D38)</f>
        <v>Viečiūnų viešosios erdvės pritaikymas bendruomenės poreikiams</v>
      </c>
      <c r="D36" s="255" t="str">
        <f>CONCATENATE('3 pr-2'!E38)</f>
        <v xml:space="preserve">Druskininkų savivaldybės administracija  </v>
      </c>
      <c r="E36" s="255" t="str">
        <f>CONCATENATE('3 pr-2'!F38)</f>
        <v>Lietuvos Respublikos vidaus reikalų ministerija</v>
      </c>
      <c r="F36" s="255" t="str">
        <f>CONCATENATE('3 pr-2'!G38)</f>
        <v>Druskininkų savivaldybė, Viečiūnų seniūnija</v>
      </c>
      <c r="G36" s="255" t="str">
        <f>CONCATENATE('3 pr-2'!H38)</f>
        <v>8.2.1-CPVA-R-908</v>
      </c>
      <c r="H36" s="255" t="str">
        <f>CONCATENATE('3 pr-2'!I38)</f>
        <v>R</v>
      </c>
      <c r="I36" s="255" t="str">
        <f>CONCATENATE('3 pr-2'!J38)</f>
        <v>-</v>
      </c>
      <c r="J36" s="474">
        <f>SUM('ketv. 6 lent'!K37)</f>
        <v>0</v>
      </c>
      <c r="K36" s="474">
        <v>0</v>
      </c>
      <c r="L36" s="475">
        <f t="shared" si="11"/>
        <v>0</v>
      </c>
      <c r="M36" s="476">
        <f>SUM('ketv. 6 lent'!O37)</f>
        <v>0</v>
      </c>
      <c r="N36" s="474">
        <v>0</v>
      </c>
      <c r="O36" s="475">
        <f t="shared" si="12"/>
        <v>0</v>
      </c>
      <c r="P36" s="476">
        <f>SUM('ketv. 6 lent'!S37)</f>
        <v>0</v>
      </c>
      <c r="Q36" s="474">
        <v>0</v>
      </c>
      <c r="R36" s="475">
        <f t="shared" si="13"/>
        <v>0</v>
      </c>
      <c r="S36" s="476">
        <f>SUM('ketv. 6 lent'!W37)</f>
        <v>0</v>
      </c>
      <c r="T36" s="474">
        <v>0</v>
      </c>
      <c r="U36" s="475">
        <f t="shared" si="14"/>
        <v>0</v>
      </c>
      <c r="V36" s="476">
        <f>SUM('ketv. 6 lent'!AA37)</f>
        <v>0</v>
      </c>
      <c r="W36" s="474">
        <v>0</v>
      </c>
      <c r="X36" s="475">
        <f t="shared" si="15"/>
        <v>0</v>
      </c>
      <c r="Y36" s="476">
        <f>SUM('ketv. 6 lent'!AE37)</f>
        <v>0</v>
      </c>
      <c r="Z36" s="474">
        <v>0</v>
      </c>
      <c r="AA36" s="728">
        <f t="shared" si="16"/>
        <v>0</v>
      </c>
    </row>
    <row r="37" spans="1:31" ht="36.75" customHeight="1" thickBot="1" x14ac:dyDescent="0.3">
      <c r="A37" s="497" t="str">
        <f>CONCATENATE('3 pr-2'!A39)</f>
        <v>1.1.1.3</v>
      </c>
      <c r="B37" s="613" t="str">
        <f>CONCATENATE('ketv. 2lent'!B38)</f>
        <v/>
      </c>
      <c r="C37" s="1656" t="str">
        <f>CONCATENATE('3 pr-2'!D39)</f>
        <v/>
      </c>
      <c r="D37" s="1789"/>
      <c r="E37" s="1789"/>
      <c r="F37" s="1789"/>
      <c r="G37" s="1789"/>
      <c r="H37" s="1789"/>
      <c r="I37" s="1790"/>
      <c r="J37" s="629">
        <f t="shared" ref="J37:Y37" si="17">SUM(J38:J43)</f>
        <v>3269394.13</v>
      </c>
      <c r="K37" s="629">
        <f t="shared" si="17"/>
        <v>1186280.8599999999</v>
      </c>
      <c r="L37" s="629">
        <f t="shared" si="17"/>
        <v>2083113.2700000003</v>
      </c>
      <c r="M37" s="629">
        <f t="shared" si="17"/>
        <v>348877.5</v>
      </c>
      <c r="N37" s="629">
        <f t="shared" si="17"/>
        <v>38985.35</v>
      </c>
      <c r="O37" s="629">
        <f t="shared" si="17"/>
        <v>309892.15000000002</v>
      </c>
      <c r="P37" s="629">
        <f t="shared" si="17"/>
        <v>271647.09000000003</v>
      </c>
      <c r="Q37" s="629">
        <f t="shared" si="17"/>
        <v>117616.09999999999</v>
      </c>
      <c r="R37" s="629">
        <f t="shared" si="17"/>
        <v>154030.99000000002</v>
      </c>
      <c r="S37" s="629">
        <f t="shared" si="17"/>
        <v>0</v>
      </c>
      <c r="T37" s="629">
        <f t="shared" si="17"/>
        <v>0</v>
      </c>
      <c r="U37" s="629">
        <f t="shared" si="17"/>
        <v>0</v>
      </c>
      <c r="V37" s="629">
        <f t="shared" si="17"/>
        <v>0</v>
      </c>
      <c r="W37" s="629">
        <f t="shared" si="17"/>
        <v>0</v>
      </c>
      <c r="X37" s="629">
        <f t="shared" si="17"/>
        <v>0</v>
      </c>
      <c r="Y37" s="629">
        <f t="shared" si="17"/>
        <v>2648869.5399999996</v>
      </c>
      <c r="Z37" s="629">
        <f>SUM(Z38:Z43)</f>
        <v>1029679.4099999999</v>
      </c>
      <c r="AA37" s="338">
        <f>SUM(AA38:AA42)</f>
        <v>1619190.13</v>
      </c>
    </row>
    <row r="38" spans="1:31" ht="36.75" x14ac:dyDescent="0.25">
      <c r="A38" s="992" t="str">
        <f>CONCATENATE('3 pr-2'!A40)</f>
        <v>1.1.1.3.1</v>
      </c>
      <c r="B38" s="1016" t="str">
        <f>CONCATENATE('ketv. 6 lent'!B39)</f>
        <v>07.1.1-CPVA-R-905-11-0001</v>
      </c>
      <c r="C38" s="255" t="str">
        <f>CONCATENATE('3 pr-2'!D40)</f>
        <v>Varėnos miesto centrinės dalies modernizavimas ir pritaikymas visuomenės poreikiams (I etapas)</v>
      </c>
      <c r="D38" s="255" t="str">
        <f>CONCATENATE('3 pr-2'!E40)</f>
        <v>Varėnos rajono savivaldybės administracija</v>
      </c>
      <c r="E38" s="255" t="str">
        <f>CONCATENATE('3 pr-2'!F40)</f>
        <v>Lietuvos Respublikos vidaus reikalų ministerija</v>
      </c>
      <c r="F38" s="255" t="str">
        <f>CONCATENATE('3 pr-2'!G40)</f>
        <v>Varėnos miestas</v>
      </c>
      <c r="G38" s="255" t="str">
        <f>CONCATENATE('3 pr-2'!H40)</f>
        <v xml:space="preserve">07.1.1-CPVA-R-905 </v>
      </c>
      <c r="H38" s="255" t="str">
        <f>CONCATENATE('3 pr-2'!I40)</f>
        <v>R</v>
      </c>
      <c r="I38" s="255" t="str">
        <f>CONCATENATE('3 pr-2'!J40)</f>
        <v>ITI</v>
      </c>
      <c r="J38" s="474">
        <f>SUM('ketv. 6 lent'!K39)</f>
        <v>1516932.01</v>
      </c>
      <c r="K38" s="1014">
        <f>SUM(N38+Q38+Z38)</f>
        <v>1049428.6299999999</v>
      </c>
      <c r="L38" s="475">
        <f t="shared" si="0"/>
        <v>467503.38000000012</v>
      </c>
      <c r="M38" s="476">
        <f>SUM('ketv. 6 lent'!O39)</f>
        <v>75846.61</v>
      </c>
      <c r="N38" s="1014">
        <v>32471.439999999999</v>
      </c>
      <c r="O38" s="475">
        <f t="shared" si="1"/>
        <v>43375.17</v>
      </c>
      <c r="P38" s="476">
        <f>SUM('ketv. 6 lent'!S39)</f>
        <v>151693.20000000001</v>
      </c>
      <c r="Q38" s="1014">
        <v>107048.12</v>
      </c>
      <c r="R38" s="475">
        <f t="shared" si="2"/>
        <v>44645.080000000016</v>
      </c>
      <c r="S38" s="476">
        <f>SUM('ketv. 6 lent'!W39)</f>
        <v>0</v>
      </c>
      <c r="T38" s="474">
        <v>0</v>
      </c>
      <c r="U38" s="475">
        <f t="shared" si="3"/>
        <v>0</v>
      </c>
      <c r="V38" s="476">
        <f>SUM('ketv. 6 lent'!AA39)</f>
        <v>0</v>
      </c>
      <c r="W38" s="474">
        <v>0</v>
      </c>
      <c r="X38" s="475">
        <f t="shared" si="4"/>
        <v>0</v>
      </c>
      <c r="Y38" s="476">
        <f>SUM('ketv. 6 lent'!AE39)</f>
        <v>1289392.2</v>
      </c>
      <c r="Z38" s="1014">
        <v>909909.07</v>
      </c>
      <c r="AA38" s="728">
        <f t="shared" ref="AA38:AA42" si="18">IF(Y38&gt;0,Y38-Z38,0)</f>
        <v>379483.13</v>
      </c>
      <c r="AB38" s="30"/>
    </row>
    <row r="39" spans="1:31" ht="48.75" x14ac:dyDescent="0.25">
      <c r="A39" s="992" t="str">
        <f>CONCATENATE('3 pr-2'!A41)</f>
        <v>1.1.1.3.2</v>
      </c>
      <c r="B39" s="1016" t="str">
        <f>CONCATENATE('ketv. 6 lent'!B40)</f>
        <v>07.1.1-CPVA-R-905-11-0002</v>
      </c>
      <c r="C39" s="255" t="str">
        <f>CONCATENATE('3 pr-2'!D41)</f>
        <v>Varėnos miesto centrinės dalies modernizavimas ir pritaikymas visuomenės poreikiams (II etapas)</v>
      </c>
      <c r="D39" s="255" t="str">
        <f>CONCATENATE('3 pr-2'!E41)</f>
        <v>Varėnos rajono savivaldybės administracija</v>
      </c>
      <c r="E39" s="255" t="str">
        <f>CONCATENATE('3 pr-2'!F41)</f>
        <v>Lietuvos Respublikos vidaus reikalų ministerija</v>
      </c>
      <c r="F39" s="255" t="str">
        <f>CONCATENATE('3 pr-2'!G41)</f>
        <v>Varėnos miestas</v>
      </c>
      <c r="G39" s="255" t="str">
        <f>CONCATENATE('3 pr-2'!H41)</f>
        <v xml:space="preserve">07.1.1-CPVA-R-905 </v>
      </c>
      <c r="H39" s="255" t="str">
        <f>CONCATENATE('3 pr-2'!I41)</f>
        <v>R</v>
      </c>
      <c r="I39" s="255" t="str">
        <f>CONCATENATE('3 pr-2'!J41)</f>
        <v>ITI</v>
      </c>
      <c r="J39" s="474">
        <f>SUM('ketv. 6 lent'!K40)</f>
        <v>995216.11</v>
      </c>
      <c r="K39" s="476">
        <f>SUM(N39+Q39+Z39)</f>
        <v>136852.22999999998</v>
      </c>
      <c r="L39" s="476">
        <f t="shared" si="0"/>
        <v>858363.88</v>
      </c>
      <c r="M39" s="476">
        <f>SUM('ketv. 6 lent'!O40)</f>
        <v>74641.210000000006</v>
      </c>
      <c r="N39" s="476">
        <v>6513.91</v>
      </c>
      <c r="O39" s="476">
        <f t="shared" si="1"/>
        <v>68127.3</v>
      </c>
      <c r="P39" s="476">
        <f>SUM('ketv. 6 lent'!S40)</f>
        <v>74641.210000000006</v>
      </c>
      <c r="Q39" s="476">
        <v>10567.98</v>
      </c>
      <c r="R39" s="476">
        <f t="shared" si="2"/>
        <v>64073.23000000001</v>
      </c>
      <c r="S39" s="476">
        <f>SUM('ketv. 6 lent'!W40)</f>
        <v>0</v>
      </c>
      <c r="T39" s="476">
        <v>0</v>
      </c>
      <c r="U39" s="476">
        <f t="shared" si="3"/>
        <v>0</v>
      </c>
      <c r="V39" s="476">
        <f>SUM('ketv. 6 lent'!AA40)</f>
        <v>0</v>
      </c>
      <c r="W39" s="476">
        <v>0</v>
      </c>
      <c r="X39" s="476">
        <f t="shared" si="4"/>
        <v>0</v>
      </c>
      <c r="Y39" s="476">
        <f>SUM('ketv. 6 lent'!AE40)</f>
        <v>845933.69</v>
      </c>
      <c r="Z39" s="476">
        <v>119770.34</v>
      </c>
      <c r="AA39" s="728">
        <f t="shared" si="18"/>
        <v>726163.35</v>
      </c>
    </row>
    <row r="40" spans="1:31" ht="48.75" x14ac:dyDescent="0.25">
      <c r="A40" s="992" t="str">
        <f>CONCATENATE('3 pr-2'!A42)</f>
        <v>1.1.1.3.3</v>
      </c>
      <c r="B40" s="1016" t="str">
        <f>CONCATENATE('ketv. 6 lent'!B41)</f>
        <v>-</v>
      </c>
      <c r="C40" s="255" t="str">
        <f>CONCATENATE('3 pr-2'!D42)</f>
        <v xml:space="preserve">Varėnos miesto Dainų slėnio infrastruktūros atnaujinimas ir pritaikymas visuomenės poreikiams </v>
      </c>
      <c r="D40" s="255" t="str">
        <f>CONCATENATE('3 pr-2'!E42)</f>
        <v>Varėnos rajono savivaldybės administracija</v>
      </c>
      <c r="E40" s="255" t="str">
        <f>CONCATENATE('3 pr-2'!F42)</f>
        <v>Lietuvos Respublikos vidaus reikalų ministerija</v>
      </c>
      <c r="F40" s="255" t="str">
        <f>CONCATENATE('3 pr-2'!G42)</f>
        <v>Varėnos miestas</v>
      </c>
      <c r="G40" s="255" t="str">
        <f>CONCATENATE('3 pr-2'!H42)</f>
        <v xml:space="preserve">07.1.1-CPVA-R-905 </v>
      </c>
      <c r="H40" s="255" t="str">
        <f>CONCATENATE('3 pr-2'!I42)</f>
        <v>R</v>
      </c>
      <c r="I40" s="255" t="str">
        <f>CONCATENATE('3 pr-2'!J42)</f>
        <v>ITI</v>
      </c>
      <c r="J40" s="474">
        <f>SUM('ketv. 6 lent'!K41)</f>
        <v>0</v>
      </c>
      <c r="K40" s="474">
        <v>0</v>
      </c>
      <c r="L40" s="475">
        <f t="shared" ref="L40:L42" si="19">SUM(J40-K40)</f>
        <v>0</v>
      </c>
      <c r="M40" s="476">
        <f>SUM('ketv. 6 lent'!O41)</f>
        <v>0</v>
      </c>
      <c r="N40" s="474">
        <v>0</v>
      </c>
      <c r="O40" s="475">
        <f t="shared" si="1"/>
        <v>0</v>
      </c>
      <c r="P40" s="476">
        <f>SUM('ketv. 6 lent'!S41)</f>
        <v>0</v>
      </c>
      <c r="Q40" s="474">
        <v>0</v>
      </c>
      <c r="R40" s="475">
        <f t="shared" si="2"/>
        <v>0</v>
      </c>
      <c r="S40" s="476">
        <f>SUM('ketv. 6 lent'!W41)</f>
        <v>0</v>
      </c>
      <c r="T40" s="474">
        <v>0</v>
      </c>
      <c r="U40" s="475">
        <f t="shared" si="3"/>
        <v>0</v>
      </c>
      <c r="V40" s="476">
        <f>SUM('ketv. 6 lent'!AA41)</f>
        <v>0</v>
      </c>
      <c r="W40" s="474">
        <v>0</v>
      </c>
      <c r="X40" s="475">
        <f t="shared" si="4"/>
        <v>0</v>
      </c>
      <c r="Y40" s="476">
        <f>SUM('ketv. 6 lent'!AE41)</f>
        <v>0</v>
      </c>
      <c r="Z40" s="474">
        <v>0</v>
      </c>
      <c r="AA40" s="728">
        <f t="shared" si="18"/>
        <v>0</v>
      </c>
    </row>
    <row r="41" spans="1:31" ht="36.75" x14ac:dyDescent="0.25">
      <c r="A41" s="992" t="str">
        <f>CONCATENATE('3 pr-2'!A43)</f>
        <v>1.1.1.3.4</v>
      </c>
      <c r="B41" s="1016" t="str">
        <f>CONCATENATE('ketv. 6 lent'!B42)</f>
        <v>07.1.1-CPVA-R-905-11-0003</v>
      </c>
      <c r="C41" s="255" t="str">
        <f>CONCATENATE('3 pr-2'!D43)</f>
        <v>Karloniškės ežero ir jo prieigų sutvarkymas ir pritaikymas aktyviam poilsiui</v>
      </c>
      <c r="D41" s="255" t="str">
        <f>CONCATENATE('3 pr-2'!E43)</f>
        <v>Varėnos rajono savivaldybės administracija</v>
      </c>
      <c r="E41" s="255" t="str">
        <f>CONCATENATE('3 pr-2'!F43)</f>
        <v>Lietuvos Respublikos vidaus reikalų ministerija</v>
      </c>
      <c r="F41" s="255" t="str">
        <f>CONCATENATE('3 pr-2'!G43)</f>
        <v>Varėnos miestas</v>
      </c>
      <c r="G41" s="255" t="str">
        <f>CONCATENATE('3 pr-2'!H43)</f>
        <v xml:space="preserve">07.1.1-CPVA-R-905 </v>
      </c>
      <c r="H41" s="255" t="str">
        <f>CONCATENATE('3 pr-2'!I43)</f>
        <v>R</v>
      </c>
      <c r="I41" s="255" t="str">
        <f>CONCATENATE('3 pr-2'!J43)</f>
        <v>ITI</v>
      </c>
      <c r="J41" s="474">
        <f>SUM('ketv. 6 lent'!K42)</f>
        <v>757246.01</v>
      </c>
      <c r="K41" s="474">
        <v>0</v>
      </c>
      <c r="L41" s="475">
        <f t="shared" si="19"/>
        <v>757246.01</v>
      </c>
      <c r="M41" s="476">
        <f>SUM('ketv. 6 lent'!O42)</f>
        <v>198389.68</v>
      </c>
      <c r="N41" s="474">
        <v>0</v>
      </c>
      <c r="O41" s="475">
        <f t="shared" si="1"/>
        <v>198389.68</v>
      </c>
      <c r="P41" s="476">
        <f>SUM('ketv. 6 lent'!S42)</f>
        <v>45312.68</v>
      </c>
      <c r="Q41" s="474">
        <v>0</v>
      </c>
      <c r="R41" s="475">
        <f t="shared" si="2"/>
        <v>45312.68</v>
      </c>
      <c r="S41" s="476">
        <f>SUM('ketv. 6 lent'!W42)</f>
        <v>0</v>
      </c>
      <c r="T41" s="474">
        <v>0</v>
      </c>
      <c r="U41" s="475">
        <f t="shared" si="3"/>
        <v>0</v>
      </c>
      <c r="V41" s="476">
        <f>SUM('ketv. 6 lent'!AA42)</f>
        <v>0</v>
      </c>
      <c r="W41" s="474">
        <v>0</v>
      </c>
      <c r="X41" s="475">
        <f t="shared" si="4"/>
        <v>0</v>
      </c>
      <c r="Y41" s="476">
        <f>SUM('ketv. 6 lent'!AE42)</f>
        <v>513543.65</v>
      </c>
      <c r="Z41" s="474">
        <v>0</v>
      </c>
      <c r="AA41" s="728">
        <f t="shared" si="18"/>
        <v>513543.65</v>
      </c>
    </row>
    <row r="42" spans="1:31" ht="36.75" x14ac:dyDescent="0.25">
      <c r="A42" s="992" t="str">
        <f>CONCATENATE('3 pr-2'!A44)</f>
        <v>1.1.1.3.5</v>
      </c>
      <c r="B42" s="1016" t="str">
        <f>CONCATENATE('ketv. 6 lent'!B43)</f>
        <v>-</v>
      </c>
      <c r="C42" s="255" t="str">
        <f>CONCATENATE('3 pr-2'!D44)</f>
        <v xml:space="preserve">Nenaudojamų teritorijų Varėnos mieste sutvarkymas ir pritaikymas verslui </v>
      </c>
      <c r="D42" s="255" t="str">
        <f>CONCATENATE('3 pr-2'!E44)</f>
        <v>Varėnos rajono savivaldybės administracija</v>
      </c>
      <c r="E42" s="255" t="str">
        <f>CONCATENATE('3 pr-2'!F44)</f>
        <v>Lietuvos Respublikos vidaus reikalų ministerija</v>
      </c>
      <c r="F42" s="255" t="str">
        <f>CONCATENATE('3 pr-2'!G44)</f>
        <v>Varėnos miestas</v>
      </c>
      <c r="G42" s="255" t="str">
        <f>CONCATENATE('3 pr-2'!H44)</f>
        <v xml:space="preserve">07.1.1-CPVA-R-905 </v>
      </c>
      <c r="H42" s="255" t="str">
        <f>CONCATENATE('3 pr-2'!I44)</f>
        <v>R</v>
      </c>
      <c r="I42" s="255" t="str">
        <f>CONCATENATE('3 pr-2'!J44)</f>
        <v>ITI</v>
      </c>
      <c r="J42" s="474">
        <f>SUM('ketv. 6 lent'!K43)</f>
        <v>0</v>
      </c>
      <c r="K42" s="474">
        <v>0</v>
      </c>
      <c r="L42" s="475">
        <f t="shared" si="19"/>
        <v>0</v>
      </c>
      <c r="M42" s="476">
        <f>SUM('ketv. 6 lent'!O43)</f>
        <v>0</v>
      </c>
      <c r="N42" s="474">
        <v>0</v>
      </c>
      <c r="O42" s="475">
        <f t="shared" si="1"/>
        <v>0</v>
      </c>
      <c r="P42" s="476">
        <f>SUM('ketv. 6 lent'!S43)</f>
        <v>0</v>
      </c>
      <c r="Q42" s="474">
        <v>0</v>
      </c>
      <c r="R42" s="475">
        <f t="shared" si="2"/>
        <v>0</v>
      </c>
      <c r="S42" s="476">
        <f>SUM('ketv. 6 lent'!W43)</f>
        <v>0</v>
      </c>
      <c r="T42" s="474">
        <v>0</v>
      </c>
      <c r="U42" s="475">
        <f t="shared" si="3"/>
        <v>0</v>
      </c>
      <c r="V42" s="476">
        <f>SUM('ketv. 6 lent'!AA43)</f>
        <v>0</v>
      </c>
      <c r="W42" s="474">
        <v>0</v>
      </c>
      <c r="X42" s="475">
        <f t="shared" si="4"/>
        <v>0</v>
      </c>
      <c r="Y42" s="476">
        <f>SUM('ketv. 6 lent'!AE43)</f>
        <v>0</v>
      </c>
      <c r="Z42" s="474">
        <v>0</v>
      </c>
      <c r="AA42" s="728">
        <f t="shared" si="18"/>
        <v>0</v>
      </c>
    </row>
    <row r="43" spans="1:31" ht="61.5" thickBot="1" x14ac:dyDescent="0.3">
      <c r="A43" s="992" t="str">
        <f>CONCATENATE('3 pr-2'!A45)</f>
        <v>1.1.1.3.6</v>
      </c>
      <c r="B43" s="1016" t="str">
        <f>CONCATENATE('ketv. 6 lent'!B44)</f>
        <v>-</v>
      </c>
      <c r="C43" s="255" t="str">
        <f>CONCATENATE('3 pr-2'!D45)</f>
        <v xml:space="preserve">Teritorijų prie daugiabučių gyvenamųjų pastatų Varėnos mieste sutvarkymas ir pritaikymas visuomenės poreikiams  </v>
      </c>
      <c r="D43" s="255" t="str">
        <f>CONCATENATE('3 pr-2'!E45)</f>
        <v>Varėnos rajono savivaldybės administracija</v>
      </c>
      <c r="E43" s="255" t="str">
        <f>CONCATENATE('3 pr-2'!F45)</f>
        <v>Lietuvos Respublikos vidaus reikalų ministerija</v>
      </c>
      <c r="F43" s="255" t="str">
        <f>CONCATENATE('3 pr-2'!G45)</f>
        <v>Varėnos miestas</v>
      </c>
      <c r="G43" s="255" t="str">
        <f>CONCATENATE('3 pr-2'!H45)</f>
        <v xml:space="preserve">07.1.1-CPVA-R-905 </v>
      </c>
      <c r="H43" s="255" t="str">
        <f>CONCATENATE('3 pr-2'!I45)</f>
        <v>R</v>
      </c>
      <c r="I43" s="255" t="str">
        <f>CONCATENATE('3 pr-2'!J45)</f>
        <v>ITI</v>
      </c>
      <c r="J43" s="474">
        <f>SUM('ketv. 6 lent'!K44)</f>
        <v>0</v>
      </c>
      <c r="K43" s="474">
        <v>0</v>
      </c>
      <c r="L43" s="475">
        <f t="shared" ref="L43" si="20">SUM(J43-K43)</f>
        <v>0</v>
      </c>
      <c r="M43" s="476">
        <f>SUM('ketv. 6 lent'!O44)</f>
        <v>0</v>
      </c>
      <c r="N43" s="474">
        <v>0</v>
      </c>
      <c r="O43" s="475">
        <f t="shared" ref="O43" si="21">SUM(M43-N43)</f>
        <v>0</v>
      </c>
      <c r="P43" s="476">
        <f>SUM('ketv. 6 lent'!S44)</f>
        <v>0</v>
      </c>
      <c r="Q43" s="474">
        <v>0</v>
      </c>
      <c r="R43" s="475">
        <f t="shared" ref="R43" si="22">SUM(P43-Q43)</f>
        <v>0</v>
      </c>
      <c r="S43" s="476">
        <f>SUM('ketv. 6 lent'!W44)</f>
        <v>0</v>
      </c>
      <c r="T43" s="474">
        <v>0</v>
      </c>
      <c r="U43" s="475">
        <f t="shared" ref="U43" si="23">SUM(S43-T43)</f>
        <v>0</v>
      </c>
      <c r="V43" s="476">
        <f>SUM('ketv. 6 lent'!AA44)</f>
        <v>0</v>
      </c>
      <c r="W43" s="474">
        <v>0</v>
      </c>
      <c r="X43" s="475">
        <f t="shared" ref="X43" si="24">SUM(V43-W43)</f>
        <v>0</v>
      </c>
      <c r="Y43" s="476">
        <f>SUM('ketv. 6 lent'!AE44)</f>
        <v>0</v>
      </c>
      <c r="Z43" s="474">
        <v>0</v>
      </c>
      <c r="AA43" s="470"/>
    </row>
    <row r="44" spans="1:31" ht="36.75" customHeight="1" thickBot="1" x14ac:dyDescent="0.3">
      <c r="A44" s="497" t="str">
        <f>CONCATENATE('3 pr-2'!A46)</f>
        <v>1.1.1.4</v>
      </c>
      <c r="B44" s="613" t="str">
        <f>CONCATENATE('ketv. 2lent'!B45)</f>
        <v/>
      </c>
      <c r="C44" s="1656" t="str">
        <f>CONCATENATE('3 pr-2'!D46)</f>
        <v/>
      </c>
      <c r="D44" s="1789"/>
      <c r="E44" s="1789"/>
      <c r="F44" s="1789"/>
      <c r="G44" s="1789"/>
      <c r="H44" s="1789"/>
      <c r="I44" s="1790"/>
      <c r="J44" s="629">
        <f>SUM('ketv. 6 lent'!K45)</f>
        <v>1998062.27</v>
      </c>
      <c r="K44" s="629">
        <f>SUM(K45:K47)</f>
        <v>1263963.0799999998</v>
      </c>
      <c r="L44" s="629">
        <f>SUM(L45:L47)</f>
        <v>734099.19000000029</v>
      </c>
      <c r="M44" s="629">
        <f>SUM('ketv. 6 lent'!O45)</f>
        <v>175096.68</v>
      </c>
      <c r="N44" s="629">
        <f>SUM(N45:N47)</f>
        <v>68638.62000000001</v>
      </c>
      <c r="O44" s="629">
        <f>SUM(O45:O47)</f>
        <v>106458.06</v>
      </c>
      <c r="P44" s="629">
        <f>SUM('ketv. 6 lent'!S45)</f>
        <v>147808.01999999999</v>
      </c>
      <c r="Q44" s="629">
        <f>SUM(Q45:Q47)</f>
        <v>96918.01</v>
      </c>
      <c r="R44" s="629">
        <f>SUM(R45:R47)</f>
        <v>50890.01</v>
      </c>
      <c r="S44" s="629">
        <f>SUM('ketv. 6 lent'!W45)</f>
        <v>0</v>
      </c>
      <c r="T44" s="629">
        <f>SUM(T45:T47)</f>
        <v>0</v>
      </c>
      <c r="U44" s="629">
        <f>SUM(U45:U47)</f>
        <v>0</v>
      </c>
      <c r="V44" s="629">
        <f>SUM('ketv. 6 lent'!AA45)</f>
        <v>0</v>
      </c>
      <c r="W44" s="629">
        <f>SUM(W45:W47)</f>
        <v>0</v>
      </c>
      <c r="X44" s="629">
        <f>SUM(X45:X47)</f>
        <v>0</v>
      </c>
      <c r="Y44" s="629">
        <f>SUM('ketv. 6 lent'!AE45)</f>
        <v>1675157.5699999998</v>
      </c>
      <c r="Z44" s="629">
        <f>SUM(Z45:Z47)</f>
        <v>1098406.45</v>
      </c>
      <c r="AA44" s="353">
        <f>SUM(AA45:AA47)</f>
        <v>576751.12000000011</v>
      </c>
    </row>
    <row r="45" spans="1:31" ht="48.75" x14ac:dyDescent="0.25">
      <c r="A45" s="992" t="str">
        <f>CONCATENATE('3 pr-2'!A47)</f>
        <v>1.1.1.4.1</v>
      </c>
      <c r="B45" s="1016" t="str">
        <f>CONCATENATE('ketv. 6 lent'!B46)</f>
        <v>07.1.1-CPVA-V-902-01-0008</v>
      </c>
      <c r="C45" s="255" t="str">
        <f>CONCATENATE('3 pr-2'!D47)</f>
        <v>Buvusios pramoninės teritorijos Pramonės g. 1 Alytuje, pritaikymas verslo vystymui ir plėtrai.</v>
      </c>
      <c r="D45" s="255" t="str">
        <f>CONCATENATE('3 pr-2'!E47)</f>
        <v>Alytaus miesto savivaldybės administracija</v>
      </c>
      <c r="E45" s="255" t="str">
        <f>CONCATENATE('3 pr-2'!F47)</f>
        <v>Lietuvos Respublikos vidaus reikalų ministerija</v>
      </c>
      <c r="F45" s="255" t="str">
        <f>CONCATENATE('3 pr-2'!G47)</f>
        <v>Alytaus m.</v>
      </c>
      <c r="G45" s="255" t="str">
        <f>CONCATENATE('3 pr-2'!H47)</f>
        <v>07.1.1-CPVA-V-902</v>
      </c>
      <c r="H45" s="255" t="str">
        <f>CONCATENATE('3 pr-2'!I47)</f>
        <v>V</v>
      </c>
      <c r="I45" s="255" t="str">
        <f>CONCATENATE('3 pr-2'!J47)</f>
        <v>ITI</v>
      </c>
      <c r="J45" s="474">
        <f>SUM('ketv. 6 lent'!K46)</f>
        <v>1293732.56</v>
      </c>
      <c r="K45" s="476">
        <f>SUM(N45+Q45+Z45)</f>
        <v>1252365.0099999998</v>
      </c>
      <c r="L45" s="476">
        <f t="shared" si="0"/>
        <v>41367.550000000279</v>
      </c>
      <c r="M45" s="476">
        <f>SUM('ketv. 6 lent'!O46)</f>
        <v>97029.94</v>
      </c>
      <c r="N45" s="476">
        <v>67751.570000000007</v>
      </c>
      <c r="O45" s="476">
        <f t="shared" si="1"/>
        <v>29278.369999999995</v>
      </c>
      <c r="P45" s="476">
        <f>SUM('ketv. 6 lent'!S46)</f>
        <v>97029.94</v>
      </c>
      <c r="Q45" s="476">
        <v>96049.55</v>
      </c>
      <c r="R45" s="476">
        <f t="shared" si="2"/>
        <v>980.38999999999942</v>
      </c>
      <c r="S45" s="476">
        <f>SUM('ketv. 6 lent'!W46)</f>
        <v>0</v>
      </c>
      <c r="T45" s="476">
        <v>0</v>
      </c>
      <c r="U45" s="476">
        <f t="shared" si="3"/>
        <v>0</v>
      </c>
      <c r="V45" s="476">
        <f>SUM('ketv. 6 lent'!AA46)</f>
        <v>0</v>
      </c>
      <c r="W45" s="476">
        <v>0</v>
      </c>
      <c r="X45" s="476">
        <f t="shared" si="4"/>
        <v>0</v>
      </c>
      <c r="Y45" s="476">
        <f>SUM('ketv. 6 lent'!AE46)</f>
        <v>1099672.68</v>
      </c>
      <c r="Z45" s="476">
        <v>1088563.8899999999</v>
      </c>
      <c r="AA45" s="728">
        <f t="shared" ref="AA45:AA47" si="25">IF(Y45&gt;0,Y45-Z45,0)</f>
        <v>11108.790000000037</v>
      </c>
      <c r="AB45" s="30"/>
      <c r="AC45" s="336"/>
    </row>
    <row r="46" spans="1:31" ht="36.75" x14ac:dyDescent="0.25">
      <c r="A46" s="992" t="str">
        <f>CONCATENATE('3 pr-2'!A48)</f>
        <v>1.1.1.4.2</v>
      </c>
      <c r="B46" s="1016" t="str">
        <f>CONCATENATE('ketv. 6 lent'!B47)</f>
        <v>07.1.1-CPVA-R-903-11-0001</v>
      </c>
      <c r="C46" s="255" t="str">
        <f>CONCATENATE('3 pr-2'!D48)</f>
        <v>Amatų centro „Menų kalvė“ Druskininkuose įkūrimas</v>
      </c>
      <c r="D46" s="255" t="str">
        <f>CONCATENATE('3 pr-2'!E48)</f>
        <v xml:space="preserve">Druskininkų savivaldybės administracija  </v>
      </c>
      <c r="E46" s="255" t="str">
        <f>CONCATENATE('3 pr-2'!F48)</f>
        <v>Lietuvos Respublikos vidaus reikalų ministerija</v>
      </c>
      <c r="F46" s="255" t="str">
        <f>CONCATENATE('3 pr-2'!G48)</f>
        <v>Druskininkų miestas</v>
      </c>
      <c r="G46" s="255" t="str">
        <f>CONCATENATE('3 pr-2'!H48)</f>
        <v>07.1.1-CPVA-R-903</v>
      </c>
      <c r="H46" s="255" t="str">
        <f>CONCATENATE('3 pr-2'!I48)</f>
        <v>R</v>
      </c>
      <c r="I46" s="255" t="str">
        <f>CONCATENATE('3 pr-2'!J48)</f>
        <v>ITI</v>
      </c>
      <c r="J46" s="474">
        <f>SUM('ketv. 6 lent'!K47)</f>
        <v>360822.71</v>
      </c>
      <c r="K46" s="476">
        <f>SUM(N46+Q46+Z46)</f>
        <v>62.480000000000004</v>
      </c>
      <c r="L46" s="476">
        <f t="shared" si="0"/>
        <v>360760.23000000004</v>
      </c>
      <c r="M46" s="476">
        <f>SUM('ketv. 6 lent'!O47)</f>
        <v>52303.71</v>
      </c>
      <c r="N46" s="476">
        <v>21.88</v>
      </c>
      <c r="O46" s="476">
        <f t="shared" si="1"/>
        <v>52281.83</v>
      </c>
      <c r="P46" s="476">
        <f>SUM('ketv. 6 lent'!S47)</f>
        <v>25015.06</v>
      </c>
      <c r="Q46" s="476">
        <v>3.29</v>
      </c>
      <c r="R46" s="476">
        <f t="shared" si="2"/>
        <v>25011.77</v>
      </c>
      <c r="S46" s="476">
        <f>SUM('ketv. 6 lent'!W47)</f>
        <v>0</v>
      </c>
      <c r="T46" s="476">
        <v>0</v>
      </c>
      <c r="U46" s="476">
        <f t="shared" si="3"/>
        <v>0</v>
      </c>
      <c r="V46" s="476">
        <f>SUM('ketv. 6 lent'!AA47)</f>
        <v>0</v>
      </c>
      <c r="W46" s="476">
        <v>0</v>
      </c>
      <c r="X46" s="476">
        <f t="shared" si="4"/>
        <v>0</v>
      </c>
      <c r="Y46" s="476">
        <f>SUM('ketv. 6 lent'!AE47)</f>
        <v>283503.94</v>
      </c>
      <c r="Z46" s="476">
        <v>37.31</v>
      </c>
      <c r="AA46" s="728">
        <f t="shared" si="25"/>
        <v>283466.63</v>
      </c>
      <c r="AB46" s="30"/>
      <c r="AE46" s="336"/>
    </row>
    <row r="47" spans="1:31" ht="37.5" thickBot="1" x14ac:dyDescent="0.3">
      <c r="A47" s="992" t="str">
        <f>CONCATENATE('3 pr-2'!A49)</f>
        <v>1.1.1.4.3</v>
      </c>
      <c r="B47" s="1016" t="str">
        <f>CONCATENATE('ketv. 6 lent'!B48)</f>
        <v>07.1.1-CPVA-R-903-11-0002</v>
      </c>
      <c r="C47" s="255" t="str">
        <f>CONCATENATE('3 pr-2'!D49)</f>
        <v>Lazdijų miesto kompleksinė infrastruktūros plėtra, III etapas</v>
      </c>
      <c r="D47" s="255" t="str">
        <f>CONCATENATE('3 pr-2'!E49)</f>
        <v>Lazdijų rajono savivaldybės administracija</v>
      </c>
      <c r="E47" s="255" t="str">
        <f>CONCATENATE('3 pr-2'!F49)</f>
        <v>Lietuvos Respublikos vidaus reikalų ministerija</v>
      </c>
      <c r="F47" s="255" t="str">
        <f>CONCATENATE('3 pr-2'!G49)</f>
        <v>Lazdijų miestas</v>
      </c>
      <c r="G47" s="255" t="str">
        <f>CONCATENATE('3 pr-2'!H49)</f>
        <v>07.1.1-CPVA-R-903</v>
      </c>
      <c r="H47" s="255" t="str">
        <f>CONCATENATE('3 pr-2'!I49)</f>
        <v>R</v>
      </c>
      <c r="I47" s="255" t="str">
        <f>CONCATENATE('3 pr-2'!J49)</f>
        <v>ITI</v>
      </c>
      <c r="J47" s="474">
        <f>SUM('ketv. 6 lent'!K48)</f>
        <v>343507</v>
      </c>
      <c r="K47" s="476">
        <f>SUM(N47+Q47+Z47)</f>
        <v>11535.59</v>
      </c>
      <c r="L47" s="475">
        <f t="shared" si="0"/>
        <v>331971.40999999997</v>
      </c>
      <c r="M47" s="476">
        <f>SUM('ketv. 6 lent'!O48)</f>
        <v>25763.03</v>
      </c>
      <c r="N47" s="476">
        <v>865.17</v>
      </c>
      <c r="O47" s="475">
        <f t="shared" si="1"/>
        <v>24897.86</v>
      </c>
      <c r="P47" s="476">
        <f>SUM('ketv. 6 lent'!S48)</f>
        <v>25763.02</v>
      </c>
      <c r="Q47" s="476">
        <v>865.17</v>
      </c>
      <c r="R47" s="475">
        <f t="shared" si="2"/>
        <v>24897.850000000002</v>
      </c>
      <c r="S47" s="476">
        <f>SUM('ketv. 6 lent'!W48)</f>
        <v>0</v>
      </c>
      <c r="T47" s="474">
        <v>0</v>
      </c>
      <c r="U47" s="475">
        <f t="shared" si="3"/>
        <v>0</v>
      </c>
      <c r="V47" s="476">
        <f>SUM('ketv. 6 lent'!AA48)</f>
        <v>0</v>
      </c>
      <c r="W47" s="474">
        <v>0</v>
      </c>
      <c r="X47" s="475">
        <f t="shared" si="4"/>
        <v>0</v>
      </c>
      <c r="Y47" s="476">
        <f>SUM('ketv. 6 lent'!AE48)</f>
        <v>291980.95</v>
      </c>
      <c r="Z47" s="476">
        <v>9805.25</v>
      </c>
      <c r="AA47" s="728">
        <f t="shared" si="25"/>
        <v>282175.7</v>
      </c>
    </row>
    <row r="48" spans="1:31" ht="38.25" customHeight="1" thickBot="1" x14ac:dyDescent="0.3">
      <c r="A48" s="497" t="str">
        <f>CONCATENATE('3 pr-2'!A50)</f>
        <v>1.1.1.5</v>
      </c>
      <c r="B48" s="613" t="str">
        <f>CONCATENATE('ketv. 2lent'!B49)</f>
        <v/>
      </c>
      <c r="C48" s="1656" t="str">
        <f>CONCATENATE('3 pr-2'!D50)</f>
        <v/>
      </c>
      <c r="D48" s="1789"/>
      <c r="E48" s="1789"/>
      <c r="F48" s="1789"/>
      <c r="G48" s="1789"/>
      <c r="H48" s="1789"/>
      <c r="I48" s="1790"/>
      <c r="J48" s="629">
        <f>SUM('ketv. 6 lent'!K49)</f>
        <v>13600026.08</v>
      </c>
      <c r="K48" s="629">
        <f>SUM(K49:K53)</f>
        <v>2565114.33</v>
      </c>
      <c r="L48" s="629">
        <f>SUM(L49:L53)</f>
        <v>11034911.75</v>
      </c>
      <c r="M48" s="629">
        <f>SUM('ketv. 6 lent'!O49)</f>
        <v>0</v>
      </c>
      <c r="N48" s="629">
        <f>SUM(N49:N53)</f>
        <v>0</v>
      </c>
      <c r="O48" s="629">
        <f>SUM(O49:O53)</f>
        <v>0</v>
      </c>
      <c r="P48" s="629">
        <f>SUM('ketv. 6 lent'!S49)</f>
        <v>0</v>
      </c>
      <c r="Q48" s="629">
        <f>SUM(Q49:Q53)</f>
        <v>0</v>
      </c>
      <c r="R48" s="629">
        <f>SUM(R49:R53)</f>
        <v>0</v>
      </c>
      <c r="S48" s="629">
        <f>SUM('ketv. 6 lent'!W49)</f>
        <v>6202852.4799999995</v>
      </c>
      <c r="T48" s="629">
        <f>SUM(T49:T53)</f>
        <v>1302787.02</v>
      </c>
      <c r="U48" s="629">
        <f>SUM(U49:U53)</f>
        <v>4900065.46</v>
      </c>
      <c r="V48" s="629">
        <f>SUM('ketv. 6 lent'!AA49)</f>
        <v>0</v>
      </c>
      <c r="W48" s="629">
        <f>SUM(W49:W53)</f>
        <v>0</v>
      </c>
      <c r="X48" s="629">
        <f>SUM(X49:X53)</f>
        <v>0</v>
      </c>
      <c r="Y48" s="629">
        <f>SUM('ketv. 6 lent'!AE49)</f>
        <v>7397173.5999999996</v>
      </c>
      <c r="Z48" s="629">
        <f>SUM(Z49:Z53)</f>
        <v>1262327.31</v>
      </c>
      <c r="AA48" s="352">
        <f>SUM(AA49:AA53)</f>
        <v>6134846.29</v>
      </c>
    </row>
    <row r="49" spans="1:29" ht="48.75" x14ac:dyDescent="0.25">
      <c r="A49" s="992" t="str">
        <f>CONCATENATE('3 pr-2'!A51)</f>
        <v>1.1.1.5.1</v>
      </c>
      <c r="B49" s="1016" t="str">
        <f>CONCATENATE('ketv. 6 lent'!B50)</f>
        <v>05.3.2-APVA-R-014-11-0001</v>
      </c>
      <c r="C49" s="255" t="str">
        <f>CONCATENATE('3 pr-2'!D51)</f>
        <v>Geriamojo vandens tiekimo ir nuotekų tvarkymo sistemų renovavimas ir plėtra Varėnos rajone</v>
      </c>
      <c r="D49" s="255" t="str">
        <f>CONCATENATE('3 pr-2'!E51)</f>
        <v>UAB „Varėnos vandenys“</v>
      </c>
      <c r="E49" s="255" t="str">
        <f>CONCATENATE('3 pr-2'!F51)</f>
        <v>Lietuvos Respublikos aplinkos ministerija</v>
      </c>
      <c r="F49" s="255" t="str">
        <f>CONCATENATE('3 pr-2'!G51)</f>
        <v>Varėnos rajono savivaldybė</v>
      </c>
      <c r="G49" s="255" t="str">
        <f>CONCATENATE('3 pr-2'!H51)</f>
        <v>05.3.2-APVA-R-014</v>
      </c>
      <c r="H49" s="255" t="str">
        <f>CONCATENATE('3 pr-2'!I51)</f>
        <v>R</v>
      </c>
      <c r="I49" s="255" t="str">
        <f>CONCATENATE('3 pr-2'!J51)</f>
        <v>ITI</v>
      </c>
      <c r="J49" s="476">
        <f>SUM('ketv. 6 lent'!K50)</f>
        <v>2477103.23</v>
      </c>
      <c r="K49" s="476">
        <f>SUM(T49+W49+Z49)</f>
        <v>302669.49</v>
      </c>
      <c r="L49" s="476">
        <f t="shared" si="0"/>
        <v>2174433.7400000002</v>
      </c>
      <c r="M49" s="476">
        <f>SUM('ketv. 6 lent'!O50)</f>
        <v>0</v>
      </c>
      <c r="N49" s="476">
        <v>0</v>
      </c>
      <c r="O49" s="476">
        <f t="shared" si="1"/>
        <v>0</v>
      </c>
      <c r="P49" s="476">
        <f>SUM('ketv. 6 lent'!S50)</f>
        <v>0</v>
      </c>
      <c r="Q49" s="476">
        <v>0</v>
      </c>
      <c r="R49" s="476">
        <f t="shared" ref="R49:R53" si="26">SUM(P49-Q49)</f>
        <v>0</v>
      </c>
      <c r="S49" s="476">
        <f>SUM('ketv. 6 lent'!W50)</f>
        <v>862874.97</v>
      </c>
      <c r="T49" s="476">
        <v>140468.96</v>
      </c>
      <c r="U49" s="476">
        <f t="shared" si="3"/>
        <v>722406.01</v>
      </c>
      <c r="V49" s="476">
        <f>SUM('ketv. 6 lent'!AA50)</f>
        <v>0</v>
      </c>
      <c r="W49" s="476">
        <v>0</v>
      </c>
      <c r="X49" s="476">
        <f t="shared" ref="X49:X53" si="27">SUM(V49-W49)</f>
        <v>0</v>
      </c>
      <c r="Y49" s="476">
        <f>SUM('ketv. 6 lent'!AE50)</f>
        <v>1614228.26</v>
      </c>
      <c r="Z49" s="476">
        <v>162200.53</v>
      </c>
      <c r="AA49" s="728">
        <f t="shared" ref="AA49:AA53" si="28">IF(Y49&gt;0,Y49-Z49,0)</f>
        <v>1452027.73</v>
      </c>
    </row>
    <row r="50" spans="1:29" ht="36.75" x14ac:dyDescent="0.25">
      <c r="A50" s="992" t="str">
        <f>CONCATENATE('3 pr-2'!A52)</f>
        <v>1.1.1.5.2.</v>
      </c>
      <c r="B50" s="1016" t="str">
        <f>CONCATENATE('ketv. 6 lent'!B51)</f>
        <v>05.3.2-APVA-R-014-11-0002</v>
      </c>
      <c r="C50" s="255" t="str">
        <f>CONCATENATE('3 pr-2'!D52)</f>
        <v>Geriamojo vandens ir nuotekų tvarkymo sistemų renovavimas Alytaus mieste</v>
      </c>
      <c r="D50" s="255" t="str">
        <f>CONCATENATE('3 pr-2'!E52)</f>
        <v>UAB “Dzūkijos vandenys“</v>
      </c>
      <c r="E50" s="255" t="str">
        <f>CONCATENATE('3 pr-2'!F52)</f>
        <v>Lietuvos Respublikos aplinkos ministerija</v>
      </c>
      <c r="F50" s="255" t="str">
        <f>CONCATENATE('3 pr-2'!G52)</f>
        <v>Alytaus miestas</v>
      </c>
      <c r="G50" s="255" t="str">
        <f>CONCATENATE('3 pr-2'!H52)</f>
        <v xml:space="preserve">05.3.2-APVA-R-014 </v>
      </c>
      <c r="H50" s="255" t="str">
        <f>CONCATENATE('3 pr-2'!I52)</f>
        <v>R</v>
      </c>
      <c r="I50" s="255" t="str">
        <f>CONCATENATE('3 pr-2'!J52)</f>
        <v>ITI</v>
      </c>
      <c r="J50" s="474">
        <f>SUM('ketv. 6 lent'!K51)</f>
        <v>5993883</v>
      </c>
      <c r="K50" s="476">
        <f>SUM(T50+W50+Z50)</f>
        <v>1672110.09</v>
      </c>
      <c r="L50" s="476">
        <f t="shared" si="0"/>
        <v>4321772.91</v>
      </c>
      <c r="M50" s="476">
        <f>SUM('ketv. 6 lent'!O51)</f>
        <v>0</v>
      </c>
      <c r="N50" s="476">
        <v>0</v>
      </c>
      <c r="O50" s="476">
        <f t="shared" si="1"/>
        <v>0</v>
      </c>
      <c r="P50" s="476">
        <f>SUM('ketv. 6 lent'!S51)</f>
        <v>0</v>
      </c>
      <c r="Q50" s="476">
        <v>0</v>
      </c>
      <c r="R50" s="476">
        <f t="shared" si="26"/>
        <v>0</v>
      </c>
      <c r="S50" s="476">
        <f>SUM('ketv. 6 lent'!W51)</f>
        <v>3347886.75</v>
      </c>
      <c r="T50" s="476">
        <v>933958.04</v>
      </c>
      <c r="U50" s="476">
        <f t="shared" si="3"/>
        <v>2413928.71</v>
      </c>
      <c r="V50" s="476">
        <f>SUM('ketv. 6 lent'!AA51)</f>
        <v>0</v>
      </c>
      <c r="W50" s="476">
        <v>0</v>
      </c>
      <c r="X50" s="476">
        <f t="shared" si="27"/>
        <v>0</v>
      </c>
      <c r="Y50" s="476">
        <f>SUM('ketv. 6 lent'!AE51)</f>
        <v>2645996.25</v>
      </c>
      <c r="Z50" s="476">
        <v>738152.05</v>
      </c>
      <c r="AA50" s="728">
        <f t="shared" si="28"/>
        <v>1907844.2</v>
      </c>
    </row>
    <row r="51" spans="1:29" ht="48.75" x14ac:dyDescent="0.25">
      <c r="A51" s="992" t="str">
        <f>CONCATENATE('3 pr-2'!A53)</f>
        <v>1.1.1.5.3</v>
      </c>
      <c r="B51" s="1016" t="str">
        <f>CONCATENATE('ketv. 6 lent'!B52)</f>
        <v>05.3.2-APVA-R-014-11-0004</v>
      </c>
      <c r="C51" s="255" t="str">
        <f>CONCATENATE('3 pr-2'!D53)</f>
        <v>Geriamojo vandens tiekimo ir nuotekų tvarkymo sistemų renovavimas ir plėtra Lazdijų rajono savivaldybėje</v>
      </c>
      <c r="D51" s="255" t="str">
        <f>CONCATENATE('3 pr-2'!E53)</f>
        <v>UAB „Lazdijų vanduo“</v>
      </c>
      <c r="E51" s="255" t="str">
        <f>CONCATENATE('3 pr-2'!F53)</f>
        <v>Lietuvos Respublikos aplinkos ministerija</v>
      </c>
      <c r="F51" s="255" t="str">
        <f>CONCATENATE('3 pr-2'!G53)</f>
        <v>Lazdijų rajono savivaldybė</v>
      </c>
      <c r="G51" s="255" t="str">
        <f>CONCATENATE('3 pr-2'!H53)</f>
        <v>05.3.2-APVA-R-014</v>
      </c>
      <c r="H51" s="255" t="str">
        <f>CONCATENATE('3 pr-2'!I53)</f>
        <v>R</v>
      </c>
      <c r="I51" s="255" t="str">
        <f>CONCATENATE('3 pr-2'!J53)</f>
        <v>-</v>
      </c>
      <c r="J51" s="474">
        <f>SUM('ketv. 6 lent'!K52)</f>
        <v>1288228.01</v>
      </c>
      <c r="K51" s="476">
        <f>SUM(T51+W51+Z51)</f>
        <v>419547</v>
      </c>
      <c r="L51" s="476">
        <f t="shared" si="0"/>
        <v>868681.01</v>
      </c>
      <c r="M51" s="476">
        <f>SUM('ketv. 6 lent'!O52)</f>
        <v>0</v>
      </c>
      <c r="N51" s="476">
        <v>0</v>
      </c>
      <c r="O51" s="476">
        <f t="shared" si="1"/>
        <v>0</v>
      </c>
      <c r="P51" s="476">
        <f>SUM('ketv. 6 lent'!S52)</f>
        <v>0</v>
      </c>
      <c r="Q51" s="476">
        <v>0</v>
      </c>
      <c r="R51" s="476">
        <f t="shared" si="26"/>
        <v>0</v>
      </c>
      <c r="S51" s="476">
        <f>SUM('ketv. 6 lent'!W52)</f>
        <v>498126.01</v>
      </c>
      <c r="T51" s="476">
        <v>146096.98000000001</v>
      </c>
      <c r="U51" s="476">
        <f t="shared" si="3"/>
        <v>352029.03</v>
      </c>
      <c r="V51" s="476">
        <f>SUM('ketv. 6 lent'!AA52)</f>
        <v>0</v>
      </c>
      <c r="W51" s="476">
        <v>0</v>
      </c>
      <c r="X51" s="476">
        <f t="shared" si="27"/>
        <v>0</v>
      </c>
      <c r="Y51" s="476">
        <f>SUM('ketv. 6 lent'!AE52)</f>
        <v>790102</v>
      </c>
      <c r="Z51" s="476">
        <v>273450.02</v>
      </c>
      <c r="AA51" s="728">
        <f t="shared" si="28"/>
        <v>516651.98</v>
      </c>
    </row>
    <row r="52" spans="1:29" ht="48.75" x14ac:dyDescent="0.25">
      <c r="A52" s="992" t="str">
        <f>CONCATENATE('3 pr-2'!A54)</f>
        <v>1.1.1.5.4.</v>
      </c>
      <c r="B52" s="1016" t="str">
        <f>CONCATENATE('ketv. 6 lent'!B53)</f>
        <v>05.3.2-APVA-R-014-11-0003</v>
      </c>
      <c r="C52" s="255" t="str">
        <f>CONCATENATE('3 pr-2'!D54)</f>
        <v>Vandens tiekimo ir nuotekų šalinimo infrastruktūros renovavimas ir plėtra Druskininkų savivaldybėje</v>
      </c>
      <c r="D52" s="255" t="str">
        <f>CONCATENATE('3 pr-2'!E54)</f>
        <v>UAB "Druskininkų vandenys"</v>
      </c>
      <c r="E52" s="255" t="str">
        <f>CONCATENATE('3 pr-2'!F54)</f>
        <v>Lietuvos Respublikos aplinkos ministerija</v>
      </c>
      <c r="F52" s="255" t="str">
        <f>CONCATENATE('3 pr-2'!G54)</f>
        <v>Druskininkų miestas</v>
      </c>
      <c r="G52" s="255" t="str">
        <f>CONCATENATE('3 pr-2'!H54)</f>
        <v>05.3.2-APVA-R-014</v>
      </c>
      <c r="H52" s="255" t="str">
        <f>CONCATENATE('3 pr-2'!I54)</f>
        <v>R</v>
      </c>
      <c r="I52" s="255" t="str">
        <f>CONCATENATE('3 pr-2'!J54)</f>
        <v>-</v>
      </c>
      <c r="J52" s="474">
        <f>SUM('ketv. 6 lent'!K53)</f>
        <v>2359811.84</v>
      </c>
      <c r="K52" s="476">
        <f>SUM(T52+W52+Z52)</f>
        <v>170787.75</v>
      </c>
      <c r="L52" s="476">
        <f t="shared" si="0"/>
        <v>2189024.09</v>
      </c>
      <c r="M52" s="476">
        <f>SUM('ketv. 6 lent'!O53)</f>
        <v>0</v>
      </c>
      <c r="N52" s="476">
        <v>0</v>
      </c>
      <c r="O52" s="476">
        <f t="shared" si="1"/>
        <v>0</v>
      </c>
      <c r="P52" s="476">
        <f>SUM('ketv. 6 lent'!S53)</f>
        <v>0</v>
      </c>
      <c r="Q52" s="476">
        <v>0</v>
      </c>
      <c r="R52" s="476">
        <f t="shared" si="26"/>
        <v>0</v>
      </c>
      <c r="S52" s="476">
        <f>SUM('ketv. 6 lent'!W53)</f>
        <v>880708.75</v>
      </c>
      <c r="T52" s="476">
        <v>82263.039999999994</v>
      </c>
      <c r="U52" s="476">
        <f t="shared" si="3"/>
        <v>798445.71</v>
      </c>
      <c r="V52" s="476">
        <f>SUM('ketv. 6 lent'!AA53)</f>
        <v>0</v>
      </c>
      <c r="W52" s="476">
        <v>0</v>
      </c>
      <c r="X52" s="476">
        <f t="shared" si="27"/>
        <v>0</v>
      </c>
      <c r="Y52" s="476">
        <f>SUM('ketv. 6 lent'!AE53)</f>
        <v>1479103.09</v>
      </c>
      <c r="Z52" s="476">
        <v>88524.71</v>
      </c>
      <c r="AA52" s="728">
        <f t="shared" si="28"/>
        <v>1390578.3800000001</v>
      </c>
    </row>
    <row r="53" spans="1:29" ht="37.5" thickBot="1" x14ac:dyDescent="0.3">
      <c r="A53" s="992" t="str">
        <f>CONCATENATE('3 pr-2'!A55)</f>
        <v>1.1.1.5.5.</v>
      </c>
      <c r="B53" s="1016" t="str">
        <f>CONCATENATE('ketv. 6 lent'!B54)</f>
        <v>05.3.2-APVA-R-014-11-0005</v>
      </c>
      <c r="C53" s="255" t="str">
        <f>CONCATENATE('3 pr-2'!D55)</f>
        <v>Vandens tiekimo ir nuotekų tvarkymo infrastruktūros plėtra Alytaus rajone (Krokialaukyje)</v>
      </c>
      <c r="D53" s="255" t="str">
        <f>CONCATENATE('3 pr-2'!E55)</f>
        <v>SĮ „Simno komunalininkas“</v>
      </c>
      <c r="E53" s="255" t="str">
        <f>CONCATENATE('3 pr-2'!F55)</f>
        <v>Lietuvos Respublikos aplinkos ministerija</v>
      </c>
      <c r="F53" s="255" t="str">
        <f>CONCATENATE('3 pr-2'!G55)</f>
        <v>Alytaus  rajono savivaldybė</v>
      </c>
      <c r="G53" s="255" t="str">
        <f>CONCATENATE('3 pr-2'!H55)</f>
        <v>05.3.2-APVA-R-014</v>
      </c>
      <c r="H53" s="255" t="str">
        <f>CONCATENATE('3 pr-2'!I55)</f>
        <v>R</v>
      </c>
      <c r="I53" s="255" t="str">
        <f>CONCATENATE('3 pr-2'!J55)</f>
        <v>-</v>
      </c>
      <c r="J53" s="474">
        <f>SUM('ketv. 6 lent'!K54)</f>
        <v>1481000</v>
      </c>
      <c r="K53" s="476">
        <v>0</v>
      </c>
      <c r="L53" s="476">
        <f t="shared" si="0"/>
        <v>1481000</v>
      </c>
      <c r="M53" s="476">
        <f>SUM('ketv. 6 lent'!O54)</f>
        <v>0</v>
      </c>
      <c r="N53" s="476">
        <v>0</v>
      </c>
      <c r="O53" s="476">
        <f t="shared" si="1"/>
        <v>0</v>
      </c>
      <c r="P53" s="476">
        <f>SUM('ketv. 6 lent'!S54)</f>
        <v>0</v>
      </c>
      <c r="Q53" s="476">
        <v>0</v>
      </c>
      <c r="R53" s="476">
        <f t="shared" si="26"/>
        <v>0</v>
      </c>
      <c r="S53" s="476">
        <f>SUM('ketv. 6 lent'!W54)</f>
        <v>613256</v>
      </c>
      <c r="T53" s="476">
        <v>0</v>
      </c>
      <c r="U53" s="476">
        <f t="shared" si="3"/>
        <v>613256</v>
      </c>
      <c r="V53" s="476">
        <f>SUM('ketv. 6 lent'!AA54)</f>
        <v>0</v>
      </c>
      <c r="W53" s="476">
        <v>0</v>
      </c>
      <c r="X53" s="476">
        <f t="shared" si="27"/>
        <v>0</v>
      </c>
      <c r="Y53" s="476">
        <f>SUM('ketv. 6 lent'!AE54)</f>
        <v>867744</v>
      </c>
      <c r="Z53" s="476">
        <v>0</v>
      </c>
      <c r="AA53" s="728">
        <f t="shared" si="28"/>
        <v>867744</v>
      </c>
    </row>
    <row r="54" spans="1:29" ht="39" customHeight="1" thickBot="1" x14ac:dyDescent="0.3">
      <c r="A54" s="497" t="str">
        <f>CONCATENATE('3 pr-2'!A56)</f>
        <v>1.1.1.6</v>
      </c>
      <c r="B54" s="613" t="str">
        <f>CONCATENATE('ketv. 2lent'!B55)</f>
        <v/>
      </c>
      <c r="C54" s="1656" t="str">
        <f>CONCATENATE('3 pr-2'!D56)</f>
        <v/>
      </c>
      <c r="D54" s="1789"/>
      <c r="E54" s="1789"/>
      <c r="F54" s="1789"/>
      <c r="G54" s="1789"/>
      <c r="H54" s="1789"/>
      <c r="I54" s="1790"/>
      <c r="J54" s="629">
        <f>SUM('ketv. 6 lent'!K55)</f>
        <v>2809404.09</v>
      </c>
      <c r="K54" s="629">
        <f>SUM(K55)</f>
        <v>915098.59000000008</v>
      </c>
      <c r="L54" s="629">
        <f>SUM(L55)</f>
        <v>1894305.4999999998</v>
      </c>
      <c r="M54" s="629">
        <f>SUM('ketv. 6 lent'!O55)</f>
        <v>0</v>
      </c>
      <c r="N54" s="629">
        <f>SUM(N55)</f>
        <v>0</v>
      </c>
      <c r="O54" s="629">
        <f>SUM(O55)</f>
        <v>0</v>
      </c>
      <c r="P54" s="629">
        <f>SUM('ketv. 6 lent'!S55)</f>
        <v>0</v>
      </c>
      <c r="Q54" s="629">
        <f>SUM(Q55)</f>
        <v>0</v>
      </c>
      <c r="R54" s="629">
        <f>SUM(R55)</f>
        <v>0</v>
      </c>
      <c r="S54" s="629">
        <f>SUM('ketv. 6 lent'!W55)</f>
        <v>421410.60999999987</v>
      </c>
      <c r="T54" s="629">
        <f>SUM(T55)</f>
        <v>137264.79</v>
      </c>
      <c r="U54" s="629">
        <f>SUM(U55)</f>
        <v>284145.81999999983</v>
      </c>
      <c r="V54" s="629">
        <f>SUM('ketv. 6 lent'!AA55)</f>
        <v>0</v>
      </c>
      <c r="W54" s="629"/>
      <c r="X54" s="629">
        <f t="shared" si="4"/>
        <v>0</v>
      </c>
      <c r="Y54" s="629">
        <f>SUM('ketv. 6 lent'!AE55)</f>
        <v>2387993.48</v>
      </c>
      <c r="Z54" s="629">
        <f>SUM(Z55)</f>
        <v>777833.8</v>
      </c>
      <c r="AA54" s="352">
        <f>SUM(AA55)</f>
        <v>1610159.68</v>
      </c>
    </row>
    <row r="55" spans="1:29" ht="49.5" customHeight="1" thickBot="1" x14ac:dyDescent="0.3">
      <c r="A55" s="992" t="str">
        <f>CONCATENATE('3 pr-2'!A57)</f>
        <v>1.1.1.6.1</v>
      </c>
      <c r="B55" s="1016" t="str">
        <f>CONCATENATE('ketv. 6 lent'!B56)</f>
        <v>05.1.1-APVA-R-007-11-0001</v>
      </c>
      <c r="C55" s="255" t="str">
        <f>CONCATENATE('3 pr-2'!D57)</f>
        <v>Paviršinių nuotekų sistemų tvarkymas Alytaus mieste</v>
      </c>
      <c r="D55" s="255" t="str">
        <f>CONCATENATE('3 pr-2'!E57)</f>
        <v>UAB “Dzūkijos vandenys“</v>
      </c>
      <c r="E55" s="255" t="str">
        <f>CONCATENATE('3 pr-2'!F57)</f>
        <v>Lietuvos Respublikos aplinkos ministerija</v>
      </c>
      <c r="F55" s="255" t="str">
        <f>CONCATENATE('3 pr-2'!G57)</f>
        <v>Alytaus  miestas</v>
      </c>
      <c r="G55" s="255" t="str">
        <f>CONCATENATE('3 pr-2'!H57)</f>
        <v>05.1.1-APVA-R-007</v>
      </c>
      <c r="H55" s="255" t="str">
        <f>CONCATENATE('3 pr-2'!I57)</f>
        <v>R</v>
      </c>
      <c r="I55" s="255" t="str">
        <f>CONCATENATE('3 pr-2'!J57)</f>
        <v>-</v>
      </c>
      <c r="J55" s="474">
        <f>SUM('ketv. 6 lent'!K56)</f>
        <v>2809404.09</v>
      </c>
      <c r="K55" s="476">
        <f>SUM(T55+W55+Z55)</f>
        <v>915098.59000000008</v>
      </c>
      <c r="L55" s="476">
        <f t="shared" si="0"/>
        <v>1894305.4999999998</v>
      </c>
      <c r="M55" s="476">
        <f>SUM('ketv. 6 lent'!O56)</f>
        <v>0</v>
      </c>
      <c r="N55" s="476">
        <v>0</v>
      </c>
      <c r="O55" s="476">
        <f t="shared" si="1"/>
        <v>0</v>
      </c>
      <c r="P55" s="476">
        <f>SUM('ketv. 6 lent'!S56)</f>
        <v>0</v>
      </c>
      <c r="Q55" s="476">
        <v>0</v>
      </c>
      <c r="R55" s="476">
        <f t="shared" ref="R55" si="29">SUM(P55-Q55)</f>
        <v>0</v>
      </c>
      <c r="S55" s="476">
        <f>SUM('ketv. 6 lent'!W56)</f>
        <v>421410.60999999987</v>
      </c>
      <c r="T55" s="476">
        <v>137264.79</v>
      </c>
      <c r="U55" s="476">
        <f t="shared" si="3"/>
        <v>284145.81999999983</v>
      </c>
      <c r="V55" s="476">
        <f>SUM('ketv. 6 lent'!AA56)</f>
        <v>0</v>
      </c>
      <c r="W55" s="476">
        <v>0</v>
      </c>
      <c r="X55" s="476">
        <f t="shared" si="4"/>
        <v>0</v>
      </c>
      <c r="Y55" s="476">
        <f>SUM('ketv. 6 lent'!AE56)</f>
        <v>2387993.48</v>
      </c>
      <c r="Z55" s="476">
        <v>777833.8</v>
      </c>
      <c r="AA55" s="726">
        <f t="shared" si="5"/>
        <v>1610159.68</v>
      </c>
      <c r="AC55" s="336"/>
    </row>
    <row r="56" spans="1:29" ht="38.25" customHeight="1" thickBot="1" x14ac:dyDescent="0.3">
      <c r="A56" s="497" t="str">
        <f>CONCATENATE('3 pr-2'!A58)</f>
        <v>1.1.1.7</v>
      </c>
      <c r="B56" s="613" t="str">
        <f>CONCATENATE('ketv. 2lent'!B57)</f>
        <v/>
      </c>
      <c r="C56" s="1656" t="str">
        <f>CONCATENATE('3 pr-2'!D58)</f>
        <v>Priemonė:
Savivaldybes jungiančių turizmo trasų ir turizmo maršrutų informacinės infrastruktūros plėtra</v>
      </c>
      <c r="D56" s="1789"/>
      <c r="E56" s="1789"/>
      <c r="F56" s="1789"/>
      <c r="G56" s="1789"/>
      <c r="H56" s="1789"/>
      <c r="I56" s="1790"/>
      <c r="J56" s="629">
        <f>SUM('ketv. 6 lent'!K57)</f>
        <v>496329.53</v>
      </c>
      <c r="K56" s="629">
        <f>SUM(K57:K59)</f>
        <v>0</v>
      </c>
      <c r="L56" s="629">
        <f>SUM(L57:L59)</f>
        <v>496329.53</v>
      </c>
      <c r="M56" s="629">
        <f>SUM('ketv. 6 lent'!O57)</f>
        <v>74449.429999999993</v>
      </c>
      <c r="N56" s="629">
        <f>SUM(N57:N59)</f>
        <v>0</v>
      </c>
      <c r="O56" s="629">
        <f>SUM(O57:O59)</f>
        <v>74449.429999999993</v>
      </c>
      <c r="P56" s="629">
        <f>SUM('ketv. 6 lent'!S57)</f>
        <v>0</v>
      </c>
      <c r="Q56" s="629">
        <f>SUM(Q57:Q59)</f>
        <v>0</v>
      </c>
      <c r="R56" s="629">
        <f>SUM(R57:R59)</f>
        <v>0</v>
      </c>
      <c r="S56" s="629">
        <f>SUM('ketv. 6 lent'!W57)</f>
        <v>0</v>
      </c>
      <c r="T56" s="629">
        <f>SUM(T57:T59)</f>
        <v>0</v>
      </c>
      <c r="U56" s="629">
        <f>SUM(U57:U59)</f>
        <v>0</v>
      </c>
      <c r="V56" s="629">
        <f>SUM('ketv. 6 lent'!AA57)</f>
        <v>0</v>
      </c>
      <c r="W56" s="629">
        <f>SUM(W57:W59)</f>
        <v>0</v>
      </c>
      <c r="X56" s="629">
        <f>SUM(X57:X59)</f>
        <v>0</v>
      </c>
      <c r="Y56" s="629">
        <f>SUM('ketv. 6 lent'!AE57)</f>
        <v>421880.1</v>
      </c>
      <c r="Z56" s="629">
        <f>SUM(Z57:Z59)</f>
        <v>0</v>
      </c>
      <c r="AA56" s="352">
        <f>SUM(AA57:AA59)</f>
        <v>421880.1</v>
      </c>
    </row>
    <row r="57" spans="1:29" ht="36.75" x14ac:dyDescent="0.25">
      <c r="A57" s="992" t="str">
        <f>CONCATENATE('3 pr-2'!A59)</f>
        <v>1.1.1.7.1</v>
      </c>
      <c r="B57" s="1016" t="str">
        <f>CONCATENATE('ketv. 6 lent'!B58)</f>
        <v>05.4.1-LVPA-R-821-11-0002</v>
      </c>
      <c r="C57" s="255" t="str">
        <f>CONCATENATE('3 pr-2'!D59)</f>
        <v>Alytaus regiono turizmo informacinės infrastruktūros plėtra</v>
      </c>
      <c r="D57" s="255" t="str">
        <f>CONCATENATE('3 pr-2'!E59)</f>
        <v>Alytaus miesto savivaldybės administracija</v>
      </c>
      <c r="E57" s="255" t="str">
        <f>CONCATENATE('3 pr-2'!F59)</f>
        <v>Lietuvos Respublikos ūkio ministerija</v>
      </c>
      <c r="F57" s="255" t="str">
        <f>CONCATENATE('3 pr-2'!G59)</f>
        <v>Alytaus regionas</v>
      </c>
      <c r="G57" s="255" t="str">
        <f>CONCATENATE('3 pr-2'!H59)</f>
        <v>05.4.1-LVPA-R-821</v>
      </c>
      <c r="H57" s="255" t="str">
        <f>CONCATENATE('3 pr-2'!I59)</f>
        <v>R</v>
      </c>
      <c r="I57" s="255" t="str">
        <f>CONCATENATE('3 pr-2'!J59)</f>
        <v>-</v>
      </c>
      <c r="J57" s="474">
        <f>SUM('ketv. 6 lent'!K58)</f>
        <v>208223.53</v>
      </c>
      <c r="K57" s="474">
        <v>0</v>
      </c>
      <c r="L57" s="475">
        <f t="shared" si="0"/>
        <v>208223.53</v>
      </c>
      <c r="M57" s="476">
        <f>SUM('ketv. 6 lent'!O58)</f>
        <v>31233.53</v>
      </c>
      <c r="N57" s="474">
        <v>0</v>
      </c>
      <c r="O57" s="475">
        <f t="shared" ref="O57:O59" si="30">SUM(M57-N57)</f>
        <v>31233.53</v>
      </c>
      <c r="P57" s="476">
        <f>SUM('ketv. 6 lent'!S58)</f>
        <v>0</v>
      </c>
      <c r="Q57" s="474">
        <v>0</v>
      </c>
      <c r="R57" s="475">
        <f t="shared" si="2"/>
        <v>0</v>
      </c>
      <c r="S57" s="476">
        <f>SUM('ketv. 6 lent'!W58)</f>
        <v>0</v>
      </c>
      <c r="T57" s="474">
        <v>0</v>
      </c>
      <c r="U57" s="475">
        <f t="shared" si="3"/>
        <v>0</v>
      </c>
      <c r="V57" s="476">
        <f>SUM('ketv. 6 lent'!AA58)</f>
        <v>0</v>
      </c>
      <c r="W57" s="474">
        <v>0</v>
      </c>
      <c r="X57" s="475">
        <f t="shared" si="4"/>
        <v>0</v>
      </c>
      <c r="Y57" s="476">
        <f>SUM('ketv. 6 lent'!AE58)</f>
        <v>176990</v>
      </c>
      <c r="Z57" s="474">
        <v>0</v>
      </c>
      <c r="AA57" s="721">
        <f t="shared" si="5"/>
        <v>176990</v>
      </c>
    </row>
    <row r="58" spans="1:29" ht="48.75" x14ac:dyDescent="0.25">
      <c r="A58" s="992" t="str">
        <f>CONCATENATE('3 pr-2'!A60)</f>
        <v>1.1.1.7.2</v>
      </c>
      <c r="B58" s="1016" t="str">
        <f>CONCATENATE('ketv. 6 lent'!B59)</f>
        <v>05.4.1-LVPA-R-821-11-0001</v>
      </c>
      <c r="C58" s="255" t="str">
        <f>CONCATENATE('3 pr-2'!D60)</f>
        <v>„Turizmo trasų ir maršrutų informacinės infrastruktūros plėtra  Lazdijų, Varėnos rajonų ir Druskininkų savivaldybėse“</v>
      </c>
      <c r="D58" s="255" t="str">
        <f>CONCATENATE('3 pr-2'!E60)</f>
        <v>Lazdijų rajono savivaldybės administracija</v>
      </c>
      <c r="E58" s="255" t="str">
        <f>CONCATENATE('3 pr-2'!F60)</f>
        <v>Lietuvos Respublikos ūkio ministerija</v>
      </c>
      <c r="F58" s="255" t="str">
        <f>CONCATENATE('3 pr-2'!G60)</f>
        <v xml:space="preserve">Lazdijų, Varėnos rajonų ir Druskininkų savivaldybės </v>
      </c>
      <c r="G58" s="255" t="str">
        <f>CONCATENATE('3 pr-2'!H60)</f>
        <v>05.4.1-LVPA-R-821</v>
      </c>
      <c r="H58" s="255" t="str">
        <f>CONCATENATE('3 pr-2'!I60)</f>
        <v>R</v>
      </c>
      <c r="I58" s="255" t="str">
        <f>CONCATENATE('3 pr-2'!J60)</f>
        <v>-</v>
      </c>
      <c r="J58" s="474">
        <f>SUM('ketv. 6 lent'!K59)</f>
        <v>288106</v>
      </c>
      <c r="K58" s="474">
        <v>0</v>
      </c>
      <c r="L58" s="475">
        <f t="shared" si="0"/>
        <v>288106</v>
      </c>
      <c r="M58" s="476">
        <f>SUM('ketv. 6 lent'!O59)</f>
        <v>43215.899999999994</v>
      </c>
      <c r="N58" s="474">
        <v>0</v>
      </c>
      <c r="O58" s="475">
        <f t="shared" si="30"/>
        <v>43215.899999999994</v>
      </c>
      <c r="P58" s="476">
        <f>SUM('ketv. 6 lent'!S59)</f>
        <v>0</v>
      </c>
      <c r="Q58" s="474">
        <v>0</v>
      </c>
      <c r="R58" s="475">
        <f t="shared" si="2"/>
        <v>0</v>
      </c>
      <c r="S58" s="476">
        <f>SUM('ketv. 6 lent'!W59)</f>
        <v>0</v>
      </c>
      <c r="T58" s="474">
        <v>0</v>
      </c>
      <c r="U58" s="475">
        <f t="shared" si="3"/>
        <v>0</v>
      </c>
      <c r="V58" s="476">
        <f>SUM('ketv. 6 lent'!AA59)</f>
        <v>0</v>
      </c>
      <c r="W58" s="474">
        <v>0</v>
      </c>
      <c r="X58" s="475">
        <f t="shared" si="4"/>
        <v>0</v>
      </c>
      <c r="Y58" s="476">
        <f>SUM('ketv. 6 lent'!AE59)</f>
        <v>244890.1</v>
      </c>
      <c r="Z58" s="474">
        <v>0</v>
      </c>
      <c r="AA58" s="721">
        <f t="shared" si="5"/>
        <v>244890.1</v>
      </c>
    </row>
    <row r="59" spans="1:29" ht="61.5" thickBot="1" x14ac:dyDescent="0.3">
      <c r="A59" s="992" t="str">
        <f>CONCATENATE('3 pr-2'!A61)</f>
        <v>1.1.1.7.3</v>
      </c>
      <c r="B59" s="1016" t="str">
        <f>CONCATENATE('ketv. 6 lent'!B60)</f>
        <v>-</v>
      </c>
      <c r="C59" s="255" t="str">
        <f>CONCATENATE('3 pr-2'!D61)</f>
        <v>„Turizmo trasų ir maršrutų informacinės infrastruktūros plėtra  Lazdijų, Varėnos rajonų ir Druskininkų savivaldybėse II etapas“</v>
      </c>
      <c r="D59" s="255" t="str">
        <f>CONCATENATE('3 pr-2'!E61)</f>
        <v>Lazdijų rajono savivaldybės administracija</v>
      </c>
      <c r="E59" s="255" t="str">
        <f>CONCATENATE('3 pr-2'!F61)</f>
        <v>Lietuvos Respublikos ūkio ministerija</v>
      </c>
      <c r="F59" s="255" t="str">
        <f>CONCATENATE('3 pr-2'!G61)</f>
        <v xml:space="preserve">Lazdijų, Varėnos rajonų ir Druskininkų savivaldybės </v>
      </c>
      <c r="G59" s="255" t="str">
        <f>CONCATENATE('3 pr-2'!H61)</f>
        <v>05.4.1-LVPA-R-821</v>
      </c>
      <c r="H59" s="255" t="str">
        <f>CONCATENATE('3 pr-2'!I61)</f>
        <v>R</v>
      </c>
      <c r="I59" s="255" t="str">
        <f>CONCATENATE('3 pr-2'!J61)</f>
        <v>-</v>
      </c>
      <c r="J59" s="474">
        <f>SUM('ketv. 6 lent'!K60)</f>
        <v>0</v>
      </c>
      <c r="K59" s="474">
        <v>0</v>
      </c>
      <c r="L59" s="475">
        <f t="shared" si="0"/>
        <v>0</v>
      </c>
      <c r="M59" s="476">
        <f>SUM('ketv. 6 lent'!O60)</f>
        <v>0</v>
      </c>
      <c r="N59" s="474">
        <v>0</v>
      </c>
      <c r="O59" s="475">
        <f t="shared" si="30"/>
        <v>0</v>
      </c>
      <c r="P59" s="476">
        <f>SUM('ketv. 6 lent'!S60)</f>
        <v>0</v>
      </c>
      <c r="Q59" s="474">
        <v>0</v>
      </c>
      <c r="R59" s="475">
        <f t="shared" si="2"/>
        <v>0</v>
      </c>
      <c r="S59" s="476">
        <f>SUM('ketv. 6 lent'!W60)</f>
        <v>0</v>
      </c>
      <c r="T59" s="474">
        <v>0</v>
      </c>
      <c r="U59" s="475">
        <f t="shared" si="3"/>
        <v>0</v>
      </c>
      <c r="V59" s="476">
        <f>SUM('ketv. 6 lent'!AA60)</f>
        <v>0</v>
      </c>
      <c r="W59" s="474">
        <v>0</v>
      </c>
      <c r="X59" s="475">
        <f t="shared" si="4"/>
        <v>0</v>
      </c>
      <c r="Y59" s="476">
        <f>SUM('ketv. 6 lent'!AE60)</f>
        <v>0</v>
      </c>
      <c r="Z59" s="474">
        <v>0</v>
      </c>
      <c r="AA59" s="727">
        <f t="shared" si="5"/>
        <v>0</v>
      </c>
    </row>
    <row r="60" spans="1:29" ht="41.25" customHeight="1" thickBot="1" x14ac:dyDescent="0.3">
      <c r="A60" s="497" t="str">
        <f>CONCATENATE('3 pr-2'!A62)</f>
        <v>1.1.1.8</v>
      </c>
      <c r="B60" s="613" t="str">
        <f>CONCATENATE('ketv. 2lent'!B61)</f>
        <v/>
      </c>
      <c r="C60" s="1656" t="str">
        <f>CONCATENATE('3 pr-2'!D62)</f>
        <v/>
      </c>
      <c r="D60" s="1789"/>
      <c r="E60" s="1789"/>
      <c r="F60" s="1789"/>
      <c r="G60" s="1789"/>
      <c r="H60" s="1789"/>
      <c r="I60" s="1790"/>
      <c r="J60" s="629">
        <f>SUM('ketv. 6 lent'!K61)</f>
        <v>1488066.1600000001</v>
      </c>
      <c r="K60" s="629">
        <f>SUM(K61:K64)</f>
        <v>284080.76</v>
      </c>
      <c r="L60" s="629">
        <f>SUM(L61:L64)</f>
        <v>1203985.3999999999</v>
      </c>
      <c r="M60" s="629">
        <f>SUM('ketv. 6 lent'!O61)</f>
        <v>237042.64000000007</v>
      </c>
      <c r="N60" s="629">
        <f>SUM(N61:N64)</f>
        <v>14354.630000000001</v>
      </c>
      <c r="O60" s="629">
        <f>SUM(O61:O64)</f>
        <v>222688.01000000007</v>
      </c>
      <c r="P60" s="629">
        <f>SUM('ketv. 6 lent'!S61)</f>
        <v>352400.82</v>
      </c>
      <c r="Q60" s="629">
        <f>SUM(Q61:Q64)</f>
        <v>5651.88</v>
      </c>
      <c r="R60" s="629">
        <f>SUM(R61:R64)</f>
        <v>346748.94</v>
      </c>
      <c r="S60" s="629">
        <f>SUM('ketv. 6 lent'!W61)</f>
        <v>0</v>
      </c>
      <c r="T60" s="629">
        <f>SUM(T61:T64)</f>
        <v>0</v>
      </c>
      <c r="U60" s="629">
        <f>SUM(U61:U64)</f>
        <v>0</v>
      </c>
      <c r="V60" s="629">
        <f>SUM('ketv. 6 lent'!AA61)</f>
        <v>0</v>
      </c>
      <c r="W60" s="629">
        <f>SUM(W61:W64)</f>
        <v>0</v>
      </c>
      <c r="X60" s="629">
        <f>SUM(X61:X64)</f>
        <v>0</v>
      </c>
      <c r="Y60" s="629">
        <f>SUM('ketv. 6 lent'!AE61)</f>
        <v>898622.7</v>
      </c>
      <c r="Z60" s="629">
        <f>SUM(Z61:Z64)</f>
        <v>264074.25</v>
      </c>
      <c r="AA60" s="352">
        <f>SUM(AA61:AA64)</f>
        <v>634548.44999999995</v>
      </c>
    </row>
    <row r="61" spans="1:29" ht="36.75" x14ac:dyDescent="0.25">
      <c r="A61" s="992" t="str">
        <f>CONCATENATE('3 pr-2'!A63)</f>
        <v>1.1.1.8.1</v>
      </c>
      <c r="B61" s="1016" t="str">
        <f>CONCATENATE('ketv. 6 lent'!B62)</f>
        <v>07.1.1-CPVA-R-305-11-0001</v>
      </c>
      <c r="C61" s="255" t="str">
        <f>CONCATENATE('3 pr-2'!D63)</f>
        <v>Kultūros įstaigų infrastruktūros modernizavimas Varėnos mieste</v>
      </c>
      <c r="D61" s="255" t="str">
        <f>CONCATENATE('3 pr-2'!E63)</f>
        <v>Varėnos rajono savivaldybės administracija</v>
      </c>
      <c r="E61" s="255" t="str">
        <f>CONCATENATE('3 pr-2'!F63)</f>
        <v>Lietuvos Respublikos kultūros ministerija</v>
      </c>
      <c r="F61" s="255" t="str">
        <f>CONCATENATE('3 pr-2'!G63)</f>
        <v>Varėnos miestas</v>
      </c>
      <c r="G61" s="255" t="str">
        <f>CONCATENATE('3 pr-2'!H63)</f>
        <v>07.1.1-CPVA-R-305</v>
      </c>
      <c r="H61" s="255" t="str">
        <f>CONCATENATE('3 pr-2'!I63)</f>
        <v>R</v>
      </c>
      <c r="I61" s="255" t="str">
        <f>CONCATENATE('3 pr-2'!J63)</f>
        <v>ITI</v>
      </c>
      <c r="J61" s="474">
        <f>SUM('ketv. 6 lent'!K62)</f>
        <v>352401</v>
      </c>
      <c r="K61" s="476">
        <f>SUM(N61+Q61+Z61)</f>
        <v>171518.59000000003</v>
      </c>
      <c r="L61" s="476">
        <f t="shared" si="0"/>
        <v>180882.40999999997</v>
      </c>
      <c r="M61" s="476">
        <f>SUM('ketv. 6 lent'!O62)</f>
        <v>52860.150000000023</v>
      </c>
      <c r="N61" s="476">
        <v>12248.45</v>
      </c>
      <c r="O61" s="476">
        <f t="shared" ref="O61:O64" si="31">SUM(M61-N61)</f>
        <v>40611.700000000026</v>
      </c>
      <c r="P61" s="476">
        <f>SUM('ketv. 6 lent'!S62)</f>
        <v>0</v>
      </c>
      <c r="Q61" s="476">
        <v>0</v>
      </c>
      <c r="R61" s="476">
        <f t="shared" ref="R61:R64" si="32">SUM(P61-Q61)</f>
        <v>0</v>
      </c>
      <c r="S61" s="476">
        <f>SUM('ketv. 6 lent'!W62)</f>
        <v>0</v>
      </c>
      <c r="T61" s="476">
        <v>0</v>
      </c>
      <c r="U61" s="476">
        <f t="shared" ref="U61:U64" si="33">SUM(S61-T61)</f>
        <v>0</v>
      </c>
      <c r="V61" s="476">
        <f>SUM('ketv. 6 lent'!AA62)</f>
        <v>0</v>
      </c>
      <c r="W61" s="476">
        <v>0</v>
      </c>
      <c r="X61" s="476">
        <f t="shared" ref="X61:X64" si="34">SUM(V61-W61)</f>
        <v>0</v>
      </c>
      <c r="Y61" s="476">
        <f>SUM('ketv. 6 lent'!AE62)</f>
        <v>299540.84999999998</v>
      </c>
      <c r="Z61" s="476">
        <v>159270.14000000001</v>
      </c>
      <c r="AA61" s="728">
        <f t="shared" ref="AA61:AA64" si="35">SUM(Y61-Z61)</f>
        <v>140270.70999999996</v>
      </c>
    </row>
    <row r="62" spans="1:29" ht="48.75" x14ac:dyDescent="0.25">
      <c r="A62" s="992" t="str">
        <f>CONCATENATE('3 pr-2'!A64)</f>
        <v>1.1.1.8.2</v>
      </c>
      <c r="B62" s="1016" t="str">
        <f>CONCATENATE('ketv. 6 lent'!B63)</f>
        <v>07.1.1-CPVA-R-305-11-0002</v>
      </c>
      <c r="C62" s="255" t="str">
        <f>CONCATENATE('3 pr-2'!D64)</f>
        <v>VšĮ Alytaus kultūros ir komunikacijos centro pastato Alytuje, Pramonės g. 1B, rekonstravimas</v>
      </c>
      <c r="D62" s="255" t="str">
        <f>CONCATENATE('3 pr-2'!E64)</f>
        <v>Alytaus miesto savivaldybės administracija</v>
      </c>
      <c r="E62" s="255" t="str">
        <f>CONCATENATE('3 pr-2'!F64)</f>
        <v>Lietuvos Respublikos kultūros ministerija</v>
      </c>
      <c r="F62" s="255" t="str">
        <f>CONCATENATE('3 pr-2'!G64)</f>
        <v>Alytaus miestas</v>
      </c>
      <c r="G62" s="255" t="str">
        <f>CONCATENATE('3 pr-2'!H64)</f>
        <v>07.1.1-CPVA-R-305</v>
      </c>
      <c r="H62" s="255" t="str">
        <f>CONCATENATE('3 pr-2'!I64)</f>
        <v>R</v>
      </c>
      <c r="I62" s="255" t="str">
        <f>CONCATENATE('3 pr-2'!J64)</f>
        <v>ITI</v>
      </c>
      <c r="J62" s="474">
        <f>SUM('ketv. 6 lent'!K63)</f>
        <v>783264.16</v>
      </c>
      <c r="K62" s="476">
        <f>SUM(N62+Q62+Z62)</f>
        <v>92562.17</v>
      </c>
      <c r="L62" s="476">
        <f t="shared" ref="L62:L64" si="36">SUM(J62-K62)</f>
        <v>690701.99</v>
      </c>
      <c r="M62" s="476">
        <f>SUM('ketv. 6 lent'!O63)</f>
        <v>131322.34000000003</v>
      </c>
      <c r="N62" s="476">
        <v>2106.1799999999998</v>
      </c>
      <c r="O62" s="476">
        <f t="shared" si="31"/>
        <v>129216.16000000003</v>
      </c>
      <c r="P62" s="476">
        <f>SUM('ketv. 6 lent'!S63)</f>
        <v>352400.82</v>
      </c>
      <c r="Q62" s="476">
        <v>5651.88</v>
      </c>
      <c r="R62" s="476">
        <f t="shared" si="32"/>
        <v>346748.94</v>
      </c>
      <c r="S62" s="476">
        <f>SUM('ketv. 6 lent'!W63)</f>
        <v>0</v>
      </c>
      <c r="T62" s="476">
        <v>0</v>
      </c>
      <c r="U62" s="476">
        <f t="shared" si="33"/>
        <v>0</v>
      </c>
      <c r="V62" s="476">
        <f>SUM('ketv. 6 lent'!AA63)</f>
        <v>0</v>
      </c>
      <c r="W62" s="476">
        <v>0</v>
      </c>
      <c r="X62" s="476">
        <f t="shared" si="34"/>
        <v>0</v>
      </c>
      <c r="Y62" s="476">
        <f>SUM('ketv. 6 lent'!AE63)</f>
        <v>299541</v>
      </c>
      <c r="Z62" s="476">
        <v>84804.11</v>
      </c>
      <c r="AA62" s="728">
        <f t="shared" si="35"/>
        <v>214736.89</v>
      </c>
    </row>
    <row r="63" spans="1:29" ht="48.75" x14ac:dyDescent="0.25">
      <c r="A63" s="992" t="str">
        <f>CONCATENATE('3 pr-2'!A65)</f>
        <v>1.1.1.8.3</v>
      </c>
      <c r="B63" s="1016" t="str">
        <f>CONCATENATE('ketv. 6 lent'!B64)</f>
        <v>07.1.1-CPVA-R-305-11-0003</v>
      </c>
      <c r="C63" s="255" t="str">
        <f>CONCATENATE('3 pr-2'!D65)</f>
        <v>Druskininkų kultūros centro lauko scenos, Vilniaus al. 24, Druskininkai, modernizavimas ir pritaikymas kultūros  poreikiams</v>
      </c>
      <c r="D63" s="255" t="str">
        <f>CONCATENATE('3 pr-2'!E65)</f>
        <v xml:space="preserve">Druskininkų savivaldybės administracija  </v>
      </c>
      <c r="E63" s="255" t="str">
        <f>CONCATENATE('3 pr-2'!F65)</f>
        <v>Lietuvos Respublikos kultūros ministerija</v>
      </c>
      <c r="F63" s="255" t="str">
        <f>CONCATENATE('3 pr-2'!G65)</f>
        <v>Druskininkų  miestas</v>
      </c>
      <c r="G63" s="255" t="str">
        <f>CONCATENATE('3 pr-2'!H65)</f>
        <v>07.1.1-CPVA-R-305</v>
      </c>
      <c r="H63" s="255" t="str">
        <f>CONCATENATE('3 pr-2'!I65)</f>
        <v>R</v>
      </c>
      <c r="I63" s="255" t="str">
        <f>CONCATENATE('3 pr-2'!J65)</f>
        <v>ITI</v>
      </c>
      <c r="J63" s="474">
        <f>SUM('ketv. 6 lent'!K64)</f>
        <v>352401</v>
      </c>
      <c r="K63" s="476">
        <f>SUM(N63+Q63+Z63)</f>
        <v>20000</v>
      </c>
      <c r="L63" s="476">
        <f t="shared" si="36"/>
        <v>332401</v>
      </c>
      <c r="M63" s="476">
        <f>SUM('ketv. 6 lent'!O64)</f>
        <v>52860.150000000023</v>
      </c>
      <c r="N63" s="476">
        <v>0</v>
      </c>
      <c r="O63" s="476">
        <f t="shared" si="31"/>
        <v>52860.150000000023</v>
      </c>
      <c r="P63" s="476">
        <f>SUM('ketv. 6 lent'!S64)</f>
        <v>0</v>
      </c>
      <c r="Q63" s="476">
        <v>0</v>
      </c>
      <c r="R63" s="476">
        <f t="shared" si="32"/>
        <v>0</v>
      </c>
      <c r="S63" s="476">
        <f>SUM('ketv. 6 lent'!W64)</f>
        <v>0</v>
      </c>
      <c r="T63" s="476">
        <v>0</v>
      </c>
      <c r="U63" s="476">
        <f t="shared" si="33"/>
        <v>0</v>
      </c>
      <c r="V63" s="476">
        <f>SUM('ketv. 6 lent'!AA64)</f>
        <v>0</v>
      </c>
      <c r="W63" s="476">
        <v>0</v>
      </c>
      <c r="X63" s="476">
        <f t="shared" si="34"/>
        <v>0</v>
      </c>
      <c r="Y63" s="476">
        <f>SUM('ketv. 6 lent'!AE64)</f>
        <v>299540.84999999998</v>
      </c>
      <c r="Z63" s="476">
        <v>20000</v>
      </c>
      <c r="AA63" s="728">
        <f t="shared" si="35"/>
        <v>279540.84999999998</v>
      </c>
    </row>
    <row r="64" spans="1:29" ht="49.5" thickBot="1" x14ac:dyDescent="0.3">
      <c r="A64" s="992" t="str">
        <f>CONCATENATE('3 pr-2'!A66)</f>
        <v>1.1.1.8.4</v>
      </c>
      <c r="B64" s="1016" t="str">
        <f>CONCATENATE('ketv. 6 lent'!B65)</f>
        <v>-</v>
      </c>
      <c r="C64" s="255" t="str">
        <f>CONCATENATE('3 pr-2'!D66)</f>
        <v>Pastato rekonstrukcija ir pritaikymas kultūrinėms, muziejinėms ir edukacinėms reikmėms</v>
      </c>
      <c r="D64" s="255" t="str">
        <f>CONCATENATE('3 pr-2'!E66)</f>
        <v>Lazdijų rajono savivaldybės administracija</v>
      </c>
      <c r="E64" s="255" t="str">
        <f>CONCATENATE('3 pr-2'!F66)</f>
        <v>Lietuvos Respublikos kultūros ministerija</v>
      </c>
      <c r="F64" s="255" t="str">
        <f>CONCATENATE('3 pr-2'!G66)</f>
        <v>Lazdijų miestas</v>
      </c>
      <c r="G64" s="255" t="str">
        <f>CONCATENATE('3 pr-2'!H66)</f>
        <v>07.1.1-CPVA-R-305</v>
      </c>
      <c r="H64" s="255" t="str">
        <f>CONCATENATE('3 pr-2'!I66)</f>
        <v>R</v>
      </c>
      <c r="I64" s="255" t="str">
        <f>CONCATENATE('3 pr-2'!J66)</f>
        <v>ITI</v>
      </c>
      <c r="J64" s="474">
        <f>SUM('ketv. 6 lent'!K65)</f>
        <v>0</v>
      </c>
      <c r="K64" s="474">
        <v>0</v>
      </c>
      <c r="L64" s="475">
        <f t="shared" si="36"/>
        <v>0</v>
      </c>
      <c r="M64" s="476">
        <f>SUM('ketv. 6 lent'!O65)</f>
        <v>0</v>
      </c>
      <c r="N64" s="474">
        <v>0</v>
      </c>
      <c r="O64" s="475">
        <f t="shared" si="31"/>
        <v>0</v>
      </c>
      <c r="P64" s="476">
        <f>SUM('ketv. 6 lent'!S65)</f>
        <v>0</v>
      </c>
      <c r="Q64" s="474">
        <v>0</v>
      </c>
      <c r="R64" s="475">
        <f t="shared" si="32"/>
        <v>0</v>
      </c>
      <c r="S64" s="476">
        <f>SUM('ketv. 6 lent'!W65)</f>
        <v>0</v>
      </c>
      <c r="T64" s="474">
        <v>0</v>
      </c>
      <c r="U64" s="475">
        <f t="shared" si="33"/>
        <v>0</v>
      </c>
      <c r="V64" s="476">
        <f>SUM('ketv. 6 lent'!AA65)</f>
        <v>0</v>
      </c>
      <c r="W64" s="474">
        <v>0</v>
      </c>
      <c r="X64" s="475">
        <f t="shared" si="34"/>
        <v>0</v>
      </c>
      <c r="Y64" s="476">
        <f>SUM('ketv. 6 lent'!AE65)</f>
        <v>0</v>
      </c>
      <c r="Z64" s="474">
        <v>0</v>
      </c>
      <c r="AA64" s="726">
        <f t="shared" si="35"/>
        <v>0</v>
      </c>
    </row>
    <row r="65" spans="1:27" ht="38.25" customHeight="1" thickBot="1" x14ac:dyDescent="0.3">
      <c r="A65" s="497" t="str">
        <f>CONCATENATE('3 pr-2'!A67)</f>
        <v>1.1.1.9</v>
      </c>
      <c r="B65" s="613" t="str">
        <f>CONCATENATE('ketv. 2lent'!B66)</f>
        <v/>
      </c>
      <c r="C65" s="1656" t="str">
        <f>CONCATENATE('3 pr-2'!D67)</f>
        <v/>
      </c>
      <c r="D65" s="1789"/>
      <c r="E65" s="1789"/>
      <c r="F65" s="1789"/>
      <c r="G65" s="1789"/>
      <c r="H65" s="1789"/>
      <c r="I65" s="1790"/>
      <c r="J65" s="629">
        <f>SUM('ketv. 6 lent'!K66)</f>
        <v>0</v>
      </c>
      <c r="K65" s="629">
        <f>SUM(K66:K70)</f>
        <v>0</v>
      </c>
      <c r="L65" s="629">
        <f>SUM(L66:L70)</f>
        <v>0</v>
      </c>
      <c r="M65" s="629">
        <f>SUM('ketv. 6 lent'!O66)</f>
        <v>0</v>
      </c>
      <c r="N65" s="629">
        <f>SUM(N66:N70)</f>
        <v>0</v>
      </c>
      <c r="O65" s="629">
        <f>SUM(O66:O70)</f>
        <v>0</v>
      </c>
      <c r="P65" s="629">
        <f>SUM('ketv. 6 lent'!S66)</f>
        <v>0</v>
      </c>
      <c r="Q65" s="629">
        <f>SUM(Q66:Q70)</f>
        <v>0</v>
      </c>
      <c r="R65" s="629">
        <f>SUM(R66:R70)</f>
        <v>0</v>
      </c>
      <c r="S65" s="629">
        <f>SUM('ketv. 6 lent'!W66)</f>
        <v>0</v>
      </c>
      <c r="T65" s="629">
        <f>SUM(T66:T70)</f>
        <v>0</v>
      </c>
      <c r="U65" s="629">
        <f>SUM(U66:U70)</f>
        <v>0</v>
      </c>
      <c r="V65" s="629">
        <f>SUM('ketv. 6 lent'!AA66)</f>
        <v>0</v>
      </c>
      <c r="W65" s="629">
        <f>SUM(W66:W70)</f>
        <v>0</v>
      </c>
      <c r="X65" s="629">
        <f>SUM(X66:X70)</f>
        <v>0</v>
      </c>
      <c r="Y65" s="629">
        <f>SUM('ketv. 6 lent'!AE66)</f>
        <v>0</v>
      </c>
      <c r="Z65" s="629">
        <f>SUM(Z66:Z70)</f>
        <v>0</v>
      </c>
      <c r="AA65" s="352">
        <f>SUM(AA66:AA70)</f>
        <v>0</v>
      </c>
    </row>
    <row r="66" spans="1:27" ht="48.75" x14ac:dyDescent="0.25">
      <c r="A66" s="992" t="str">
        <f>CONCATENATE('3 pr-2'!A68)</f>
        <v>1.1.1.9.1</v>
      </c>
      <c r="B66" s="1016" t="str">
        <f>CONCATENATE('ketv. 6 lent'!B67)</f>
        <v>-</v>
      </c>
      <c r="C66" s="255" t="str">
        <f>CONCATENATE('3 pr-2'!D68)</f>
        <v>Buvusios sinagogos pastato Kauno g. 9A Alytuje rekonstravimas ir aplinkinės teritorijos sutvarkymas</v>
      </c>
      <c r="D66" s="255" t="str">
        <f>CONCATENATE('3 pr-2'!E68)</f>
        <v>Alytaus miesto savivaldybės administracija</v>
      </c>
      <c r="E66" s="255" t="str">
        <f>CONCATENATE('3 pr-2'!F68)</f>
        <v>Lietuvos Respublikos kultūros ministerija</v>
      </c>
      <c r="F66" s="255" t="str">
        <f>CONCATENATE('3 pr-2'!G68)</f>
        <v>Alytaus  miestas</v>
      </c>
      <c r="G66" s="255" t="str">
        <f>CONCATENATE('3 pr-2'!H68)</f>
        <v>05.4.1-CPVA-R-302</v>
      </c>
      <c r="H66" s="255" t="str">
        <f>CONCATENATE('3 pr-2'!I68)</f>
        <v>R</v>
      </c>
      <c r="I66" s="255" t="str">
        <f>CONCATENATE('3 pr-2'!J68)</f>
        <v>ITI</v>
      </c>
      <c r="J66" s="474">
        <f>SUM('ketv. 6 lent'!K67)</f>
        <v>0</v>
      </c>
      <c r="K66" s="474">
        <v>0</v>
      </c>
      <c r="L66" s="475">
        <f t="shared" si="0"/>
        <v>0</v>
      </c>
      <c r="M66" s="476">
        <f>SUM('ketv. 6 lent'!O67)</f>
        <v>0</v>
      </c>
      <c r="N66" s="474">
        <v>0</v>
      </c>
      <c r="O66" s="475">
        <f t="shared" ref="O66:O70" si="37">SUM(M66-N66)</f>
        <v>0</v>
      </c>
      <c r="P66" s="476">
        <f>SUM('ketv. 6 lent'!S67)</f>
        <v>0</v>
      </c>
      <c r="Q66" s="474">
        <v>0</v>
      </c>
      <c r="R66" s="475">
        <f t="shared" ref="R66:R70" si="38">SUM(P66-Q66)</f>
        <v>0</v>
      </c>
      <c r="S66" s="476">
        <f>SUM('ketv. 6 lent'!W67)</f>
        <v>0</v>
      </c>
      <c r="T66" s="474">
        <v>0</v>
      </c>
      <c r="U66" s="475">
        <f t="shared" ref="U66:U70" si="39">SUM(S66-T66)</f>
        <v>0</v>
      </c>
      <c r="V66" s="476">
        <f>SUM('ketv. 6 lent'!AA67)</f>
        <v>0</v>
      </c>
      <c r="W66" s="474">
        <v>0</v>
      </c>
      <c r="X66" s="475">
        <f t="shared" ref="X66:X70" si="40">SUM(V66-W66)</f>
        <v>0</v>
      </c>
      <c r="Y66" s="476">
        <f>SUM('ketv. 6 lent'!AE67)</f>
        <v>0</v>
      </c>
      <c r="Z66" s="474">
        <v>0</v>
      </c>
      <c r="AA66" s="728">
        <f t="shared" ref="AA66:AA70" si="41">SUM(Y66-Z66)</f>
        <v>0</v>
      </c>
    </row>
    <row r="67" spans="1:27" ht="48.75" x14ac:dyDescent="0.25">
      <c r="A67" s="992" t="str">
        <f>CONCATENATE('3 pr-2'!A69)</f>
        <v>1.1.1.9.2</v>
      </c>
      <c r="B67" s="1016" t="str">
        <f>CONCATENATE('ketv. 6 lent'!B68)</f>
        <v>-</v>
      </c>
      <c r="C67" s="255" t="str">
        <f>CONCATENATE('3 pr-2'!D69)</f>
        <v>Mažosios dailės galerijos, M.K.Čiurlionio g. 37, Druskininkai, modernizavimas ir pritaikymas kultūros poreikiams</v>
      </c>
      <c r="D67" s="255" t="str">
        <f>CONCATENATE('3 pr-2'!E69)</f>
        <v xml:space="preserve">Druskininkų savivaldybės administracija  </v>
      </c>
      <c r="E67" s="255" t="str">
        <f>CONCATENATE('3 pr-2'!F69)</f>
        <v>Lietuvos Respublikos kultūros ministerija</v>
      </c>
      <c r="F67" s="255" t="str">
        <f>CONCATENATE('3 pr-2'!G69)</f>
        <v>Druskininkų  miestas</v>
      </c>
      <c r="G67" s="255" t="str">
        <f>CONCATENATE('3 pr-2'!H69)</f>
        <v>05.4.1-CPVA-R-302</v>
      </c>
      <c r="H67" s="255" t="str">
        <f>CONCATENATE('3 pr-2'!I69)</f>
        <v>R</v>
      </c>
      <c r="I67" s="255" t="str">
        <f>CONCATENATE('3 pr-2'!J69)</f>
        <v>ITI</v>
      </c>
      <c r="J67" s="474">
        <f>SUM('ketv. 6 lent'!K68)</f>
        <v>0</v>
      </c>
      <c r="K67" s="474">
        <v>0</v>
      </c>
      <c r="L67" s="475">
        <f t="shared" si="0"/>
        <v>0</v>
      </c>
      <c r="M67" s="476">
        <f>SUM('ketv. 6 lent'!O68)</f>
        <v>0</v>
      </c>
      <c r="N67" s="474">
        <v>0</v>
      </c>
      <c r="O67" s="475">
        <f t="shared" si="37"/>
        <v>0</v>
      </c>
      <c r="P67" s="476">
        <f>SUM('ketv. 6 lent'!S68)</f>
        <v>0</v>
      </c>
      <c r="Q67" s="474">
        <v>0</v>
      </c>
      <c r="R67" s="475">
        <f t="shared" si="38"/>
        <v>0</v>
      </c>
      <c r="S67" s="476">
        <f>SUM('ketv. 6 lent'!W68)</f>
        <v>0</v>
      </c>
      <c r="T67" s="474">
        <v>0</v>
      </c>
      <c r="U67" s="475">
        <f t="shared" si="39"/>
        <v>0</v>
      </c>
      <c r="V67" s="476">
        <f>SUM('ketv. 6 lent'!AA68)</f>
        <v>0</v>
      </c>
      <c r="W67" s="474">
        <v>0</v>
      </c>
      <c r="X67" s="475">
        <f t="shared" si="40"/>
        <v>0</v>
      </c>
      <c r="Y67" s="476">
        <f>SUM('ketv. 6 lent'!AE68)</f>
        <v>0</v>
      </c>
      <c r="Z67" s="474">
        <v>0</v>
      </c>
      <c r="AA67" s="728">
        <f t="shared" si="41"/>
        <v>0</v>
      </c>
    </row>
    <row r="68" spans="1:27" ht="36.75" x14ac:dyDescent="0.25">
      <c r="A68" s="992" t="str">
        <f>CONCATENATE('3 pr-2'!A70)</f>
        <v>1.1.1.9.3</v>
      </c>
      <c r="B68" s="1016" t="str">
        <f>CONCATENATE('ketv. 6 lent'!B69)</f>
        <v>-</v>
      </c>
      <c r="C68" s="255" t="str">
        <f>CONCATENATE('3 pr-2'!D70)</f>
        <v>Motiejaus  Gustaičio  memorialinio  namo  kompleksinis sutvarkymas</v>
      </c>
      <c r="D68" s="255" t="str">
        <f>CONCATENATE('3 pr-2'!E70)</f>
        <v>Lazdijų rajono savivaldybės administracija</v>
      </c>
      <c r="E68" s="255" t="str">
        <f>CONCATENATE('3 pr-2'!F70)</f>
        <v>Lietuvos Respublikos kultūros ministerija</v>
      </c>
      <c r="F68" s="255" t="str">
        <f>CONCATENATE('3 pr-2'!G70)</f>
        <v>Lazdijų miestas</v>
      </c>
      <c r="G68" s="255" t="str">
        <f>CONCATENATE('3 pr-2'!H70)</f>
        <v>05.4.1-CPVA-R-302</v>
      </c>
      <c r="H68" s="255" t="str">
        <f>CONCATENATE('3 pr-2'!I70)</f>
        <v>R</v>
      </c>
      <c r="I68" s="255" t="str">
        <f>CONCATENATE('3 pr-2'!J70)</f>
        <v>ITI</v>
      </c>
      <c r="J68" s="474">
        <f>SUM('ketv. 6 lent'!K69)</f>
        <v>0</v>
      </c>
      <c r="K68" s="474">
        <v>0</v>
      </c>
      <c r="L68" s="475">
        <f t="shared" si="0"/>
        <v>0</v>
      </c>
      <c r="M68" s="476">
        <f>SUM('ketv. 6 lent'!O69)</f>
        <v>0</v>
      </c>
      <c r="N68" s="474">
        <v>0</v>
      </c>
      <c r="O68" s="475">
        <f t="shared" si="37"/>
        <v>0</v>
      </c>
      <c r="P68" s="476">
        <f>SUM('ketv. 6 lent'!S69)</f>
        <v>0</v>
      </c>
      <c r="Q68" s="474">
        <v>0</v>
      </c>
      <c r="R68" s="475">
        <f t="shared" si="38"/>
        <v>0</v>
      </c>
      <c r="S68" s="476">
        <f>SUM('ketv. 6 lent'!W69)</f>
        <v>0</v>
      </c>
      <c r="T68" s="474">
        <v>0</v>
      </c>
      <c r="U68" s="475">
        <f t="shared" si="39"/>
        <v>0</v>
      </c>
      <c r="V68" s="476">
        <f>SUM('ketv. 6 lent'!AA69)</f>
        <v>0</v>
      </c>
      <c r="W68" s="474">
        <v>0</v>
      </c>
      <c r="X68" s="475">
        <f t="shared" si="40"/>
        <v>0</v>
      </c>
      <c r="Y68" s="476">
        <f>SUM('ketv. 6 lent'!AE69)</f>
        <v>0</v>
      </c>
      <c r="Z68" s="474">
        <v>0</v>
      </c>
      <c r="AA68" s="728">
        <f t="shared" si="41"/>
        <v>0</v>
      </c>
    </row>
    <row r="69" spans="1:27" ht="48.75" x14ac:dyDescent="0.25">
      <c r="A69" s="992" t="str">
        <f>CONCATENATE('3 pr-2'!A71)</f>
        <v>1.1.1.9.4</v>
      </c>
      <c r="B69" s="1016" t="str">
        <f>CONCATENATE('ketv. 6 lent'!B70)</f>
        <v>-</v>
      </c>
      <c r="C69" s="255" t="str">
        <f>CONCATENATE('3 pr-2'!D71)</f>
        <v>Kurnėnų Lauryno Radziukyno mokyklos pritaikymas kultūrinėms ir turistinėms reikmėms</v>
      </c>
      <c r="D69" s="255" t="str">
        <f>CONCATENATE('3 pr-2'!E71)</f>
        <v>Alytaus rajono savivaldybės administracija</v>
      </c>
      <c r="E69" s="255" t="str">
        <f>CONCATENATE('3 pr-2'!F71)</f>
        <v>Lietuvos Respublikos kultūros ministerija</v>
      </c>
      <c r="F69" s="255" t="str">
        <f>CONCATENATE('3 pr-2'!G71)</f>
        <v>Alytaus  rajono savivaldybė</v>
      </c>
      <c r="G69" s="255" t="str">
        <f>CONCATENATE('3 pr-2'!H71)</f>
        <v>05.4.1-CPVA-R-302</v>
      </c>
      <c r="H69" s="255" t="str">
        <f>CONCATENATE('3 pr-2'!I71)</f>
        <v>R</v>
      </c>
      <c r="I69" s="255" t="str">
        <f>CONCATENATE('3 pr-2'!J71)</f>
        <v>-</v>
      </c>
      <c r="J69" s="474">
        <f>SUM('ketv. 6 lent'!K70)</f>
        <v>0</v>
      </c>
      <c r="K69" s="474">
        <v>0</v>
      </c>
      <c r="L69" s="475">
        <f t="shared" si="0"/>
        <v>0</v>
      </c>
      <c r="M69" s="476">
        <f>SUM('ketv. 6 lent'!O70)</f>
        <v>0</v>
      </c>
      <c r="N69" s="474">
        <v>0</v>
      </c>
      <c r="O69" s="475">
        <f t="shared" si="37"/>
        <v>0</v>
      </c>
      <c r="P69" s="476">
        <f>SUM('ketv. 6 lent'!S70)</f>
        <v>0</v>
      </c>
      <c r="Q69" s="474">
        <v>0</v>
      </c>
      <c r="R69" s="475">
        <f t="shared" si="38"/>
        <v>0</v>
      </c>
      <c r="S69" s="476">
        <f>SUM('ketv. 6 lent'!W70)</f>
        <v>0</v>
      </c>
      <c r="T69" s="474">
        <v>0</v>
      </c>
      <c r="U69" s="475">
        <f t="shared" si="39"/>
        <v>0</v>
      </c>
      <c r="V69" s="476">
        <f>SUM('ketv. 6 lent'!AA70)</f>
        <v>0</v>
      </c>
      <c r="W69" s="474">
        <v>0</v>
      </c>
      <c r="X69" s="475">
        <f t="shared" si="40"/>
        <v>0</v>
      </c>
      <c r="Y69" s="476">
        <f>SUM('ketv. 6 lent'!AE70)</f>
        <v>0</v>
      </c>
      <c r="Z69" s="474">
        <v>0</v>
      </c>
      <c r="AA69" s="728">
        <f t="shared" si="41"/>
        <v>0</v>
      </c>
    </row>
    <row r="70" spans="1:27" ht="37.5" thickBot="1" x14ac:dyDescent="0.3">
      <c r="A70" s="992" t="str">
        <f>CONCATENATE('3 pr-2'!A72)</f>
        <v>1.1.1.9.5</v>
      </c>
      <c r="B70" s="1016" t="str">
        <f>CONCATENATE('ketv. 6 lent'!B71)</f>
        <v>-</v>
      </c>
      <c r="C70" s="255" t="str">
        <f>CONCATENATE('3 pr-2'!D72)</f>
        <v>Vinco Krėvės-Mickevičiaus memorialinio muziejaus atnaujinimas</v>
      </c>
      <c r="D70" s="255" t="str">
        <f>CONCATENATE('3 pr-2'!E72)</f>
        <v>Varėnos rajono savivaldybės administracija</v>
      </c>
      <c r="E70" s="255" t="str">
        <f>CONCATENATE('3 pr-2'!F72)</f>
        <v>Lietuvos Respublikos kultūros ministerija</v>
      </c>
      <c r="F70" s="255" t="str">
        <f>CONCATENATE('3 pr-2'!G72)</f>
        <v>Varėnos rajono savivaldybė</v>
      </c>
      <c r="G70" s="255" t="str">
        <f>CONCATENATE('3 pr-2'!H72)</f>
        <v>05.4.1-CPVA-R-302</v>
      </c>
      <c r="H70" s="255" t="str">
        <f>CONCATENATE('3 pr-2'!I72)</f>
        <v>R</v>
      </c>
      <c r="I70" s="255" t="str">
        <f>CONCATENATE('3 pr-2'!J72)</f>
        <v>-</v>
      </c>
      <c r="J70" s="474">
        <f>SUM('ketv. 6 lent'!K71)</f>
        <v>0</v>
      </c>
      <c r="K70" s="474">
        <v>0</v>
      </c>
      <c r="L70" s="475">
        <f t="shared" si="0"/>
        <v>0</v>
      </c>
      <c r="M70" s="476">
        <f>SUM('ketv. 6 lent'!O71)</f>
        <v>0</v>
      </c>
      <c r="N70" s="474">
        <v>0</v>
      </c>
      <c r="O70" s="475">
        <f t="shared" si="37"/>
        <v>0</v>
      </c>
      <c r="P70" s="476">
        <f>SUM('ketv. 6 lent'!S71)</f>
        <v>0</v>
      </c>
      <c r="Q70" s="474">
        <v>0</v>
      </c>
      <c r="R70" s="475">
        <f t="shared" si="38"/>
        <v>0</v>
      </c>
      <c r="S70" s="476">
        <f>SUM('ketv. 6 lent'!W71)</f>
        <v>0</v>
      </c>
      <c r="T70" s="474">
        <v>0</v>
      </c>
      <c r="U70" s="475">
        <f t="shared" si="39"/>
        <v>0</v>
      </c>
      <c r="V70" s="476">
        <f>SUM('ketv. 6 lent'!AA71)</f>
        <v>0</v>
      </c>
      <c r="W70" s="474">
        <v>0</v>
      </c>
      <c r="X70" s="475">
        <f t="shared" si="40"/>
        <v>0</v>
      </c>
      <c r="Y70" s="476">
        <f>SUM('ketv. 6 lent'!AE71)</f>
        <v>0</v>
      </c>
      <c r="Z70" s="474">
        <v>0</v>
      </c>
      <c r="AA70" s="726">
        <f t="shared" si="41"/>
        <v>0</v>
      </c>
    </row>
    <row r="71" spans="1:27" ht="38.25" customHeight="1" thickBot="1" x14ac:dyDescent="0.3">
      <c r="A71" s="731" t="str">
        <f>CONCATENATE('3 pr-2'!A73)</f>
        <v>1.1.2.</v>
      </c>
      <c r="B71" s="732" t="str">
        <f>CONCATENATE('ketv. 2lent'!B72)</f>
        <v/>
      </c>
      <c r="C71" s="1821" t="str">
        <f>CONCATENATE('3 pr-2'!D73)</f>
        <v/>
      </c>
      <c r="D71" s="1840"/>
      <c r="E71" s="1840"/>
      <c r="F71" s="1840"/>
      <c r="G71" s="1840"/>
      <c r="H71" s="1840"/>
      <c r="I71" s="1841"/>
      <c r="J71" s="651">
        <f>SUM('ketv. 6 lent'!K72)</f>
        <v>1933699.1300000001</v>
      </c>
      <c r="K71" s="651">
        <f>SUM(K72+K77+K84+K90)</f>
        <v>964769.18</v>
      </c>
      <c r="L71" s="651">
        <f t="shared" ref="L71:L137" si="42">SUM(J71-K71)</f>
        <v>968929.95000000007</v>
      </c>
      <c r="M71" s="651">
        <f>SUM('ketv. 6 lent'!O72)</f>
        <v>256295.27000000008</v>
      </c>
      <c r="N71" s="651">
        <f>SUM(N72+N77+N84+N90)</f>
        <v>116505.20999999999</v>
      </c>
      <c r="O71" s="651">
        <f t="shared" ref="O71:O118" si="43">SUM(M71-N71)</f>
        <v>139790.06000000008</v>
      </c>
      <c r="P71" s="651">
        <f>SUM('ketv. 6 lent'!S72)</f>
        <v>0</v>
      </c>
      <c r="Q71" s="651">
        <f>SUM(Q72+Q77+Q84+Q90)</f>
        <v>0</v>
      </c>
      <c r="R71" s="651">
        <f t="shared" ref="R71:R118" si="44">SUM(P71-Q71)</f>
        <v>0</v>
      </c>
      <c r="S71" s="651">
        <f>SUM('ketv. 6 lent'!W72)</f>
        <v>0</v>
      </c>
      <c r="T71" s="651">
        <f>SUM(T72+T77+T84+T90)</f>
        <v>0</v>
      </c>
      <c r="U71" s="651">
        <f t="shared" ref="U71:U118" si="45">SUM(S71-T71)</f>
        <v>0</v>
      </c>
      <c r="V71" s="651">
        <f>SUM('ketv. 6 lent'!AA72)</f>
        <v>62660</v>
      </c>
      <c r="W71" s="651">
        <f>SUM(W72+W77+W84+W90)</f>
        <v>32545.37</v>
      </c>
      <c r="X71" s="651">
        <f t="shared" ref="X71:X118" si="46">SUM(V71-W71)</f>
        <v>30114.63</v>
      </c>
      <c r="Y71" s="651">
        <f>SUM('ketv. 6 lent'!AE72)</f>
        <v>1614743.8599999999</v>
      </c>
      <c r="Z71" s="651">
        <f>SUM(Z72+Z77+Z84+Z90)</f>
        <v>815718.60000000009</v>
      </c>
      <c r="AA71" s="357">
        <f t="shared" ref="AA71:AA118" si="47">SUM(Y71-Z71)</f>
        <v>799025.25999999978</v>
      </c>
    </row>
    <row r="72" spans="1:27" ht="45" customHeight="1" thickBot="1" x14ac:dyDescent="0.3">
      <c r="A72" s="497" t="str">
        <f>CONCATENATE('3 pr-2'!A74)</f>
        <v>1.1.2.1</v>
      </c>
      <c r="B72" s="613" t="str">
        <f>CONCATENATE('ketv. 2lent'!B73)</f>
        <v/>
      </c>
      <c r="C72" s="1656" t="str">
        <f>CONCATENATE('3 pr-2'!D74)</f>
        <v/>
      </c>
      <c r="D72" s="1789"/>
      <c r="E72" s="1789"/>
      <c r="F72" s="1789"/>
      <c r="G72" s="1789"/>
      <c r="H72" s="1789"/>
      <c r="I72" s="1790"/>
      <c r="J72" s="629">
        <f>SUM('ketv. 6 lent'!K73)</f>
        <v>0</v>
      </c>
      <c r="K72" s="629">
        <f>SUM(K73:K76)</f>
        <v>0</v>
      </c>
      <c r="L72" s="629">
        <f>SUM(L73:L76)</f>
        <v>0</v>
      </c>
      <c r="M72" s="629">
        <f>SUM('ketv. 6 lent'!O73)</f>
        <v>0</v>
      </c>
      <c r="N72" s="629">
        <f>SUM(N73:N76)</f>
        <v>0</v>
      </c>
      <c r="O72" s="629">
        <f>SUM(O73:O76)</f>
        <v>0</v>
      </c>
      <c r="P72" s="629">
        <f>SUM('ketv. 6 lent'!S73)</f>
        <v>0</v>
      </c>
      <c r="Q72" s="629">
        <f>SUM(Q73:Q76)</f>
        <v>0</v>
      </c>
      <c r="R72" s="629">
        <f>SUM(R73:R76)</f>
        <v>0</v>
      </c>
      <c r="S72" s="629">
        <f>SUM('ketv. 6 lent'!W73)</f>
        <v>0</v>
      </c>
      <c r="T72" s="629">
        <f>SUM(T73:T76)</f>
        <v>0</v>
      </c>
      <c r="U72" s="629">
        <f>SUM(U73:U76)</f>
        <v>0</v>
      </c>
      <c r="V72" s="629">
        <f>SUM('ketv. 6 lent'!AA73)</f>
        <v>0</v>
      </c>
      <c r="W72" s="629">
        <f>SUM(W73:W76)</f>
        <v>0</v>
      </c>
      <c r="X72" s="629">
        <f>SUM(X73:X76)</f>
        <v>0</v>
      </c>
      <c r="Y72" s="629">
        <f>SUM('ketv. 6 lent'!AE73)</f>
        <v>0</v>
      </c>
      <c r="Z72" s="629">
        <f>SUM(Z73:Z76)</f>
        <v>0</v>
      </c>
      <c r="AA72" s="352">
        <f>SUM(AA73:AA76)</f>
        <v>0</v>
      </c>
    </row>
    <row r="73" spans="1:27" ht="36.75" x14ac:dyDescent="0.25">
      <c r="A73" s="992" t="str">
        <f>CONCATENATE('3 pr-2'!A75)</f>
        <v>1.1.2.1.1</v>
      </c>
      <c r="B73" s="1016" t="str">
        <f>CONCATENATE('ketv. 6 lent'!B75)</f>
        <v>-</v>
      </c>
      <c r="C73" s="255" t="str">
        <f>CONCATENATE('3 pr-2'!D75)</f>
        <v xml:space="preserve">Nekenksmingų aplinkai viešojo transporto priemonių įsigijimas Alytaus mieste </v>
      </c>
      <c r="D73" s="255" t="str">
        <f>CONCATENATE('3 pr-2'!E75)</f>
        <v>Alytaus miesto savivaldybės administracija</v>
      </c>
      <c r="E73" s="255" t="str">
        <f>CONCATENATE('3 pr-2'!F75)</f>
        <v>Lietuvos Respublikos susisiekimo ministerija</v>
      </c>
      <c r="F73" s="255" t="str">
        <f>CONCATENATE('3 pr-2'!G75)</f>
        <v>Alytaus  miestas</v>
      </c>
      <c r="G73" s="255" t="str">
        <f>CONCATENATE('3 pr-2'!H75)</f>
        <v>04.5.1-TID-R-518</v>
      </c>
      <c r="H73" s="255" t="str">
        <f>CONCATENATE('3 pr-2'!I75)</f>
        <v>R</v>
      </c>
      <c r="I73" s="255" t="str">
        <f>CONCATENATE('3 pr-2'!J75)</f>
        <v>ITI</v>
      </c>
      <c r="J73" s="474">
        <f>SUM('ketv. 6 lent'!K75)</f>
        <v>0</v>
      </c>
      <c r="K73" s="474">
        <v>0</v>
      </c>
      <c r="L73" s="475">
        <f t="shared" si="42"/>
        <v>0</v>
      </c>
      <c r="M73" s="476">
        <f>SUM('ketv. 6 lent'!O75)</f>
        <v>0</v>
      </c>
      <c r="N73" s="474">
        <v>0</v>
      </c>
      <c r="O73" s="475">
        <f t="shared" ref="O73:O76" si="48">SUM(M73-N73)</f>
        <v>0</v>
      </c>
      <c r="P73" s="476">
        <f>SUM('ketv. 6 lent'!S75)</f>
        <v>0</v>
      </c>
      <c r="Q73" s="474">
        <v>0</v>
      </c>
      <c r="R73" s="475">
        <f t="shared" ref="R73:R76" si="49">SUM(P73-Q73)</f>
        <v>0</v>
      </c>
      <c r="S73" s="476">
        <f>SUM('ketv. 6 lent'!W75)</f>
        <v>0</v>
      </c>
      <c r="T73" s="474">
        <v>0</v>
      </c>
      <c r="U73" s="475">
        <f t="shared" ref="U73:U76" si="50">SUM(S73-T73)</f>
        <v>0</v>
      </c>
      <c r="V73" s="476">
        <f>SUM('ketv. 6 lent'!AA75)</f>
        <v>0</v>
      </c>
      <c r="W73" s="474">
        <v>0</v>
      </c>
      <c r="X73" s="475">
        <f t="shared" ref="X73:X76" si="51">SUM(V73-W73)</f>
        <v>0</v>
      </c>
      <c r="Y73" s="476">
        <f>SUM('ketv. 6 lent'!AE75)</f>
        <v>0</v>
      </c>
      <c r="Z73" s="474">
        <v>0</v>
      </c>
      <c r="AA73" s="728">
        <f t="shared" ref="AA73:AA76" si="52">SUM(Y73-Z73)</f>
        <v>0</v>
      </c>
    </row>
    <row r="74" spans="1:27" ht="36.75" x14ac:dyDescent="0.25">
      <c r="A74" s="992" t="str">
        <f>CONCATENATE('3 pr-2'!A76)</f>
        <v>1.1.2.1.2</v>
      </c>
      <c r="B74" s="1016" t="str">
        <f>CONCATENATE('ketv. 6 lent'!B76)</f>
        <v>-</v>
      </c>
      <c r="C74" s="255" t="str">
        <f>CONCATENATE('3 pr-2'!D76)</f>
        <v>Nekenksmingų aplinkai viešojo transporto priemonių įsigijimas Alytaus rajone</v>
      </c>
      <c r="D74" s="255" t="str">
        <f>CONCATENATE('3 pr-2'!E76)</f>
        <v>Alytaus rajono savivaldybės administracija</v>
      </c>
      <c r="E74" s="255" t="str">
        <f>CONCATENATE('3 pr-2'!F76)</f>
        <v>Lietuvos Respublikos susisiekimo ministerija</v>
      </c>
      <c r="F74" s="255" t="str">
        <f>CONCATENATE('3 pr-2'!G76)</f>
        <v>Alytaus  rajono savivaldybė</v>
      </c>
      <c r="G74" s="255" t="str">
        <f>CONCATENATE('3 pr-2'!H76)</f>
        <v>04.5.1-TID-R-518</v>
      </c>
      <c r="H74" s="255" t="str">
        <f>CONCATENATE('3 pr-2'!I76)</f>
        <v>R</v>
      </c>
      <c r="I74" s="255" t="str">
        <f>CONCATENATE('3 pr-2'!J76)</f>
        <v>-</v>
      </c>
      <c r="J74" s="474">
        <f>SUM('ketv. 6 lent'!K76)</f>
        <v>0</v>
      </c>
      <c r="K74" s="474">
        <v>0</v>
      </c>
      <c r="L74" s="475">
        <f t="shared" si="42"/>
        <v>0</v>
      </c>
      <c r="M74" s="476">
        <f>SUM('ketv. 6 lent'!O76)</f>
        <v>0</v>
      </c>
      <c r="N74" s="474">
        <v>0</v>
      </c>
      <c r="O74" s="475">
        <f t="shared" si="48"/>
        <v>0</v>
      </c>
      <c r="P74" s="476">
        <f>SUM('ketv. 6 lent'!S76)</f>
        <v>0</v>
      </c>
      <c r="Q74" s="474">
        <v>0</v>
      </c>
      <c r="R74" s="475">
        <f t="shared" si="49"/>
        <v>0</v>
      </c>
      <c r="S74" s="476">
        <f>SUM('ketv. 6 lent'!W76)</f>
        <v>0</v>
      </c>
      <c r="T74" s="474">
        <v>0</v>
      </c>
      <c r="U74" s="475">
        <f t="shared" si="50"/>
        <v>0</v>
      </c>
      <c r="V74" s="476">
        <f>SUM('ketv. 6 lent'!AA76)</f>
        <v>0</v>
      </c>
      <c r="W74" s="474">
        <v>0</v>
      </c>
      <c r="X74" s="475">
        <f t="shared" si="51"/>
        <v>0</v>
      </c>
      <c r="Y74" s="476">
        <f>SUM('ketv. 6 lent'!AE76)</f>
        <v>0</v>
      </c>
      <c r="Z74" s="474">
        <v>0</v>
      </c>
      <c r="AA74" s="728">
        <f t="shared" si="52"/>
        <v>0</v>
      </c>
    </row>
    <row r="75" spans="1:27" ht="36.75" x14ac:dyDescent="0.25">
      <c r="A75" s="992" t="str">
        <f>CONCATENATE('3 pr-2'!A77)</f>
        <v>1.1.2.1.3</v>
      </c>
      <c r="B75" s="1016" t="str">
        <f>CONCATENATE('ketv. 6 lent'!B77)</f>
        <v>-</v>
      </c>
      <c r="C75" s="255" t="str">
        <f>CONCATENATE('3 pr-2'!D77)</f>
        <v>Ekologiškų transporto priemonių įsigijimas Druskininkų savivaldybėje</v>
      </c>
      <c r="D75" s="255" t="str">
        <f>CONCATENATE('3 pr-2'!E77)</f>
        <v xml:space="preserve">Druskininkų savivaldybės administracija  </v>
      </c>
      <c r="E75" s="255" t="str">
        <f>CONCATENATE('3 pr-2'!F77)</f>
        <v>Lietuvos Respublikos susisiekimo ministerija</v>
      </c>
      <c r="F75" s="255" t="str">
        <f>CONCATENATE('3 pr-2'!G77)</f>
        <v>Druskininkų  miestas</v>
      </c>
      <c r="G75" s="255" t="str">
        <f>CONCATENATE('3 pr-2'!H77)</f>
        <v>04.5.1-TID-R-518</v>
      </c>
      <c r="H75" s="255" t="str">
        <f>CONCATENATE('3 pr-2'!I77)</f>
        <v>R</v>
      </c>
      <c r="I75" s="255" t="str">
        <f>CONCATENATE('3 pr-2'!J77)</f>
        <v>-</v>
      </c>
      <c r="J75" s="474">
        <f>SUM('ketv. 6 lent'!K77)</f>
        <v>0</v>
      </c>
      <c r="K75" s="474">
        <v>0</v>
      </c>
      <c r="L75" s="475">
        <f t="shared" si="42"/>
        <v>0</v>
      </c>
      <c r="M75" s="476">
        <f>SUM('ketv. 6 lent'!O77)</f>
        <v>0</v>
      </c>
      <c r="N75" s="474">
        <v>0</v>
      </c>
      <c r="O75" s="475">
        <f t="shared" si="48"/>
        <v>0</v>
      </c>
      <c r="P75" s="476">
        <f>SUM('ketv. 6 lent'!S77)</f>
        <v>0</v>
      </c>
      <c r="Q75" s="474">
        <v>0</v>
      </c>
      <c r="R75" s="475">
        <f t="shared" si="49"/>
        <v>0</v>
      </c>
      <c r="S75" s="476">
        <f>SUM('ketv. 6 lent'!W77)</f>
        <v>0</v>
      </c>
      <c r="T75" s="474">
        <v>0</v>
      </c>
      <c r="U75" s="475">
        <f t="shared" si="50"/>
        <v>0</v>
      </c>
      <c r="V75" s="476">
        <f>SUM('ketv. 6 lent'!AA77)</f>
        <v>0</v>
      </c>
      <c r="W75" s="474">
        <v>0</v>
      </c>
      <c r="X75" s="475">
        <f t="shared" si="51"/>
        <v>0</v>
      </c>
      <c r="Y75" s="476">
        <f>SUM('ketv. 6 lent'!AE77)</f>
        <v>0</v>
      </c>
      <c r="Z75" s="474">
        <v>0</v>
      </c>
      <c r="AA75" s="728">
        <f t="shared" si="52"/>
        <v>0</v>
      </c>
    </row>
    <row r="76" spans="1:27" ht="37.5" thickBot="1" x14ac:dyDescent="0.3">
      <c r="A76" s="992" t="str">
        <f>CONCATENATE('3 pr-2'!A78)</f>
        <v>1.1.2.1.4</v>
      </c>
      <c r="B76" s="1016" t="str">
        <f>CONCATENATE('ketv. 6 lent'!B78)</f>
        <v>-</v>
      </c>
      <c r="C76" s="255" t="str">
        <f>CONCATENATE('3 pr-2'!D78)</f>
        <v>Ekologiškų transporto priemonių įsigijimas  Lazdijų rajono savivaldybėje</v>
      </c>
      <c r="D76" s="255" t="str">
        <f>CONCATENATE('3 pr-2'!E78)</f>
        <v>Lazdijų rajono savivaldybės administracija</v>
      </c>
      <c r="E76" s="255" t="str">
        <f>CONCATENATE('3 pr-2'!F78)</f>
        <v>Lietuvos Respublikos susisiekimo ministerija</v>
      </c>
      <c r="F76" s="255" t="str">
        <f>CONCATENATE('3 pr-2'!G78)</f>
        <v>Lazdijų rajono savivaldybė</v>
      </c>
      <c r="G76" s="255" t="str">
        <f>CONCATENATE('3 pr-2'!H78)</f>
        <v>04.5.1-TID-R-518</v>
      </c>
      <c r="H76" s="255" t="str">
        <f>CONCATENATE('3 pr-2'!I78)</f>
        <v>R</v>
      </c>
      <c r="I76" s="255" t="str">
        <f>CONCATENATE('3 pr-2'!J78)</f>
        <v>-</v>
      </c>
      <c r="J76" s="474">
        <f>SUM('ketv. 6 lent'!K78)</f>
        <v>0</v>
      </c>
      <c r="K76" s="474">
        <v>0</v>
      </c>
      <c r="L76" s="475">
        <f t="shared" si="42"/>
        <v>0</v>
      </c>
      <c r="M76" s="476">
        <f>SUM('ketv. 6 lent'!O78)</f>
        <v>0</v>
      </c>
      <c r="N76" s="474">
        <v>0</v>
      </c>
      <c r="O76" s="475">
        <f t="shared" si="48"/>
        <v>0</v>
      </c>
      <c r="P76" s="476">
        <f>SUM('ketv. 6 lent'!S78)</f>
        <v>0</v>
      </c>
      <c r="Q76" s="474">
        <v>0</v>
      </c>
      <c r="R76" s="475">
        <f t="shared" si="49"/>
        <v>0</v>
      </c>
      <c r="S76" s="476">
        <f>SUM('ketv. 6 lent'!W78)</f>
        <v>0</v>
      </c>
      <c r="T76" s="474">
        <v>0</v>
      </c>
      <c r="U76" s="475">
        <f t="shared" si="50"/>
        <v>0</v>
      </c>
      <c r="V76" s="476">
        <f>SUM('ketv. 6 lent'!AA78)</f>
        <v>0</v>
      </c>
      <c r="W76" s="474">
        <v>0</v>
      </c>
      <c r="X76" s="475">
        <f t="shared" si="51"/>
        <v>0</v>
      </c>
      <c r="Y76" s="476">
        <f>SUM('ketv. 6 lent'!AE78)</f>
        <v>0</v>
      </c>
      <c r="Z76" s="474">
        <v>0</v>
      </c>
      <c r="AA76" s="726">
        <f t="shared" si="52"/>
        <v>0</v>
      </c>
    </row>
    <row r="77" spans="1:27" ht="33" customHeight="1" thickBot="1" x14ac:dyDescent="0.3">
      <c r="A77" s="497" t="str">
        <f>CONCATENATE('3 pr-2'!A79)</f>
        <v>1.1.2.2</v>
      </c>
      <c r="B77" s="613" t="str">
        <f>CONCATENATE('ketv. 2lent'!B78)</f>
        <v/>
      </c>
      <c r="C77" s="1656" t="str">
        <f>CONCATENATE('3 pr-2'!D79)</f>
        <v/>
      </c>
      <c r="D77" s="1789"/>
      <c r="E77" s="1789"/>
      <c r="F77" s="1789"/>
      <c r="G77" s="1789"/>
      <c r="H77" s="1789"/>
      <c r="I77" s="1790"/>
      <c r="J77" s="629">
        <f t="shared" ref="J77:Y77" si="53">SUM(J78:J83)</f>
        <v>84638</v>
      </c>
      <c r="K77" s="629">
        <f t="shared" si="53"/>
        <v>42282.8</v>
      </c>
      <c r="L77" s="629">
        <f t="shared" si="53"/>
        <v>42355.199999999997</v>
      </c>
      <c r="M77" s="629">
        <f t="shared" si="53"/>
        <v>41595.699999999997</v>
      </c>
      <c r="N77" s="629">
        <f t="shared" si="53"/>
        <v>10677.42</v>
      </c>
      <c r="O77" s="629">
        <f t="shared" si="53"/>
        <v>30918.28</v>
      </c>
      <c r="P77" s="629">
        <f t="shared" si="53"/>
        <v>0</v>
      </c>
      <c r="Q77" s="629">
        <f t="shared" si="53"/>
        <v>0</v>
      </c>
      <c r="R77" s="629">
        <f t="shared" si="53"/>
        <v>0</v>
      </c>
      <c r="S77" s="629">
        <f t="shared" si="53"/>
        <v>0</v>
      </c>
      <c r="T77" s="629">
        <f t="shared" si="53"/>
        <v>0</v>
      </c>
      <c r="U77" s="629">
        <f t="shared" si="53"/>
        <v>0</v>
      </c>
      <c r="V77" s="629">
        <f t="shared" si="53"/>
        <v>0</v>
      </c>
      <c r="W77" s="629">
        <f t="shared" si="53"/>
        <v>0</v>
      </c>
      <c r="X77" s="629">
        <f t="shared" si="53"/>
        <v>0</v>
      </c>
      <c r="Y77" s="629">
        <f t="shared" si="53"/>
        <v>43042.3</v>
      </c>
      <c r="Z77" s="629">
        <f>SUM(Z78:Z83)</f>
        <v>31605.38</v>
      </c>
      <c r="AA77" s="352">
        <f>SUM(AA78:AA81)</f>
        <v>11436.919999999998</v>
      </c>
    </row>
    <row r="78" spans="1:27" ht="36.75" x14ac:dyDescent="0.25">
      <c r="A78" s="992" t="str">
        <f>CONCATENATE('3 pr-2'!A80)</f>
        <v>1.1.2.2.1</v>
      </c>
      <c r="B78" s="1016" t="str">
        <f>CONCATENATE('ketv. 6 lent'!B80)</f>
        <v>-</v>
      </c>
      <c r="C78" s="255" t="str">
        <f>CONCATENATE('3 pr-2'!D80)</f>
        <v>Darnaus judumo priemonių diegimas Alytaus mieste</v>
      </c>
      <c r="D78" s="255" t="str">
        <f>CONCATENATE('3 pr-2'!E80)</f>
        <v>Alytaus miesto savivaldybės administracija</v>
      </c>
      <c r="E78" s="255" t="str">
        <f>CONCATENATE('3 pr-2'!F80)</f>
        <v>Lietuvos Respublikos susisiekimo ministerija</v>
      </c>
      <c r="F78" s="255" t="str">
        <f>CONCATENATE('3 pr-2'!G80)</f>
        <v>Alytaus  miestas</v>
      </c>
      <c r="G78" s="255" t="str">
        <f>CONCATENATE('3 pr-2'!H80)</f>
        <v>04.5.1.-TID-R-514</v>
      </c>
      <c r="H78" s="255" t="str">
        <f>CONCATENATE('3 pr-2'!I80)</f>
        <v>R</v>
      </c>
      <c r="I78" s="255" t="str">
        <f>CONCATENATE('3 pr-2'!J80)</f>
        <v>-</v>
      </c>
      <c r="J78" s="474">
        <f>SUM('ketv. 6 lent'!K80)</f>
        <v>0</v>
      </c>
      <c r="K78" s="474">
        <v>0</v>
      </c>
      <c r="L78" s="475">
        <f t="shared" ref="L78:L81" si="54">SUM(J78-K78)</f>
        <v>0</v>
      </c>
      <c r="M78" s="476">
        <f>SUM('ketv. 6 lent'!O80)</f>
        <v>0</v>
      </c>
      <c r="N78" s="474">
        <v>0</v>
      </c>
      <c r="O78" s="475">
        <f t="shared" ref="O78:O81" si="55">SUM(M78-N78)</f>
        <v>0</v>
      </c>
      <c r="P78" s="476">
        <f>SUM('ketv. 6 lent'!S80)</f>
        <v>0</v>
      </c>
      <c r="Q78" s="474">
        <v>0</v>
      </c>
      <c r="R78" s="475">
        <f t="shared" ref="R78:R81" si="56">SUM(P78-Q78)</f>
        <v>0</v>
      </c>
      <c r="S78" s="476">
        <f>SUM('ketv. 6 lent'!W80)</f>
        <v>0</v>
      </c>
      <c r="T78" s="474">
        <v>0</v>
      </c>
      <c r="U78" s="475">
        <f t="shared" ref="U78:U81" si="57">SUM(S78-T78)</f>
        <v>0</v>
      </c>
      <c r="V78" s="476">
        <f>SUM('ketv. 6 lent'!AA80)</f>
        <v>0</v>
      </c>
      <c r="W78" s="474">
        <v>0</v>
      </c>
      <c r="X78" s="475">
        <f t="shared" ref="X78:X81" si="58">SUM(V78-W78)</f>
        <v>0</v>
      </c>
      <c r="Y78" s="476">
        <f>SUM('ketv. 6 lent'!AE80)</f>
        <v>0</v>
      </c>
      <c r="Z78" s="474">
        <v>0</v>
      </c>
      <c r="AA78" s="728">
        <f t="shared" ref="AA78:AA81" si="59">SUM(Y78-Z78)</f>
        <v>0</v>
      </c>
    </row>
    <row r="79" spans="1:27" ht="36.75" x14ac:dyDescent="0.25">
      <c r="A79" s="992" t="str">
        <f>CONCATENATE('3 pr-2'!A81)</f>
        <v>1.1.2.2.2</v>
      </c>
      <c r="B79" s="1016" t="str">
        <f>CONCATENATE('ketv. 6 lent'!B81)</f>
        <v>04.5.1-TID-V-513-01-0015</v>
      </c>
      <c r="C79" s="255" t="str">
        <f>CONCATENATE('3 pr-2'!D81)</f>
        <v>Alytaus miesto darnaus judumo plano parengimas</v>
      </c>
      <c r="D79" s="255" t="str">
        <f>CONCATENATE('3 pr-2'!E81)</f>
        <v>Alytaus miesto savivaldybės administracija</v>
      </c>
      <c r="E79" s="255" t="str">
        <f>CONCATENATE('3 pr-2'!F81)</f>
        <v>Lietuvos Respublikos susisiekimo ministerija</v>
      </c>
      <c r="F79" s="255" t="str">
        <f>CONCATENATE('3 pr-2'!G81)</f>
        <v>Alytaus  miestas</v>
      </c>
      <c r="G79" s="255" t="str">
        <f>CONCATENATE('3 pr-2'!H81)</f>
        <v>04.5.1-TID-V-513</v>
      </c>
      <c r="H79" s="255" t="str">
        <f>CONCATENATE('3 pr-2'!I81)</f>
        <v>V</v>
      </c>
      <c r="I79" s="255" t="str">
        <f>CONCATENATE('3 pr-2'!J81)</f>
        <v>ITI</v>
      </c>
      <c r="J79" s="474">
        <f>SUM('ketv. 6 lent'!K81)</f>
        <v>33638</v>
      </c>
      <c r="K79" s="474">
        <f>SUM(N79+Q79+T79+W79+Z79)</f>
        <v>20182.800000000003</v>
      </c>
      <c r="L79" s="475">
        <f t="shared" si="54"/>
        <v>13455.199999999997</v>
      </c>
      <c r="M79" s="476">
        <f>SUM('ketv. 6 lent'!O81)</f>
        <v>5045.7000000000007</v>
      </c>
      <c r="N79" s="474">
        <v>3027.42</v>
      </c>
      <c r="O79" s="475">
        <f t="shared" si="55"/>
        <v>2018.2800000000007</v>
      </c>
      <c r="P79" s="476">
        <f>SUM('ketv. 6 lent'!S81)</f>
        <v>0</v>
      </c>
      <c r="Q79" s="474">
        <v>0</v>
      </c>
      <c r="R79" s="475">
        <f t="shared" si="56"/>
        <v>0</v>
      </c>
      <c r="S79" s="476">
        <f>SUM('ketv. 6 lent'!W81)</f>
        <v>0</v>
      </c>
      <c r="T79" s="474">
        <v>0</v>
      </c>
      <c r="U79" s="475">
        <f t="shared" si="57"/>
        <v>0</v>
      </c>
      <c r="V79" s="476">
        <f>SUM('ketv. 6 lent'!AA81)</f>
        <v>0</v>
      </c>
      <c r="W79" s="474">
        <v>0</v>
      </c>
      <c r="X79" s="475">
        <f t="shared" si="58"/>
        <v>0</v>
      </c>
      <c r="Y79" s="476">
        <f>SUM('ketv. 6 lent'!AE81)</f>
        <v>28592.3</v>
      </c>
      <c r="Z79" s="476">
        <v>17155.38</v>
      </c>
      <c r="AA79" s="728">
        <f t="shared" si="59"/>
        <v>11436.919999999998</v>
      </c>
    </row>
    <row r="80" spans="1:27" ht="36.75" x14ac:dyDescent="0.25">
      <c r="A80" s="992" t="str">
        <f>CONCATENATE('3 pr-2'!A82)</f>
        <v>1.1.2.2.3</v>
      </c>
      <c r="B80" s="1016" t="str">
        <f>CONCATENATE('ketv. 6 lent'!B82)</f>
        <v>-</v>
      </c>
      <c r="C80" s="255" t="str">
        <f>CONCATENATE('3 pr-2'!D82)</f>
        <v>Intelektinių transporto sistemų diegimas Druskininkuose</v>
      </c>
      <c r="D80" s="255" t="str">
        <f>CONCATENATE('3 pr-2'!E82)</f>
        <v>Druskininkų savivaldybės administracija</v>
      </c>
      <c r="E80" s="255" t="str">
        <f>CONCATENATE('3 pr-2'!F82)</f>
        <v>Lietuvos Respublikos susisiekimo ministerija</v>
      </c>
      <c r="F80" s="255" t="str">
        <f>CONCATENATE('3 pr-2'!G82)</f>
        <v>Druskininkų  miestas</v>
      </c>
      <c r="G80" s="255" t="str">
        <f>CONCATENATE('3 pr-2'!H82)</f>
        <v>04.5.1.-TID-R-514</v>
      </c>
      <c r="H80" s="255" t="str">
        <f>CONCATENATE('3 pr-2'!I82)</f>
        <v>R</v>
      </c>
      <c r="I80" s="255" t="str">
        <f>CONCATENATE('3 pr-2'!J82)</f>
        <v>-</v>
      </c>
      <c r="J80" s="474">
        <f>SUM('ketv. 6 lent'!K82)</f>
        <v>0</v>
      </c>
      <c r="K80" s="474">
        <v>0</v>
      </c>
      <c r="L80" s="475">
        <f t="shared" si="54"/>
        <v>0</v>
      </c>
      <c r="M80" s="476">
        <f>SUM('ketv. 6 lent'!O82)</f>
        <v>0</v>
      </c>
      <c r="N80" s="474">
        <v>0</v>
      </c>
      <c r="O80" s="475">
        <f t="shared" si="55"/>
        <v>0</v>
      </c>
      <c r="P80" s="476">
        <f>SUM('ketv. 6 lent'!S82)</f>
        <v>0</v>
      </c>
      <c r="Q80" s="474">
        <v>0</v>
      </c>
      <c r="R80" s="475">
        <f t="shared" si="56"/>
        <v>0</v>
      </c>
      <c r="S80" s="476">
        <f>SUM('ketv. 6 lent'!W82)</f>
        <v>0</v>
      </c>
      <c r="T80" s="474">
        <v>0</v>
      </c>
      <c r="U80" s="475">
        <f t="shared" si="57"/>
        <v>0</v>
      </c>
      <c r="V80" s="476">
        <f>SUM('ketv. 6 lent'!AA82)</f>
        <v>0</v>
      </c>
      <c r="W80" s="474">
        <v>0</v>
      </c>
      <c r="X80" s="475">
        <f t="shared" si="58"/>
        <v>0</v>
      </c>
      <c r="Y80" s="476">
        <f>SUM('ketv. 6 lent'!AE82)</f>
        <v>0</v>
      </c>
      <c r="Z80" s="474">
        <v>0</v>
      </c>
      <c r="AA80" s="728">
        <f t="shared" si="59"/>
        <v>0</v>
      </c>
    </row>
    <row r="81" spans="1:27" ht="36.75" x14ac:dyDescent="0.25">
      <c r="A81" s="992" t="str">
        <f>CONCATENATE('3 pr-2'!A83)</f>
        <v>1.1.2.2.4</v>
      </c>
      <c r="B81" s="1016" t="str">
        <f>CONCATENATE('ketv. 6 lent'!B83)</f>
        <v>04.5.1-TID-V-513-01-0006</v>
      </c>
      <c r="C81" s="255" t="str">
        <f>CONCATENATE('3 pr-2'!D83)</f>
        <v>Darnaus judumo plano Druskininkuose parengimas</v>
      </c>
      <c r="D81" s="255" t="str">
        <f>CONCATENATE('3 pr-2'!E83)</f>
        <v>Druskininkų savivaldybės administracija</v>
      </c>
      <c r="E81" s="255" t="str">
        <f>CONCATENATE('3 pr-2'!F83)</f>
        <v>Lietuvos Respublikos susisiekimo ministerija</v>
      </c>
      <c r="F81" s="255" t="str">
        <f>CONCATENATE('3 pr-2'!G83)</f>
        <v>Druskininkų  miestas</v>
      </c>
      <c r="G81" s="255" t="str">
        <f>CONCATENATE('3 pr-2'!H83)</f>
        <v>04.5.1-TID-V-513</v>
      </c>
      <c r="H81" s="255" t="str">
        <f>CONCATENATE('3 pr-2'!I83)</f>
        <v>V</v>
      </c>
      <c r="I81" s="255" t="str">
        <f>CONCATENATE('3 pr-2'!J83)</f>
        <v>ITI</v>
      </c>
      <c r="J81" s="474">
        <f>SUM('ketv. 6 lent'!K83)</f>
        <v>17000</v>
      </c>
      <c r="K81" s="476">
        <f>SUM(N81+Q81+Z81)</f>
        <v>17000</v>
      </c>
      <c r="L81" s="475">
        <f t="shared" si="54"/>
        <v>0</v>
      </c>
      <c r="M81" s="476">
        <f>SUM('ketv. 6 lent'!O83)</f>
        <v>2550</v>
      </c>
      <c r="N81" s="476">
        <v>2550</v>
      </c>
      <c r="O81" s="475">
        <f t="shared" si="55"/>
        <v>0</v>
      </c>
      <c r="P81" s="476">
        <f>SUM('ketv. 6 lent'!S83)</f>
        <v>0</v>
      </c>
      <c r="Q81" s="474">
        <v>0</v>
      </c>
      <c r="R81" s="475">
        <f t="shared" si="56"/>
        <v>0</v>
      </c>
      <c r="S81" s="476">
        <f>SUM('ketv. 6 lent'!W83)</f>
        <v>0</v>
      </c>
      <c r="T81" s="474">
        <v>0</v>
      </c>
      <c r="U81" s="475">
        <f t="shared" si="57"/>
        <v>0</v>
      </c>
      <c r="V81" s="476">
        <f>SUM('ketv. 6 lent'!AA83)</f>
        <v>0</v>
      </c>
      <c r="W81" s="474">
        <v>0</v>
      </c>
      <c r="X81" s="475">
        <f t="shared" si="58"/>
        <v>0</v>
      </c>
      <c r="Y81" s="476">
        <f>SUM('ketv. 6 lent'!AE83)</f>
        <v>14450</v>
      </c>
      <c r="Z81" s="476">
        <v>14450</v>
      </c>
      <c r="AA81" s="726">
        <f t="shared" si="59"/>
        <v>0</v>
      </c>
    </row>
    <row r="82" spans="1:27" ht="48.75" x14ac:dyDescent="0.25">
      <c r="A82" s="992" t="str">
        <f>CONCATENATE('3 pr-2'!A84)</f>
        <v>1.1.2.2.5</v>
      </c>
      <c r="B82" s="1016" t="str">
        <f>CONCATENATE('ketv. 6 lent'!B84)</f>
        <v>-</v>
      </c>
      <c r="C82" s="255" t="str">
        <f>CONCATENATE('3 pr-2'!D84)</f>
        <v>Viešojo transporto organizavimo tobulinimas rekonstruojant Druskininkų miesto gatvių infrastruktūrą</v>
      </c>
      <c r="D82" s="255" t="str">
        <f>CONCATENATE('3 pr-2'!E84)</f>
        <v>Druskininkų savivaldybės administracija</v>
      </c>
      <c r="E82" s="255" t="str">
        <f>CONCATENATE('3 pr-2'!F84)</f>
        <v>Lietuvos Respublikos susisiekimo ministerija</v>
      </c>
      <c r="F82" s="255" t="str">
        <f>CONCATENATE('3 pr-2'!G84)</f>
        <v>Druskininkų  miestas</v>
      </c>
      <c r="G82" s="255" t="str">
        <f>CONCATENATE('3 pr-2'!H84)</f>
        <v>04.5.1.-TID-R-514</v>
      </c>
      <c r="H82" s="255" t="str">
        <f>CONCATENATE('3 pr-2'!I84)</f>
        <v>R</v>
      </c>
      <c r="I82" s="255" t="str">
        <f>CONCATENATE('3 pr-2'!J84)</f>
        <v>-</v>
      </c>
      <c r="J82" s="474">
        <f>SUM('ketv. 6 lent'!K84)</f>
        <v>17000</v>
      </c>
      <c r="K82" s="476">
        <f>SUM(N82+Q82+Z82)</f>
        <v>2550</v>
      </c>
      <c r="L82" s="475">
        <f t="shared" ref="L82" si="60">SUM(J82-K82)</f>
        <v>14450</v>
      </c>
      <c r="M82" s="476">
        <f>SUM('ketv. 6 lent'!O84)</f>
        <v>17000</v>
      </c>
      <c r="N82" s="476">
        <v>2550</v>
      </c>
      <c r="O82" s="475">
        <f t="shared" ref="O82" si="61">SUM(M82-N82)</f>
        <v>14450</v>
      </c>
      <c r="P82" s="476">
        <f>SUM('ketv. 6 lent'!S84)</f>
        <v>0</v>
      </c>
      <c r="Q82" s="474">
        <v>0</v>
      </c>
      <c r="R82" s="475">
        <f t="shared" ref="R82" si="62">SUM(P82-Q82)</f>
        <v>0</v>
      </c>
      <c r="S82" s="476">
        <f>SUM('ketv. 6 lent'!W84)</f>
        <v>0</v>
      </c>
      <c r="T82" s="474">
        <v>0</v>
      </c>
      <c r="U82" s="475">
        <f t="shared" ref="U82" si="63">SUM(S82-T82)</f>
        <v>0</v>
      </c>
      <c r="V82" s="476">
        <f>SUM('ketv. 6 lent'!AA84)</f>
        <v>0</v>
      </c>
      <c r="W82" s="474">
        <v>0</v>
      </c>
      <c r="X82" s="475">
        <f t="shared" ref="X82" si="64">SUM(V82-W82)</f>
        <v>0</v>
      </c>
      <c r="Y82" s="476">
        <f>SUM('ketv. 6 lent'!AE84)</f>
        <v>0</v>
      </c>
      <c r="Z82" s="474">
        <v>0</v>
      </c>
      <c r="AA82" s="726">
        <f t="shared" ref="AA82" si="65">SUM(Y82-Z82)</f>
        <v>0</v>
      </c>
    </row>
    <row r="83" spans="1:27" ht="37.5" thickBot="1" x14ac:dyDescent="0.3">
      <c r="A83" s="992" t="str">
        <f>CONCATENATE('3 pr-2'!A85)</f>
        <v>1.1.2.2.6</v>
      </c>
      <c r="B83" s="1016" t="str">
        <f>CONCATENATE('ketv. 6 lent'!B85)</f>
        <v>-</v>
      </c>
      <c r="C83" s="255" t="str">
        <f>CONCATENATE('3 pr-2'!D85)</f>
        <v>Vandens transporto infrastruktūros įrengimas skatinant kitų rūšių transportą</v>
      </c>
      <c r="D83" s="255" t="str">
        <f>CONCATENATE('3 pr-2'!E85)</f>
        <v>Druskininkų savivaldybės administracija</v>
      </c>
      <c r="E83" s="255" t="str">
        <f>CONCATENATE('3 pr-2'!F85)</f>
        <v>Lietuvos Respublikos susisiekimo ministerija</v>
      </c>
      <c r="F83" s="255" t="str">
        <f>CONCATENATE('3 pr-2'!G85)</f>
        <v>Druskininkų  miestas</v>
      </c>
      <c r="G83" s="255" t="str">
        <f>CONCATENATE('3 pr-2'!H85)</f>
        <v>04.5.1.-TID-R-514</v>
      </c>
      <c r="H83" s="255" t="str">
        <f>CONCATENATE('3 pr-2'!I85)</f>
        <v>R</v>
      </c>
      <c r="I83" s="255" t="str">
        <f>CONCATENATE('3 pr-2'!J85)</f>
        <v>-</v>
      </c>
      <c r="J83" s="474">
        <f>SUM('ketv. 6 lent'!K85)</f>
        <v>17000</v>
      </c>
      <c r="K83" s="476">
        <f>SUM(N83+Q83+Z83)</f>
        <v>2550</v>
      </c>
      <c r="L83" s="475">
        <f t="shared" ref="L83" si="66">SUM(J83-K83)</f>
        <v>14450</v>
      </c>
      <c r="M83" s="476">
        <f>SUM('ketv. 6 lent'!O85)</f>
        <v>17000</v>
      </c>
      <c r="N83" s="476">
        <v>2550</v>
      </c>
      <c r="O83" s="475">
        <f t="shared" ref="O83" si="67">SUM(M83-N83)</f>
        <v>14450</v>
      </c>
      <c r="P83" s="476">
        <f>SUM('ketv. 6 lent'!S85)</f>
        <v>0</v>
      </c>
      <c r="Q83" s="474">
        <v>0</v>
      </c>
      <c r="R83" s="475">
        <f t="shared" ref="R83" si="68">SUM(P83-Q83)</f>
        <v>0</v>
      </c>
      <c r="S83" s="476">
        <f>SUM('ketv. 6 lent'!W85)</f>
        <v>0</v>
      </c>
      <c r="T83" s="474">
        <v>0</v>
      </c>
      <c r="U83" s="475">
        <f t="shared" ref="U83" si="69">SUM(S83-T83)</f>
        <v>0</v>
      </c>
      <c r="V83" s="476">
        <f>SUM('ketv. 6 lent'!AA85)</f>
        <v>0</v>
      </c>
      <c r="W83" s="474">
        <v>0</v>
      </c>
      <c r="X83" s="475">
        <f t="shared" ref="X83" si="70">SUM(V83-W83)</f>
        <v>0</v>
      </c>
      <c r="Y83" s="476">
        <f>SUM('ketv. 6 lent'!AE85)</f>
        <v>0</v>
      </c>
      <c r="Z83" s="474">
        <v>0</v>
      </c>
      <c r="AA83" s="726">
        <f t="shared" ref="AA83" si="71">SUM(Y83-Z83)</f>
        <v>0</v>
      </c>
    </row>
    <row r="84" spans="1:27" ht="33.75" customHeight="1" thickBot="1" x14ac:dyDescent="0.3">
      <c r="A84" s="497" t="str">
        <f>CONCATENATE('3 pr-2'!A86)</f>
        <v>1.1.2.3</v>
      </c>
      <c r="B84" s="613" t="str">
        <f>CONCATENATE('ketv. 2lent'!B85)</f>
        <v/>
      </c>
      <c r="C84" s="1656" t="str">
        <f>CONCATENATE('3 pr-2'!D86)</f>
        <v/>
      </c>
      <c r="D84" s="1789"/>
      <c r="E84" s="1789"/>
      <c r="F84" s="1789"/>
      <c r="G84" s="1789"/>
      <c r="H84" s="1789"/>
      <c r="I84" s="1790"/>
      <c r="J84" s="629">
        <f>SUM('ketv. 6 lent'!K86)</f>
        <v>133670.07</v>
      </c>
      <c r="K84" s="629">
        <f>SUM(K85:K89)</f>
        <v>48895.060000000005</v>
      </c>
      <c r="L84" s="629">
        <f>SUM(L85:L89)</f>
        <v>84775.010000000009</v>
      </c>
      <c r="M84" s="629">
        <f>SUM('ketv. 6 lent'!O86)</f>
        <v>20050.510000000009</v>
      </c>
      <c r="N84" s="629">
        <f>SUM(N85:N89)</f>
        <v>7334.26</v>
      </c>
      <c r="O84" s="629">
        <f>SUM(O85:O89)</f>
        <v>12716.250000000009</v>
      </c>
      <c r="P84" s="629">
        <f>SUM('ketv. 6 lent'!S86)</f>
        <v>0</v>
      </c>
      <c r="Q84" s="629">
        <f>SUM(Q85:Q89)</f>
        <v>0</v>
      </c>
      <c r="R84" s="629">
        <f>SUM(R85:R89)</f>
        <v>0</v>
      </c>
      <c r="S84" s="629">
        <f>SUM('ketv. 6 lent'!W86)</f>
        <v>0</v>
      </c>
      <c r="T84" s="629">
        <f>SUM(T85:T89)</f>
        <v>0</v>
      </c>
      <c r="U84" s="629">
        <f>SUM(U85:U89)</f>
        <v>0</v>
      </c>
      <c r="V84" s="629">
        <f>SUM('ketv. 6 lent'!AA86)</f>
        <v>0</v>
      </c>
      <c r="W84" s="629">
        <f>SUM(W85:W89)</f>
        <v>0</v>
      </c>
      <c r="X84" s="629">
        <f>SUM(X85:X89)</f>
        <v>0</v>
      </c>
      <c r="Y84" s="629">
        <f>SUM('ketv. 6 lent'!AE86)</f>
        <v>113619.56</v>
      </c>
      <c r="Z84" s="629">
        <f>SUM(Z85:Z89)</f>
        <v>41560.800000000003</v>
      </c>
      <c r="AA84" s="352">
        <f>SUM(AA85:AA89)</f>
        <v>72058.759999999995</v>
      </c>
    </row>
    <row r="85" spans="1:27" ht="36.75" x14ac:dyDescent="0.25">
      <c r="A85" s="992" t="str">
        <f>CONCATENATE('3 pr-2'!A87)</f>
        <v>1.1.2.3.1</v>
      </c>
      <c r="B85" s="1016" t="str">
        <f>CONCATENATE('ketv. 6 lent'!B87)</f>
        <v>-</v>
      </c>
      <c r="C85" s="255" t="str">
        <f>CONCATENATE('3 pr-2'!D87)</f>
        <v>Dviračių ir pėsčiųjų takų įrengimas Varėnos miesto J. Basanavičiaus ir Žiedo gatvėse</v>
      </c>
      <c r="D85" s="255" t="str">
        <f>CONCATENATE('3 pr-2'!E87)</f>
        <v>Varėnos rajono savivaldybės administracija</v>
      </c>
      <c r="E85" s="255" t="str">
        <f>CONCATENATE('3 pr-2'!F87)</f>
        <v>Lietuvos Respublikos susisiekimo ministerija</v>
      </c>
      <c r="F85" s="255" t="str">
        <f>CONCATENATE('3 pr-2'!G87)</f>
        <v>Varėnos miestas</v>
      </c>
      <c r="G85" s="255" t="str">
        <f>CONCATENATE('3 pr-2'!H87)</f>
        <v>04.5.1-TID-R-516</v>
      </c>
      <c r="H85" s="255" t="str">
        <f>CONCATENATE('3 pr-2'!I87)</f>
        <v>R</v>
      </c>
      <c r="I85" s="255" t="str">
        <f>CONCATENATE('3 pr-2'!J87)</f>
        <v>ITI</v>
      </c>
      <c r="J85" s="474">
        <f>SUM('ketv. 6 lent'!K87)</f>
        <v>0</v>
      </c>
      <c r="K85" s="474">
        <v>0</v>
      </c>
      <c r="L85" s="475">
        <f t="shared" ref="L85:L89" si="72">SUM(J85-K85)</f>
        <v>0</v>
      </c>
      <c r="M85" s="476">
        <f>SUM('ketv. 6 lent'!O87)</f>
        <v>0</v>
      </c>
      <c r="N85" s="474">
        <v>0</v>
      </c>
      <c r="O85" s="475">
        <f t="shared" ref="O85:O89" si="73">SUM(M85-N85)</f>
        <v>0</v>
      </c>
      <c r="P85" s="476">
        <f>SUM('ketv. 6 lent'!S87)</f>
        <v>0</v>
      </c>
      <c r="Q85" s="474">
        <v>0</v>
      </c>
      <c r="R85" s="475">
        <f t="shared" ref="R85:R89" si="74">SUM(P85-Q85)</f>
        <v>0</v>
      </c>
      <c r="S85" s="476">
        <f>SUM('ketv. 6 lent'!W87)</f>
        <v>0</v>
      </c>
      <c r="T85" s="474">
        <v>0</v>
      </c>
      <c r="U85" s="475">
        <f t="shared" ref="U85:U89" si="75">SUM(S85-T85)</f>
        <v>0</v>
      </c>
      <c r="V85" s="476">
        <f>SUM('ketv. 6 lent'!AA87)</f>
        <v>0</v>
      </c>
      <c r="W85" s="474">
        <v>0</v>
      </c>
      <c r="X85" s="475">
        <f t="shared" ref="X85:X89" si="76">SUM(V85-W85)</f>
        <v>0</v>
      </c>
      <c r="Y85" s="476">
        <f>SUM('ketv. 6 lent'!AE87)</f>
        <v>0</v>
      </c>
      <c r="Z85" s="474">
        <v>0</v>
      </c>
      <c r="AA85" s="728">
        <f t="shared" ref="AA85:AA89" si="77">SUM(Y85-Z85)</f>
        <v>0</v>
      </c>
    </row>
    <row r="86" spans="1:27" ht="36.75" x14ac:dyDescent="0.25">
      <c r="A86" s="992" t="str">
        <f>CONCATENATE('3 pr-2'!A88)</f>
        <v>1.1.2.3.2</v>
      </c>
      <c r="B86" s="1016" t="str">
        <f>CONCATENATE('ketv. 6 lent'!B88)</f>
        <v>04.5.1-TID-R-516-11-0001</v>
      </c>
      <c r="C86" s="255" t="str">
        <f>CONCATENATE('3 pr-2'!D88)</f>
        <v>Dviračių trasų infrastruktūros įrengimas nuo Putinų g. žiedo Pramonės gatvėje, Alytaus mieste</v>
      </c>
      <c r="D86" s="255" t="str">
        <f>CONCATENATE('3 pr-2'!E88)</f>
        <v>Alytaus miesto savivaldybės administracija</v>
      </c>
      <c r="E86" s="255" t="str">
        <f>CONCATENATE('3 pr-2'!F88)</f>
        <v>Lietuvos Respublikos susisiekimo ministerija</v>
      </c>
      <c r="F86" s="255" t="str">
        <f>CONCATENATE('3 pr-2'!G88)</f>
        <v>Alytaus  miestas</v>
      </c>
      <c r="G86" s="255" t="str">
        <f>CONCATENATE('3 pr-2'!H88)</f>
        <v>04.5.1-TID-R-516</v>
      </c>
      <c r="H86" s="255" t="str">
        <f>CONCATENATE('3 pr-2'!I88)</f>
        <v>R</v>
      </c>
      <c r="I86" s="255" t="str">
        <f>CONCATENATE('3 pr-2'!J88)</f>
        <v>ITI</v>
      </c>
      <c r="J86" s="474">
        <f>SUM('ketv. 6 lent'!K88)</f>
        <v>133670.07</v>
      </c>
      <c r="K86" s="474">
        <f>SUM(N86+Q86+T86+W86+Z86)</f>
        <v>48895.060000000005</v>
      </c>
      <c r="L86" s="475">
        <f t="shared" si="72"/>
        <v>84775.010000000009</v>
      </c>
      <c r="M86" s="476">
        <f>SUM('ketv. 6 lent'!O88)</f>
        <v>20050.510000000009</v>
      </c>
      <c r="N86" s="474">
        <v>7334.26</v>
      </c>
      <c r="O86" s="475">
        <f t="shared" si="73"/>
        <v>12716.250000000009</v>
      </c>
      <c r="P86" s="476">
        <f>SUM('ketv. 6 lent'!S88)</f>
        <v>0</v>
      </c>
      <c r="Q86" s="474">
        <v>0</v>
      </c>
      <c r="R86" s="475">
        <f t="shared" si="74"/>
        <v>0</v>
      </c>
      <c r="S86" s="476">
        <f>SUM('ketv. 6 lent'!W88)</f>
        <v>0</v>
      </c>
      <c r="T86" s="474">
        <v>0</v>
      </c>
      <c r="U86" s="475">
        <f t="shared" si="75"/>
        <v>0</v>
      </c>
      <c r="V86" s="476">
        <f>SUM('ketv. 6 lent'!AA88)</f>
        <v>0</v>
      </c>
      <c r="W86" s="474">
        <v>0</v>
      </c>
      <c r="X86" s="475">
        <f t="shared" si="76"/>
        <v>0</v>
      </c>
      <c r="Y86" s="476">
        <f>SUM('ketv. 6 lent'!AE88)</f>
        <v>113619.56</v>
      </c>
      <c r="Z86" s="476">
        <v>41560.800000000003</v>
      </c>
      <c r="AA86" s="728">
        <f t="shared" si="77"/>
        <v>72058.759999999995</v>
      </c>
    </row>
    <row r="87" spans="1:27" ht="48.75" x14ac:dyDescent="0.25">
      <c r="A87" s="992" t="str">
        <f>CONCATENATE('3 pr-2'!A89)</f>
        <v>1.1.2.3.3</v>
      </c>
      <c r="B87" s="1016" t="str">
        <f>CONCATENATE('ketv. 6 lent'!B89)</f>
        <v>04.5.1-TID-R-516-11-0002</v>
      </c>
      <c r="C87" s="255" t="str">
        <f>CONCATENATE('3 pr-2'!D89)</f>
        <v>Dviračių ir pėsčiųjų takų plėtra Lazdijų miesto Turistų gatvėje iki sodų bendrijos „Baltasis“ Lazdijų seniūnijoje</v>
      </c>
      <c r="D87" s="255" t="str">
        <f>CONCATENATE('3 pr-2'!E89)</f>
        <v>Lazdijų rajono savivaldybės administracija</v>
      </c>
      <c r="E87" s="255" t="str">
        <f>CONCATENATE('3 pr-2'!F89)</f>
        <v>Lietuvos Respublikos susisiekimo ministerija</v>
      </c>
      <c r="F87" s="255" t="str">
        <f>CONCATENATE('3 pr-2'!G89)</f>
        <v>Lazdijų miestas</v>
      </c>
      <c r="G87" s="255" t="str">
        <f>CONCATENATE('3 pr-2'!H89)</f>
        <v>04.5.1-TID-R-516</v>
      </c>
      <c r="H87" s="255" t="str">
        <f>CONCATENATE('3 pr-2'!I89)</f>
        <v>R</v>
      </c>
      <c r="I87" s="255" t="str">
        <f>CONCATENATE('3 pr-2'!J89)</f>
        <v>ITI</v>
      </c>
      <c r="J87" s="474">
        <f>SUM('ketv. 6 lent'!K89)</f>
        <v>0</v>
      </c>
      <c r="K87" s="474">
        <v>0</v>
      </c>
      <c r="L87" s="475">
        <f t="shared" si="72"/>
        <v>0</v>
      </c>
      <c r="M87" s="476">
        <f>SUM('ketv. 6 lent'!O89)</f>
        <v>0</v>
      </c>
      <c r="N87" s="474">
        <v>0</v>
      </c>
      <c r="O87" s="475">
        <f t="shared" si="73"/>
        <v>0</v>
      </c>
      <c r="P87" s="476">
        <f>SUM('ketv. 6 lent'!S89)</f>
        <v>0</v>
      </c>
      <c r="Q87" s="474">
        <v>0</v>
      </c>
      <c r="R87" s="475">
        <f t="shared" si="74"/>
        <v>0</v>
      </c>
      <c r="S87" s="476">
        <f>SUM('ketv. 6 lent'!W89)</f>
        <v>0</v>
      </c>
      <c r="T87" s="474">
        <v>0</v>
      </c>
      <c r="U87" s="475">
        <f t="shared" si="75"/>
        <v>0</v>
      </c>
      <c r="V87" s="476">
        <f>SUM('ketv. 6 lent'!AA89)</f>
        <v>0</v>
      </c>
      <c r="W87" s="474">
        <v>0</v>
      </c>
      <c r="X87" s="475">
        <f t="shared" si="76"/>
        <v>0</v>
      </c>
      <c r="Y87" s="476">
        <f>SUM('ketv. 6 lent'!AE89)</f>
        <v>0</v>
      </c>
      <c r="Z87" s="474">
        <v>0</v>
      </c>
      <c r="AA87" s="728">
        <f t="shared" si="77"/>
        <v>0</v>
      </c>
    </row>
    <row r="88" spans="1:27" ht="36.75" x14ac:dyDescent="0.25">
      <c r="A88" s="992" t="str">
        <f>CONCATENATE('3 pr-2'!A90)</f>
        <v>1.1.2.3.4</v>
      </c>
      <c r="B88" s="1016" t="str">
        <f>CONCATENATE('ketv. 6 lent'!B90)</f>
        <v>-</v>
      </c>
      <c r="C88" s="255" t="str">
        <f>CONCATENATE('3 pr-2'!D90)</f>
        <v>Pėsčiųjų ir dviračių takų plėtra Simno seniūnijoje</v>
      </c>
      <c r="D88" s="255" t="str">
        <f>CONCATENATE('3 pr-2'!E90)</f>
        <v>Alytaus rajono savivaldybės administracija</v>
      </c>
      <c r="E88" s="255" t="str">
        <f>CONCATENATE('3 pr-2'!F90)</f>
        <v>Lietuvos Respublikos susisiekimo ministerija</v>
      </c>
      <c r="F88" s="255" t="str">
        <f>CONCATENATE('3 pr-2'!G90)</f>
        <v>Alytaus rajonas</v>
      </c>
      <c r="G88" s="255" t="str">
        <f>CONCATENATE('3 pr-2'!H90)</f>
        <v>04.5.1-TID-R-516</v>
      </c>
      <c r="H88" s="255" t="str">
        <f>CONCATENATE('3 pr-2'!I90)</f>
        <v>R</v>
      </c>
      <c r="I88" s="255" t="str">
        <f>CONCATENATE('3 pr-2'!J90)</f>
        <v>-</v>
      </c>
      <c r="J88" s="474">
        <f>SUM('ketv. 6 lent'!K90)</f>
        <v>0</v>
      </c>
      <c r="K88" s="474">
        <v>0</v>
      </c>
      <c r="L88" s="475">
        <f t="shared" si="72"/>
        <v>0</v>
      </c>
      <c r="M88" s="476">
        <f>SUM('ketv. 6 lent'!O90)</f>
        <v>0</v>
      </c>
      <c r="N88" s="474">
        <v>0</v>
      </c>
      <c r="O88" s="475">
        <f t="shared" si="73"/>
        <v>0</v>
      </c>
      <c r="P88" s="476">
        <f>SUM('ketv. 6 lent'!S90)</f>
        <v>0</v>
      </c>
      <c r="Q88" s="474">
        <v>0</v>
      </c>
      <c r="R88" s="475">
        <f t="shared" si="74"/>
        <v>0</v>
      </c>
      <c r="S88" s="476">
        <f>SUM('ketv. 6 lent'!W90)</f>
        <v>0</v>
      </c>
      <c r="T88" s="474">
        <v>0</v>
      </c>
      <c r="U88" s="475">
        <f t="shared" si="75"/>
        <v>0</v>
      </c>
      <c r="V88" s="476">
        <f>SUM('ketv. 6 lent'!AA90)</f>
        <v>0</v>
      </c>
      <c r="W88" s="474">
        <v>0</v>
      </c>
      <c r="X88" s="475">
        <f t="shared" si="76"/>
        <v>0</v>
      </c>
      <c r="Y88" s="476">
        <f>SUM('ketv. 6 lent'!AE90)</f>
        <v>0</v>
      </c>
      <c r="Z88" s="474">
        <v>0</v>
      </c>
      <c r="AA88" s="728">
        <f t="shared" si="77"/>
        <v>0</v>
      </c>
    </row>
    <row r="89" spans="1:27" ht="49.5" thickBot="1" x14ac:dyDescent="0.3">
      <c r="A89" s="992" t="str">
        <f>CONCATENATE('3 pr-2'!A91)</f>
        <v>1.1.2.3.5</v>
      </c>
      <c r="B89" s="1016" t="str">
        <f>CONCATENATE('ketv. 6 lent'!B91)</f>
        <v>-</v>
      </c>
      <c r="C89" s="255" t="str">
        <f>CONCATENATE('3 pr-2'!D91)</f>
        <v>Dviračių ir pėsčiųjų tako, esančio šalia Ratnyčios upelio, Druskininkų mieste, rekonstrukcija</v>
      </c>
      <c r="D89" s="255" t="str">
        <f>CONCATENATE('3 pr-2'!E91)</f>
        <v xml:space="preserve">Druskininkų savivaldybės administracija  </v>
      </c>
      <c r="E89" s="255" t="str">
        <f>CONCATENATE('3 pr-2'!F91)</f>
        <v>Lietuvos Respublikos susisiekimo ministerija</v>
      </c>
      <c r="F89" s="255" t="str">
        <f>CONCATENATE('3 pr-2'!G91)</f>
        <v>Druskininkų miestas</v>
      </c>
      <c r="G89" s="255" t="str">
        <f>CONCATENATE('3 pr-2'!H91)</f>
        <v>04.5.1-TID-R-516</v>
      </c>
      <c r="H89" s="255" t="str">
        <f>CONCATENATE('3 pr-2'!I91)</f>
        <v>R</v>
      </c>
      <c r="I89" s="255" t="str">
        <f>CONCATENATE('3 pr-2'!J91)</f>
        <v>-</v>
      </c>
      <c r="J89" s="474">
        <f>SUM('ketv. 6 lent'!K91)</f>
        <v>0</v>
      </c>
      <c r="K89" s="474">
        <v>0</v>
      </c>
      <c r="L89" s="475">
        <f t="shared" si="72"/>
        <v>0</v>
      </c>
      <c r="M89" s="476">
        <f>SUM('ketv. 6 lent'!O91)</f>
        <v>0</v>
      </c>
      <c r="N89" s="474">
        <v>0</v>
      </c>
      <c r="O89" s="475">
        <f t="shared" si="73"/>
        <v>0</v>
      </c>
      <c r="P89" s="476">
        <f>SUM('ketv. 6 lent'!S91)</f>
        <v>0</v>
      </c>
      <c r="Q89" s="474">
        <v>0</v>
      </c>
      <c r="R89" s="475">
        <f t="shared" si="74"/>
        <v>0</v>
      </c>
      <c r="S89" s="476">
        <f>SUM('ketv. 6 lent'!W91)</f>
        <v>0</v>
      </c>
      <c r="T89" s="474">
        <v>0</v>
      </c>
      <c r="U89" s="475">
        <f t="shared" si="75"/>
        <v>0</v>
      </c>
      <c r="V89" s="476">
        <f>SUM('ketv. 6 lent'!AA91)</f>
        <v>0</v>
      </c>
      <c r="W89" s="474">
        <v>0</v>
      </c>
      <c r="X89" s="475">
        <f t="shared" si="76"/>
        <v>0</v>
      </c>
      <c r="Y89" s="476">
        <f>SUM('ketv. 6 lent'!AE91)</f>
        <v>0</v>
      </c>
      <c r="Z89" s="474">
        <v>0</v>
      </c>
      <c r="AA89" s="726">
        <f t="shared" si="77"/>
        <v>0</v>
      </c>
    </row>
    <row r="90" spans="1:27" ht="35.25" customHeight="1" thickBot="1" x14ac:dyDescent="0.3">
      <c r="A90" s="497" t="str">
        <f>CONCATENATE('3 pr-2'!A92)</f>
        <v>1.1.2.4</v>
      </c>
      <c r="B90" s="613" t="str">
        <f>CONCATENATE('ketv. 2lent'!B91)</f>
        <v/>
      </c>
      <c r="C90" s="1656" t="str">
        <f>CONCATENATE('3 pr-2'!D92)</f>
        <v/>
      </c>
      <c r="D90" s="1789"/>
      <c r="E90" s="1789"/>
      <c r="F90" s="1789"/>
      <c r="G90" s="1789"/>
      <c r="H90" s="1789"/>
      <c r="I90" s="1790"/>
      <c r="J90" s="629">
        <f>SUM('ketv. 6 lent'!K92)</f>
        <v>1715391.06</v>
      </c>
      <c r="K90" s="629">
        <f>SUM(K91:K96)</f>
        <v>873591.32000000007</v>
      </c>
      <c r="L90" s="629">
        <f>SUM(L91:L96)</f>
        <v>841799.74</v>
      </c>
      <c r="M90" s="629">
        <f>SUM('ketv. 6 lent'!O92)</f>
        <v>194649.06000000006</v>
      </c>
      <c r="N90" s="629">
        <f>SUM(N91:N96)</f>
        <v>98493.53</v>
      </c>
      <c r="O90" s="629">
        <f>SUM(O91:O96)</f>
        <v>96155.530000000057</v>
      </c>
      <c r="P90" s="629">
        <f>SUM('ketv. 6 lent'!S92)</f>
        <v>0</v>
      </c>
      <c r="Q90" s="629">
        <f>SUM(Q91:Q96)</f>
        <v>0</v>
      </c>
      <c r="R90" s="629">
        <f>SUM(R91:R96)</f>
        <v>0</v>
      </c>
      <c r="S90" s="629">
        <f>SUM('ketv. 6 lent'!W92)</f>
        <v>0</v>
      </c>
      <c r="T90" s="629">
        <f>SUM(T91:T96)</f>
        <v>0</v>
      </c>
      <c r="U90" s="629">
        <f>SUM(U91:U96)</f>
        <v>0</v>
      </c>
      <c r="V90" s="629">
        <f>SUM('ketv. 6 lent'!AA92)</f>
        <v>62660</v>
      </c>
      <c r="W90" s="629">
        <f>SUM(W91:W96)</f>
        <v>32545.37</v>
      </c>
      <c r="X90" s="629">
        <f>SUM(X91:X96)</f>
        <v>30114.63</v>
      </c>
      <c r="Y90" s="629">
        <f>SUM('ketv. 6 lent'!AE92)</f>
        <v>1458082</v>
      </c>
      <c r="Z90" s="629">
        <f>SUM(Z91:Z96)</f>
        <v>742552.42</v>
      </c>
      <c r="AA90" s="352">
        <f>SUM(AA91:AA96)</f>
        <v>715529.58</v>
      </c>
    </row>
    <row r="91" spans="1:27" ht="36.75" x14ac:dyDescent="0.25">
      <c r="A91" s="992" t="str">
        <f>CONCATENATE('3 pr-2'!A93)</f>
        <v>1.1.2.4.1</v>
      </c>
      <c r="B91" s="1016" t="str">
        <f>CONCATENATE('ketv. 6 lent'!B93)</f>
        <v>06.2.1-TID-R-511-11-0002</v>
      </c>
      <c r="C91" s="332" t="str">
        <f>CONCATENATE('3 pr-2'!D93)</f>
        <v>Varėnos miesto J. Basanavičiaus, Savanorių ir M. K. Čiurlionio gatvių rekonstrukcija</v>
      </c>
      <c r="D91" s="255" t="str">
        <f>CONCATENATE('3 pr-2'!E93)</f>
        <v>Varėnos rajono savivaldybės administracija</v>
      </c>
      <c r="E91" s="255" t="str">
        <f>CONCATENATE('3 pr-2'!F93)</f>
        <v>Lietuvos Respublikos susisiekimo ministerija</v>
      </c>
      <c r="F91" s="255" t="str">
        <f>CONCATENATE('3 pr-2'!G93)</f>
        <v>Varėnos miestas</v>
      </c>
      <c r="G91" s="255" t="str">
        <f>CONCATENATE('3 pr-2'!H93)</f>
        <v>06.2.1-TID-R-511</v>
      </c>
      <c r="H91" s="255" t="str">
        <f>CONCATENATE('3 pr-2'!I93)</f>
        <v>R</v>
      </c>
      <c r="I91" s="255" t="str">
        <f>CONCATENATE('3 pr-2'!J93)</f>
        <v>ITI</v>
      </c>
      <c r="J91" s="474">
        <f>SUM('ketv. 6 lent'!K93)</f>
        <v>835464</v>
      </c>
      <c r="K91" s="476">
        <f>SUM(N91+Q91+T91+W91+Z91)</f>
        <v>433936.89</v>
      </c>
      <c r="L91" s="476">
        <f t="shared" si="42"/>
        <v>401527.11</v>
      </c>
      <c r="M91" s="476">
        <f>SUM('ketv. 6 lent'!O93)</f>
        <v>62660</v>
      </c>
      <c r="N91" s="476">
        <v>32545.37</v>
      </c>
      <c r="O91" s="476">
        <f t="shared" ref="O91:O96" si="78">SUM(M91-N91)</f>
        <v>30114.63</v>
      </c>
      <c r="P91" s="476">
        <f>SUM('ketv. 6 lent'!S93)</f>
        <v>0</v>
      </c>
      <c r="Q91" s="476">
        <v>0</v>
      </c>
      <c r="R91" s="476">
        <f t="shared" ref="R91:R96" si="79">SUM(P91-Q91)</f>
        <v>0</v>
      </c>
      <c r="S91" s="476">
        <f>SUM('ketv. 6 lent'!W93)</f>
        <v>0</v>
      </c>
      <c r="T91" s="476">
        <v>0</v>
      </c>
      <c r="U91" s="476">
        <f t="shared" ref="U91:U96" si="80">SUM(S91-T91)</f>
        <v>0</v>
      </c>
      <c r="V91" s="476">
        <f>SUM('ketv. 6 lent'!AA93)</f>
        <v>62660</v>
      </c>
      <c r="W91" s="476">
        <v>32545.37</v>
      </c>
      <c r="X91" s="476">
        <f t="shared" ref="X91:X96" si="81">SUM(V91-W91)</f>
        <v>30114.63</v>
      </c>
      <c r="Y91" s="476">
        <f>SUM('ketv. 6 lent'!AE93)</f>
        <v>710144</v>
      </c>
      <c r="Z91" s="476">
        <v>368846.15</v>
      </c>
      <c r="AA91" s="728">
        <f t="shared" ref="AA91:AA96" si="82">SUM(Y91-Z91)</f>
        <v>341297.85</v>
      </c>
    </row>
    <row r="92" spans="1:27" ht="36.75" x14ac:dyDescent="0.25">
      <c r="A92" s="992" t="str">
        <f>CONCATENATE('3 pr-2'!A94)</f>
        <v>1.1.2.4.2</v>
      </c>
      <c r="B92" s="1016" t="str">
        <f>CONCATENATE('ketv. 6 lent'!B94)</f>
        <v>06.2.1-TID-R-511-11-0001</v>
      </c>
      <c r="C92" s="332" t="str">
        <f>CONCATENATE('3 pr-2'!D94)</f>
        <v>Perspektyvinės gatvės nuo Pramonės  g. iki Naujosios g. Alytuje įrengimas</v>
      </c>
      <c r="D92" s="255" t="str">
        <f>CONCATENATE('3 pr-2'!E94)</f>
        <v>Alytaus miesto savivaldybės administracija</v>
      </c>
      <c r="E92" s="255" t="str">
        <f>CONCATENATE('3 pr-2'!F94)</f>
        <v>Lietuvos Respublikos susisiekimo ministerija</v>
      </c>
      <c r="F92" s="255" t="str">
        <f>CONCATENATE('3 pr-2'!G94)</f>
        <v>Alytaus  miestas</v>
      </c>
      <c r="G92" s="255" t="str">
        <f>CONCATENATE('3 pr-2'!H94)</f>
        <v>06.2.1-TID-R-511</v>
      </c>
      <c r="H92" s="255" t="str">
        <f>CONCATENATE('3 pr-2'!I94)</f>
        <v>R</v>
      </c>
      <c r="I92" s="255" t="str">
        <f>CONCATENATE('3 pr-2'!J94)</f>
        <v>ITI</v>
      </c>
      <c r="J92" s="474">
        <f>SUM('ketv. 6 lent'!K94)</f>
        <v>879927.06</v>
      </c>
      <c r="K92" s="476">
        <f>SUM(N92+Q92+T92+W92+Z92)</f>
        <v>439654.43000000005</v>
      </c>
      <c r="L92" s="476">
        <f t="shared" si="42"/>
        <v>440272.63</v>
      </c>
      <c r="M92" s="476">
        <f>SUM('ketv. 6 lent'!O94)</f>
        <v>131989.06000000006</v>
      </c>
      <c r="N92" s="476">
        <v>65948.160000000003</v>
      </c>
      <c r="O92" s="476">
        <f t="shared" si="78"/>
        <v>66040.900000000052</v>
      </c>
      <c r="P92" s="476">
        <f>SUM('ketv. 6 lent'!S94)</f>
        <v>0</v>
      </c>
      <c r="Q92" s="476">
        <v>0</v>
      </c>
      <c r="R92" s="476">
        <f t="shared" si="79"/>
        <v>0</v>
      </c>
      <c r="S92" s="476">
        <f>SUM('ketv. 6 lent'!W94)</f>
        <v>0</v>
      </c>
      <c r="T92" s="476">
        <v>0</v>
      </c>
      <c r="U92" s="476">
        <f t="shared" si="80"/>
        <v>0</v>
      </c>
      <c r="V92" s="476">
        <f>SUM('ketv. 6 lent'!AA94)</f>
        <v>0</v>
      </c>
      <c r="W92" s="476">
        <v>0</v>
      </c>
      <c r="X92" s="476">
        <f t="shared" si="81"/>
        <v>0</v>
      </c>
      <c r="Y92" s="476">
        <f>SUM('ketv. 6 lent'!AE94)</f>
        <v>747938</v>
      </c>
      <c r="Z92" s="476">
        <v>373706.27</v>
      </c>
      <c r="AA92" s="728">
        <f t="shared" si="82"/>
        <v>374231.73</v>
      </c>
    </row>
    <row r="93" spans="1:27" ht="36.75" x14ac:dyDescent="0.25">
      <c r="A93" s="992" t="str">
        <f>CONCATENATE('3 pr-2'!A95)</f>
        <v>1.1.2.4.3.</v>
      </c>
      <c r="B93" s="1016" t="str">
        <f>CONCATENATE('ketv. 6 lent'!B95)</f>
        <v>-</v>
      </c>
      <c r="C93" s="332" t="str">
        <f>CONCATENATE('3 pr-2'!D95)</f>
        <v>Saugaus eismo priemonių diegimas, Alytuje</v>
      </c>
      <c r="D93" s="255" t="str">
        <f>CONCATENATE('3 pr-2'!E95)</f>
        <v>Alytaus miesto savivaldybės administracija</v>
      </c>
      <c r="E93" s="255" t="str">
        <f>CONCATENATE('3 pr-2'!F95)</f>
        <v>Lietuvos Respublikos susisiekimo ministerija</v>
      </c>
      <c r="F93" s="255" t="str">
        <f>CONCATENATE('3 pr-2'!G95)</f>
        <v>Alytaus  miestas</v>
      </c>
      <c r="G93" s="255" t="str">
        <f>CONCATENATE('3 pr-2'!H95)</f>
        <v>06.2.1-TID-R-511</v>
      </c>
      <c r="H93" s="255" t="str">
        <f>CONCATENATE('3 pr-2'!I95)</f>
        <v>R</v>
      </c>
      <c r="I93" s="255" t="str">
        <f>CONCATENATE('3 pr-2'!J95)</f>
        <v>-</v>
      </c>
      <c r="J93" s="474">
        <f>SUM('ketv. 6 lent'!K95)</f>
        <v>0</v>
      </c>
      <c r="K93" s="474">
        <v>0</v>
      </c>
      <c r="L93" s="475">
        <f t="shared" si="42"/>
        <v>0</v>
      </c>
      <c r="M93" s="476">
        <f>SUM('ketv. 6 lent'!O95)</f>
        <v>0</v>
      </c>
      <c r="N93" s="474">
        <v>0</v>
      </c>
      <c r="O93" s="475">
        <f t="shared" si="78"/>
        <v>0</v>
      </c>
      <c r="P93" s="476">
        <f>SUM('ketv. 6 lent'!S95)</f>
        <v>0</v>
      </c>
      <c r="Q93" s="474">
        <v>0</v>
      </c>
      <c r="R93" s="475">
        <f t="shared" si="79"/>
        <v>0</v>
      </c>
      <c r="S93" s="476">
        <f>SUM('ketv. 6 lent'!W95)</f>
        <v>0</v>
      </c>
      <c r="T93" s="474">
        <v>0</v>
      </c>
      <c r="U93" s="475">
        <f t="shared" si="80"/>
        <v>0</v>
      </c>
      <c r="V93" s="476">
        <f>SUM('ketv. 6 lent'!AA95)</f>
        <v>0</v>
      </c>
      <c r="W93" s="474">
        <v>0</v>
      </c>
      <c r="X93" s="475">
        <f t="shared" si="81"/>
        <v>0</v>
      </c>
      <c r="Y93" s="476">
        <f>SUM('ketv. 6 lent'!AE95)</f>
        <v>0</v>
      </c>
      <c r="Z93" s="474">
        <v>0</v>
      </c>
      <c r="AA93" s="728">
        <f t="shared" si="82"/>
        <v>0</v>
      </c>
    </row>
    <row r="94" spans="1:27" ht="36.75" x14ac:dyDescent="0.25">
      <c r="A94" s="992" t="str">
        <f>CONCATENATE('3 pr-2'!A96)</f>
        <v>1.1.2.4.4</v>
      </c>
      <c r="B94" s="1016" t="str">
        <f>CONCATENATE('ketv. 6 lent'!B96)</f>
        <v>-</v>
      </c>
      <c r="C94" s="332" t="str">
        <f>CONCATENATE('3 pr-2'!D96)</f>
        <v>Eismo saugos priemonių diegimas Alytaus rajone</v>
      </c>
      <c r="D94" s="255" t="str">
        <f>CONCATENATE('3 pr-2'!E96)</f>
        <v>Alytaus rajono savivaldybės administracija</v>
      </c>
      <c r="E94" s="255" t="str">
        <f>CONCATENATE('3 pr-2'!F96)</f>
        <v>Lietuvos Respublikos susisiekimo ministerija</v>
      </c>
      <c r="F94" s="255" t="str">
        <f>CONCATENATE('3 pr-2'!G96)</f>
        <v>Alytaus  rajono savivaldybė</v>
      </c>
      <c r="G94" s="255" t="str">
        <f>CONCATENATE('3 pr-2'!H96)</f>
        <v>06.2.1-TID-R-511</v>
      </c>
      <c r="H94" s="255" t="str">
        <f>CONCATENATE('3 pr-2'!I96)</f>
        <v>R</v>
      </c>
      <c r="I94" s="255" t="str">
        <f>CONCATENATE('3 pr-2'!J96)</f>
        <v>-</v>
      </c>
      <c r="J94" s="474">
        <f>SUM('ketv. 6 lent'!K96)</f>
        <v>0</v>
      </c>
      <c r="K94" s="474">
        <v>0</v>
      </c>
      <c r="L94" s="475">
        <f t="shared" si="42"/>
        <v>0</v>
      </c>
      <c r="M94" s="476">
        <f>SUM('ketv. 6 lent'!O96)</f>
        <v>0</v>
      </c>
      <c r="N94" s="474">
        <v>0</v>
      </c>
      <c r="O94" s="475">
        <f t="shared" si="78"/>
        <v>0</v>
      </c>
      <c r="P94" s="476">
        <f>SUM('ketv. 6 lent'!S96)</f>
        <v>0</v>
      </c>
      <c r="Q94" s="474">
        <v>0</v>
      </c>
      <c r="R94" s="475">
        <f t="shared" si="79"/>
        <v>0</v>
      </c>
      <c r="S94" s="476">
        <f>SUM('ketv. 6 lent'!W96)</f>
        <v>0</v>
      </c>
      <c r="T94" s="474">
        <v>0</v>
      </c>
      <c r="U94" s="475">
        <f t="shared" si="80"/>
        <v>0</v>
      </c>
      <c r="V94" s="476">
        <f>SUM('ketv. 6 lent'!AA96)</f>
        <v>0</v>
      </c>
      <c r="W94" s="474">
        <v>0</v>
      </c>
      <c r="X94" s="475">
        <f t="shared" si="81"/>
        <v>0</v>
      </c>
      <c r="Y94" s="476">
        <f>SUM('ketv. 6 lent'!AE96)</f>
        <v>0</v>
      </c>
      <c r="Z94" s="474">
        <v>0</v>
      </c>
      <c r="AA94" s="728">
        <f t="shared" si="82"/>
        <v>0</v>
      </c>
    </row>
    <row r="95" spans="1:27" ht="36.75" x14ac:dyDescent="0.25">
      <c r="A95" s="992" t="str">
        <f>CONCATENATE('3 pr-2'!A97)</f>
        <v>1.1.2.4.5</v>
      </c>
      <c r="B95" s="1016" t="str">
        <f>CONCATENATE('ketv. 6 lent'!B97)</f>
        <v>-</v>
      </c>
      <c r="C95" s="332" t="str">
        <f>CONCATENATE('3 pr-2'!D97)</f>
        <v>M. K. Čiurlionio gatvės atkarpos Druskininkų m. rekonstrukcija</v>
      </c>
      <c r="D95" s="255" t="str">
        <f>CONCATENATE('3 pr-2'!E97)</f>
        <v xml:space="preserve">Druskininkų savivaldybės administracija  </v>
      </c>
      <c r="E95" s="255" t="str">
        <f>CONCATENATE('3 pr-2'!F97)</f>
        <v>Lietuvos Respublikos susisiekimo ministerija</v>
      </c>
      <c r="F95" s="255" t="str">
        <f>CONCATENATE('3 pr-2'!G97)</f>
        <v>Druskininkų miestas</v>
      </c>
      <c r="G95" s="255" t="str">
        <f>CONCATENATE('3 pr-2'!H97)</f>
        <v>06.2.1-TID-R-511</v>
      </c>
      <c r="H95" s="255" t="str">
        <f>CONCATENATE('3 pr-2'!I97)</f>
        <v>R</v>
      </c>
      <c r="I95" s="255" t="str">
        <f>CONCATENATE('3 pr-2'!J97)</f>
        <v>-</v>
      </c>
      <c r="J95" s="474">
        <f>SUM('ketv. 6 lent'!K97)</f>
        <v>0</v>
      </c>
      <c r="K95" s="474">
        <v>0</v>
      </c>
      <c r="L95" s="475">
        <f t="shared" si="42"/>
        <v>0</v>
      </c>
      <c r="M95" s="476">
        <f>SUM('ketv. 6 lent'!O97)</f>
        <v>0</v>
      </c>
      <c r="N95" s="474">
        <v>0</v>
      </c>
      <c r="O95" s="475">
        <f t="shared" si="78"/>
        <v>0</v>
      </c>
      <c r="P95" s="476">
        <f>SUM('ketv. 6 lent'!S97)</f>
        <v>0</v>
      </c>
      <c r="Q95" s="474">
        <v>0</v>
      </c>
      <c r="R95" s="475">
        <f t="shared" si="79"/>
        <v>0</v>
      </c>
      <c r="S95" s="476">
        <f>SUM('ketv. 6 lent'!W97)</f>
        <v>0</v>
      </c>
      <c r="T95" s="474">
        <v>0</v>
      </c>
      <c r="U95" s="475">
        <f t="shared" si="80"/>
        <v>0</v>
      </c>
      <c r="V95" s="476">
        <f>SUM('ketv. 6 lent'!AA97)</f>
        <v>0</v>
      </c>
      <c r="W95" s="474">
        <v>0</v>
      </c>
      <c r="X95" s="475">
        <f t="shared" si="81"/>
        <v>0</v>
      </c>
      <c r="Y95" s="476">
        <f>SUM('ketv. 6 lent'!AE97)</f>
        <v>0</v>
      </c>
      <c r="Z95" s="474">
        <v>0</v>
      </c>
      <c r="AA95" s="728">
        <f t="shared" si="82"/>
        <v>0</v>
      </c>
    </row>
    <row r="96" spans="1:27" ht="48.75" x14ac:dyDescent="0.25">
      <c r="A96" s="992" t="str">
        <f>CONCATENATE('3 pr-2'!A98)</f>
        <v>1.1.2.4.6</v>
      </c>
      <c r="B96" s="1016" t="str">
        <f>CONCATENATE('ketv. 6 lent'!B98)</f>
        <v>-</v>
      </c>
      <c r="C96" s="332" t="str">
        <f>CONCATENATE('3 pr-2'!D98)</f>
        <v>Lazdijų miesto Seinų ir Lazdijos gatvių bei vietinės reikšmės kelio nuo Janonio gatvės iki Lazdijų hipodromo rekonstravimas</v>
      </c>
      <c r="D96" s="255" t="str">
        <f>CONCATENATE('3 pr-2'!E98)</f>
        <v>Lazdijų rajono savivaldybės administracija</v>
      </c>
      <c r="E96" s="255" t="str">
        <f>CONCATENATE('3 pr-2'!F98)</f>
        <v>Lietuvos Respublikos susisiekimo ministerija</v>
      </c>
      <c r="F96" s="255" t="str">
        <f>CONCATENATE('3 pr-2'!G98)</f>
        <v>Lazdijų miestas</v>
      </c>
      <c r="G96" s="255" t="str">
        <f>CONCATENATE('3 pr-2'!H98)</f>
        <v>06.2.1-TID-R-511</v>
      </c>
      <c r="H96" s="255" t="str">
        <f>CONCATENATE('3 pr-2'!I98)</f>
        <v>R</v>
      </c>
      <c r="I96" s="255" t="str">
        <f>CONCATENATE('3 pr-2'!J98)</f>
        <v>ITI</v>
      </c>
      <c r="J96" s="474">
        <f>SUM('ketv. 6 lent'!K98)</f>
        <v>0</v>
      </c>
      <c r="K96" s="474">
        <v>0</v>
      </c>
      <c r="L96" s="475">
        <f t="shared" si="42"/>
        <v>0</v>
      </c>
      <c r="M96" s="476">
        <f>SUM('ketv. 6 lent'!O98)</f>
        <v>0</v>
      </c>
      <c r="N96" s="474">
        <v>0</v>
      </c>
      <c r="O96" s="475">
        <f t="shared" si="78"/>
        <v>0</v>
      </c>
      <c r="P96" s="476">
        <f>SUM('ketv. 6 lent'!S98)</f>
        <v>0</v>
      </c>
      <c r="Q96" s="474">
        <v>0</v>
      </c>
      <c r="R96" s="475">
        <f t="shared" si="79"/>
        <v>0</v>
      </c>
      <c r="S96" s="476">
        <f>SUM('ketv. 6 lent'!W98)</f>
        <v>0</v>
      </c>
      <c r="T96" s="474">
        <v>0</v>
      </c>
      <c r="U96" s="475">
        <f t="shared" si="80"/>
        <v>0</v>
      </c>
      <c r="V96" s="476">
        <f>SUM('ketv. 6 lent'!AA98)</f>
        <v>0</v>
      </c>
      <c r="W96" s="474">
        <v>0</v>
      </c>
      <c r="X96" s="475">
        <f t="shared" si="81"/>
        <v>0</v>
      </c>
      <c r="Y96" s="476">
        <f>SUM('ketv. 6 lent'!AE98)</f>
        <v>0</v>
      </c>
      <c r="Z96" s="474">
        <v>0</v>
      </c>
      <c r="AA96" s="726">
        <f t="shared" si="82"/>
        <v>0</v>
      </c>
    </row>
    <row r="97" spans="1:27" ht="37.5" thickBot="1" x14ac:dyDescent="0.3">
      <c r="A97" s="992" t="str">
        <f>CONCATENATE('3 pr-2'!A99)</f>
        <v>1.1.2.4.7</v>
      </c>
      <c r="B97" s="1016" t="str">
        <f>CONCATENATE('ketv. 6 lent'!B99)</f>
        <v>-</v>
      </c>
      <c r="C97" s="332" t="str">
        <f>CONCATENATE('3 pr-2'!D99)</f>
        <v>Eismo saugumo priemonių diegimas Druskininkų savivaldybėje</v>
      </c>
      <c r="D97" s="255" t="str">
        <f>CONCATENATE('3 pr-2'!E99)</f>
        <v xml:space="preserve">Druskininkų savivaldybės administracija  </v>
      </c>
      <c r="E97" s="255" t="str">
        <f>CONCATENATE('3 pr-2'!F99)</f>
        <v>Lietuvos Respublikos susisiekimo ministerija</v>
      </c>
      <c r="F97" s="255" t="str">
        <f>CONCATENATE('3 pr-2'!G99)</f>
        <v>Druskininkų miestas</v>
      </c>
      <c r="G97" s="255" t="str">
        <f>CONCATENATE('3 pr-2'!H99)</f>
        <v>06.2.1-TID-R-511</v>
      </c>
      <c r="H97" s="255" t="str">
        <f>CONCATENATE('3 pr-2'!I99)</f>
        <v>R</v>
      </c>
      <c r="I97" s="255" t="str">
        <f>CONCATENATE('3 pr-2'!J99)</f>
        <v>-</v>
      </c>
      <c r="J97" s="474">
        <f>SUM('ketv. 6 lent'!K99)</f>
        <v>0</v>
      </c>
      <c r="K97" s="474">
        <v>0</v>
      </c>
      <c r="L97" s="475">
        <f t="shared" ref="L97" si="83">SUM(J97-K97)</f>
        <v>0</v>
      </c>
      <c r="M97" s="476">
        <f>SUM('ketv. 6 lent'!O99)</f>
        <v>0</v>
      </c>
      <c r="N97" s="474">
        <v>0</v>
      </c>
      <c r="O97" s="475">
        <f t="shared" ref="O97" si="84">SUM(M97-N97)</f>
        <v>0</v>
      </c>
      <c r="P97" s="476">
        <f>SUM('ketv. 6 lent'!S99)</f>
        <v>0</v>
      </c>
      <c r="Q97" s="474">
        <v>0</v>
      </c>
      <c r="R97" s="475">
        <f t="shared" ref="R97" si="85">SUM(P97-Q97)</f>
        <v>0</v>
      </c>
      <c r="S97" s="476">
        <f>SUM('ketv. 6 lent'!W99)</f>
        <v>0</v>
      </c>
      <c r="T97" s="474">
        <v>0</v>
      </c>
      <c r="U97" s="475">
        <f t="shared" ref="U97" si="86">SUM(S97-T97)</f>
        <v>0</v>
      </c>
      <c r="V97" s="476">
        <f>SUM('ketv. 6 lent'!AA99)</f>
        <v>0</v>
      </c>
      <c r="W97" s="474">
        <v>0</v>
      </c>
      <c r="X97" s="475">
        <f t="shared" ref="X97" si="87">SUM(V97-W97)</f>
        <v>0</v>
      </c>
      <c r="Y97" s="476">
        <f>SUM('ketv. 6 lent'!AE99)</f>
        <v>0</v>
      </c>
      <c r="Z97" s="474">
        <v>0</v>
      </c>
      <c r="AA97" s="726">
        <f t="shared" ref="AA97" si="88">SUM(Y97-Z97)</f>
        <v>0</v>
      </c>
    </row>
    <row r="98" spans="1:27" ht="57" customHeight="1" thickBot="1" x14ac:dyDescent="0.35">
      <c r="A98" s="733" t="str">
        <f>CONCATENATE('3 pr-2'!A100)</f>
        <v>2.1.</v>
      </c>
      <c r="B98" s="734" t="str">
        <f>CONCATENATE('ketv. 2lent'!B99)</f>
        <v/>
      </c>
      <c r="C98" s="1842" t="str">
        <f>CONCATENATE('3 pr-2'!D100)</f>
        <v/>
      </c>
      <c r="D98" s="1843"/>
      <c r="E98" s="1843"/>
      <c r="F98" s="1843"/>
      <c r="G98" s="1843"/>
      <c r="H98" s="1843"/>
      <c r="I98" s="1844"/>
      <c r="J98" s="735">
        <f>SUM('ketv. 6 lent'!K100)</f>
        <v>6876469.7799999993</v>
      </c>
      <c r="K98" s="735">
        <f>SUM(K99+K118+K144+K157)</f>
        <v>1443767.56</v>
      </c>
      <c r="L98" s="735">
        <f t="shared" si="42"/>
        <v>5432702.2199999988</v>
      </c>
      <c r="M98" s="735">
        <f>SUM('ketv. 6 lent'!O100)</f>
        <v>1360619.6500000001</v>
      </c>
      <c r="N98" s="735">
        <f>SUM(N99+N118+N144+N157)</f>
        <v>139723</v>
      </c>
      <c r="O98" s="735">
        <f t="shared" si="43"/>
        <v>1220896.6500000001</v>
      </c>
      <c r="P98" s="735">
        <f>SUM('ketv. 6 lent'!S100)</f>
        <v>58787</v>
      </c>
      <c r="Q98" s="735">
        <f>SUM(Q99+Q118+Q144+Q157)</f>
        <v>2764.7</v>
      </c>
      <c r="R98" s="735">
        <f t="shared" si="44"/>
        <v>56022.3</v>
      </c>
      <c r="S98" s="735">
        <f>SUM('ketv. 6 lent'!W100)</f>
        <v>0</v>
      </c>
      <c r="T98" s="735">
        <f>SUM(T99+T118+T144+T157)</f>
        <v>0</v>
      </c>
      <c r="U98" s="735">
        <f t="shared" si="45"/>
        <v>0</v>
      </c>
      <c r="V98" s="735">
        <f>SUM('ketv. 6 lent'!AA100)</f>
        <v>0</v>
      </c>
      <c r="W98" s="735">
        <f>SUM(W99+W118+W144+W157)</f>
        <v>0</v>
      </c>
      <c r="X98" s="735">
        <f t="shared" si="46"/>
        <v>0</v>
      </c>
      <c r="Y98" s="735">
        <f>SUM('ketv. 6 lent'!AE100)</f>
        <v>5457063.1299999999</v>
      </c>
      <c r="Z98" s="735">
        <f>SUM(Z99+Z118+Z144+Z157)</f>
        <v>1301279.8600000001</v>
      </c>
      <c r="AA98" s="357">
        <f t="shared" si="47"/>
        <v>4155783.2699999996</v>
      </c>
    </row>
    <row r="99" spans="1:27" ht="56.25" customHeight="1" thickBot="1" x14ac:dyDescent="0.3">
      <c r="A99" s="345" t="str">
        <f>CONCATENATE('3 pr-2'!A101)</f>
        <v>2.1.1.</v>
      </c>
      <c r="B99" s="648" t="str">
        <f>CONCATENATE('ketv. 2lent'!B100)</f>
        <v/>
      </c>
      <c r="C99" s="1668" t="str">
        <f>CONCATENATE('3 pr-2'!D101)</f>
        <v/>
      </c>
      <c r="D99" s="1669"/>
      <c r="E99" s="1669"/>
      <c r="F99" s="1669"/>
      <c r="G99" s="1669"/>
      <c r="H99" s="1669"/>
      <c r="I99" s="1670"/>
      <c r="J99" s="303">
        <f>SUM('ketv. 6 lent'!K101)</f>
        <v>2465045.59</v>
      </c>
      <c r="K99" s="303">
        <f>SUM(K100+K106+K112)</f>
        <v>0</v>
      </c>
      <c r="L99" s="303">
        <f t="shared" si="42"/>
        <v>2465045.59</v>
      </c>
      <c r="M99" s="303">
        <f>SUM('ketv. 6 lent'!O101)</f>
        <v>524701.59</v>
      </c>
      <c r="N99" s="303">
        <f>SUM(N100+N106+N112)</f>
        <v>0</v>
      </c>
      <c r="O99" s="303">
        <f t="shared" si="43"/>
        <v>524701.59</v>
      </c>
      <c r="P99" s="303">
        <f>SUM('ketv. 6 lent'!S101)</f>
        <v>36839</v>
      </c>
      <c r="Q99" s="303">
        <f>SUM(Q100+Q106+Q112)</f>
        <v>0</v>
      </c>
      <c r="R99" s="303">
        <f t="shared" si="44"/>
        <v>36839</v>
      </c>
      <c r="S99" s="303">
        <f>SUM('ketv. 6 lent'!W101)</f>
        <v>0</v>
      </c>
      <c r="T99" s="303">
        <f>SUM(T100+T106+T112)</f>
        <v>0</v>
      </c>
      <c r="U99" s="303">
        <f t="shared" si="45"/>
        <v>0</v>
      </c>
      <c r="V99" s="303">
        <f>SUM('ketv. 6 lent'!AA101)</f>
        <v>0</v>
      </c>
      <c r="W99" s="303">
        <f>SUM(W100+W106+W112)</f>
        <v>0</v>
      </c>
      <c r="X99" s="303">
        <f t="shared" si="46"/>
        <v>0</v>
      </c>
      <c r="Y99" s="303">
        <f>SUM('ketv. 6 lent'!AE101)</f>
        <v>1903505</v>
      </c>
      <c r="Z99" s="303">
        <f>SUM(Z100+Z106+Z112)</f>
        <v>0</v>
      </c>
      <c r="AA99" s="364">
        <f t="shared" si="47"/>
        <v>1903505</v>
      </c>
    </row>
    <row r="100" spans="1:27" ht="30" customHeight="1" thickBot="1" x14ac:dyDescent="0.3">
      <c r="A100" s="497" t="str">
        <f>CONCATENATE('3 pr-2'!A102)</f>
        <v>2.1.1.1</v>
      </c>
      <c r="B100" s="613" t="str">
        <f>CONCATENATE('ketv. 2lent'!B101)</f>
        <v/>
      </c>
      <c r="C100" s="1656" t="str">
        <f>CONCATENATE('3 pr-2'!D102)</f>
        <v/>
      </c>
      <c r="D100" s="1789"/>
      <c r="E100" s="1789"/>
      <c r="F100" s="1789"/>
      <c r="G100" s="1789"/>
      <c r="H100" s="1789"/>
      <c r="I100" s="1790"/>
      <c r="J100" s="629">
        <f>SUM('ketv. 6 lent'!K102)</f>
        <v>491175.41000000003</v>
      </c>
      <c r="K100" s="629">
        <f>SUM(K101:K105)</f>
        <v>0</v>
      </c>
      <c r="L100" s="629">
        <f>SUM(L101:L105)</f>
        <v>491175.41000000003</v>
      </c>
      <c r="M100" s="629">
        <f>SUM('ketv. 6 lent'!O102)</f>
        <v>36838.410000000003</v>
      </c>
      <c r="N100" s="629">
        <f>SUM(N101:N105)</f>
        <v>0</v>
      </c>
      <c r="O100" s="629">
        <f>SUM(O101:O105)</f>
        <v>36838.410000000003</v>
      </c>
      <c r="P100" s="629">
        <f>SUM('ketv. 6 lent'!S102)</f>
        <v>36839</v>
      </c>
      <c r="Q100" s="629">
        <f>SUM(Q101:Q105)</f>
        <v>0</v>
      </c>
      <c r="R100" s="629">
        <f>SUM(R101:R105)</f>
        <v>36839</v>
      </c>
      <c r="S100" s="629">
        <f>SUM('ketv. 6 lent'!W102)</f>
        <v>0</v>
      </c>
      <c r="T100" s="629">
        <f>SUM(T101:T105)</f>
        <v>0</v>
      </c>
      <c r="U100" s="629">
        <f>SUM(U101:U105)</f>
        <v>0</v>
      </c>
      <c r="V100" s="629">
        <f>SUM('ketv. 6 lent'!AA102)</f>
        <v>0</v>
      </c>
      <c r="W100" s="629">
        <f>SUM(W101:W105)</f>
        <v>0</v>
      </c>
      <c r="X100" s="629">
        <f>SUM(X101:X105)</f>
        <v>0</v>
      </c>
      <c r="Y100" s="629">
        <f>SUM('ketv. 6 lent'!AE102)</f>
        <v>417498</v>
      </c>
      <c r="Z100" s="629">
        <f>SUM(Z101:Z105)</f>
        <v>0</v>
      </c>
      <c r="AA100" s="352">
        <f>SUM(AA101:AA105)</f>
        <v>417498</v>
      </c>
    </row>
    <row r="101" spans="1:27" ht="60.75" x14ac:dyDescent="0.25">
      <c r="A101" s="992" t="str">
        <f>CONCATENATE('3 pr-2'!A103)</f>
        <v>2.1.1.1.1</v>
      </c>
      <c r="B101" s="1016" t="str">
        <f>CONCATENATE('ketv. 6 lent'!B103)</f>
        <v xml:space="preserve">09.1.3-CPVA-R-724-11-0003 </v>
      </c>
      <c r="C101" s="332" t="str">
        <f>CONCATENATE('3 pr-2'!D103)</f>
        <v>Varėnos r. Merkinės Vinco Krėvės gimnazijos laisvų patalpų pritaikymas ikimokyklinio ir priešmokyklinio ugdymo grupėms įrengti</v>
      </c>
      <c r="D101" s="255" t="str">
        <f>CONCATENATE('3 pr-2'!E103)</f>
        <v>Varėnos rajono savivaldybės administracija</v>
      </c>
      <c r="E101" s="255" t="str">
        <f>CONCATENATE('3 pr-2'!F103)</f>
        <v>Lietuvos Respublikos švietimo ir mokslo ministerija</v>
      </c>
      <c r="F101" s="255" t="str">
        <f>CONCATENATE('3 pr-2'!G103)</f>
        <v>Varėnos miestas</v>
      </c>
      <c r="G101" s="255" t="str">
        <f>CONCATENATE('3 pr-2'!H103)</f>
        <v>09.1.3-CPVA-R-724</v>
      </c>
      <c r="H101" s="255" t="str">
        <f>CONCATENATE('3 pr-2'!I103)</f>
        <v>R</v>
      </c>
      <c r="I101" s="255" t="str">
        <f>CONCATENATE('3 pr-2'!J103)</f>
        <v>-</v>
      </c>
      <c r="J101" s="474">
        <f>SUM('ketv. 6 lent'!K103)</f>
        <v>220453</v>
      </c>
      <c r="K101" s="474">
        <v>0</v>
      </c>
      <c r="L101" s="475">
        <f t="shared" ref="L101:L105" si="89">SUM(J101-K101)</f>
        <v>220453</v>
      </c>
      <c r="M101" s="476">
        <f>SUM('ketv. 6 lent'!O103)</f>
        <v>16534</v>
      </c>
      <c r="N101" s="474">
        <v>0</v>
      </c>
      <c r="O101" s="475">
        <f t="shared" ref="O101:O105" si="90">SUM(M101-N101)</f>
        <v>16534</v>
      </c>
      <c r="P101" s="476">
        <f>SUM('ketv. 6 lent'!S103)</f>
        <v>16534</v>
      </c>
      <c r="Q101" s="474">
        <v>0</v>
      </c>
      <c r="R101" s="475">
        <f t="shared" ref="R101:R105" si="91">SUM(P101-Q101)</f>
        <v>16534</v>
      </c>
      <c r="S101" s="476">
        <f>SUM('ketv. 6 lent'!W103)</f>
        <v>0</v>
      </c>
      <c r="T101" s="474">
        <v>0</v>
      </c>
      <c r="U101" s="475">
        <f t="shared" ref="U101:U105" si="92">SUM(S101-T101)</f>
        <v>0</v>
      </c>
      <c r="V101" s="476">
        <f>SUM('ketv. 6 lent'!AA103)</f>
        <v>0</v>
      </c>
      <c r="W101" s="474">
        <v>0</v>
      </c>
      <c r="X101" s="475">
        <f t="shared" ref="X101:X105" si="93">SUM(V101-W101)</f>
        <v>0</v>
      </c>
      <c r="Y101" s="476">
        <f>SUM('ketv. 6 lent'!AE103)</f>
        <v>187385</v>
      </c>
      <c r="Z101" s="474">
        <v>0</v>
      </c>
      <c r="AA101" s="728">
        <f t="shared" ref="AA101:AA105" si="94">SUM(Y101-Z101)</f>
        <v>187385</v>
      </c>
    </row>
    <row r="102" spans="1:27" ht="48.75" x14ac:dyDescent="0.25">
      <c r="A102" s="992" t="str">
        <f>CONCATENATE('3 pr-2'!A104)</f>
        <v>2.1.1.1.2</v>
      </c>
      <c r="B102" s="1016" t="str">
        <f>CONCATENATE('ketv. 6 lent'!B104)</f>
        <v>09.1.3-CPVA-R-724-11-0005</v>
      </c>
      <c r="C102" s="332" t="str">
        <f>CONCATENATE('3 pr-2'!D104)</f>
        <v>Alytaus rajono bendrojo ugdymo įstaigų aprūpinimas gamtos, technologijų, menų ir kitų mokslų laboratorijų įranga</v>
      </c>
      <c r="D102" s="255" t="str">
        <f>CONCATENATE('3 pr-2'!E104)</f>
        <v>Alytaus rajono savivaldybės administracija</v>
      </c>
      <c r="E102" s="255" t="str">
        <f>CONCATENATE('3 pr-2'!F104)</f>
        <v>Lietuvos Respublikos švietimo ir mokslo ministerija</v>
      </c>
      <c r="F102" s="255" t="str">
        <f>CONCATENATE('3 pr-2'!G104)</f>
        <v>Alytaus  rajono savivaldybė</v>
      </c>
      <c r="G102" s="255" t="str">
        <f>CONCATENATE('3 pr-2'!H104)</f>
        <v>09.1.3-CPVA-R-724</v>
      </c>
      <c r="H102" s="255" t="str">
        <f>CONCATENATE('3 pr-2'!I104)</f>
        <v>R</v>
      </c>
      <c r="I102" s="255" t="str">
        <f>CONCATENATE('3 pr-2'!J104)</f>
        <v>-</v>
      </c>
      <c r="J102" s="474">
        <f>SUM('ketv. 6 lent'!K104)</f>
        <v>106845.41</v>
      </c>
      <c r="K102" s="474">
        <v>0</v>
      </c>
      <c r="L102" s="475">
        <f t="shared" si="89"/>
        <v>106845.41</v>
      </c>
      <c r="M102" s="476">
        <f>SUM('ketv. 6 lent'!O104)</f>
        <v>8013.41</v>
      </c>
      <c r="N102" s="474">
        <v>0</v>
      </c>
      <c r="O102" s="475">
        <f t="shared" si="90"/>
        <v>8013.41</v>
      </c>
      <c r="P102" s="476">
        <f>SUM('ketv. 6 lent'!S104)</f>
        <v>8014</v>
      </c>
      <c r="Q102" s="474">
        <v>0</v>
      </c>
      <c r="R102" s="475">
        <f t="shared" si="91"/>
        <v>8014</v>
      </c>
      <c r="S102" s="476">
        <f>SUM('ketv. 6 lent'!W104)</f>
        <v>0</v>
      </c>
      <c r="T102" s="474">
        <v>0</v>
      </c>
      <c r="U102" s="475">
        <f t="shared" si="92"/>
        <v>0</v>
      </c>
      <c r="V102" s="476">
        <f>SUM('ketv. 6 lent'!AA104)</f>
        <v>0</v>
      </c>
      <c r="W102" s="474">
        <v>0</v>
      </c>
      <c r="X102" s="475">
        <f t="shared" si="93"/>
        <v>0</v>
      </c>
      <c r="Y102" s="476">
        <f>SUM('ketv. 6 lent'!AE104)</f>
        <v>90818</v>
      </c>
      <c r="Z102" s="474">
        <v>0</v>
      </c>
      <c r="AA102" s="728">
        <f t="shared" si="94"/>
        <v>90818</v>
      </c>
    </row>
    <row r="103" spans="1:27" ht="36.75" x14ac:dyDescent="0.25">
      <c r="A103" s="992" t="str">
        <f>CONCATENATE('3 pr-2'!A105)</f>
        <v>2.1.1.1.3</v>
      </c>
      <c r="B103" s="1016" t="str">
        <f>CONCATENATE('ketv. 6 lent'!B105)</f>
        <v>-</v>
      </c>
      <c r="C103" s="332" t="str">
        <f>CONCATENATE('3 pr-2'!D105)</f>
        <v>Modernių ir saugių erdvių kūrimas Dzūkijos pagrindinėje mokykloje, Alytuje</v>
      </c>
      <c r="D103" s="255" t="str">
        <f>CONCATENATE('3 pr-2'!E105)</f>
        <v>Alytaus miesto savivaldybės administracija</v>
      </c>
      <c r="E103" s="255" t="str">
        <f>CONCATENATE('3 pr-2'!F105)</f>
        <v>Lietuvos Respublikos švietimo ir mokslo ministerija</v>
      </c>
      <c r="F103" s="255" t="str">
        <f>CONCATENATE('3 pr-2'!G105)</f>
        <v>Alytaus  miestas</v>
      </c>
      <c r="G103" s="255" t="str">
        <f>CONCATENATE('3 pr-2'!H105)</f>
        <v>09.1.3-CPVA-R-724</v>
      </c>
      <c r="H103" s="255" t="str">
        <f>CONCATENATE('3 pr-2'!I105)</f>
        <v>R</v>
      </c>
      <c r="I103" s="255" t="str">
        <f>CONCATENATE('3 pr-2'!J105)</f>
        <v>-</v>
      </c>
      <c r="J103" s="474">
        <f>SUM('ketv. 6 lent'!K105)</f>
        <v>0</v>
      </c>
      <c r="K103" s="474">
        <v>0</v>
      </c>
      <c r="L103" s="475">
        <f t="shared" si="89"/>
        <v>0</v>
      </c>
      <c r="M103" s="476">
        <f>SUM('ketv. 6 lent'!O105)</f>
        <v>0</v>
      </c>
      <c r="N103" s="474">
        <v>0</v>
      </c>
      <c r="O103" s="475">
        <f t="shared" si="90"/>
        <v>0</v>
      </c>
      <c r="P103" s="476">
        <f>SUM('ketv. 6 lent'!S105)</f>
        <v>0</v>
      </c>
      <c r="Q103" s="474">
        <v>0</v>
      </c>
      <c r="R103" s="475">
        <f t="shared" si="91"/>
        <v>0</v>
      </c>
      <c r="S103" s="476">
        <f>SUM('ketv. 6 lent'!W105)</f>
        <v>0</v>
      </c>
      <c r="T103" s="474">
        <v>0</v>
      </c>
      <c r="U103" s="475">
        <f t="shared" si="92"/>
        <v>0</v>
      </c>
      <c r="V103" s="476">
        <f>SUM('ketv. 6 lent'!AA105)</f>
        <v>0</v>
      </c>
      <c r="W103" s="474">
        <v>0</v>
      </c>
      <c r="X103" s="475">
        <f t="shared" si="93"/>
        <v>0</v>
      </c>
      <c r="Y103" s="476">
        <f>SUM('ketv. 6 lent'!AE105)</f>
        <v>0</v>
      </c>
      <c r="Z103" s="474">
        <v>0</v>
      </c>
      <c r="AA103" s="728">
        <f t="shared" si="94"/>
        <v>0</v>
      </c>
    </row>
    <row r="104" spans="1:27" ht="36.75" x14ac:dyDescent="0.25">
      <c r="A104" s="992" t="str">
        <f>CONCATENATE('3 pr-2'!A106)</f>
        <v>2.1.1.1.4</v>
      </c>
      <c r="B104" s="1016" t="str">
        <f>CONCATENATE('ketv. 6 lent'!B106)</f>
        <v>09.1.3-CPVA-R-724-11-0004</v>
      </c>
      <c r="C104" s="332" t="str">
        <f>CONCATENATE('3 pr-2'!D106)</f>
        <v>Modernių ir saugių erdvių sukūrimas bendrojo ugdymo mokyklose Druskininkų sav.</v>
      </c>
      <c r="D104" s="255" t="str">
        <f>CONCATENATE('3 pr-2'!E106)</f>
        <v>Druskininkų savivaldybės administracija</v>
      </c>
      <c r="E104" s="255" t="str">
        <f>CONCATENATE('3 pr-2'!F106)</f>
        <v>Lietuvos Respublikos švietimo ir mokslo ministerija</v>
      </c>
      <c r="F104" s="255" t="str">
        <f>CONCATENATE('3 pr-2'!G106)</f>
        <v>Druskininkų savivaldybė</v>
      </c>
      <c r="G104" s="255" t="str">
        <f>CONCATENATE('3 pr-2'!H106)</f>
        <v>09.1.3-CPVA-R-724</v>
      </c>
      <c r="H104" s="255" t="str">
        <f>CONCATENATE('3 pr-2'!I106)</f>
        <v>R</v>
      </c>
      <c r="I104" s="255" t="str">
        <f>CONCATENATE('3 pr-2'!J106)</f>
        <v>-</v>
      </c>
      <c r="J104" s="474">
        <f>SUM('ketv. 6 lent'!K106)</f>
        <v>163877</v>
      </c>
      <c r="K104" s="474">
        <v>0</v>
      </c>
      <c r="L104" s="475">
        <f t="shared" si="89"/>
        <v>163877</v>
      </c>
      <c r="M104" s="476">
        <f>SUM('ketv. 6 lent'!O106)</f>
        <v>12291</v>
      </c>
      <c r="N104" s="474">
        <v>0</v>
      </c>
      <c r="O104" s="475">
        <f t="shared" si="90"/>
        <v>12291</v>
      </c>
      <c r="P104" s="476">
        <f>SUM('ketv. 6 lent'!S106)</f>
        <v>12291</v>
      </c>
      <c r="Q104" s="474">
        <v>0</v>
      </c>
      <c r="R104" s="475">
        <f t="shared" si="91"/>
        <v>12291</v>
      </c>
      <c r="S104" s="476">
        <f>SUM('ketv. 6 lent'!W106)</f>
        <v>0</v>
      </c>
      <c r="T104" s="474">
        <v>0</v>
      </c>
      <c r="U104" s="475">
        <f t="shared" si="92"/>
        <v>0</v>
      </c>
      <c r="V104" s="476">
        <f>SUM('ketv. 6 lent'!AA106)</f>
        <v>0</v>
      </c>
      <c r="W104" s="474">
        <v>0</v>
      </c>
      <c r="X104" s="475">
        <f t="shared" si="93"/>
        <v>0</v>
      </c>
      <c r="Y104" s="476">
        <f>SUM('ketv. 6 lent'!AE106)</f>
        <v>139295</v>
      </c>
      <c r="Z104" s="474">
        <v>0</v>
      </c>
      <c r="AA104" s="728">
        <f t="shared" si="94"/>
        <v>139295</v>
      </c>
    </row>
    <row r="105" spans="1:27" ht="49.5" thickBot="1" x14ac:dyDescent="0.3">
      <c r="A105" s="992" t="str">
        <f>CONCATENATE('3 pr-2'!A107)</f>
        <v>2.1.1.1.5</v>
      </c>
      <c r="B105" s="1016" t="str">
        <f>CONCATENATE('ketv. 6 lent'!B107)</f>
        <v>-</v>
      </c>
      <c r="C105" s="332" t="str">
        <f>CONCATENATE('3 pr-2'!D107)</f>
        <v>Modernių ir saugių erdvių sukūrimas bendrojo ugdymo įstaigose Lazdijų rajono savivaldybėje</v>
      </c>
      <c r="D105" s="255" t="str">
        <f>CONCATENATE('3 pr-2'!E107)</f>
        <v>Lazdijų rajono savivaldybės administracija</v>
      </c>
      <c r="E105" s="255" t="str">
        <f>CONCATENATE('3 pr-2'!F107)</f>
        <v>Lietuvos Respublikos švietimo ir mokslo ministerija</v>
      </c>
      <c r="F105" s="255" t="str">
        <f>CONCATENATE('3 pr-2'!G107)</f>
        <v>Lazdijų rajono savivaldybė</v>
      </c>
      <c r="G105" s="255" t="str">
        <f>CONCATENATE('3 pr-2'!H107)</f>
        <v>09.1.3-CPVA-R-724</v>
      </c>
      <c r="H105" s="255" t="str">
        <f>CONCATENATE('3 pr-2'!I107)</f>
        <v>R</v>
      </c>
      <c r="I105" s="255" t="str">
        <f>CONCATENATE('3 pr-2'!J107)</f>
        <v>-</v>
      </c>
      <c r="J105" s="474">
        <f>SUM('ketv. 6 lent'!K107)</f>
        <v>0</v>
      </c>
      <c r="K105" s="474">
        <v>0</v>
      </c>
      <c r="L105" s="475">
        <f t="shared" si="89"/>
        <v>0</v>
      </c>
      <c r="M105" s="476">
        <f>SUM('ketv. 6 lent'!O107)</f>
        <v>0</v>
      </c>
      <c r="N105" s="474">
        <v>0</v>
      </c>
      <c r="O105" s="475">
        <f t="shared" si="90"/>
        <v>0</v>
      </c>
      <c r="P105" s="476">
        <f>SUM('ketv. 6 lent'!S107)</f>
        <v>0</v>
      </c>
      <c r="Q105" s="474">
        <v>0</v>
      </c>
      <c r="R105" s="475">
        <f t="shared" si="91"/>
        <v>0</v>
      </c>
      <c r="S105" s="476">
        <f>SUM('ketv. 6 lent'!W107)</f>
        <v>0</v>
      </c>
      <c r="T105" s="474">
        <v>0</v>
      </c>
      <c r="U105" s="475">
        <f t="shared" si="92"/>
        <v>0</v>
      </c>
      <c r="V105" s="476">
        <f>SUM('ketv. 6 lent'!AA107)</f>
        <v>0</v>
      </c>
      <c r="W105" s="474">
        <v>0</v>
      </c>
      <c r="X105" s="475">
        <f t="shared" si="93"/>
        <v>0</v>
      </c>
      <c r="Y105" s="476">
        <f>SUM('ketv. 6 lent'!AE107)</f>
        <v>0</v>
      </c>
      <c r="Z105" s="474">
        <v>0</v>
      </c>
      <c r="AA105" s="726">
        <f t="shared" si="94"/>
        <v>0</v>
      </c>
    </row>
    <row r="106" spans="1:27" ht="31.5" customHeight="1" thickBot="1" x14ac:dyDescent="0.3">
      <c r="A106" s="497" t="str">
        <f>CONCATENATE('3 pr-2'!A108)</f>
        <v>2.1.1.2</v>
      </c>
      <c r="B106" s="613" t="str">
        <f>CONCATENATE('ketv. 2lent'!B107)</f>
        <v/>
      </c>
      <c r="C106" s="1656" t="str">
        <f>CONCATENATE('3 pr-2'!D108)</f>
        <v/>
      </c>
      <c r="D106" s="1789"/>
      <c r="E106" s="1789"/>
      <c r="F106" s="1789"/>
      <c r="G106" s="1789"/>
      <c r="H106" s="1789"/>
      <c r="I106" s="1790"/>
      <c r="J106" s="629">
        <f>SUM('ketv. 6 lent'!K108)</f>
        <v>1973870.18</v>
      </c>
      <c r="K106" s="629">
        <f>SUM(K107:K111)</f>
        <v>0</v>
      </c>
      <c r="L106" s="629">
        <f>SUM(L107:L111)</f>
        <v>1973870.18</v>
      </c>
      <c r="M106" s="629">
        <f>SUM('ketv. 6 lent'!O108)</f>
        <v>487863.18</v>
      </c>
      <c r="N106" s="629">
        <f>SUM(N107:N111)</f>
        <v>0</v>
      </c>
      <c r="O106" s="629">
        <f>SUM(O107:O111)</f>
        <v>487863.18</v>
      </c>
      <c r="P106" s="629">
        <f>SUM('ketv. 6 lent'!S108)</f>
        <v>0</v>
      </c>
      <c r="Q106" s="629">
        <f>SUM(Q107:Q111)</f>
        <v>0</v>
      </c>
      <c r="R106" s="629">
        <f>SUM(R107:R111)</f>
        <v>0</v>
      </c>
      <c r="S106" s="629">
        <f>SUM('ketv. 6 lent'!W108)</f>
        <v>0</v>
      </c>
      <c r="T106" s="629">
        <f>SUM(T107:T111)</f>
        <v>0</v>
      </c>
      <c r="U106" s="629">
        <f>SUM(U107:U111)</f>
        <v>0</v>
      </c>
      <c r="V106" s="629">
        <f>SUM('ketv. 6 lent'!AA108)</f>
        <v>0</v>
      </c>
      <c r="W106" s="629">
        <f>SUM(W107:W111)</f>
        <v>0</v>
      </c>
      <c r="X106" s="629">
        <f>SUM(X107:X111)</f>
        <v>0</v>
      </c>
      <c r="Y106" s="629">
        <f>SUM('ketv. 6 lent'!AE108)</f>
        <v>1486007</v>
      </c>
      <c r="Z106" s="629">
        <f>SUM(Z107:Z111)</f>
        <v>0</v>
      </c>
      <c r="AA106" s="352">
        <f>SUM(AA107:AA111)</f>
        <v>1486007</v>
      </c>
    </row>
    <row r="107" spans="1:27" ht="36.75" x14ac:dyDescent="0.25">
      <c r="A107" s="992" t="str">
        <f>CONCATENATE('3 pr-2'!A109)</f>
        <v>2.1.1.2.1</v>
      </c>
      <c r="B107" s="1016" t="str">
        <f>CONCATENATE('ketv. 6 lent'!B109)</f>
        <v>09.1.3-CPVA-R-725-11-0003</v>
      </c>
      <c r="C107" s="332" t="str">
        <f>CONCATENATE('3 pr-2'!D109)</f>
        <v>Varėnos moksleivių kūrybos centro pastato J. Basanavičiaus g. 38, Varėnoje, modernizavimas</v>
      </c>
      <c r="D107" s="255" t="str">
        <f>CONCATENATE('3 pr-2'!E109)</f>
        <v>Varėnos rajono savivaldybės administracija</v>
      </c>
      <c r="E107" s="255" t="str">
        <f>CONCATENATE('3 pr-2'!F109)</f>
        <v>Lietuvos Respublikos švietimo ir mokslo ministerija</v>
      </c>
      <c r="F107" s="255" t="str">
        <f>CONCATENATE('3 pr-2'!G109)</f>
        <v>Varėnos miestas</v>
      </c>
      <c r="G107" s="255" t="str">
        <f>CONCATENATE('3 pr-2'!H109)</f>
        <v>09.13.CPVA-R-725</v>
      </c>
      <c r="H107" s="255" t="str">
        <f>CONCATENATE('3 pr-2'!I109)</f>
        <v>R</v>
      </c>
      <c r="I107" s="255" t="str">
        <f>CONCATENATE('3 pr-2'!J109)</f>
        <v>-</v>
      </c>
      <c r="J107" s="474">
        <f>SUM('ketv. 6 lent'!K109)</f>
        <v>437551</v>
      </c>
      <c r="K107" s="474">
        <v>0</v>
      </c>
      <c r="L107" s="475">
        <f t="shared" si="42"/>
        <v>437551</v>
      </c>
      <c r="M107" s="476">
        <f>SUM('ketv. 6 lent'!O109)</f>
        <v>65633</v>
      </c>
      <c r="N107" s="474">
        <v>0</v>
      </c>
      <c r="O107" s="475">
        <f t="shared" ref="O107:O111" si="95">SUM(M107-N107)</f>
        <v>65633</v>
      </c>
      <c r="P107" s="476">
        <f>SUM('ketv. 6 lent'!S109)</f>
        <v>0</v>
      </c>
      <c r="Q107" s="474">
        <v>0</v>
      </c>
      <c r="R107" s="475">
        <f t="shared" ref="R107:R111" si="96">SUM(P107-Q107)</f>
        <v>0</v>
      </c>
      <c r="S107" s="476">
        <f>SUM('ketv. 6 lent'!W109)</f>
        <v>0</v>
      </c>
      <c r="T107" s="474">
        <v>0</v>
      </c>
      <c r="U107" s="475">
        <f t="shared" ref="U107:U111" si="97">SUM(S107-T107)</f>
        <v>0</v>
      </c>
      <c r="V107" s="476">
        <f>SUM('ketv. 6 lent'!AA109)</f>
        <v>0</v>
      </c>
      <c r="W107" s="474">
        <v>0</v>
      </c>
      <c r="X107" s="475">
        <f t="shared" ref="X107:X111" si="98">SUM(V107-W107)</f>
        <v>0</v>
      </c>
      <c r="Y107" s="476">
        <f>SUM('ketv. 6 lent'!AE109)</f>
        <v>371918</v>
      </c>
      <c r="Z107" s="474">
        <v>0</v>
      </c>
      <c r="AA107" s="728">
        <f t="shared" ref="AA107:AA111" si="99">SUM(Y107-Z107)</f>
        <v>371918</v>
      </c>
    </row>
    <row r="108" spans="1:27" ht="36.75" x14ac:dyDescent="0.25">
      <c r="A108" s="992" t="str">
        <f>CONCATENATE('3 pr-2'!A110)</f>
        <v>2.1.1.2.2</v>
      </c>
      <c r="B108" s="1016" t="str">
        <f>CONCATENATE('ketv. 6 lent'!B110)</f>
        <v>09.1.3-CPVA-R-725-11-0005</v>
      </c>
      <c r="C108" s="332" t="str">
        <f>CONCATENATE('3 pr-2'!D110)</f>
        <v>Alytaus r. meno ir sporto mokyklos edukacinių erdvių įkūrimas ir atnaujinimas</v>
      </c>
      <c r="D108" s="255" t="str">
        <f>CONCATENATE('3 pr-2'!E110)</f>
        <v>Alytaus rajono savivaldybės administracija</v>
      </c>
      <c r="E108" s="255" t="str">
        <f>CONCATENATE('3 pr-2'!F110)</f>
        <v>Lietuvos Respublikos švietimo ir mokslo ministerija</v>
      </c>
      <c r="F108" s="255" t="str">
        <f>CONCATENATE('3 pr-2'!G110)</f>
        <v>Alytaus  rajono savivaldybė</v>
      </c>
      <c r="G108" s="255" t="str">
        <f>CONCATENATE('3 pr-2'!H110)</f>
        <v>09.13.CPVA-R-725</v>
      </c>
      <c r="H108" s="255" t="str">
        <f>CONCATENATE('3 pr-2'!I110)</f>
        <v>R</v>
      </c>
      <c r="I108" s="255" t="str">
        <f>CONCATENATE('3 pr-2'!J110)</f>
        <v>-</v>
      </c>
      <c r="J108" s="474">
        <f>SUM('ketv. 6 lent'!K110)</f>
        <v>856424.88</v>
      </c>
      <c r="K108" s="474">
        <v>0</v>
      </c>
      <c r="L108" s="475">
        <f t="shared" si="42"/>
        <v>856424.88</v>
      </c>
      <c r="M108" s="476">
        <f>SUM('ketv. 6 lent'!O110)</f>
        <v>319813.88</v>
      </c>
      <c r="N108" s="474">
        <v>0</v>
      </c>
      <c r="O108" s="475">
        <f t="shared" si="95"/>
        <v>319813.88</v>
      </c>
      <c r="P108" s="476">
        <f>SUM('ketv. 6 lent'!S110)</f>
        <v>0</v>
      </c>
      <c r="Q108" s="474">
        <v>0</v>
      </c>
      <c r="R108" s="475">
        <f t="shared" si="96"/>
        <v>0</v>
      </c>
      <c r="S108" s="476">
        <f>SUM('ketv. 6 lent'!W110)</f>
        <v>0</v>
      </c>
      <c r="T108" s="474">
        <v>0</v>
      </c>
      <c r="U108" s="475">
        <f t="shared" si="97"/>
        <v>0</v>
      </c>
      <c r="V108" s="476">
        <f>SUM('ketv. 6 lent'!AA110)</f>
        <v>0</v>
      </c>
      <c r="W108" s="474">
        <v>0</v>
      </c>
      <c r="X108" s="475">
        <f t="shared" si="98"/>
        <v>0</v>
      </c>
      <c r="Y108" s="476">
        <f>SUM('ketv. 6 lent'!AE110)</f>
        <v>536611</v>
      </c>
      <c r="Z108" s="474">
        <v>0</v>
      </c>
      <c r="AA108" s="728">
        <f t="shared" si="99"/>
        <v>536611</v>
      </c>
    </row>
    <row r="109" spans="1:27" ht="36.75" x14ac:dyDescent="0.25">
      <c r="A109" s="992" t="str">
        <f>CONCATENATE('3 pr-2'!A111)</f>
        <v>2.1.1.2.3</v>
      </c>
      <c r="B109" s="1016" t="str">
        <f>CONCATENATE('ketv. 6 lent'!B111)</f>
        <v>09.1.3-CPVA-R-725-11-0004</v>
      </c>
      <c r="C109" s="332" t="str">
        <f>CONCATENATE('3 pr-2'!D111)</f>
        <v>Alytaus muzikos mokyklos pastato modernizavimas ir ugdymo aplinkos gerinimas</v>
      </c>
      <c r="D109" s="255" t="str">
        <f>CONCATENATE('3 pr-2'!E111)</f>
        <v>Alytaus miesto savivaldybės administracija</v>
      </c>
      <c r="E109" s="255" t="str">
        <f>CONCATENATE('3 pr-2'!F111)</f>
        <v>Lietuvos Respublikos švietimo ir mokslo ministerija</v>
      </c>
      <c r="F109" s="255" t="str">
        <f>CONCATENATE('3 pr-2'!G111)</f>
        <v>Alytaus  miestas</v>
      </c>
      <c r="G109" s="255" t="str">
        <f>CONCATENATE('3 pr-2'!H111)</f>
        <v>09.13.CPVA-R-725</v>
      </c>
      <c r="H109" s="255" t="str">
        <f>CONCATENATE('3 pr-2'!I111)</f>
        <v>R</v>
      </c>
      <c r="I109" s="255" t="str">
        <f>CONCATENATE('3 pr-2'!J111)</f>
        <v>-</v>
      </c>
      <c r="J109" s="474">
        <f>SUM('ketv. 6 lent'!K111)</f>
        <v>397378</v>
      </c>
      <c r="K109" s="474">
        <v>0</v>
      </c>
      <c r="L109" s="475">
        <f t="shared" si="42"/>
        <v>397378</v>
      </c>
      <c r="M109" s="476">
        <f>SUM('ketv. 6 lent'!O111)</f>
        <v>59607</v>
      </c>
      <c r="N109" s="474">
        <v>0</v>
      </c>
      <c r="O109" s="475">
        <f t="shared" si="95"/>
        <v>59607</v>
      </c>
      <c r="P109" s="476">
        <f>SUM('ketv. 6 lent'!S111)</f>
        <v>0</v>
      </c>
      <c r="Q109" s="474">
        <v>0</v>
      </c>
      <c r="R109" s="475">
        <f t="shared" si="96"/>
        <v>0</v>
      </c>
      <c r="S109" s="476">
        <f>SUM('ketv. 6 lent'!W111)</f>
        <v>0</v>
      </c>
      <c r="T109" s="474">
        <v>0</v>
      </c>
      <c r="U109" s="475">
        <f t="shared" si="97"/>
        <v>0</v>
      </c>
      <c r="V109" s="476">
        <f>SUM('ketv. 6 lent'!AA111)</f>
        <v>0</v>
      </c>
      <c r="W109" s="474">
        <v>0</v>
      </c>
      <c r="X109" s="475">
        <f t="shared" si="98"/>
        <v>0</v>
      </c>
      <c r="Y109" s="476">
        <f>SUM('ketv. 6 lent'!AE111)</f>
        <v>337771</v>
      </c>
      <c r="Z109" s="474">
        <v>0</v>
      </c>
      <c r="AA109" s="728">
        <f t="shared" si="99"/>
        <v>337771</v>
      </c>
    </row>
    <row r="110" spans="1:27" ht="36.75" x14ac:dyDescent="0.25">
      <c r="A110" s="992" t="str">
        <f>CONCATENATE('3 pr-2'!A112)</f>
        <v>2.1.1.2.4</v>
      </c>
      <c r="B110" s="1016" t="str">
        <f>CONCATENATE('ketv. 6 lent'!B112)</f>
        <v>09.1.3-CPVA-R-725-11-0002</v>
      </c>
      <c r="C110" s="332" t="str">
        <f>CONCATENATE('3 pr-2'!D112)</f>
        <v>Druskininkų M. K. Čiurlionio meno mokyklos infrastruktūros tobulinimas</v>
      </c>
      <c r="D110" s="255" t="str">
        <f>CONCATENATE('3 pr-2'!E112)</f>
        <v xml:space="preserve">Druskininkų savivaldybės administracija  </v>
      </c>
      <c r="E110" s="255" t="str">
        <f>CONCATENATE('3 pr-2'!F112)</f>
        <v>Lietuvos Respublikos švietimo ir mokslo ministerija</v>
      </c>
      <c r="F110" s="255" t="str">
        <f>CONCATENATE('3 pr-2'!G112)</f>
        <v>Druskininkų miestas</v>
      </c>
      <c r="G110" s="255" t="str">
        <f>CONCATENATE('3 pr-2'!H112)</f>
        <v>09.13.CPVA-R-725</v>
      </c>
      <c r="H110" s="255" t="str">
        <f>CONCATENATE('3 pr-2'!I112)</f>
        <v>R</v>
      </c>
      <c r="I110" s="255" t="str">
        <f>CONCATENATE('3 pr-2'!J112)</f>
        <v>-</v>
      </c>
      <c r="J110" s="474">
        <f>SUM('ketv. 6 lent'!K112)</f>
        <v>146702.29999999999</v>
      </c>
      <c r="K110" s="474">
        <v>0</v>
      </c>
      <c r="L110" s="475">
        <f t="shared" si="42"/>
        <v>146702.29999999999</v>
      </c>
      <c r="M110" s="476">
        <f>SUM('ketv. 6 lent'!O112)</f>
        <v>22436.3</v>
      </c>
      <c r="N110" s="474">
        <v>0</v>
      </c>
      <c r="O110" s="475">
        <f t="shared" si="95"/>
        <v>22436.3</v>
      </c>
      <c r="P110" s="476">
        <f>SUM('ketv. 6 lent'!S112)</f>
        <v>0</v>
      </c>
      <c r="Q110" s="474">
        <v>0</v>
      </c>
      <c r="R110" s="475">
        <f t="shared" si="96"/>
        <v>0</v>
      </c>
      <c r="S110" s="476">
        <f>SUM('ketv. 6 lent'!W112)</f>
        <v>0</v>
      </c>
      <c r="T110" s="474">
        <v>0</v>
      </c>
      <c r="U110" s="475">
        <f t="shared" si="97"/>
        <v>0</v>
      </c>
      <c r="V110" s="476">
        <f>SUM('ketv. 6 lent'!AA112)</f>
        <v>0</v>
      </c>
      <c r="W110" s="474">
        <v>0</v>
      </c>
      <c r="X110" s="475">
        <f t="shared" si="98"/>
        <v>0</v>
      </c>
      <c r="Y110" s="476">
        <f>SUM('ketv. 6 lent'!AE112)</f>
        <v>124266</v>
      </c>
      <c r="Z110" s="474">
        <v>0</v>
      </c>
      <c r="AA110" s="728">
        <f t="shared" si="99"/>
        <v>124266</v>
      </c>
    </row>
    <row r="111" spans="1:27" ht="37.5" thickBot="1" x14ac:dyDescent="0.3">
      <c r="A111" s="992" t="str">
        <f>CONCATENATE('3 pr-2'!A113)</f>
        <v>2.1.1.2.5</v>
      </c>
      <c r="B111" s="1016" t="str">
        <f>CONCATENATE('ketv. 6 lent'!B113)</f>
        <v>09.1.3-CPVA-R-725-11-0001</v>
      </c>
      <c r="C111" s="332" t="str">
        <f>CONCATENATE('3 pr-2'!D113)</f>
        <v>Neformaliojo švietimo įstaigų Lazdijų rajono savivaldybėje infrastruktūros tobulinimas</v>
      </c>
      <c r="D111" s="255" t="str">
        <f>CONCATENATE('3 pr-2'!E113)</f>
        <v>VšĮ „Lazdijų sporto centras“</v>
      </c>
      <c r="E111" s="255" t="str">
        <f>CONCATENATE('3 pr-2'!F113)</f>
        <v>Lietuvos Respublikos švietimo ir mokslo ministerija</v>
      </c>
      <c r="F111" s="255" t="str">
        <f>CONCATENATE('3 pr-2'!G113)</f>
        <v>Lazdijų rajono savivaldybė</v>
      </c>
      <c r="G111" s="255" t="str">
        <f>CONCATENATE('3 pr-2'!H113)</f>
        <v>09.13.CPVA-R-725</v>
      </c>
      <c r="H111" s="255" t="str">
        <f>CONCATENATE('3 pr-2'!I113)</f>
        <v>R</v>
      </c>
      <c r="I111" s="255" t="str">
        <f>CONCATENATE('3 pr-2'!J113)</f>
        <v>-</v>
      </c>
      <c r="J111" s="474">
        <f>SUM('ketv. 6 lent'!K113)</f>
        <v>135814</v>
      </c>
      <c r="K111" s="474">
        <v>0</v>
      </c>
      <c r="L111" s="475">
        <f t="shared" si="42"/>
        <v>135814</v>
      </c>
      <c r="M111" s="476">
        <f>SUM('ketv. 6 lent'!O113)</f>
        <v>20373</v>
      </c>
      <c r="N111" s="474">
        <v>0</v>
      </c>
      <c r="O111" s="475">
        <f t="shared" si="95"/>
        <v>20373</v>
      </c>
      <c r="P111" s="476">
        <f>SUM('ketv. 6 lent'!S113)</f>
        <v>0</v>
      </c>
      <c r="Q111" s="474">
        <v>0</v>
      </c>
      <c r="R111" s="475">
        <f t="shared" si="96"/>
        <v>0</v>
      </c>
      <c r="S111" s="476">
        <f>SUM('ketv. 6 lent'!W113)</f>
        <v>0</v>
      </c>
      <c r="T111" s="474">
        <v>0</v>
      </c>
      <c r="U111" s="475">
        <f t="shared" si="97"/>
        <v>0</v>
      </c>
      <c r="V111" s="476">
        <f>SUM('ketv. 6 lent'!AA113)</f>
        <v>0</v>
      </c>
      <c r="W111" s="474">
        <v>0</v>
      </c>
      <c r="X111" s="475">
        <f t="shared" si="98"/>
        <v>0</v>
      </c>
      <c r="Y111" s="476">
        <f>SUM('ketv. 6 lent'!AE113)</f>
        <v>115441</v>
      </c>
      <c r="Z111" s="474">
        <v>0</v>
      </c>
      <c r="AA111" s="728">
        <f t="shared" si="99"/>
        <v>115441</v>
      </c>
    </row>
    <row r="112" spans="1:27" ht="32.25" customHeight="1" thickBot="1" x14ac:dyDescent="0.3">
      <c r="A112" s="497" t="str">
        <f>CONCATENATE('3 pr-2'!A114)</f>
        <v>2.1.1.3</v>
      </c>
      <c r="B112" s="613" t="str">
        <f>CONCATENATE('ketv. 2lent'!B113)</f>
        <v/>
      </c>
      <c r="C112" s="1656" t="str">
        <f>CONCATENATE('3 pr-2'!D114)</f>
        <v/>
      </c>
      <c r="D112" s="1789"/>
      <c r="E112" s="1789"/>
      <c r="F112" s="1789"/>
      <c r="G112" s="1789"/>
      <c r="H112" s="1789"/>
      <c r="I112" s="1790"/>
      <c r="J112" s="629">
        <f>SUM('ketv. 6 lent'!K114)</f>
        <v>0</v>
      </c>
      <c r="K112" s="629">
        <f>SUM(K113:K117)</f>
        <v>0</v>
      </c>
      <c r="L112" s="629">
        <f>SUM(L113:L117)</f>
        <v>0</v>
      </c>
      <c r="M112" s="629">
        <f>SUM('ketv. 6 lent'!O114)</f>
        <v>0</v>
      </c>
      <c r="N112" s="629">
        <f>SUM(N113:N117)</f>
        <v>0</v>
      </c>
      <c r="O112" s="629">
        <f>SUM(O113:O117)</f>
        <v>0</v>
      </c>
      <c r="P112" s="629">
        <f>SUM('ketv. 6 lent'!S114)</f>
        <v>0</v>
      </c>
      <c r="Q112" s="629">
        <f>SUM(Q113:Q117)</f>
        <v>0</v>
      </c>
      <c r="R112" s="629">
        <f>SUM(R113:R117)</f>
        <v>0</v>
      </c>
      <c r="S112" s="629">
        <f>SUM('ketv. 6 lent'!W114)</f>
        <v>0</v>
      </c>
      <c r="T112" s="629">
        <f>SUM(T113:T117)</f>
        <v>0</v>
      </c>
      <c r="U112" s="629">
        <f>SUM(U113:U117)</f>
        <v>0</v>
      </c>
      <c r="V112" s="629">
        <f>SUM('ketv. 6 lent'!AA114)</f>
        <v>0</v>
      </c>
      <c r="W112" s="629">
        <f>SUM(W113:W117)</f>
        <v>0</v>
      </c>
      <c r="X112" s="629">
        <f>SUM(X113:X117)</f>
        <v>0</v>
      </c>
      <c r="Y112" s="629">
        <f>SUM('ketv. 6 lent'!AE114)</f>
        <v>0</v>
      </c>
      <c r="Z112" s="629">
        <f>SUM(Z113:Z117)</f>
        <v>0</v>
      </c>
      <c r="AA112" s="335">
        <f>SUM(AA113:AA117)</f>
        <v>0</v>
      </c>
    </row>
    <row r="113" spans="1:27" ht="36.75" x14ac:dyDescent="0.25">
      <c r="A113" s="992" t="str">
        <f>CONCATENATE('3 pr-2'!A115)</f>
        <v>2.1.1.3.1</v>
      </c>
      <c r="B113" s="1016" t="str">
        <f>CONCATENATE('ketv. 6 lent'!B115)</f>
        <v>-</v>
      </c>
      <c r="C113" s="332" t="str">
        <f>CONCATENATE('3 pr-2'!D115)</f>
        <v>Varėnos "Pasakos" vaikų lopšelio-darželio pastato modernizavimas</v>
      </c>
      <c r="D113" s="255" t="str">
        <f>CONCATENATE('3 pr-2'!E115)</f>
        <v>Varėnos rajono savivaldybės administracija</v>
      </c>
      <c r="E113" s="255" t="str">
        <f>CONCATENATE('3 pr-2'!F115)</f>
        <v>Lietuvos Respublikos švietimo ir mokslo ministerija</v>
      </c>
      <c r="F113" s="255" t="str">
        <f>CONCATENATE('3 pr-2'!G115)</f>
        <v>Varėnos miestas</v>
      </c>
      <c r="G113" s="255" t="str">
        <f>CONCATENATE('3 pr-2'!H115)</f>
        <v>09.1.3-CPVA-R-705</v>
      </c>
      <c r="H113" s="255" t="str">
        <f>CONCATENATE('3 pr-2'!I115)</f>
        <v>R</v>
      </c>
      <c r="I113" s="255" t="str">
        <f>CONCATENATE('3 pr-2'!J115)</f>
        <v>-</v>
      </c>
      <c r="J113" s="474">
        <f>SUM('ketv. 6 lent'!K115)</f>
        <v>0</v>
      </c>
      <c r="K113" s="474">
        <v>0</v>
      </c>
      <c r="L113" s="475">
        <f t="shared" ref="L113:L117" si="100">SUM(J113-K113)</f>
        <v>0</v>
      </c>
      <c r="M113" s="476">
        <f>SUM('ketv. 6 lent'!O115)</f>
        <v>0</v>
      </c>
      <c r="N113" s="474">
        <v>0</v>
      </c>
      <c r="O113" s="475">
        <f t="shared" ref="O113:O117" si="101">SUM(M113-N113)</f>
        <v>0</v>
      </c>
      <c r="P113" s="476">
        <f>SUM('ketv. 6 lent'!S115)</f>
        <v>0</v>
      </c>
      <c r="Q113" s="474">
        <v>0</v>
      </c>
      <c r="R113" s="475">
        <f t="shared" ref="R113:R117" si="102">SUM(P113-Q113)</f>
        <v>0</v>
      </c>
      <c r="S113" s="476">
        <f>SUM('ketv. 6 lent'!W115)</f>
        <v>0</v>
      </c>
      <c r="T113" s="474">
        <v>0</v>
      </c>
      <c r="U113" s="475">
        <f t="shared" ref="U113:U117" si="103">SUM(S113-T113)</f>
        <v>0</v>
      </c>
      <c r="V113" s="476">
        <f>SUM('ketv. 6 lent'!AA115)</f>
        <v>0</v>
      </c>
      <c r="W113" s="474">
        <v>0</v>
      </c>
      <c r="X113" s="475">
        <f t="shared" ref="X113:X117" si="104">SUM(V113-W113)</f>
        <v>0</v>
      </c>
      <c r="Y113" s="476">
        <f>SUM('ketv. 6 lent'!AE115)</f>
        <v>0</v>
      </c>
      <c r="Z113" s="474">
        <v>0</v>
      </c>
      <c r="AA113" s="728">
        <f t="shared" ref="AA113:AA117" si="105">SUM(Y113-Z113)</f>
        <v>0</v>
      </c>
    </row>
    <row r="114" spans="1:27" ht="48.75" x14ac:dyDescent="0.25">
      <c r="A114" s="992" t="str">
        <f>CONCATENATE('3 pr-2'!A116)</f>
        <v>2.1.1.3.2</v>
      </c>
      <c r="B114" s="1016" t="str">
        <f>CONCATENATE('ketv. 6 lent'!B116)</f>
        <v>-</v>
      </c>
      <c r="C114" s="332" t="str">
        <f>CONCATENATE('3 pr-2'!D116)</f>
        <v>Alytaus r. ikimokyklinio ir priešmokyklinio ugdymo prieinamumo didinimas įkuriant ir atnaujinant edukacines erdves</v>
      </c>
      <c r="D114" s="255" t="str">
        <f>CONCATENATE('3 pr-2'!E116)</f>
        <v>Alytaus rajono savivaldybės administracija</v>
      </c>
      <c r="E114" s="255" t="str">
        <f>CONCATENATE('3 pr-2'!F116)</f>
        <v>Lietuvos Respublikos švietimo ir mokslo ministerija</v>
      </c>
      <c r="F114" s="255" t="str">
        <f>CONCATENATE('3 pr-2'!G116)</f>
        <v>Alytaus  rajono savivaldybė</v>
      </c>
      <c r="G114" s="255" t="str">
        <f>CONCATENATE('3 pr-2'!H116)</f>
        <v>09.1.3-CPVA-R-705</v>
      </c>
      <c r="H114" s="255" t="str">
        <f>CONCATENATE('3 pr-2'!I116)</f>
        <v>R</v>
      </c>
      <c r="I114" s="255" t="str">
        <f>CONCATENATE('3 pr-2'!J116)</f>
        <v/>
      </c>
      <c r="J114" s="474">
        <f>SUM('ketv. 6 lent'!K116)</f>
        <v>0</v>
      </c>
      <c r="K114" s="474">
        <v>0</v>
      </c>
      <c r="L114" s="475">
        <f t="shared" si="100"/>
        <v>0</v>
      </c>
      <c r="M114" s="476">
        <f>SUM('ketv. 6 lent'!O116)</f>
        <v>0</v>
      </c>
      <c r="N114" s="474">
        <v>0</v>
      </c>
      <c r="O114" s="475">
        <f t="shared" si="101"/>
        <v>0</v>
      </c>
      <c r="P114" s="476">
        <f>SUM('ketv. 6 lent'!S116)</f>
        <v>0</v>
      </c>
      <c r="Q114" s="474">
        <v>0</v>
      </c>
      <c r="R114" s="475">
        <f t="shared" si="102"/>
        <v>0</v>
      </c>
      <c r="S114" s="476">
        <f>SUM('ketv. 6 lent'!W116)</f>
        <v>0</v>
      </c>
      <c r="T114" s="474">
        <v>0</v>
      </c>
      <c r="U114" s="475">
        <f t="shared" si="103"/>
        <v>0</v>
      </c>
      <c r="V114" s="476">
        <f>SUM('ketv. 6 lent'!AA116)</f>
        <v>0</v>
      </c>
      <c r="W114" s="474">
        <v>0</v>
      </c>
      <c r="X114" s="475">
        <f t="shared" si="104"/>
        <v>0</v>
      </c>
      <c r="Y114" s="476">
        <f>SUM('ketv. 6 lent'!AE116)</f>
        <v>0</v>
      </c>
      <c r="Z114" s="474">
        <v>0</v>
      </c>
      <c r="AA114" s="728">
        <f t="shared" si="105"/>
        <v>0</v>
      </c>
    </row>
    <row r="115" spans="1:27" ht="36.75" x14ac:dyDescent="0.25">
      <c r="A115" s="992" t="str">
        <f>CONCATENATE('3 pr-2'!A117)</f>
        <v>2.1.1.3.3</v>
      </c>
      <c r="B115" s="1016" t="str">
        <f>CONCATENATE('ketv. 6 lent'!B117)</f>
        <v>-</v>
      </c>
      <c r="C115" s="332" t="str">
        <f>CONCATENATE('3 pr-2'!D117)</f>
        <v>Alytaus lopšelio-darželio " Girinukas" ugdymo aplinkos modernizavimas</v>
      </c>
      <c r="D115" s="255" t="str">
        <f>CONCATENATE('3 pr-2'!E117)</f>
        <v>Alytaus miesto savivaldybės administracija</v>
      </c>
      <c r="E115" s="255" t="str">
        <f>CONCATENATE('3 pr-2'!F117)</f>
        <v>Lietuvos Respublikos švietimo ir mokslo ministerija</v>
      </c>
      <c r="F115" s="255" t="str">
        <f>CONCATENATE('3 pr-2'!G117)</f>
        <v>Alytaus  miestas</v>
      </c>
      <c r="G115" s="255" t="str">
        <f>CONCATENATE('3 pr-2'!H117)</f>
        <v>09.1.3-CPVA-R-705</v>
      </c>
      <c r="H115" s="255" t="str">
        <f>CONCATENATE('3 pr-2'!I117)</f>
        <v>R</v>
      </c>
      <c r="I115" s="255" t="str">
        <f>CONCATENATE('3 pr-2'!J117)</f>
        <v>-</v>
      </c>
      <c r="J115" s="474">
        <f>SUM('ketv. 6 lent'!K117)</f>
        <v>0</v>
      </c>
      <c r="K115" s="474">
        <v>0</v>
      </c>
      <c r="L115" s="475">
        <f t="shared" si="100"/>
        <v>0</v>
      </c>
      <c r="M115" s="476">
        <f>SUM('ketv. 6 lent'!O117)</f>
        <v>0</v>
      </c>
      <c r="N115" s="474">
        <v>0</v>
      </c>
      <c r="O115" s="475">
        <f t="shared" si="101"/>
        <v>0</v>
      </c>
      <c r="P115" s="476">
        <f>SUM('ketv. 6 lent'!S117)</f>
        <v>0</v>
      </c>
      <c r="Q115" s="474">
        <v>0</v>
      </c>
      <c r="R115" s="475">
        <f t="shared" si="102"/>
        <v>0</v>
      </c>
      <c r="S115" s="476">
        <f>SUM('ketv. 6 lent'!W117)</f>
        <v>0</v>
      </c>
      <c r="T115" s="474">
        <v>0</v>
      </c>
      <c r="U115" s="475">
        <f t="shared" si="103"/>
        <v>0</v>
      </c>
      <c r="V115" s="476">
        <f>SUM('ketv. 6 lent'!AA117)</f>
        <v>0</v>
      </c>
      <c r="W115" s="474">
        <v>0</v>
      </c>
      <c r="X115" s="475">
        <f t="shared" si="104"/>
        <v>0</v>
      </c>
      <c r="Y115" s="476">
        <f>SUM('ketv. 6 lent'!AE117)</f>
        <v>0</v>
      </c>
      <c r="Z115" s="474">
        <v>0</v>
      </c>
      <c r="AA115" s="728">
        <f t="shared" si="105"/>
        <v>0</v>
      </c>
    </row>
    <row r="116" spans="1:27" ht="48.75" x14ac:dyDescent="0.25">
      <c r="A116" s="992" t="str">
        <f>CONCATENATE('3 pr-2'!A118)</f>
        <v>2.1.1.3.4</v>
      </c>
      <c r="B116" s="1016" t="str">
        <f>CONCATENATE('ketv. 6 lent'!B118)</f>
        <v>-</v>
      </c>
      <c r="C116" s="332" t="str">
        <f>CONCATENATE('3 pr-2'!D118)</f>
        <v>Druskininkų sav. Viečiūnų progimnazijos ikimokyklinio ugdymo skyriaus „Linelis“ ugdymo prieinamumo didinimas</v>
      </c>
      <c r="D116" s="255" t="str">
        <f>CONCATENATE('3 pr-2'!E118)</f>
        <v xml:space="preserve">Druskininkų savivaldybės administracija  </v>
      </c>
      <c r="E116" s="255" t="str">
        <f>CONCATENATE('3 pr-2'!F118)</f>
        <v>Lietuvos Respublikos švietimo ir mokslo ministerija</v>
      </c>
      <c r="F116" s="255" t="str">
        <f>CONCATENATE('3 pr-2'!G118)</f>
        <v>Druskininkų savivaldybė</v>
      </c>
      <c r="G116" s="255" t="str">
        <f>CONCATENATE('3 pr-2'!H118)</f>
        <v>09.1.3-CPVA-R-705</v>
      </c>
      <c r="H116" s="255" t="str">
        <f>CONCATENATE('3 pr-2'!I118)</f>
        <v>R</v>
      </c>
      <c r="I116" s="255" t="str">
        <f>CONCATENATE('3 pr-2'!J118)</f>
        <v>-</v>
      </c>
      <c r="J116" s="474">
        <f>SUM('ketv. 6 lent'!K118)</f>
        <v>0</v>
      </c>
      <c r="K116" s="474">
        <v>0</v>
      </c>
      <c r="L116" s="475">
        <f t="shared" si="100"/>
        <v>0</v>
      </c>
      <c r="M116" s="476">
        <f>SUM('ketv. 6 lent'!O118)</f>
        <v>0</v>
      </c>
      <c r="N116" s="474">
        <v>0</v>
      </c>
      <c r="O116" s="475">
        <f t="shared" si="101"/>
        <v>0</v>
      </c>
      <c r="P116" s="476">
        <f>SUM('ketv. 6 lent'!S118)</f>
        <v>0</v>
      </c>
      <c r="Q116" s="474">
        <v>0</v>
      </c>
      <c r="R116" s="475">
        <f t="shared" si="102"/>
        <v>0</v>
      </c>
      <c r="S116" s="476">
        <f>SUM('ketv. 6 lent'!W118)</f>
        <v>0</v>
      </c>
      <c r="T116" s="474">
        <v>0</v>
      </c>
      <c r="U116" s="475">
        <f t="shared" si="103"/>
        <v>0</v>
      </c>
      <c r="V116" s="476">
        <f>SUM('ketv. 6 lent'!AA118)</f>
        <v>0</v>
      </c>
      <c r="W116" s="474">
        <v>0</v>
      </c>
      <c r="X116" s="475">
        <f t="shared" si="104"/>
        <v>0</v>
      </c>
      <c r="Y116" s="476">
        <f>SUM('ketv. 6 lent'!AE118)</f>
        <v>0</v>
      </c>
      <c r="Z116" s="474">
        <v>0</v>
      </c>
      <c r="AA116" s="728">
        <f t="shared" si="105"/>
        <v>0</v>
      </c>
    </row>
    <row r="117" spans="1:27" ht="37.5" thickBot="1" x14ac:dyDescent="0.3">
      <c r="A117" s="992" t="str">
        <f>CONCATENATE('3 pr-2'!A119)</f>
        <v>2.1.1.3.5</v>
      </c>
      <c r="B117" s="1016" t="str">
        <f>CONCATENATE('ketv. 6 lent'!B119)</f>
        <v>-</v>
      </c>
      <c r="C117" s="332" t="str">
        <f>CONCATENATE('3 pr-2'!D119)</f>
        <v>Ikimokyklinio ir priešmokyklinio ugdymo įstaigų Lazdijų rajono savivaldybėje modernizavimas</v>
      </c>
      <c r="D117" s="255" t="str">
        <f>CONCATENATE('3 pr-2'!E119)</f>
        <v>Lazdijų rajono savivaldybės administracija</v>
      </c>
      <c r="E117" s="255" t="str">
        <f>CONCATENATE('3 pr-2'!F119)</f>
        <v>Lietuvos Respublikos švietimo ir mokslo ministerija</v>
      </c>
      <c r="F117" s="255" t="str">
        <f>CONCATENATE('3 pr-2'!G119)</f>
        <v>Lazdijų rajono savivaldybė</v>
      </c>
      <c r="G117" s="255" t="str">
        <f>CONCATENATE('3 pr-2'!H119)</f>
        <v>09.1.3-CPVA-R-705</v>
      </c>
      <c r="H117" s="255" t="str">
        <f>CONCATENATE('3 pr-2'!I119)</f>
        <v>R</v>
      </c>
      <c r="I117" s="255" t="str">
        <f>CONCATENATE('3 pr-2'!J119)</f>
        <v>-</v>
      </c>
      <c r="J117" s="474">
        <f>SUM('ketv. 6 lent'!K119)</f>
        <v>0</v>
      </c>
      <c r="K117" s="474">
        <v>0</v>
      </c>
      <c r="L117" s="475">
        <f t="shared" si="100"/>
        <v>0</v>
      </c>
      <c r="M117" s="476">
        <f>SUM('ketv. 6 lent'!O119)</f>
        <v>0</v>
      </c>
      <c r="N117" s="474">
        <v>0</v>
      </c>
      <c r="O117" s="475">
        <f t="shared" si="101"/>
        <v>0</v>
      </c>
      <c r="P117" s="476">
        <f>SUM('ketv. 6 lent'!S119)</f>
        <v>0</v>
      </c>
      <c r="Q117" s="474">
        <v>0</v>
      </c>
      <c r="R117" s="475">
        <f t="shared" si="102"/>
        <v>0</v>
      </c>
      <c r="S117" s="476">
        <f>SUM('ketv. 6 lent'!W119)</f>
        <v>0</v>
      </c>
      <c r="T117" s="474">
        <v>0</v>
      </c>
      <c r="U117" s="475">
        <f t="shared" si="103"/>
        <v>0</v>
      </c>
      <c r="V117" s="476">
        <f>SUM('ketv. 6 lent'!AA119)</f>
        <v>0</v>
      </c>
      <c r="W117" s="474">
        <v>0</v>
      </c>
      <c r="X117" s="475">
        <f t="shared" si="104"/>
        <v>0</v>
      </c>
      <c r="Y117" s="476">
        <f>SUM('ketv. 6 lent'!AE119)</f>
        <v>0</v>
      </c>
      <c r="Z117" s="474">
        <v>0</v>
      </c>
      <c r="AA117" s="728">
        <f t="shared" si="105"/>
        <v>0</v>
      </c>
    </row>
    <row r="118" spans="1:27" ht="69.75" customHeight="1" thickBot="1" x14ac:dyDescent="0.3">
      <c r="A118" s="731" t="str">
        <f>CONCATENATE('3 pr-2'!A120)</f>
        <v>2.1.2.</v>
      </c>
      <c r="B118" s="732" t="str">
        <f>CONCATENATE('ketv. 2lent'!B119)</f>
        <v/>
      </c>
      <c r="C118" s="1821" t="str">
        <f>CONCATENATE('3 pr-2'!D120)</f>
        <v/>
      </c>
      <c r="D118" s="1840"/>
      <c r="E118" s="1840"/>
      <c r="F118" s="1840"/>
      <c r="G118" s="1840"/>
      <c r="H118" s="1840"/>
      <c r="I118" s="1841"/>
      <c r="J118" s="651">
        <f>SUM('ketv. 6 lent'!K120)</f>
        <v>0</v>
      </c>
      <c r="K118" s="651">
        <f>SUM(K119+K132+K138)</f>
        <v>0</v>
      </c>
      <c r="L118" s="651">
        <f t="shared" si="42"/>
        <v>0</v>
      </c>
      <c r="M118" s="651">
        <f>SUM('ketv. 6 lent'!O120)</f>
        <v>0</v>
      </c>
      <c r="N118" s="651">
        <f>SUM(N119+N132+N138)</f>
        <v>0</v>
      </c>
      <c r="O118" s="651">
        <f t="shared" si="43"/>
        <v>0</v>
      </c>
      <c r="P118" s="651">
        <f>SUM('ketv. 6 lent'!S120)</f>
        <v>0</v>
      </c>
      <c r="Q118" s="651">
        <f>SUM(Q119+Q132+Q138)</f>
        <v>0</v>
      </c>
      <c r="R118" s="651">
        <f t="shared" si="44"/>
        <v>0</v>
      </c>
      <c r="S118" s="651">
        <f>SUM('ketv. 6 lent'!W120)</f>
        <v>0</v>
      </c>
      <c r="T118" s="651">
        <f>SUM(T119+T132+T138)</f>
        <v>0</v>
      </c>
      <c r="U118" s="651">
        <f t="shared" si="45"/>
        <v>0</v>
      </c>
      <c r="V118" s="651">
        <f>SUM('ketv. 6 lent'!AA120)</f>
        <v>0</v>
      </c>
      <c r="W118" s="651">
        <f>SUM(W119+W132+W138)</f>
        <v>0</v>
      </c>
      <c r="X118" s="651">
        <f t="shared" si="46"/>
        <v>0</v>
      </c>
      <c r="Y118" s="651">
        <f>SUM('ketv. 6 lent'!AE120)</f>
        <v>0</v>
      </c>
      <c r="Z118" s="651">
        <f>SUM(Z119+Z132+Z138)</f>
        <v>0</v>
      </c>
      <c r="AA118" s="364">
        <f t="shared" si="47"/>
        <v>0</v>
      </c>
    </row>
    <row r="119" spans="1:27" ht="46.5" customHeight="1" thickBot="1" x14ac:dyDescent="0.3">
      <c r="A119" s="497" t="str">
        <f>CONCATENATE('3 pr-2'!A121)</f>
        <v>2.1.2.1</v>
      </c>
      <c r="B119" s="613" t="str">
        <f>CONCATENATE('ketv. 2lent'!B120)</f>
        <v/>
      </c>
      <c r="C119" s="1656" t="str">
        <f>CONCATENATE('3 pr-2'!D121)</f>
        <v/>
      </c>
      <c r="D119" s="1789"/>
      <c r="E119" s="1789"/>
      <c r="F119" s="1789"/>
      <c r="G119" s="1789"/>
      <c r="H119" s="1789"/>
      <c r="I119" s="1790"/>
      <c r="J119" s="629">
        <f>SUM('ketv. 6 lent'!K121)</f>
        <v>0</v>
      </c>
      <c r="K119" s="629">
        <f>SUM(K120:K127)</f>
        <v>0</v>
      </c>
      <c r="L119" s="629">
        <f>SUM(L120:L127)</f>
        <v>0</v>
      </c>
      <c r="M119" s="629">
        <f>SUM('ketv. 6 lent'!O121)</f>
        <v>0</v>
      </c>
      <c r="N119" s="629">
        <f>SUM(N120:N127)</f>
        <v>0</v>
      </c>
      <c r="O119" s="629">
        <f>SUM(O120:O127)</f>
        <v>0</v>
      </c>
      <c r="P119" s="629">
        <f>SUM('ketv. 6 lent'!S121)</f>
        <v>0</v>
      </c>
      <c r="Q119" s="629">
        <f>SUM(Q120:Q127)</f>
        <v>0</v>
      </c>
      <c r="R119" s="629">
        <f>SUM(R120:R127)</f>
        <v>0</v>
      </c>
      <c r="S119" s="629">
        <f>SUM('ketv. 6 lent'!W121)</f>
        <v>0</v>
      </c>
      <c r="T119" s="629">
        <f>SUM(T120:T127)</f>
        <v>0</v>
      </c>
      <c r="U119" s="629">
        <f>SUM(U120:U127)</f>
        <v>0</v>
      </c>
      <c r="V119" s="629">
        <f>SUM('ketv. 6 lent'!AA121)</f>
        <v>0</v>
      </c>
      <c r="W119" s="629">
        <f>SUM(W120:W127)</f>
        <v>0</v>
      </c>
      <c r="X119" s="629">
        <f>SUM(X120:X127)</f>
        <v>0</v>
      </c>
      <c r="Y119" s="629">
        <f>SUM('ketv. 6 lent'!AE121)</f>
        <v>0</v>
      </c>
      <c r="Z119" s="629">
        <f>SUM(Z120:Z127)</f>
        <v>0</v>
      </c>
      <c r="AA119" s="335">
        <f>SUM(AA120:AA127)</f>
        <v>0</v>
      </c>
    </row>
    <row r="120" spans="1:27" ht="48.75" x14ac:dyDescent="0.25">
      <c r="A120" s="992" t="str">
        <f>CONCATENATE('3 pr-2'!A122)</f>
        <v>2.1.2.1.1</v>
      </c>
      <c r="B120" s="1016" t="str">
        <f>CONCATENATE('ketv. 6 lent'!B122)</f>
        <v>-</v>
      </c>
      <c r="C120" s="332" t="str">
        <f>CONCATENATE('3 pr-2'!D122)</f>
        <v xml:space="preserve">Alytaus poliklinikos teikiamų pirminės sveikatos priežiūros paslaugų prieinamumo didinimas ir kokybės gerinimas </v>
      </c>
      <c r="D120" s="255" t="str">
        <f>CONCATENATE('3 pr-2'!E122)</f>
        <v>VšĮ Alytaus poliklinika</v>
      </c>
      <c r="E120" s="255" t="str">
        <f>CONCATENATE('3 pr-2'!F122)</f>
        <v>Lietuvos Respublikos Sveikatos apsaugos ministerija</v>
      </c>
      <c r="F120" s="255" t="str">
        <f>CONCATENATE('3 pr-2'!G122)</f>
        <v>Alytaus  miestas</v>
      </c>
      <c r="G120" s="255" t="str">
        <f>CONCATENATE('3 pr-2'!H122)</f>
        <v>08.1.3-CPVA-R-609</v>
      </c>
      <c r="H120" s="255" t="str">
        <f>CONCATENATE('3 pr-2'!I122)</f>
        <v>R</v>
      </c>
      <c r="I120" s="255" t="str">
        <f>CONCATENATE('3 pr-2'!J122)</f>
        <v>-</v>
      </c>
      <c r="J120" s="474">
        <f>SUM('ketv. 6 lent'!K122)</f>
        <v>0</v>
      </c>
      <c r="K120" s="474">
        <v>0</v>
      </c>
      <c r="L120" s="475">
        <f t="shared" ref="L120:L127" si="106">SUM(J120-K120)</f>
        <v>0</v>
      </c>
      <c r="M120" s="476">
        <f>SUM('ketv. 6 lent'!O122)</f>
        <v>0</v>
      </c>
      <c r="N120" s="474">
        <v>0</v>
      </c>
      <c r="O120" s="475">
        <f t="shared" ref="O120:O127" si="107">SUM(M120-N120)</f>
        <v>0</v>
      </c>
      <c r="P120" s="476">
        <f>SUM('ketv. 6 lent'!S122)</f>
        <v>0</v>
      </c>
      <c r="Q120" s="474">
        <v>0</v>
      </c>
      <c r="R120" s="475">
        <f t="shared" ref="R120:R127" si="108">SUM(P120-Q120)</f>
        <v>0</v>
      </c>
      <c r="S120" s="476">
        <f>SUM('ketv. 6 lent'!W122)</f>
        <v>0</v>
      </c>
      <c r="T120" s="474">
        <v>0</v>
      </c>
      <c r="U120" s="475">
        <f t="shared" ref="U120:U127" si="109">SUM(S120-T120)</f>
        <v>0</v>
      </c>
      <c r="V120" s="476">
        <f>SUM('ketv. 6 lent'!AA122)</f>
        <v>0</v>
      </c>
      <c r="W120" s="474">
        <v>0</v>
      </c>
      <c r="X120" s="475">
        <f t="shared" ref="X120:X127" si="110">SUM(V120-W120)</f>
        <v>0</v>
      </c>
      <c r="Y120" s="476">
        <f>SUM('ketv. 6 lent'!AE122)</f>
        <v>0</v>
      </c>
      <c r="Z120" s="474">
        <v>0</v>
      </c>
      <c r="AA120" s="728">
        <f t="shared" ref="AA120:AA127" si="111">SUM(Y120-Z120)</f>
        <v>0</v>
      </c>
    </row>
    <row r="121" spans="1:27" ht="48.75" x14ac:dyDescent="0.25">
      <c r="A121" s="992" t="str">
        <f>CONCATENATE('3 pr-2'!A123)</f>
        <v>2.1.2.1.2</v>
      </c>
      <c r="B121" s="1016" t="str">
        <f>CONCATENATE('ketv. 6 lent'!B123)</f>
        <v>-</v>
      </c>
      <c r="C121" s="332" t="str">
        <f>CONCATENATE('3 pr-2'!D123)</f>
        <v>Sveikatos priežiūros paslaugų modernizavimas bei optimizavimas pirminės sveikatos priežiūros centre</v>
      </c>
      <c r="D121" s="255" t="str">
        <f>CONCATENATE('3 pr-2'!E123)</f>
        <v xml:space="preserve">VšĮ Alytaus miesto savivaldybės pirminės sveikatos priežiūros centras </v>
      </c>
      <c r="E121" s="255" t="str">
        <f>CONCATENATE('3 pr-2'!F123)</f>
        <v>Lietuvos Respublikos Sveikatos apsaugos ministerija</v>
      </c>
      <c r="F121" s="255" t="str">
        <f>CONCATENATE('3 pr-2'!G123)</f>
        <v>Alytaus  miestas</v>
      </c>
      <c r="G121" s="255" t="str">
        <f>CONCATENATE('3 pr-2'!H123)</f>
        <v>08.1.3-CPVA-R-609</v>
      </c>
      <c r="H121" s="255" t="str">
        <f>CONCATENATE('3 pr-2'!I123)</f>
        <v>R</v>
      </c>
      <c r="I121" s="255" t="str">
        <f>CONCATENATE('3 pr-2'!J123)</f>
        <v>-</v>
      </c>
      <c r="J121" s="474">
        <f>SUM('ketv. 6 lent'!K123)</f>
        <v>0</v>
      </c>
      <c r="K121" s="474">
        <v>0</v>
      </c>
      <c r="L121" s="475">
        <f t="shared" si="106"/>
        <v>0</v>
      </c>
      <c r="M121" s="476">
        <f>SUM('ketv. 6 lent'!O123)</f>
        <v>0</v>
      </c>
      <c r="N121" s="474">
        <v>0</v>
      </c>
      <c r="O121" s="475">
        <f t="shared" si="107"/>
        <v>0</v>
      </c>
      <c r="P121" s="476">
        <f>SUM('ketv. 6 lent'!S123)</f>
        <v>0</v>
      </c>
      <c r="Q121" s="474">
        <v>0</v>
      </c>
      <c r="R121" s="475">
        <f t="shared" si="108"/>
        <v>0</v>
      </c>
      <c r="S121" s="476">
        <f>SUM('ketv. 6 lent'!W123)</f>
        <v>0</v>
      </c>
      <c r="T121" s="474">
        <v>0</v>
      </c>
      <c r="U121" s="475">
        <f t="shared" si="109"/>
        <v>0</v>
      </c>
      <c r="V121" s="476">
        <f>SUM('ketv. 6 lent'!AA123)</f>
        <v>0</v>
      </c>
      <c r="W121" s="474">
        <v>0</v>
      </c>
      <c r="X121" s="475">
        <f t="shared" si="110"/>
        <v>0</v>
      </c>
      <c r="Y121" s="476">
        <f>SUM('ketv. 6 lent'!AE123)</f>
        <v>0</v>
      </c>
      <c r="Z121" s="474">
        <v>0</v>
      </c>
      <c r="AA121" s="728">
        <f t="shared" si="111"/>
        <v>0</v>
      </c>
    </row>
    <row r="122" spans="1:27" ht="60.75" x14ac:dyDescent="0.25">
      <c r="A122" s="992" t="str">
        <f>CONCATENATE('3 pr-2'!A124)</f>
        <v>2.1.2.1.3</v>
      </c>
      <c r="B122" s="1016" t="str">
        <f>CONCATENATE('ketv. 6 lent'!B124)</f>
        <v>-</v>
      </c>
      <c r="C122" s="332" t="str">
        <f>CONCATENATE('3 pr-2'!D124)</f>
        <v>UAB „MediCA klinika“ teikiamų pirminės asmens sveikatos priežiūros paslaugų efektyvumo didinimas Alytaus miesto savivaldybėje</v>
      </c>
      <c r="D122" s="255" t="str">
        <f>CONCATENATE('3 pr-2'!E124)</f>
        <v>UAB „MediCA klinika“</v>
      </c>
      <c r="E122" s="255" t="str">
        <f>CONCATENATE('3 pr-2'!F124)</f>
        <v>Lietuvos Respublikos Sveikatos apsaugos ministerija</v>
      </c>
      <c r="F122" s="255" t="str">
        <f>CONCATENATE('3 pr-2'!G124)</f>
        <v>Alytaus  miestas</v>
      </c>
      <c r="G122" s="255" t="str">
        <f>CONCATENATE('3 pr-2'!H124)</f>
        <v>08.1.3-CPVA-R-609</v>
      </c>
      <c r="H122" s="255" t="str">
        <f>CONCATENATE('3 pr-2'!I124)</f>
        <v>R</v>
      </c>
      <c r="I122" s="255" t="str">
        <f>CONCATENATE('3 pr-2'!J124)</f>
        <v>-</v>
      </c>
      <c r="J122" s="474">
        <f>SUM('ketv. 6 lent'!K124)</f>
        <v>0</v>
      </c>
      <c r="K122" s="474">
        <v>0</v>
      </c>
      <c r="L122" s="475">
        <f t="shared" si="106"/>
        <v>0</v>
      </c>
      <c r="M122" s="476">
        <f>SUM('ketv. 6 lent'!O124)</f>
        <v>0</v>
      </c>
      <c r="N122" s="474">
        <v>0</v>
      </c>
      <c r="O122" s="475">
        <f t="shared" si="107"/>
        <v>0</v>
      </c>
      <c r="P122" s="476">
        <f>SUM('ketv. 6 lent'!S124)</f>
        <v>0</v>
      </c>
      <c r="Q122" s="474">
        <v>0</v>
      </c>
      <c r="R122" s="475">
        <f t="shared" si="108"/>
        <v>0</v>
      </c>
      <c r="S122" s="476">
        <f>SUM('ketv. 6 lent'!W124)</f>
        <v>0</v>
      </c>
      <c r="T122" s="474">
        <v>0</v>
      </c>
      <c r="U122" s="475">
        <f t="shared" si="109"/>
        <v>0</v>
      </c>
      <c r="V122" s="476">
        <f>SUM('ketv. 6 lent'!AA124)</f>
        <v>0</v>
      </c>
      <c r="W122" s="474">
        <v>0</v>
      </c>
      <c r="X122" s="475">
        <f t="shared" si="110"/>
        <v>0</v>
      </c>
      <c r="Y122" s="476">
        <f>SUM('ketv. 6 lent'!AE124)</f>
        <v>0</v>
      </c>
      <c r="Z122" s="474">
        <v>0</v>
      </c>
      <c r="AA122" s="728">
        <f t="shared" si="111"/>
        <v>0</v>
      </c>
    </row>
    <row r="123" spans="1:27" ht="36.75" x14ac:dyDescent="0.25">
      <c r="A123" s="992" t="str">
        <f>CONCATENATE('3 pr-2'!A125)</f>
        <v>2.1.2.1.4</v>
      </c>
      <c r="B123" s="1016" t="str">
        <f>CONCATENATE('ketv. 6 lent'!B125)</f>
        <v>-</v>
      </c>
      <c r="C123" s="332" t="str">
        <f>CONCATENATE('3 pr-2'!D125)</f>
        <v>UAB "Pagalba ligoniui" teikiamų paslaugų efektyvumo didinimas</v>
      </c>
      <c r="D123" s="255" t="str">
        <f>CONCATENATE('3 pr-2'!E125)</f>
        <v>UAB „Pagalba ligoniui“, Alytaus filialas</v>
      </c>
      <c r="E123" s="255" t="str">
        <f>CONCATENATE('3 pr-2'!F125)</f>
        <v>Lietuvos Respublikos Sveikatos apsaugos ministerija</v>
      </c>
      <c r="F123" s="255" t="str">
        <f>CONCATENATE('3 pr-2'!G125)</f>
        <v>Alytaus  miestas</v>
      </c>
      <c r="G123" s="255" t="str">
        <f>CONCATENATE('3 pr-2'!H125)</f>
        <v>08.1.3-CPVA-R-609</v>
      </c>
      <c r="H123" s="255" t="str">
        <f>CONCATENATE('3 pr-2'!I125)</f>
        <v>R</v>
      </c>
      <c r="I123" s="255" t="str">
        <f>CONCATENATE('3 pr-2'!J125)</f>
        <v>-</v>
      </c>
      <c r="J123" s="474">
        <f>SUM('ketv. 6 lent'!K125)</f>
        <v>0</v>
      </c>
      <c r="K123" s="474">
        <v>0</v>
      </c>
      <c r="L123" s="475">
        <f t="shared" si="106"/>
        <v>0</v>
      </c>
      <c r="M123" s="476">
        <f>SUM('ketv. 6 lent'!O125)</f>
        <v>0</v>
      </c>
      <c r="N123" s="474">
        <v>0</v>
      </c>
      <c r="O123" s="475">
        <f t="shared" si="107"/>
        <v>0</v>
      </c>
      <c r="P123" s="476">
        <f>SUM('ketv. 6 lent'!S125)</f>
        <v>0</v>
      </c>
      <c r="Q123" s="474">
        <v>0</v>
      </c>
      <c r="R123" s="475">
        <f t="shared" si="108"/>
        <v>0</v>
      </c>
      <c r="S123" s="476">
        <f>SUM('ketv. 6 lent'!W125)</f>
        <v>0</v>
      </c>
      <c r="T123" s="474">
        <v>0</v>
      </c>
      <c r="U123" s="475">
        <f t="shared" si="109"/>
        <v>0</v>
      </c>
      <c r="V123" s="476">
        <f>SUM('ketv. 6 lent'!AA125)</f>
        <v>0</v>
      </c>
      <c r="W123" s="474">
        <v>0</v>
      </c>
      <c r="X123" s="475">
        <f t="shared" si="110"/>
        <v>0</v>
      </c>
      <c r="Y123" s="476">
        <f>SUM('ketv. 6 lent'!AE125)</f>
        <v>0</v>
      </c>
      <c r="Z123" s="474">
        <v>0</v>
      </c>
      <c r="AA123" s="728">
        <f t="shared" si="111"/>
        <v>0</v>
      </c>
    </row>
    <row r="124" spans="1:27" ht="48.75" x14ac:dyDescent="0.25">
      <c r="A124" s="992" t="str">
        <f>CONCATENATE('3 pr-2'!A126)</f>
        <v>2.1.2.1.5</v>
      </c>
      <c r="B124" s="1016" t="str">
        <f>CONCATENATE('ketv. 6 lent'!B126)</f>
        <v>-</v>
      </c>
      <c r="C124" s="332" t="str">
        <f>CONCATENATE('3 pr-2'!D126)</f>
        <v>Pirminės asmens sveikatos priežiūros veiklos efektyvumo didinimas Alytaus rajono savivaldybėje</v>
      </c>
      <c r="D124" s="255" t="str">
        <f>CONCATENATE('3 pr-2'!E126)</f>
        <v>VšĮ Alytaus rajono savivaldybės pirminės sveikatos priežiūros centras</v>
      </c>
      <c r="E124" s="255" t="str">
        <f>CONCATENATE('3 pr-2'!F126)</f>
        <v>Lietuvos Respublikos Sveikatos apsaugos ministerija</v>
      </c>
      <c r="F124" s="255" t="str">
        <f>CONCATENATE('3 pr-2'!G126)</f>
        <v>Alytaus rajonas</v>
      </c>
      <c r="G124" s="255" t="str">
        <f>CONCATENATE('3 pr-2'!H126)</f>
        <v>08.1.3-CPVA-R-609</v>
      </c>
      <c r="H124" s="255" t="str">
        <f>CONCATENATE('3 pr-2'!I126)</f>
        <v>R</v>
      </c>
      <c r="I124" s="255" t="str">
        <f>CONCATENATE('3 pr-2'!J126)</f>
        <v>-</v>
      </c>
      <c r="J124" s="474">
        <f>SUM('ketv. 6 lent'!K126)</f>
        <v>0</v>
      </c>
      <c r="K124" s="474">
        <v>0</v>
      </c>
      <c r="L124" s="475">
        <f t="shared" si="106"/>
        <v>0</v>
      </c>
      <c r="M124" s="476">
        <f>SUM('ketv. 6 lent'!O126)</f>
        <v>0</v>
      </c>
      <c r="N124" s="474">
        <v>0</v>
      </c>
      <c r="O124" s="475">
        <f t="shared" si="107"/>
        <v>0</v>
      </c>
      <c r="P124" s="476">
        <f>SUM('ketv. 6 lent'!S126)</f>
        <v>0</v>
      </c>
      <c r="Q124" s="474">
        <v>0</v>
      </c>
      <c r="R124" s="475">
        <f t="shared" si="108"/>
        <v>0</v>
      </c>
      <c r="S124" s="476">
        <f>SUM('ketv. 6 lent'!W126)</f>
        <v>0</v>
      </c>
      <c r="T124" s="474">
        <v>0</v>
      </c>
      <c r="U124" s="475">
        <f t="shared" si="109"/>
        <v>0</v>
      </c>
      <c r="V124" s="476">
        <f>SUM('ketv. 6 lent'!AA126)</f>
        <v>0</v>
      </c>
      <c r="W124" s="474">
        <v>0</v>
      </c>
      <c r="X124" s="475">
        <f t="shared" si="110"/>
        <v>0</v>
      </c>
      <c r="Y124" s="476">
        <f>SUM('ketv. 6 lent'!AE126)</f>
        <v>0</v>
      </c>
      <c r="Z124" s="474">
        <v>0</v>
      </c>
      <c r="AA124" s="728">
        <f t="shared" si="111"/>
        <v>0</v>
      </c>
    </row>
    <row r="125" spans="1:27" ht="36.75" x14ac:dyDescent="0.25">
      <c r="A125" s="992" t="str">
        <f>CONCATENATE('3 pr-2'!A127)</f>
        <v>2.1.2.1.6</v>
      </c>
      <c r="B125" s="1016" t="str">
        <f>CONCATENATE('ketv. 6 lent'!B127)</f>
        <v>-</v>
      </c>
      <c r="C125" s="332" t="str">
        <f>CONCATENATE('3 pr-2'!D127)</f>
        <v>Sveikatos priežiūros paslaugų gerinimas "UAB "Disolis"</v>
      </c>
      <c r="D125" s="255" t="str">
        <f>CONCATENATE('3 pr-2'!E127)</f>
        <v>UAB „Disolis“</v>
      </c>
      <c r="E125" s="255" t="str">
        <f>CONCATENATE('3 pr-2'!F127)</f>
        <v>Lietuvos Respublikos Sveikatos apsaugos ministerija</v>
      </c>
      <c r="F125" s="255" t="str">
        <f>CONCATENATE('3 pr-2'!G127)</f>
        <v>Alytaus rajonas</v>
      </c>
      <c r="G125" s="255" t="str">
        <f>CONCATENATE('3 pr-2'!H127)</f>
        <v>08.1.3-CPVA-R-609</v>
      </c>
      <c r="H125" s="255" t="str">
        <f>CONCATENATE('3 pr-2'!I127)</f>
        <v>R</v>
      </c>
      <c r="I125" s="255" t="str">
        <f>CONCATENATE('3 pr-2'!J127)</f>
        <v>-</v>
      </c>
      <c r="J125" s="474">
        <f>SUM('ketv. 6 lent'!K127)</f>
        <v>0</v>
      </c>
      <c r="K125" s="474">
        <v>0</v>
      </c>
      <c r="L125" s="475">
        <f t="shared" si="106"/>
        <v>0</v>
      </c>
      <c r="M125" s="476">
        <f>SUM('ketv. 6 lent'!O127)</f>
        <v>0</v>
      </c>
      <c r="N125" s="474">
        <v>0</v>
      </c>
      <c r="O125" s="475">
        <f t="shared" si="107"/>
        <v>0</v>
      </c>
      <c r="P125" s="476">
        <f>SUM('ketv. 6 lent'!S127)</f>
        <v>0</v>
      </c>
      <c r="Q125" s="474">
        <v>0</v>
      </c>
      <c r="R125" s="475">
        <f t="shared" si="108"/>
        <v>0</v>
      </c>
      <c r="S125" s="476">
        <f>SUM('ketv. 6 lent'!W127)</f>
        <v>0</v>
      </c>
      <c r="T125" s="474">
        <v>0</v>
      </c>
      <c r="U125" s="475">
        <f t="shared" si="109"/>
        <v>0</v>
      </c>
      <c r="V125" s="476">
        <f>SUM('ketv. 6 lent'!AA127)</f>
        <v>0</v>
      </c>
      <c r="W125" s="474">
        <v>0</v>
      </c>
      <c r="X125" s="475">
        <f t="shared" si="110"/>
        <v>0</v>
      </c>
      <c r="Y125" s="476">
        <f>SUM('ketv. 6 lent'!AE127)</f>
        <v>0</v>
      </c>
      <c r="Z125" s="474">
        <v>0</v>
      </c>
      <c r="AA125" s="728">
        <f t="shared" si="111"/>
        <v>0</v>
      </c>
    </row>
    <row r="126" spans="1:27" ht="48.75" x14ac:dyDescent="0.25">
      <c r="A126" s="992" t="str">
        <f>CONCATENATE('3 pr-2'!A128)</f>
        <v>2.1.2.1.7</v>
      </c>
      <c r="B126" s="1016" t="str">
        <f>CONCATENATE('ketv. 6 lent'!B128)</f>
        <v>-</v>
      </c>
      <c r="C126" s="332" t="str">
        <f>CONCATENATE('3 pr-2'!D128)</f>
        <v>Pirminės asmens sveikatos priežiūros kokybės ir prieinamumo gerinimas Druskininkų savivaldybėje</v>
      </c>
      <c r="D126" s="255" t="str">
        <f>CONCATENATE('3 pr-2'!E128)</f>
        <v>VšĮ Druskininkų pirminės sveikatos priežiūros centras</v>
      </c>
      <c r="E126" s="255" t="str">
        <f>CONCATENATE('3 pr-2'!F128)</f>
        <v>Lietuvos Respublikos Sveikatos apsaugos ministerija</v>
      </c>
      <c r="F126" s="255" t="str">
        <f>CONCATENATE('3 pr-2'!G128)</f>
        <v>Druskininkų sav.</v>
      </c>
      <c r="G126" s="255" t="str">
        <f>CONCATENATE('3 pr-2'!H128)</f>
        <v>08.1.3-CPVA-R-609</v>
      </c>
      <c r="H126" s="255" t="str">
        <f>CONCATENATE('3 pr-2'!I128)</f>
        <v>R</v>
      </c>
      <c r="I126" s="255" t="str">
        <f>CONCATENATE('3 pr-2'!J128)</f>
        <v>-</v>
      </c>
      <c r="J126" s="474">
        <f>SUM('ketv. 6 lent'!K128)</f>
        <v>0</v>
      </c>
      <c r="K126" s="474">
        <v>0</v>
      </c>
      <c r="L126" s="475">
        <f t="shared" si="106"/>
        <v>0</v>
      </c>
      <c r="M126" s="476">
        <f>SUM('ketv. 6 lent'!O128)</f>
        <v>0</v>
      </c>
      <c r="N126" s="474">
        <v>0</v>
      </c>
      <c r="O126" s="475">
        <f t="shared" si="107"/>
        <v>0</v>
      </c>
      <c r="P126" s="476">
        <f>SUM('ketv. 6 lent'!S128)</f>
        <v>0</v>
      </c>
      <c r="Q126" s="474">
        <v>0</v>
      </c>
      <c r="R126" s="475">
        <f t="shared" si="108"/>
        <v>0</v>
      </c>
      <c r="S126" s="476">
        <f>SUM('ketv. 6 lent'!W128)</f>
        <v>0</v>
      </c>
      <c r="T126" s="474">
        <v>0</v>
      </c>
      <c r="U126" s="475">
        <f t="shared" si="109"/>
        <v>0</v>
      </c>
      <c r="V126" s="476">
        <f>SUM('ketv. 6 lent'!AA128)</f>
        <v>0</v>
      </c>
      <c r="W126" s="474">
        <v>0</v>
      </c>
      <c r="X126" s="475">
        <f t="shared" si="110"/>
        <v>0</v>
      </c>
      <c r="Y126" s="476">
        <f>SUM('ketv. 6 lent'!AE128)</f>
        <v>0</v>
      </c>
      <c r="Z126" s="474">
        <v>0</v>
      </c>
      <c r="AA126" s="728">
        <f t="shared" si="111"/>
        <v>0</v>
      </c>
    </row>
    <row r="127" spans="1:27" ht="48.75" x14ac:dyDescent="0.25">
      <c r="A127" s="992" t="str">
        <f>CONCATENATE('3 pr-2'!A129)</f>
        <v>2.1.2.1.8</v>
      </c>
      <c r="B127" s="1016" t="str">
        <f>CONCATENATE('ketv. 6 lent'!B129)</f>
        <v>-</v>
      </c>
      <c r="C127" s="332" t="str">
        <f>CONCATENATE('3 pr-2'!D129)</f>
        <v>UAB "Druskininkų šeimos klinika" asmens sveikatos priežiūros paslaugų prieinamumo ir efektyvumo didinimas</v>
      </c>
      <c r="D127" s="255" t="str">
        <f>CONCATENATE('3 pr-2'!E129)</f>
        <v>UAB „Druskininkų šeimos klinika“</v>
      </c>
      <c r="E127" s="255" t="str">
        <f>CONCATENATE('3 pr-2'!F129)</f>
        <v>Lietuvos Respublikos Sveikatos apsaugos ministerija</v>
      </c>
      <c r="F127" s="255" t="str">
        <f>CONCATENATE('3 pr-2'!G129)</f>
        <v>Druskininkų sav.</v>
      </c>
      <c r="G127" s="255" t="str">
        <f>CONCATENATE('3 pr-2'!H129)</f>
        <v>08.1.3-CPVA-R-609</v>
      </c>
      <c r="H127" s="255" t="str">
        <f>CONCATENATE('3 pr-2'!I129)</f>
        <v>R</v>
      </c>
      <c r="I127" s="255" t="str">
        <f>CONCATENATE('3 pr-2'!J129)</f>
        <v>-</v>
      </c>
      <c r="J127" s="474">
        <f>SUM('ketv. 6 lent'!K129)</f>
        <v>0</v>
      </c>
      <c r="K127" s="474">
        <v>0</v>
      </c>
      <c r="L127" s="475">
        <f t="shared" si="106"/>
        <v>0</v>
      </c>
      <c r="M127" s="476">
        <f>SUM('ketv. 6 lent'!O129)</f>
        <v>0</v>
      </c>
      <c r="N127" s="474">
        <v>0</v>
      </c>
      <c r="O127" s="475">
        <f t="shared" si="107"/>
        <v>0</v>
      </c>
      <c r="P127" s="476">
        <f>SUM('ketv. 6 lent'!S129)</f>
        <v>0</v>
      </c>
      <c r="Q127" s="474">
        <v>0</v>
      </c>
      <c r="R127" s="475">
        <f t="shared" si="108"/>
        <v>0</v>
      </c>
      <c r="S127" s="476">
        <f>SUM('ketv. 6 lent'!W129)</f>
        <v>0</v>
      </c>
      <c r="T127" s="474">
        <v>0</v>
      </c>
      <c r="U127" s="475">
        <f t="shared" si="109"/>
        <v>0</v>
      </c>
      <c r="V127" s="476">
        <f>SUM('ketv. 6 lent'!AA129)</f>
        <v>0</v>
      </c>
      <c r="W127" s="474">
        <v>0</v>
      </c>
      <c r="X127" s="475">
        <f t="shared" si="110"/>
        <v>0</v>
      </c>
      <c r="Y127" s="476">
        <f>SUM('ketv. 6 lent'!AE129)</f>
        <v>0</v>
      </c>
      <c r="Z127" s="474">
        <v>0</v>
      </c>
      <c r="AA127" s="728">
        <f t="shared" si="111"/>
        <v>0</v>
      </c>
    </row>
    <row r="128" spans="1:27" ht="60.75" x14ac:dyDescent="0.25">
      <c r="A128" s="992" t="str">
        <f>CONCATENATE('3 pr-2'!A130)</f>
        <v>2.1.2.1.9</v>
      </c>
      <c r="B128" s="1016" t="str">
        <f>CONCATENATE('ketv. 6 lent'!B130)</f>
        <v>-</v>
      </c>
      <c r="C128" s="332" t="str">
        <f>CONCATENATE('3 pr-2'!D130)</f>
        <v>I. S. Kavaliauskienės įmonės teikiamų pirminės ambulatorinės asmens sveikatos priežiūros paslaugų kokybės ir prieinamumo gerinimas.</v>
      </c>
      <c r="D128" s="255" t="str">
        <f>CONCATENATE('3 pr-2'!E130)</f>
        <v>Irenos Stanislavos Kavaliauskienės įmonė</v>
      </c>
      <c r="E128" s="255" t="str">
        <f>CONCATENATE('3 pr-2'!F130)</f>
        <v>Lietuvos Respublikos Sveikatos apsaugos ministerija</v>
      </c>
      <c r="F128" s="255" t="str">
        <f>CONCATENATE('3 pr-2'!G130)</f>
        <v>Druskininkų sav.</v>
      </c>
      <c r="G128" s="255" t="str">
        <f>CONCATENATE('3 pr-2'!H130)</f>
        <v>08.1.3-CPVA-R-609</v>
      </c>
      <c r="H128" s="255" t="str">
        <f>CONCATENATE('3 pr-2'!I130)</f>
        <v>R</v>
      </c>
      <c r="I128" s="255" t="str">
        <f>CONCATENATE('3 pr-2'!J130)</f>
        <v>-</v>
      </c>
      <c r="J128" s="474">
        <f>SUM('ketv. 6 lent'!K130)</f>
        <v>0</v>
      </c>
      <c r="K128" s="474">
        <v>0</v>
      </c>
      <c r="L128" s="475">
        <f t="shared" ref="L128:L131" si="112">SUM(J128-K128)</f>
        <v>0</v>
      </c>
      <c r="M128" s="476">
        <f>SUM('ketv. 6 lent'!O130)</f>
        <v>0</v>
      </c>
      <c r="N128" s="474">
        <v>0</v>
      </c>
      <c r="O128" s="475">
        <f t="shared" ref="O128:O131" si="113">SUM(M128-N128)</f>
        <v>0</v>
      </c>
      <c r="P128" s="476">
        <f>SUM('ketv. 6 lent'!S130)</f>
        <v>0</v>
      </c>
      <c r="Q128" s="474">
        <v>0</v>
      </c>
      <c r="R128" s="475">
        <f t="shared" ref="R128:R131" si="114">SUM(P128-Q128)</f>
        <v>0</v>
      </c>
      <c r="S128" s="476">
        <f>SUM('ketv. 6 lent'!W130)</f>
        <v>0</v>
      </c>
      <c r="T128" s="474">
        <v>0</v>
      </c>
      <c r="U128" s="475">
        <f t="shared" ref="U128:U131" si="115">SUM(S128-T128)</f>
        <v>0</v>
      </c>
      <c r="V128" s="476">
        <f>SUM('ketv. 6 lent'!AA130)</f>
        <v>0</v>
      </c>
      <c r="W128" s="474">
        <v>0</v>
      </c>
      <c r="X128" s="475">
        <f t="shared" ref="X128:X131" si="116">SUM(V128-W128)</f>
        <v>0</v>
      </c>
      <c r="Y128" s="476">
        <f>SUM('ketv. 6 lent'!AE130)</f>
        <v>0</v>
      </c>
      <c r="Z128" s="474">
        <v>0</v>
      </c>
      <c r="AA128" s="728">
        <f t="shared" ref="AA128:AA131" si="117">SUM(Y128-Z128)</f>
        <v>0</v>
      </c>
    </row>
    <row r="129" spans="1:27" ht="60.75" x14ac:dyDescent="0.25">
      <c r="A129" s="992" t="str">
        <f>CONCATENATE('3 pr-2'!A131)</f>
        <v>2.1.2.1.10</v>
      </c>
      <c r="B129" s="1016" t="str">
        <f>CONCATENATE('ketv. 6 lent'!B131)</f>
        <v>-</v>
      </c>
      <c r="C129" s="332" t="str">
        <f>CONCATENATE('3 pr-2'!D131)</f>
        <v>Pirminės ambulatorinės asmens sveikatos priežiūros efektyvumo didinimas R.Ambrazaitienės ir L. Puzinovienės šeimos gydytojų kabinetuose</v>
      </c>
      <c r="D129" s="255" t="str">
        <f>CONCATENATE('3 pr-2'!E131)</f>
        <v>UAB „Rasos Ambrazaitienės šeimos gydytojo kabinetas“</v>
      </c>
      <c r="E129" s="255" t="str">
        <f>CONCATENATE('3 pr-2'!F131)</f>
        <v>Lietuvos Respublikos Sveikatos apsaugos ministerija</v>
      </c>
      <c r="F129" s="255" t="str">
        <f>CONCATENATE('3 pr-2'!G131)</f>
        <v>Druskininkų sav.</v>
      </c>
      <c r="G129" s="255" t="str">
        <f>CONCATENATE('3 pr-2'!H131)</f>
        <v>08.1.3-CPVA-R-609</v>
      </c>
      <c r="H129" s="255" t="str">
        <f>CONCATENATE('3 pr-2'!I131)</f>
        <v>R</v>
      </c>
      <c r="I129" s="255" t="str">
        <f>CONCATENATE('3 pr-2'!J131)</f>
        <v>-</v>
      </c>
      <c r="J129" s="474">
        <f>SUM('ketv. 6 lent'!K131)</f>
        <v>0</v>
      </c>
      <c r="K129" s="474">
        <v>0</v>
      </c>
      <c r="L129" s="475">
        <f t="shared" si="112"/>
        <v>0</v>
      </c>
      <c r="M129" s="476">
        <f>SUM('ketv. 6 lent'!O131)</f>
        <v>0</v>
      </c>
      <c r="N129" s="474">
        <v>0</v>
      </c>
      <c r="O129" s="475">
        <f t="shared" si="113"/>
        <v>0</v>
      </c>
      <c r="P129" s="476">
        <f>SUM('ketv. 6 lent'!S131)</f>
        <v>0</v>
      </c>
      <c r="Q129" s="474">
        <v>0</v>
      </c>
      <c r="R129" s="475">
        <f t="shared" si="114"/>
        <v>0</v>
      </c>
      <c r="S129" s="476">
        <f>SUM('ketv. 6 lent'!W131)</f>
        <v>0</v>
      </c>
      <c r="T129" s="474">
        <v>0</v>
      </c>
      <c r="U129" s="475">
        <f t="shared" si="115"/>
        <v>0</v>
      </c>
      <c r="V129" s="476">
        <f>SUM('ketv. 6 lent'!AA131)</f>
        <v>0</v>
      </c>
      <c r="W129" s="474">
        <v>0</v>
      </c>
      <c r="X129" s="475">
        <f t="shared" si="116"/>
        <v>0</v>
      </c>
      <c r="Y129" s="476">
        <f>SUM('ketv. 6 lent'!AE131)</f>
        <v>0</v>
      </c>
      <c r="Z129" s="474">
        <v>0</v>
      </c>
      <c r="AA129" s="728">
        <f t="shared" si="117"/>
        <v>0</v>
      </c>
    </row>
    <row r="130" spans="1:27" ht="48.75" x14ac:dyDescent="0.25">
      <c r="A130" s="992" t="str">
        <f>CONCATENATE('3 pr-2'!A132)</f>
        <v>2.1.2.1.11</v>
      </c>
      <c r="B130" s="1016" t="str">
        <f>CONCATENATE('ketv. 6 lent'!B132)</f>
        <v>-</v>
      </c>
      <c r="C130" s="332" t="str">
        <f>CONCATENATE('3 pr-2'!D132)</f>
        <v xml:space="preserve">Pirminės asmens sveikatos priežiūros veiklos efektyvumo didinimas Lazdijų rajono savivaldybėje </v>
      </c>
      <c r="D130" s="255" t="str">
        <f>CONCATENATE('3 pr-2'!E132)</f>
        <v>Lazdijų rajono savivaldybės administracija</v>
      </c>
      <c r="E130" s="255" t="str">
        <f>CONCATENATE('3 pr-2'!F132)</f>
        <v>Lietuvos Respublikos Sveikatos apsaugos ministerija</v>
      </c>
      <c r="F130" s="255" t="str">
        <f>CONCATENATE('3 pr-2'!G132)</f>
        <v>Lazdijai</v>
      </c>
      <c r="G130" s="255" t="str">
        <f>CONCATENATE('3 pr-2'!H132)</f>
        <v>08.1.3-CPVA-R-609</v>
      </c>
      <c r="H130" s="255" t="str">
        <f>CONCATENATE('3 pr-2'!I132)</f>
        <v>R</v>
      </c>
      <c r="I130" s="255" t="str">
        <f>CONCATENATE('3 pr-2'!J132)</f>
        <v>-</v>
      </c>
      <c r="J130" s="474">
        <f>SUM('ketv. 6 lent'!K132)</f>
        <v>0</v>
      </c>
      <c r="K130" s="474">
        <v>0</v>
      </c>
      <c r="L130" s="475">
        <f t="shared" si="112"/>
        <v>0</v>
      </c>
      <c r="M130" s="476">
        <f>SUM('ketv. 6 lent'!O132)</f>
        <v>0</v>
      </c>
      <c r="N130" s="474">
        <v>0</v>
      </c>
      <c r="O130" s="475">
        <f t="shared" si="113"/>
        <v>0</v>
      </c>
      <c r="P130" s="476">
        <f>SUM('ketv. 6 lent'!S132)</f>
        <v>0</v>
      </c>
      <c r="Q130" s="474">
        <v>0</v>
      </c>
      <c r="R130" s="475">
        <f t="shared" si="114"/>
        <v>0</v>
      </c>
      <c r="S130" s="476">
        <f>SUM('ketv. 6 lent'!W132)</f>
        <v>0</v>
      </c>
      <c r="T130" s="474">
        <v>0</v>
      </c>
      <c r="U130" s="475">
        <f t="shared" si="115"/>
        <v>0</v>
      </c>
      <c r="V130" s="476">
        <f>SUM('ketv. 6 lent'!AA132)</f>
        <v>0</v>
      </c>
      <c r="W130" s="474">
        <v>0</v>
      </c>
      <c r="X130" s="475">
        <f t="shared" si="116"/>
        <v>0</v>
      </c>
      <c r="Y130" s="476">
        <f>SUM('ketv. 6 lent'!AE132)</f>
        <v>0</v>
      </c>
      <c r="Z130" s="474">
        <v>0</v>
      </c>
      <c r="AA130" s="728">
        <f t="shared" si="117"/>
        <v>0</v>
      </c>
    </row>
    <row r="131" spans="1:27" ht="49.5" thickBot="1" x14ac:dyDescent="0.3">
      <c r="A131" s="992" t="str">
        <f>CONCATENATE('3 pr-2'!A133)</f>
        <v>2.1.2.1.12</v>
      </c>
      <c r="B131" s="1016" t="str">
        <f>CONCATENATE('ketv. 6 lent'!B133)</f>
        <v>-</v>
      </c>
      <c r="C131" s="332" t="str">
        <f>CONCATENATE('3 pr-2'!D133)</f>
        <v>Pirminės asmens sveikatos priežiūros veiklos efektyvumo didinimas Varėnos rajono savivaldybėje</v>
      </c>
      <c r="D131" s="255" t="str">
        <f>CONCATENATE('3 pr-2'!E133)</f>
        <v>VšĮ Varėnos pirminės sveikatos priežiūros centras</v>
      </c>
      <c r="E131" s="255" t="str">
        <f>CONCATENATE('3 pr-2'!F133)</f>
        <v>Lietuvos Respublikos Sveikatos apsaugos ministerija</v>
      </c>
      <c r="F131" s="255" t="str">
        <f>CONCATENATE('3 pr-2'!G133)</f>
        <v>Varėnos r. sav.</v>
      </c>
      <c r="G131" s="255" t="str">
        <f>CONCATENATE('3 pr-2'!H133)</f>
        <v>08.1.3-CPVA-R-609</v>
      </c>
      <c r="H131" s="255" t="str">
        <f>CONCATENATE('3 pr-2'!I133)</f>
        <v>R</v>
      </c>
      <c r="I131" s="255" t="str">
        <f>CONCATENATE('3 pr-2'!J133)</f>
        <v>-</v>
      </c>
      <c r="J131" s="474">
        <f>SUM('ketv. 6 lent'!K133)</f>
        <v>0</v>
      </c>
      <c r="K131" s="474">
        <v>0</v>
      </c>
      <c r="L131" s="475">
        <f t="shared" si="112"/>
        <v>0</v>
      </c>
      <c r="M131" s="476">
        <f>SUM('ketv. 6 lent'!O133)</f>
        <v>0</v>
      </c>
      <c r="N131" s="474">
        <v>0</v>
      </c>
      <c r="O131" s="475">
        <f t="shared" si="113"/>
        <v>0</v>
      </c>
      <c r="P131" s="476">
        <f>SUM('ketv. 6 lent'!S133)</f>
        <v>0</v>
      </c>
      <c r="Q131" s="474">
        <v>0</v>
      </c>
      <c r="R131" s="475">
        <f t="shared" si="114"/>
        <v>0</v>
      </c>
      <c r="S131" s="476">
        <f>SUM('ketv. 6 lent'!W133)</f>
        <v>0</v>
      </c>
      <c r="T131" s="474">
        <v>0</v>
      </c>
      <c r="U131" s="475">
        <f t="shared" si="115"/>
        <v>0</v>
      </c>
      <c r="V131" s="476">
        <f>SUM('ketv. 6 lent'!AA133)</f>
        <v>0</v>
      </c>
      <c r="W131" s="474">
        <v>0</v>
      </c>
      <c r="X131" s="475">
        <f t="shared" si="116"/>
        <v>0</v>
      </c>
      <c r="Y131" s="476">
        <f>SUM('ketv. 6 lent'!AE133)</f>
        <v>0</v>
      </c>
      <c r="Z131" s="474">
        <v>0</v>
      </c>
      <c r="AA131" s="728">
        <f t="shared" si="117"/>
        <v>0</v>
      </c>
    </row>
    <row r="132" spans="1:27" ht="35.25" customHeight="1" thickBot="1" x14ac:dyDescent="0.3">
      <c r="A132" s="497" t="str">
        <f>CONCATENATE('3 pr-2'!A135)</f>
        <v>2.1.2.2</v>
      </c>
      <c r="B132" s="613" t="str">
        <f>CONCATENATE('ketv. 2lent'!B133)</f>
        <v/>
      </c>
      <c r="C132" s="1656" t="str">
        <f>CONCATENATE('3 pr-2'!D135)</f>
        <v/>
      </c>
      <c r="D132" s="1787"/>
      <c r="E132" s="1787"/>
      <c r="F132" s="1787"/>
      <c r="G132" s="1787"/>
      <c r="H132" s="1787"/>
      <c r="I132" s="1788"/>
      <c r="J132" s="987">
        <f>SUM('ketv. 6 lent'!K134)</f>
        <v>0</v>
      </c>
      <c r="K132" s="987">
        <f>SUM(K133:K137)</f>
        <v>0</v>
      </c>
      <c r="L132" s="987">
        <f>SUM(L133:L137)</f>
        <v>0</v>
      </c>
      <c r="M132" s="987">
        <f>SUM('ketv. 6 lent'!O134)</f>
        <v>0</v>
      </c>
      <c r="N132" s="987">
        <f>SUM(N133:N137)</f>
        <v>0</v>
      </c>
      <c r="O132" s="987">
        <f>SUM(O133:O137)</f>
        <v>0</v>
      </c>
      <c r="P132" s="987">
        <f>SUM('ketv. 6 lent'!S134)</f>
        <v>0</v>
      </c>
      <c r="Q132" s="987">
        <f>SUM(Q133:Q137)</f>
        <v>0</v>
      </c>
      <c r="R132" s="987">
        <f>SUM(R133:R137)</f>
        <v>0</v>
      </c>
      <c r="S132" s="987">
        <f>SUM('ketv. 6 lent'!W134)</f>
        <v>0</v>
      </c>
      <c r="T132" s="987">
        <f>SUM(T133:T137)</f>
        <v>0</v>
      </c>
      <c r="U132" s="987">
        <f>SUM(U133:U137)</f>
        <v>0</v>
      </c>
      <c r="V132" s="987">
        <f>SUM('ketv. 6 lent'!AA134)</f>
        <v>0</v>
      </c>
      <c r="W132" s="987">
        <f>SUM(W133:W137)</f>
        <v>0</v>
      </c>
      <c r="X132" s="987">
        <f>SUM(X133:X137)</f>
        <v>0</v>
      </c>
      <c r="Y132" s="987">
        <f>SUM('ketv. 6 lent'!AE134)</f>
        <v>0</v>
      </c>
      <c r="Z132" s="987">
        <f>SUM(Z133:Z137)</f>
        <v>0</v>
      </c>
      <c r="AA132" s="335">
        <f>SUM(AA133:AA137)</f>
        <v>0</v>
      </c>
    </row>
    <row r="133" spans="1:27" ht="48.75" x14ac:dyDescent="0.25">
      <c r="A133" s="992" t="str">
        <f>CONCATENATE('3 pr-2'!A136)</f>
        <v>2.1.2.2.1</v>
      </c>
      <c r="B133" s="380" t="str">
        <f>CONCATENATE('ketv. 6 lent'!B135)</f>
        <v>-</v>
      </c>
      <c r="C133" s="1007" t="str">
        <f>CONCATENATE('3 pr-2'!D136)</f>
        <v>Sveikos gyvensenos skatinimas Alytaus rajone</v>
      </c>
      <c r="D133" s="992" t="str">
        <f>CONCATENATE('3 pr-2'!E136)</f>
        <v>Alytaus rajono savivaldybės visuomenės sveikatos biuras</v>
      </c>
      <c r="E133" s="992" t="str">
        <f>CONCATENATE('3 pr-2'!F136)</f>
        <v>Lietuvos Respublikos Sveikatos apsaugos ministerija</v>
      </c>
      <c r="F133" s="992" t="str">
        <f>CONCATENATE('3 pr-2'!G136)</f>
        <v>Alytaus rajono savivaldybė</v>
      </c>
      <c r="G133" s="992" t="str">
        <f>CONCATENATE('3 pr-2'!H136)</f>
        <v>08.4.2-ESFA-R-630</v>
      </c>
      <c r="H133" s="992" t="str">
        <f>CONCATENATE('3 pr-2'!I136)</f>
        <v>R</v>
      </c>
      <c r="I133" s="992" t="str">
        <f>CONCATENATE('3 pr-2'!J136)</f>
        <v>-</v>
      </c>
      <c r="J133" s="994">
        <f>SUM('ketv. 6 lent'!K135)</f>
        <v>0</v>
      </c>
      <c r="K133" s="994">
        <v>0</v>
      </c>
      <c r="L133" s="1009">
        <f t="shared" si="42"/>
        <v>0</v>
      </c>
      <c r="M133" s="684">
        <f>SUM('ketv. 6 lent'!O135)</f>
        <v>0</v>
      </c>
      <c r="N133" s="994">
        <v>0</v>
      </c>
      <c r="O133" s="1009">
        <f t="shared" ref="O133:O137" si="118">SUM(M133-N133)</f>
        <v>0</v>
      </c>
      <c r="P133" s="684">
        <f>SUM('ketv. 6 lent'!S135)</f>
        <v>0</v>
      </c>
      <c r="Q133" s="994">
        <v>0</v>
      </c>
      <c r="R133" s="1009">
        <f t="shared" ref="R133:R137" si="119">SUM(P133-Q133)</f>
        <v>0</v>
      </c>
      <c r="S133" s="684">
        <f>SUM('ketv. 6 lent'!W135)</f>
        <v>0</v>
      </c>
      <c r="T133" s="994">
        <v>0</v>
      </c>
      <c r="U133" s="1009">
        <f t="shared" ref="U133:U137" si="120">SUM(S133-T133)</f>
        <v>0</v>
      </c>
      <c r="V133" s="684">
        <f>SUM('ketv. 6 lent'!AA135)</f>
        <v>0</v>
      </c>
      <c r="W133" s="994">
        <v>0</v>
      </c>
      <c r="X133" s="1009">
        <f t="shared" ref="X133:X137" si="121">SUM(V133-W133)</f>
        <v>0</v>
      </c>
      <c r="Y133" s="684">
        <f>SUM('ketv. 6 lent'!AE135)</f>
        <v>0</v>
      </c>
      <c r="Z133" s="994">
        <v>0</v>
      </c>
      <c r="AA133" s="728">
        <f t="shared" ref="AA133:AA137" si="122">SUM(Y133-Z133)</f>
        <v>0</v>
      </c>
    </row>
    <row r="134" spans="1:27" ht="36.75" x14ac:dyDescent="0.25">
      <c r="A134" s="992" t="str">
        <f>CONCATENATE('3 pr-2'!A137)</f>
        <v>2.1.2.2.2</v>
      </c>
      <c r="B134" s="380" t="str">
        <f>CONCATENATE('ketv. 6 lent'!B136)</f>
        <v>-</v>
      </c>
      <c r="C134" s="1007" t="str">
        <f>CONCATENATE('3 pr-2'!D137)</f>
        <v>Mažais žingsneliais – sveikos gyvensenos link</v>
      </c>
      <c r="D134" s="992" t="str">
        <f>CONCATENATE('3 pr-2'!E137)</f>
        <v>Alytaus miesto savivaldybės administracija</v>
      </c>
      <c r="E134" s="992" t="str">
        <f>CONCATENATE('3 pr-2'!F137)</f>
        <v>Lietuvos Respublikos Sveikatos apsaugos ministerija</v>
      </c>
      <c r="F134" s="992" t="str">
        <f>CONCATENATE('3 pr-2'!G137)</f>
        <v>Alytaus  miestas</v>
      </c>
      <c r="G134" s="992" t="str">
        <f>CONCATENATE('3 pr-2'!H137)</f>
        <v>08.4.2-ESFA-R-630</v>
      </c>
      <c r="H134" s="992" t="str">
        <f>CONCATENATE('3 pr-2'!I137)</f>
        <v>R</v>
      </c>
      <c r="I134" s="992" t="str">
        <f>CONCATENATE('3 pr-2'!J137)</f>
        <v>-</v>
      </c>
      <c r="J134" s="994">
        <f>SUM('ketv. 6 lent'!K136)</f>
        <v>0</v>
      </c>
      <c r="K134" s="994">
        <v>0</v>
      </c>
      <c r="L134" s="1009">
        <f t="shared" si="42"/>
        <v>0</v>
      </c>
      <c r="M134" s="684">
        <f>SUM('ketv. 6 lent'!O136)</f>
        <v>0</v>
      </c>
      <c r="N134" s="994">
        <v>0</v>
      </c>
      <c r="O134" s="1009">
        <f t="shared" si="118"/>
        <v>0</v>
      </c>
      <c r="P134" s="684">
        <f>SUM('ketv. 6 lent'!S136)</f>
        <v>0</v>
      </c>
      <c r="Q134" s="994">
        <v>0</v>
      </c>
      <c r="R134" s="1009">
        <f t="shared" si="119"/>
        <v>0</v>
      </c>
      <c r="S134" s="684">
        <f>SUM('ketv. 6 lent'!W136)</f>
        <v>0</v>
      </c>
      <c r="T134" s="994">
        <v>0</v>
      </c>
      <c r="U134" s="1009">
        <f t="shared" si="120"/>
        <v>0</v>
      </c>
      <c r="V134" s="684">
        <f>SUM('ketv. 6 lent'!AA136)</f>
        <v>0</v>
      </c>
      <c r="W134" s="994">
        <v>0</v>
      </c>
      <c r="X134" s="1009">
        <f t="shared" si="121"/>
        <v>0</v>
      </c>
      <c r="Y134" s="684">
        <f>SUM('ketv. 6 lent'!AE136)</f>
        <v>0</v>
      </c>
      <c r="Z134" s="994">
        <v>0</v>
      </c>
      <c r="AA134" s="728">
        <f t="shared" si="122"/>
        <v>0</v>
      </c>
    </row>
    <row r="135" spans="1:27" ht="48.75" x14ac:dyDescent="0.25">
      <c r="A135" s="992" t="str">
        <f>CONCATENATE('3 pr-2'!A138)</f>
        <v>2.1.2.2.3</v>
      </c>
      <c r="B135" s="380" t="str">
        <f>CONCATENATE('ketv. 6 lent'!B137)</f>
        <v>-</v>
      </c>
      <c r="C135" s="1007" t="str">
        <f>CONCATENATE('3 pr-2'!D138)</f>
        <v>Sveikos gyvensenos skatinimas Varėnos rajono savivaldybėje</v>
      </c>
      <c r="D135" s="992" t="str">
        <f>CONCATENATE('3 pr-2'!E138)</f>
        <v>Varėnos rajono savivaldybės visuomenės sveikatos biuras</v>
      </c>
      <c r="E135" s="992" t="str">
        <f>CONCATENATE('3 pr-2'!F138)</f>
        <v>Lietuvos Respublikos Sveikatos apsaugos ministerija</v>
      </c>
      <c r="F135" s="992" t="str">
        <f>CONCATENATE('3 pr-2'!G138)</f>
        <v>Varėnos rajono savivaldybė</v>
      </c>
      <c r="G135" s="992" t="str">
        <f>CONCATENATE('3 pr-2'!H138)</f>
        <v>08.4.2-ESFA-R-630</v>
      </c>
      <c r="H135" s="992" t="str">
        <f>CONCATENATE('3 pr-2'!I138)</f>
        <v>R</v>
      </c>
      <c r="I135" s="992" t="str">
        <f>CONCATENATE('3 pr-2'!J138)</f>
        <v>-</v>
      </c>
      <c r="J135" s="994">
        <f>SUM('ketv. 6 lent'!K137)</f>
        <v>0</v>
      </c>
      <c r="K135" s="994">
        <v>0</v>
      </c>
      <c r="L135" s="1009">
        <f t="shared" si="42"/>
        <v>0</v>
      </c>
      <c r="M135" s="684">
        <f>SUM('ketv. 6 lent'!O137)</f>
        <v>0</v>
      </c>
      <c r="N135" s="994">
        <v>0</v>
      </c>
      <c r="O135" s="1009">
        <f t="shared" si="118"/>
        <v>0</v>
      </c>
      <c r="P135" s="684">
        <f>SUM('ketv. 6 lent'!S137)</f>
        <v>0</v>
      </c>
      <c r="Q135" s="994">
        <v>0</v>
      </c>
      <c r="R135" s="1009">
        <f t="shared" si="119"/>
        <v>0</v>
      </c>
      <c r="S135" s="684">
        <f>SUM('ketv. 6 lent'!W137)</f>
        <v>0</v>
      </c>
      <c r="T135" s="994">
        <v>0</v>
      </c>
      <c r="U135" s="1009">
        <f t="shared" si="120"/>
        <v>0</v>
      </c>
      <c r="V135" s="684">
        <f>SUM('ketv. 6 lent'!AA137)</f>
        <v>0</v>
      </c>
      <c r="W135" s="994">
        <v>0</v>
      </c>
      <c r="X135" s="1009">
        <f t="shared" si="121"/>
        <v>0</v>
      </c>
      <c r="Y135" s="684">
        <f>SUM('ketv. 6 lent'!AE137)</f>
        <v>0</v>
      </c>
      <c r="Z135" s="994">
        <v>0</v>
      </c>
      <c r="AA135" s="728">
        <f t="shared" si="122"/>
        <v>0</v>
      </c>
    </row>
    <row r="136" spans="1:27" ht="48.75" x14ac:dyDescent="0.25">
      <c r="A136" s="992" t="str">
        <f>CONCATENATE('3 pr-2'!A139)</f>
        <v>2.1.2.2.4.</v>
      </c>
      <c r="B136" s="380" t="str">
        <f>CONCATENATE('ketv. 6 lent'!B138)</f>
        <v>-</v>
      </c>
      <c r="C136" s="1007" t="str">
        <f>CONCATENATE('3 pr-2'!D139)</f>
        <v>Sveika bendruomenė – stipri visuomenė</v>
      </c>
      <c r="D136" s="992" t="str">
        <f>CONCATENATE('3 pr-2'!E139)</f>
        <v>Druskininkų savivaldybės visuomenės sveikatos biuras</v>
      </c>
      <c r="E136" s="992" t="str">
        <f>CONCATENATE('3 pr-2'!F139)</f>
        <v>Lietuvos Respublikos Sveikatos apsaugos ministerija</v>
      </c>
      <c r="F136" s="992" t="str">
        <f>CONCATENATE('3 pr-2'!G139)</f>
        <v>Druskininkų savivaldybė</v>
      </c>
      <c r="G136" s="992" t="str">
        <f>CONCATENATE('3 pr-2'!H139)</f>
        <v>08.4.2-ESFA-R-630</v>
      </c>
      <c r="H136" s="992" t="str">
        <f>CONCATENATE('3 pr-2'!I139)</f>
        <v>R</v>
      </c>
      <c r="I136" s="992" t="str">
        <f>CONCATENATE('3 pr-2'!J139)</f>
        <v>-</v>
      </c>
      <c r="J136" s="994">
        <f>SUM('ketv. 6 lent'!K138)</f>
        <v>0</v>
      </c>
      <c r="K136" s="994">
        <v>0</v>
      </c>
      <c r="L136" s="1009">
        <f t="shared" si="42"/>
        <v>0</v>
      </c>
      <c r="M136" s="684">
        <f>SUM('ketv. 6 lent'!O138)</f>
        <v>0</v>
      </c>
      <c r="N136" s="994">
        <v>0</v>
      </c>
      <c r="O136" s="1009">
        <f t="shared" si="118"/>
        <v>0</v>
      </c>
      <c r="P136" s="684">
        <f>SUM('ketv. 6 lent'!S138)</f>
        <v>0</v>
      </c>
      <c r="Q136" s="994">
        <v>0</v>
      </c>
      <c r="R136" s="1009">
        <f t="shared" si="119"/>
        <v>0</v>
      </c>
      <c r="S136" s="684">
        <f>SUM('ketv. 6 lent'!W138)</f>
        <v>0</v>
      </c>
      <c r="T136" s="994">
        <v>0</v>
      </c>
      <c r="U136" s="1009">
        <f t="shared" si="120"/>
        <v>0</v>
      </c>
      <c r="V136" s="684">
        <f>SUM('ketv. 6 lent'!AA138)</f>
        <v>0</v>
      </c>
      <c r="W136" s="994">
        <v>0</v>
      </c>
      <c r="X136" s="1009">
        <f t="shared" si="121"/>
        <v>0</v>
      </c>
      <c r="Y136" s="684">
        <f>SUM('ketv. 6 lent'!AE138)</f>
        <v>0</v>
      </c>
      <c r="Z136" s="994">
        <v>0</v>
      </c>
      <c r="AA136" s="728">
        <f t="shared" si="122"/>
        <v>0</v>
      </c>
    </row>
    <row r="137" spans="1:27" ht="49.5" thickBot="1" x14ac:dyDescent="0.3">
      <c r="A137" s="992" t="str">
        <f>CONCATENATE('3 pr-2'!A140)</f>
        <v>2.1.2.2.5</v>
      </c>
      <c r="B137" s="380" t="str">
        <f>CONCATENATE('ketv. 6 lent'!B139)</f>
        <v>-</v>
      </c>
      <c r="C137" s="1007" t="str">
        <f>CONCATENATE('3 pr-2'!D140)</f>
        <v>Sveikos gyvensenos skatinimas Lazdijų rajono savivaldybėje</v>
      </c>
      <c r="D137" s="992" t="str">
        <f>CONCATENATE('3 pr-2'!E140)</f>
        <v>Lazdijų rajono savivaldybės visuomenės sveikatos biuras</v>
      </c>
      <c r="E137" s="992" t="str">
        <f>CONCATENATE('3 pr-2'!F140)</f>
        <v>Lietuvos Respublikos Sveikatos apsaugos ministerija</v>
      </c>
      <c r="F137" s="992" t="str">
        <f>CONCATENATE('3 pr-2'!G140)</f>
        <v>Lazdijų rajono savivaldybė</v>
      </c>
      <c r="G137" s="992" t="str">
        <f>CONCATENATE('3 pr-2'!H140)</f>
        <v>08.4.2-ESFA-R-630</v>
      </c>
      <c r="H137" s="992" t="str">
        <f>CONCATENATE('3 pr-2'!I140)</f>
        <v>R</v>
      </c>
      <c r="I137" s="992" t="str">
        <f>CONCATENATE('3 pr-2'!J140)</f>
        <v>-</v>
      </c>
      <c r="J137" s="994">
        <f>SUM('ketv. 6 lent'!K139)</f>
        <v>0</v>
      </c>
      <c r="K137" s="994">
        <v>0</v>
      </c>
      <c r="L137" s="1009">
        <f t="shared" si="42"/>
        <v>0</v>
      </c>
      <c r="M137" s="684">
        <f>SUM('ketv. 6 lent'!O139)</f>
        <v>0</v>
      </c>
      <c r="N137" s="994">
        <v>0</v>
      </c>
      <c r="O137" s="1009">
        <f t="shared" si="118"/>
        <v>0</v>
      </c>
      <c r="P137" s="684">
        <f>SUM('ketv. 6 lent'!S139)</f>
        <v>0</v>
      </c>
      <c r="Q137" s="994">
        <v>0</v>
      </c>
      <c r="R137" s="1009">
        <f t="shared" si="119"/>
        <v>0</v>
      </c>
      <c r="S137" s="684">
        <f>SUM('ketv. 6 lent'!W139)</f>
        <v>0</v>
      </c>
      <c r="T137" s="994">
        <v>0</v>
      </c>
      <c r="U137" s="1009">
        <f t="shared" si="120"/>
        <v>0</v>
      </c>
      <c r="V137" s="684">
        <f>SUM('ketv. 6 lent'!AA139)</f>
        <v>0</v>
      </c>
      <c r="W137" s="994">
        <v>0</v>
      </c>
      <c r="X137" s="1009">
        <f t="shared" si="121"/>
        <v>0</v>
      </c>
      <c r="Y137" s="684">
        <f>SUM('ketv. 6 lent'!AE139)</f>
        <v>0</v>
      </c>
      <c r="Z137" s="994">
        <v>0</v>
      </c>
      <c r="AA137" s="728">
        <f t="shared" si="122"/>
        <v>0</v>
      </c>
    </row>
    <row r="138" spans="1:27" ht="35.25" customHeight="1" thickBot="1" x14ac:dyDescent="0.3">
      <c r="A138" s="497" t="str">
        <f>CONCATENATE('3 pr-2'!A141)</f>
        <v>2.1.2.3</v>
      </c>
      <c r="B138" s="613" t="str">
        <f>CONCATENATE('ketv. 2lent'!B139)</f>
        <v/>
      </c>
      <c r="C138" s="1656" t="str">
        <f>CONCATENATE('3 pr-2'!D141)</f>
        <v/>
      </c>
      <c r="D138" s="1787"/>
      <c r="E138" s="1787"/>
      <c r="F138" s="1787"/>
      <c r="G138" s="1787"/>
      <c r="H138" s="1787"/>
      <c r="I138" s="1788"/>
      <c r="J138" s="987">
        <f>SUM('ketv. 6 lent'!K140)</f>
        <v>0</v>
      </c>
      <c r="K138" s="987">
        <f>SUM(K139:K143)</f>
        <v>0</v>
      </c>
      <c r="L138" s="987">
        <f>SUM(L139:L149)</f>
        <v>5160637.8899999997</v>
      </c>
      <c r="M138" s="987">
        <f>SUM('ketv. 6 lent'!O140)</f>
        <v>0</v>
      </c>
      <c r="N138" s="987">
        <f>SUM(N139:N143)</f>
        <v>0</v>
      </c>
      <c r="O138" s="987">
        <f>SUM(O139:O149)</f>
        <v>1399846.1300000001</v>
      </c>
      <c r="P138" s="987">
        <f>SUM('ketv. 6 lent'!S140)</f>
        <v>0</v>
      </c>
      <c r="Q138" s="987">
        <f>SUM(Q139:Q143)</f>
        <v>0</v>
      </c>
      <c r="R138" s="987">
        <f>SUM(R139:R149)</f>
        <v>38366.6</v>
      </c>
      <c r="S138" s="987">
        <f>SUM('ketv. 6 lent'!W140)</f>
        <v>0</v>
      </c>
      <c r="T138" s="987">
        <f>SUM(T139:T143)</f>
        <v>0</v>
      </c>
      <c r="U138" s="987">
        <f>SUM(U139:U149)</f>
        <v>0</v>
      </c>
      <c r="V138" s="987">
        <f>SUM('ketv. 6 lent'!AA140)</f>
        <v>0</v>
      </c>
      <c r="W138" s="987">
        <f>SUM(W139:W143)</f>
        <v>0</v>
      </c>
      <c r="X138" s="987">
        <f>SUM(X139:X149)</f>
        <v>0</v>
      </c>
      <c r="Y138" s="987">
        <f>SUM('ketv. 6 lent'!AE140)</f>
        <v>0</v>
      </c>
      <c r="Z138" s="987">
        <f>SUM(Z139:Z143)</f>
        <v>0</v>
      </c>
      <c r="AA138" s="335">
        <f>SUM(AA139:AA149)</f>
        <v>3722425.1599999992</v>
      </c>
    </row>
    <row r="139" spans="1:27" ht="72.75" x14ac:dyDescent="0.25">
      <c r="A139" s="992" t="str">
        <f>CONCATENATE('3 pr-2'!A142)</f>
        <v>2.1.2.3.1</v>
      </c>
      <c r="B139" s="380" t="str">
        <f>CONCATENATE('ketv. 6 lent'!B141)</f>
        <v>-</v>
      </c>
      <c r="C139" s="1007" t="str">
        <f>CONCATENATE('3 pr-2'!D142)</f>
        <v>Priemonių gerinančių ambulatorinių sveikatos priežiūros paslaugų prieinamumą tuberkulioze sergantiems asmenims, Alytaus rajone įgyvendinimas</v>
      </c>
      <c r="D139" s="992" t="str">
        <f>CONCATENATE('3 pr-2'!E142)</f>
        <v>VšĮ Alytaus rajono savivaldybės pirminės sveikatos priežiūros centras</v>
      </c>
      <c r="E139" s="992" t="str">
        <f>CONCATENATE('3 pr-2'!F142)</f>
        <v>Lietuvos Respublikos Sveikatos apsaugos ministerija</v>
      </c>
      <c r="F139" s="992" t="str">
        <f>CONCATENATE('3 pr-2'!G142)</f>
        <v>Alytaus rajono savivaldybė</v>
      </c>
      <c r="G139" s="992" t="str">
        <f>CONCATENATE('3 pr-2'!H142)</f>
        <v>08.4.2-ESFA-R-615</v>
      </c>
      <c r="H139" s="992" t="str">
        <f>CONCATENATE('3 pr-2'!I142)</f>
        <v>R</v>
      </c>
      <c r="I139" s="992" t="str">
        <f>CONCATENATE('3 pr-2'!J142)</f>
        <v>-</v>
      </c>
      <c r="J139" s="994">
        <f>SUM('ketv. 6 lent'!K141)</f>
        <v>0</v>
      </c>
      <c r="K139" s="994">
        <v>0</v>
      </c>
      <c r="L139" s="1009">
        <f t="shared" ref="L139:L143" si="123">SUM(J139-K139)</f>
        <v>0</v>
      </c>
      <c r="M139" s="684">
        <f>SUM('ketv. 6 lent'!O141)</f>
        <v>0</v>
      </c>
      <c r="N139" s="994">
        <v>0</v>
      </c>
      <c r="O139" s="1009">
        <f t="shared" ref="O139:O143" si="124">SUM(M139-N139)</f>
        <v>0</v>
      </c>
      <c r="P139" s="684">
        <f>SUM('ketv. 6 lent'!S141)</f>
        <v>0</v>
      </c>
      <c r="Q139" s="994">
        <v>0</v>
      </c>
      <c r="R139" s="1009">
        <f t="shared" ref="R139:R143" si="125">SUM(P139-Q139)</f>
        <v>0</v>
      </c>
      <c r="S139" s="684">
        <f>SUM('ketv. 6 lent'!W141)</f>
        <v>0</v>
      </c>
      <c r="T139" s="994">
        <v>0</v>
      </c>
      <c r="U139" s="1009">
        <f t="shared" ref="U139:U143" si="126">SUM(S139-T139)</f>
        <v>0</v>
      </c>
      <c r="V139" s="684">
        <f>SUM('ketv. 6 lent'!AA141)</f>
        <v>0</v>
      </c>
      <c r="W139" s="994">
        <v>0</v>
      </c>
      <c r="X139" s="1009">
        <f t="shared" ref="X139:X143" si="127">SUM(V139-W139)</f>
        <v>0</v>
      </c>
      <c r="Y139" s="684">
        <f>SUM('ketv. 6 lent'!AE141)</f>
        <v>0</v>
      </c>
      <c r="Z139" s="994">
        <v>0</v>
      </c>
      <c r="AA139" s="728">
        <f t="shared" ref="AA139:AA143" si="128">SUM(Y139-Z139)</f>
        <v>0</v>
      </c>
    </row>
    <row r="140" spans="1:27" ht="48.75" x14ac:dyDescent="0.25">
      <c r="A140" s="992" t="str">
        <f>CONCATENATE('3 pr-2'!A143)</f>
        <v>2.1.2.3.2</v>
      </c>
      <c r="B140" s="380" t="str">
        <f>CONCATENATE('ketv. 6 lent'!B142)</f>
        <v>-</v>
      </c>
      <c r="C140" s="1007" t="str">
        <f>CONCATENATE('3 pr-2'!D143)</f>
        <v>Ambulatorinių sveikatos priežiūros paslaugų gerinimas tuberkulioze sergantiems asmenims</v>
      </c>
      <c r="D140" s="992" t="str">
        <f>CONCATENATE('3 pr-2'!E143)</f>
        <v>Alytaus miesto savivaldybės administracija</v>
      </c>
      <c r="E140" s="992" t="str">
        <f>CONCATENATE('3 pr-2'!F143)</f>
        <v>Lietuvos Respublikos Sveikatos apsaugos ministerija</v>
      </c>
      <c r="F140" s="992" t="str">
        <f>CONCATENATE('3 pr-2'!G143)</f>
        <v>Alytaus  miestas</v>
      </c>
      <c r="G140" s="992" t="str">
        <f>CONCATENATE('3 pr-2'!H143)</f>
        <v>08.4.2-ESFA-R-615</v>
      </c>
      <c r="H140" s="992" t="str">
        <f>CONCATENATE('3 pr-2'!I143)</f>
        <v>R</v>
      </c>
      <c r="I140" s="992" t="str">
        <f>CONCATENATE('3 pr-2'!J143)</f>
        <v>-</v>
      </c>
      <c r="J140" s="994">
        <f>SUM('ketv. 6 lent'!K142)</f>
        <v>0</v>
      </c>
      <c r="K140" s="994">
        <v>0</v>
      </c>
      <c r="L140" s="1009">
        <f t="shared" si="123"/>
        <v>0</v>
      </c>
      <c r="M140" s="684">
        <f>SUM('ketv. 6 lent'!O142)</f>
        <v>0</v>
      </c>
      <c r="N140" s="994">
        <v>0</v>
      </c>
      <c r="O140" s="1009">
        <f t="shared" si="124"/>
        <v>0</v>
      </c>
      <c r="P140" s="684">
        <f>SUM('ketv. 6 lent'!S142)</f>
        <v>0</v>
      </c>
      <c r="Q140" s="994">
        <v>0</v>
      </c>
      <c r="R140" s="1009">
        <f t="shared" si="125"/>
        <v>0</v>
      </c>
      <c r="S140" s="684">
        <f>SUM('ketv. 6 lent'!W142)</f>
        <v>0</v>
      </c>
      <c r="T140" s="994">
        <v>0</v>
      </c>
      <c r="U140" s="1009">
        <f t="shared" si="126"/>
        <v>0</v>
      </c>
      <c r="V140" s="684">
        <f>SUM('ketv. 6 lent'!AA142)</f>
        <v>0</v>
      </c>
      <c r="W140" s="994">
        <v>0</v>
      </c>
      <c r="X140" s="1009">
        <f t="shared" si="127"/>
        <v>0</v>
      </c>
      <c r="Y140" s="684">
        <f>SUM('ketv. 6 lent'!AE142)</f>
        <v>0</v>
      </c>
      <c r="Z140" s="994">
        <v>0</v>
      </c>
      <c r="AA140" s="728">
        <f t="shared" si="128"/>
        <v>0</v>
      </c>
    </row>
    <row r="141" spans="1:27" ht="36.75" x14ac:dyDescent="0.25">
      <c r="A141" s="992" t="str">
        <f>CONCATENATE('3 pr-2'!A144)</f>
        <v>2.1.2.3.3</v>
      </c>
      <c r="B141" s="380" t="str">
        <f>CONCATENATE('ketv. 6 lent'!B143)</f>
        <v>-</v>
      </c>
      <c r="C141" s="1007" t="str">
        <f>CONCATENATE('3 pr-2'!D144)</f>
        <v xml:space="preserve">Paslaugų tuberkulioze sergantiems asmenims gerinimas Lazdijų rajono savivaldybėje </v>
      </c>
      <c r="D141" s="992" t="str">
        <f>CONCATENATE('3 pr-2'!E144)</f>
        <v>Lazdijų rajono savivaldybės administracija</v>
      </c>
      <c r="E141" s="992" t="str">
        <f>CONCATENATE('3 pr-2'!F144)</f>
        <v>Lietuvos Respublikos Sveikatos apsaugos ministerija</v>
      </c>
      <c r="F141" s="992" t="str">
        <f>CONCATENATE('3 pr-2'!G144)</f>
        <v>Lazdijų rajono savivaldybė</v>
      </c>
      <c r="G141" s="992" t="str">
        <f>CONCATENATE('3 pr-2'!H144)</f>
        <v>08.4.2-ESFA-R-615</v>
      </c>
      <c r="H141" s="992" t="str">
        <f>CONCATENATE('3 pr-2'!I144)</f>
        <v>R</v>
      </c>
      <c r="I141" s="992" t="str">
        <f>CONCATENATE('3 pr-2'!J144)</f>
        <v>-</v>
      </c>
      <c r="J141" s="994">
        <f>SUM('ketv. 6 lent'!K143)</f>
        <v>0</v>
      </c>
      <c r="K141" s="994">
        <v>0</v>
      </c>
      <c r="L141" s="1009">
        <f t="shared" si="123"/>
        <v>0</v>
      </c>
      <c r="M141" s="684">
        <f>SUM('ketv. 6 lent'!O143)</f>
        <v>0</v>
      </c>
      <c r="N141" s="994">
        <v>0</v>
      </c>
      <c r="O141" s="1009">
        <f t="shared" si="124"/>
        <v>0</v>
      </c>
      <c r="P141" s="684">
        <f>SUM('ketv. 6 lent'!S143)</f>
        <v>0</v>
      </c>
      <c r="Q141" s="994">
        <v>0</v>
      </c>
      <c r="R141" s="1009">
        <f t="shared" si="125"/>
        <v>0</v>
      </c>
      <c r="S141" s="684">
        <f>SUM('ketv. 6 lent'!W143)</f>
        <v>0</v>
      </c>
      <c r="T141" s="994">
        <v>0</v>
      </c>
      <c r="U141" s="1009">
        <f t="shared" si="126"/>
        <v>0</v>
      </c>
      <c r="V141" s="684">
        <f>SUM('ketv. 6 lent'!AA143)</f>
        <v>0</v>
      </c>
      <c r="W141" s="994">
        <v>0</v>
      </c>
      <c r="X141" s="1009">
        <f t="shared" si="127"/>
        <v>0</v>
      </c>
      <c r="Y141" s="684">
        <f>SUM('ketv. 6 lent'!AE143)</f>
        <v>0</v>
      </c>
      <c r="Z141" s="994">
        <v>0</v>
      </c>
      <c r="AA141" s="728">
        <f t="shared" si="128"/>
        <v>0</v>
      </c>
    </row>
    <row r="142" spans="1:27" ht="60.75" x14ac:dyDescent="0.25">
      <c r="A142" s="992" t="str">
        <f>CONCATENATE('3 pr-2'!A145)</f>
        <v>2.1.2.3.4</v>
      </c>
      <c r="B142" s="380" t="str">
        <f>CONCATENATE('ketv. 6 lent'!B144)</f>
        <v>-</v>
      </c>
      <c r="C142" s="1007" t="str">
        <f>CONCATENATE('3 pr-2'!D145)</f>
        <v>Ambulatorinių sveikatos priežiūros paslaugų tuberkulioze sergantiems asmenims prieinamumo gerinimas Druskininkų savivaldybėje</v>
      </c>
      <c r="D142" s="992" t="str">
        <f>CONCATENATE('3 pr-2'!E145)</f>
        <v>Druskininkų pirminės sveikatos priežiūros centras</v>
      </c>
      <c r="E142" s="992" t="str">
        <f>CONCATENATE('3 pr-2'!F145)</f>
        <v>Lietuvos Respublikos Sveikatos apsaugos ministerija</v>
      </c>
      <c r="F142" s="992" t="str">
        <f>CONCATENATE('3 pr-2'!G145)</f>
        <v>Druskininkų savivaldybė</v>
      </c>
      <c r="G142" s="992" t="str">
        <f>CONCATENATE('3 pr-2'!H145)</f>
        <v>08.4.2-ESFA-R-615</v>
      </c>
      <c r="H142" s="992" t="str">
        <f>CONCATENATE('3 pr-2'!I145)</f>
        <v>R</v>
      </c>
      <c r="I142" s="992" t="str">
        <f>CONCATENATE('3 pr-2'!J145)</f>
        <v>-</v>
      </c>
      <c r="J142" s="994">
        <f>SUM('ketv. 6 lent'!K144)</f>
        <v>0</v>
      </c>
      <c r="K142" s="994">
        <v>0</v>
      </c>
      <c r="L142" s="1009">
        <f t="shared" si="123"/>
        <v>0</v>
      </c>
      <c r="M142" s="684">
        <f>SUM('ketv. 6 lent'!O144)</f>
        <v>0</v>
      </c>
      <c r="N142" s="994">
        <v>0</v>
      </c>
      <c r="O142" s="1009">
        <f t="shared" si="124"/>
        <v>0</v>
      </c>
      <c r="P142" s="684">
        <f>SUM('ketv. 6 lent'!S144)</f>
        <v>0</v>
      </c>
      <c r="Q142" s="994">
        <v>0</v>
      </c>
      <c r="R142" s="1009">
        <f t="shared" si="125"/>
        <v>0</v>
      </c>
      <c r="S142" s="684">
        <f>SUM('ketv. 6 lent'!W144)</f>
        <v>0</v>
      </c>
      <c r="T142" s="994">
        <v>0</v>
      </c>
      <c r="U142" s="1009">
        <f t="shared" si="126"/>
        <v>0</v>
      </c>
      <c r="V142" s="684">
        <f>SUM('ketv. 6 lent'!AA144)</f>
        <v>0</v>
      </c>
      <c r="W142" s="994">
        <v>0</v>
      </c>
      <c r="X142" s="1009">
        <f t="shared" si="127"/>
        <v>0</v>
      </c>
      <c r="Y142" s="684">
        <f>SUM('ketv. 6 lent'!AE144)</f>
        <v>0</v>
      </c>
      <c r="Z142" s="994">
        <v>0</v>
      </c>
      <c r="AA142" s="728">
        <f t="shared" si="128"/>
        <v>0</v>
      </c>
    </row>
    <row r="143" spans="1:27" ht="60.75" x14ac:dyDescent="0.25">
      <c r="A143" s="992" t="str">
        <f>CONCATENATE('3 pr-2'!A146)</f>
        <v>2.1.2.3.5</v>
      </c>
      <c r="B143" s="380" t="str">
        <f>CONCATENATE('ketv. 6 lent'!B145)</f>
        <v>-</v>
      </c>
      <c r="C143" s="1007" t="str">
        <f>CONCATENATE('3 pr-2'!D146)</f>
        <v>Ambulatorinių sveikatos priežiūros paslaugų prieinamumo gerinimas tuberkulioze sergantiems asmenims Varėnos rajono savivaldybėje</v>
      </c>
      <c r="D143" s="992" t="str">
        <f>CONCATENATE('3 pr-2'!E146)</f>
        <v>Varėnos rajono savivaldybės administracija</v>
      </c>
      <c r="E143" s="992" t="str">
        <f>CONCATENATE('3 pr-2'!F146)</f>
        <v>Lietuvos Respublikos Sveikatos apsaugos ministerija</v>
      </c>
      <c r="F143" s="992" t="str">
        <f>CONCATENATE('3 pr-2'!G146)</f>
        <v>Varėnos rajono savivaldybė</v>
      </c>
      <c r="G143" s="992" t="str">
        <f>CONCATENATE('3 pr-2'!H146)</f>
        <v>08.4.2-ESFA-R-615</v>
      </c>
      <c r="H143" s="992" t="str">
        <f>CONCATENATE('3 pr-2'!I146)</f>
        <v>R</v>
      </c>
      <c r="I143" s="992" t="str">
        <f>CONCATENATE('3 pr-2'!J146)</f>
        <v>-</v>
      </c>
      <c r="J143" s="994">
        <f>SUM('ketv. 6 lent'!K145)</f>
        <v>0</v>
      </c>
      <c r="K143" s="994">
        <v>0</v>
      </c>
      <c r="L143" s="1009">
        <f t="shared" si="123"/>
        <v>0</v>
      </c>
      <c r="M143" s="684">
        <f>SUM('ketv. 6 lent'!O145)</f>
        <v>0</v>
      </c>
      <c r="N143" s="994">
        <v>0</v>
      </c>
      <c r="O143" s="1009">
        <f t="shared" si="124"/>
        <v>0</v>
      </c>
      <c r="P143" s="684">
        <f>SUM('ketv. 6 lent'!S145)</f>
        <v>0</v>
      </c>
      <c r="Q143" s="994">
        <v>0</v>
      </c>
      <c r="R143" s="1009">
        <f t="shared" si="125"/>
        <v>0</v>
      </c>
      <c r="S143" s="684">
        <f>SUM('ketv. 6 lent'!W145)</f>
        <v>0</v>
      </c>
      <c r="T143" s="994">
        <v>0</v>
      </c>
      <c r="U143" s="1009">
        <f t="shared" si="126"/>
        <v>0</v>
      </c>
      <c r="V143" s="684">
        <f>SUM('ketv. 6 lent'!AA145)</f>
        <v>0</v>
      </c>
      <c r="W143" s="994">
        <v>0</v>
      </c>
      <c r="X143" s="1009">
        <f t="shared" si="127"/>
        <v>0</v>
      </c>
      <c r="Y143" s="684">
        <f>SUM('ketv. 6 lent'!AE145)</f>
        <v>0</v>
      </c>
      <c r="Z143" s="994">
        <v>0</v>
      </c>
      <c r="AA143" s="728">
        <f t="shared" si="128"/>
        <v>0</v>
      </c>
    </row>
    <row r="144" spans="1:27" ht="53.25" customHeight="1" thickBot="1" x14ac:dyDescent="0.3">
      <c r="A144" s="731" t="str">
        <f>CONCATENATE('3 pr-2'!A147)</f>
        <v>2.1.3.</v>
      </c>
      <c r="B144" s="732" t="str">
        <f>CONCATENATE('ketv. 2lent'!B145)</f>
        <v/>
      </c>
      <c r="C144" s="1821" t="str">
        <f>CONCATENATE('3 pr-2'!D147)</f>
        <v/>
      </c>
      <c r="D144" s="1840"/>
      <c r="E144" s="1840"/>
      <c r="F144" s="1840"/>
      <c r="G144" s="1840"/>
      <c r="H144" s="1840"/>
      <c r="I144" s="1841"/>
      <c r="J144" s="651">
        <f>SUM('ketv. 6 lent'!K146)</f>
        <v>4238690.67</v>
      </c>
      <c r="K144" s="651">
        <f>SUM(K145+K151)</f>
        <v>1443767.56</v>
      </c>
      <c r="L144" s="651">
        <f t="shared" ref="L144:L171" si="129">SUM(J144-K144)</f>
        <v>2794923.11</v>
      </c>
      <c r="M144" s="651">
        <f>SUM('ketv. 6 lent'!O146)</f>
        <v>810008.03</v>
      </c>
      <c r="N144" s="651">
        <f>SUM(N145+N151)</f>
        <v>139723</v>
      </c>
      <c r="O144" s="651">
        <f t="shared" ref="O144:O178" si="130">SUM(M144-N144)</f>
        <v>670285.03</v>
      </c>
      <c r="P144" s="651">
        <f>SUM('ketv. 6 lent'!S146)</f>
        <v>21948</v>
      </c>
      <c r="Q144" s="651">
        <f>SUM(Q145+Q151)</f>
        <v>2764.7</v>
      </c>
      <c r="R144" s="651">
        <f t="shared" ref="R144:R178" si="131">SUM(P144-Q144)</f>
        <v>19183.3</v>
      </c>
      <c r="S144" s="651">
        <f>SUM('ketv. 6 lent'!W146)</f>
        <v>0</v>
      </c>
      <c r="T144" s="651">
        <f>SUM(T145+T151)</f>
        <v>0</v>
      </c>
      <c r="U144" s="651">
        <f t="shared" ref="U144:U178" si="132">SUM(S144-T144)</f>
        <v>0</v>
      </c>
      <c r="V144" s="651">
        <f>SUM('ketv. 6 lent'!AA146)</f>
        <v>0</v>
      </c>
      <c r="W144" s="651">
        <f>SUM(W145+W151)</f>
        <v>0</v>
      </c>
      <c r="X144" s="651">
        <f t="shared" ref="X144:X178" si="133">SUM(V144-W144)</f>
        <v>0</v>
      </c>
      <c r="Y144" s="651">
        <f>SUM('ketv. 6 lent'!AE146)</f>
        <v>3406734.6399999997</v>
      </c>
      <c r="Z144" s="651">
        <f>SUM(Z145+Z151)</f>
        <v>1301279.8600000001</v>
      </c>
      <c r="AA144" s="351">
        <f t="shared" ref="AA144:AA178" si="134">SUM(Y144-Z144)</f>
        <v>2105454.7799999993</v>
      </c>
    </row>
    <row r="145" spans="1:29" ht="36" customHeight="1" thickBot="1" x14ac:dyDescent="0.3">
      <c r="A145" s="497" t="str">
        <f>CONCATENATE('3 pr-2'!A148)</f>
        <v>2.1.3.1</v>
      </c>
      <c r="B145" s="613" t="str">
        <f>CONCATENATE('ketv. 2lent'!B146)</f>
        <v/>
      </c>
      <c r="C145" s="1656" t="str">
        <f>CONCATENATE('3 pr-2'!D148)</f>
        <v/>
      </c>
      <c r="D145" s="1789"/>
      <c r="E145" s="1789"/>
      <c r="F145" s="1789"/>
      <c r="G145" s="1789"/>
      <c r="H145" s="1789"/>
      <c r="I145" s="1790"/>
      <c r="J145" s="629">
        <f>SUM('ketv. 6 lent'!K147)</f>
        <v>1272489.55</v>
      </c>
      <c r="K145" s="629">
        <f>SUM(K146:K150)</f>
        <v>25688.32</v>
      </c>
      <c r="L145" s="629">
        <f>SUM(L146:L150)</f>
        <v>1246801.23</v>
      </c>
      <c r="M145" s="629">
        <f>SUM('ketv. 6 lent'!O147)</f>
        <v>364780.55000000005</v>
      </c>
      <c r="N145" s="629">
        <f>SUM(N146:N150)</f>
        <v>0</v>
      </c>
      <c r="O145" s="629">
        <f>SUM(O146:O150)</f>
        <v>364780.55000000005</v>
      </c>
      <c r="P145" s="629">
        <f>SUM('ketv. 6 lent'!S147)</f>
        <v>21948</v>
      </c>
      <c r="Q145" s="629">
        <f>SUM(Q146:Q150)</f>
        <v>2764.7</v>
      </c>
      <c r="R145" s="629">
        <f>SUM(R146:R150)</f>
        <v>19183.3</v>
      </c>
      <c r="S145" s="629">
        <f>SUM('ketv. 6 lent'!W147)</f>
        <v>0</v>
      </c>
      <c r="T145" s="629">
        <f>SUM(T146:T150)</f>
        <v>0</v>
      </c>
      <c r="U145" s="629">
        <f>SUM(U146:U150)</f>
        <v>0</v>
      </c>
      <c r="V145" s="629">
        <f>SUM('ketv. 6 lent'!AA147)</f>
        <v>0</v>
      </c>
      <c r="W145" s="629">
        <f>SUM(W146:W150)</f>
        <v>0</v>
      </c>
      <c r="X145" s="629">
        <f>SUM(X146:X150)</f>
        <v>0</v>
      </c>
      <c r="Y145" s="629">
        <f>SUM('ketv. 6 lent'!AE147)</f>
        <v>885761</v>
      </c>
      <c r="Z145" s="629">
        <f>SUM(Z146:Z150)</f>
        <v>22923.620000000003</v>
      </c>
      <c r="AA145" s="338">
        <f>SUM(AA146:AA150)</f>
        <v>862837.38</v>
      </c>
    </row>
    <row r="146" spans="1:29" ht="36.75" x14ac:dyDescent="0.25">
      <c r="A146" s="992" t="str">
        <f>CONCATENATE('3 pr-2'!A149)</f>
        <v>2.1.3.1.1</v>
      </c>
      <c r="B146" s="1016" t="str">
        <f>CONCATENATE('ketv. 6 lent'!B148)</f>
        <v>08.1.1-CPVA-R-407-11-0002</v>
      </c>
      <c r="C146" s="332" t="str">
        <f>CONCATENATE('3 pr-2'!D149)</f>
        <v>Socialinių paslaugų infrastruktūros plėtra Varėnos rajono savivaldybėje</v>
      </c>
      <c r="D146" s="255" t="str">
        <f>CONCATENATE('3 pr-2'!E149)</f>
        <v>Varėnos rajono savivaldybės administracija</v>
      </c>
      <c r="E146" s="255" t="str">
        <f>CONCATENATE('3 pr-2'!F149)</f>
        <v>Lietuvos Respublikos socialinės apsaugos ir darbo ministerija</v>
      </c>
      <c r="F146" s="255" t="str">
        <f>CONCATENATE('3 pr-2'!G149)</f>
        <v>Varėnos rajono savivaldybė</v>
      </c>
      <c r="G146" s="255" t="str">
        <f>CONCATENATE('3 pr-2'!H149)</f>
        <v>08.1.2-CPVA-R-407</v>
      </c>
      <c r="H146" s="255" t="str">
        <f>CONCATENATE('3 pr-2'!I149)</f>
        <v>R</v>
      </c>
      <c r="I146" s="255" t="str">
        <f>CONCATENATE('3 pr-2'!J149)</f>
        <v>-</v>
      </c>
      <c r="J146" s="474">
        <f>SUM('ketv. 6 lent'!K148)</f>
        <v>148480</v>
      </c>
      <c r="K146" s="474">
        <v>0</v>
      </c>
      <c r="L146" s="475">
        <f t="shared" si="129"/>
        <v>148480</v>
      </c>
      <c r="M146" s="476">
        <f>SUM('ketv. 6 lent'!O148)</f>
        <v>22272</v>
      </c>
      <c r="N146" s="474">
        <v>0</v>
      </c>
      <c r="O146" s="475">
        <f t="shared" ref="O146:O150" si="135">SUM(M146-N146)</f>
        <v>22272</v>
      </c>
      <c r="P146" s="476">
        <f>SUM('ketv. 6 lent'!S148)</f>
        <v>0</v>
      </c>
      <c r="Q146" s="474">
        <v>0</v>
      </c>
      <c r="R146" s="475">
        <f t="shared" ref="R146:R149" si="136">SUM(P146-Q146)</f>
        <v>0</v>
      </c>
      <c r="S146" s="476">
        <f>SUM('ketv. 6 lent'!W148)</f>
        <v>0</v>
      </c>
      <c r="T146" s="474">
        <v>0</v>
      </c>
      <c r="U146" s="475">
        <f t="shared" ref="U146:U150" si="137">SUM(S146-T146)</f>
        <v>0</v>
      </c>
      <c r="V146" s="476">
        <f>SUM('ketv. 6 lent'!AA148)</f>
        <v>0</v>
      </c>
      <c r="W146" s="474">
        <v>0</v>
      </c>
      <c r="X146" s="475">
        <f t="shared" ref="X146:X150" si="138">SUM(V146-W146)</f>
        <v>0</v>
      </c>
      <c r="Y146" s="476">
        <f>SUM('ketv. 6 lent'!AE148)</f>
        <v>126208</v>
      </c>
      <c r="Z146" s="474">
        <v>0</v>
      </c>
      <c r="AA146" s="728">
        <f t="shared" ref="AA146:AA149" si="139">SUM(Y146-Z146)</f>
        <v>126208</v>
      </c>
    </row>
    <row r="147" spans="1:29" ht="36.75" x14ac:dyDescent="0.25">
      <c r="A147" s="992" t="str">
        <f>CONCATENATE('3 pr-2'!A150)</f>
        <v>2.1.3.1.2</v>
      </c>
      <c r="B147" s="1016" t="str">
        <f>CONCATENATE('ketv. 6 lent'!B149)</f>
        <v>08.1.1-CPVA-R-407-11-0004</v>
      </c>
      <c r="C147" s="332" t="str">
        <f>CONCATENATE('3 pr-2'!D150)</f>
        <v>Psichosocialinės pagalbos centro įkūrimas</v>
      </c>
      <c r="D147" s="255" t="str">
        <f>CONCATENATE('3 pr-2'!E150)</f>
        <v>Alytaus rajono savivaldybės administracija</v>
      </c>
      <c r="E147" s="255" t="str">
        <f>CONCATENATE('3 pr-2'!F150)</f>
        <v>Lietuvos Respublikos socialinės apsaugos ir darbo ministerija</v>
      </c>
      <c r="F147" s="255" t="str">
        <f>CONCATENATE('3 pr-2'!G150)</f>
        <v>Alytaus  miestas</v>
      </c>
      <c r="G147" s="255" t="str">
        <f>CONCATENATE('3 pr-2'!H150)</f>
        <v>08.1.2-CPVA-R-407</v>
      </c>
      <c r="H147" s="255" t="str">
        <f>CONCATENATE('3 pr-2'!I150)</f>
        <v>R</v>
      </c>
      <c r="I147" s="255" t="str">
        <f>CONCATENATE('3 pr-2'!J150)</f>
        <v/>
      </c>
      <c r="J147" s="474">
        <f>SUM('ketv. 6 lent'!K149)</f>
        <v>188353</v>
      </c>
      <c r="K147" s="474">
        <v>0</v>
      </c>
      <c r="L147" s="475">
        <f t="shared" si="129"/>
        <v>188353</v>
      </c>
      <c r="M147" s="476">
        <f>SUM('ketv. 6 lent'!O149)</f>
        <v>28253</v>
      </c>
      <c r="N147" s="474">
        <v>0</v>
      </c>
      <c r="O147" s="475">
        <f t="shared" si="135"/>
        <v>28253</v>
      </c>
      <c r="P147" s="476">
        <f>SUM('ketv. 6 lent'!S149)</f>
        <v>0</v>
      </c>
      <c r="Q147" s="474">
        <v>0</v>
      </c>
      <c r="R147" s="475">
        <f t="shared" si="136"/>
        <v>0</v>
      </c>
      <c r="S147" s="476">
        <f>SUM('ketv. 6 lent'!W149)</f>
        <v>0</v>
      </c>
      <c r="T147" s="474">
        <v>0</v>
      </c>
      <c r="U147" s="475">
        <f t="shared" si="137"/>
        <v>0</v>
      </c>
      <c r="V147" s="476">
        <f>SUM('ketv. 6 lent'!AA149)</f>
        <v>0</v>
      </c>
      <c r="W147" s="474">
        <v>0</v>
      </c>
      <c r="X147" s="475">
        <f t="shared" si="138"/>
        <v>0</v>
      </c>
      <c r="Y147" s="476">
        <f>SUM('ketv. 6 lent'!AE149)</f>
        <v>160100</v>
      </c>
      <c r="Z147" s="474">
        <v>0</v>
      </c>
      <c r="AA147" s="728">
        <f t="shared" si="139"/>
        <v>160100</v>
      </c>
    </row>
    <row r="148" spans="1:29" ht="36.75" x14ac:dyDescent="0.25">
      <c r="A148" s="992" t="str">
        <f>CONCATENATE('3 pr-2'!A151)</f>
        <v>2.1.3.1.3</v>
      </c>
      <c r="B148" s="1016" t="str">
        <f>CONCATENATE('ketv. 6 lent'!B150)</f>
        <v>08.1.1-CPVA-R-407-11-0005</v>
      </c>
      <c r="C148" s="332" t="str">
        <f>CONCATENATE('3 pr-2'!D151)</f>
        <v>Socialinių paslaugų plėtra Alytaus mieste</v>
      </c>
      <c r="D148" s="255" t="str">
        <f>CONCATENATE('3 pr-2'!E151)</f>
        <v>Alytaus miesto savivaldybės administracija</v>
      </c>
      <c r="E148" s="255" t="str">
        <f>CONCATENATE('3 pr-2'!F151)</f>
        <v>Lietuvos Respublikos socialinės apsaugos ir darbo ministerija</v>
      </c>
      <c r="F148" s="255" t="str">
        <f>CONCATENATE('3 pr-2'!G151)</f>
        <v>Alytaus  miestas</v>
      </c>
      <c r="G148" s="255" t="str">
        <f>CONCATENATE('3 pr-2'!H151)</f>
        <v>08.1.2-CPVA-R-407</v>
      </c>
      <c r="H148" s="255" t="str">
        <f>CONCATENATE('3 pr-2'!I151)</f>
        <v>R</v>
      </c>
      <c r="I148" s="255" t="str">
        <f>CONCATENATE('3 pr-2'!J151)</f>
        <v>-</v>
      </c>
      <c r="J148" s="474">
        <f>SUM('ketv. 6 lent'!K150)</f>
        <v>637900.55000000005</v>
      </c>
      <c r="K148" s="474">
        <v>0</v>
      </c>
      <c r="L148" s="475">
        <f t="shared" si="129"/>
        <v>637900.55000000005</v>
      </c>
      <c r="M148" s="476">
        <f>SUM('ketv. 6 lent'!O150)</f>
        <v>291539.55000000005</v>
      </c>
      <c r="N148" s="474">
        <v>0</v>
      </c>
      <c r="O148" s="475">
        <f t="shared" si="135"/>
        <v>291539.55000000005</v>
      </c>
      <c r="P148" s="476">
        <f>SUM('ketv. 6 lent'!S150)</f>
        <v>0</v>
      </c>
      <c r="Q148" s="474">
        <v>0</v>
      </c>
      <c r="R148" s="475">
        <f t="shared" si="136"/>
        <v>0</v>
      </c>
      <c r="S148" s="476">
        <f>SUM('ketv. 6 lent'!W150)</f>
        <v>0</v>
      </c>
      <c r="T148" s="474">
        <v>0</v>
      </c>
      <c r="U148" s="475">
        <f t="shared" si="137"/>
        <v>0</v>
      </c>
      <c r="V148" s="476">
        <f>SUM('ketv. 6 lent'!AA150)</f>
        <v>0</v>
      </c>
      <c r="W148" s="474">
        <v>0</v>
      </c>
      <c r="X148" s="475">
        <f t="shared" si="138"/>
        <v>0</v>
      </c>
      <c r="Y148" s="476">
        <f>SUM('ketv. 6 lent'!AE150)</f>
        <v>346361</v>
      </c>
      <c r="Z148" s="474">
        <v>0</v>
      </c>
      <c r="AA148" s="728">
        <f t="shared" si="139"/>
        <v>346361</v>
      </c>
    </row>
    <row r="149" spans="1:29" ht="36.75" x14ac:dyDescent="0.25">
      <c r="A149" s="992" t="str">
        <f>CONCATENATE('3 pr-2'!A152)</f>
        <v>2.1.3.1.4</v>
      </c>
      <c r="B149" s="1016" t="str">
        <f>CONCATENATE('ketv. 6 lent'!B151)</f>
        <v>08.1.1-CPVA-R-407-11-0001</v>
      </c>
      <c r="C149" s="332" t="str">
        <f>CONCATENATE('3 pr-2'!D152)</f>
        <v>Socialinių paslaugų infrastruktūros plėtra Druskininkų savivaldybėje</v>
      </c>
      <c r="D149" s="255" t="str">
        <f>CONCATENATE('3 pr-2'!E152)</f>
        <v>Druskininkų savivaldybės administracija</v>
      </c>
      <c r="E149" s="255" t="str">
        <f>CONCATENATE('3 pr-2'!F152)</f>
        <v>Lietuvos Respublikos socialinės apsaugos ir darbo ministerija</v>
      </c>
      <c r="F149" s="255" t="str">
        <f>CONCATENATE('3 pr-2'!G152)</f>
        <v>Druskininkų savivaldybė</v>
      </c>
      <c r="G149" s="255" t="str">
        <f>CONCATENATE('3 pr-2'!H152)</f>
        <v>08.1.2-CPVA-R-407</v>
      </c>
      <c r="H149" s="255" t="str">
        <f>CONCATENATE('3 pr-2'!I152)</f>
        <v>R</v>
      </c>
      <c r="I149" s="255" t="str">
        <f>CONCATENATE('3 pr-2'!J152)</f>
        <v>-</v>
      </c>
      <c r="J149" s="474">
        <f>SUM('ketv. 6 lent'!K151)</f>
        <v>151437</v>
      </c>
      <c r="K149" s="476">
        <f>SUM(N149+Q149+Z149)</f>
        <v>7257</v>
      </c>
      <c r="L149" s="475">
        <f t="shared" si="129"/>
        <v>144180</v>
      </c>
      <c r="M149" s="476">
        <f>SUM('ketv. 6 lent'!O151)</f>
        <v>22716</v>
      </c>
      <c r="N149" s="476">
        <v>0</v>
      </c>
      <c r="O149" s="475">
        <f t="shared" si="135"/>
        <v>22716</v>
      </c>
      <c r="P149" s="476">
        <f>SUM('ketv. 6 lent'!S151)</f>
        <v>0</v>
      </c>
      <c r="Q149" s="476">
        <v>0</v>
      </c>
      <c r="R149" s="475">
        <f t="shared" si="136"/>
        <v>0</v>
      </c>
      <c r="S149" s="476">
        <f>SUM('ketv. 6 lent'!W151)</f>
        <v>0</v>
      </c>
      <c r="T149" s="474">
        <v>0</v>
      </c>
      <c r="U149" s="475">
        <f t="shared" si="137"/>
        <v>0</v>
      </c>
      <c r="V149" s="476">
        <f>SUM('ketv. 6 lent'!AA151)</f>
        <v>0</v>
      </c>
      <c r="W149" s="474">
        <v>0</v>
      </c>
      <c r="X149" s="475">
        <f t="shared" si="138"/>
        <v>0</v>
      </c>
      <c r="Y149" s="476">
        <f>SUM('ketv. 6 lent'!AE151)</f>
        <v>128721</v>
      </c>
      <c r="Z149" s="662">
        <v>7257</v>
      </c>
      <c r="AA149" s="728">
        <f t="shared" si="139"/>
        <v>121464</v>
      </c>
    </row>
    <row r="150" spans="1:29" ht="49.5" thickBot="1" x14ac:dyDescent="0.3">
      <c r="A150" s="992" t="str">
        <f>CONCATENATE('3 pr-2'!A153)</f>
        <v>2.1.3.1.5</v>
      </c>
      <c r="B150" s="1016" t="str">
        <f>CONCATENATE('ketv. 6 lent'!B152)</f>
        <v>08.1.1-CPVA-R-407-11-0003</v>
      </c>
      <c r="C150" s="332" t="str">
        <f>CONCATENATE('3 pr-2'!D153)</f>
        <v>Socialinių paslaugų infrastruktūros modernizavimas ir plėtra VšĮ Kapčiamiesčio globos namuose</v>
      </c>
      <c r="D150" s="255" t="str">
        <f>CONCATENATE('3 pr-2'!E153)</f>
        <v>VšĮ Kapčiamiesčio globos namai</v>
      </c>
      <c r="E150" s="255" t="str">
        <f>CONCATENATE('3 pr-2'!F153)</f>
        <v>Lietuvos Respublikos socialinės apsaugos ir darbo ministerija</v>
      </c>
      <c r="F150" s="255" t="str">
        <f>CONCATENATE('3 pr-2'!G153)</f>
        <v>Lazdijų rajono savivaldybė</v>
      </c>
      <c r="G150" s="255" t="str">
        <f>CONCATENATE('3 pr-2'!H153)</f>
        <v>08.1.2-CPVA-R-407</v>
      </c>
      <c r="H150" s="255" t="str">
        <f>CONCATENATE('3 pr-2'!I153)</f>
        <v>R</v>
      </c>
      <c r="I150" s="255" t="str">
        <f>CONCATENATE('3 pr-2'!J153)</f>
        <v>-</v>
      </c>
      <c r="J150" s="474">
        <f>SUM('ketv. 6 lent'!K152)</f>
        <v>146319</v>
      </c>
      <c r="K150" s="476">
        <f>SUM(N150+Q150+Z150)</f>
        <v>18431.32</v>
      </c>
      <c r="L150" s="476">
        <f t="shared" si="129"/>
        <v>127887.67999999999</v>
      </c>
      <c r="M150" s="476">
        <f>SUM('ketv. 6 lent'!O152)</f>
        <v>0</v>
      </c>
      <c r="N150" s="476">
        <v>0</v>
      </c>
      <c r="O150" s="476">
        <f t="shared" si="135"/>
        <v>0</v>
      </c>
      <c r="P150" s="476">
        <f>SUM('ketv. 6 lent'!S152)</f>
        <v>21948</v>
      </c>
      <c r="Q150" s="476">
        <v>2764.7</v>
      </c>
      <c r="R150" s="476">
        <f t="shared" si="131"/>
        <v>19183.3</v>
      </c>
      <c r="S150" s="476">
        <f>SUM('ketv. 6 lent'!W152)</f>
        <v>0</v>
      </c>
      <c r="T150" s="476">
        <v>0</v>
      </c>
      <c r="U150" s="476">
        <f t="shared" si="137"/>
        <v>0</v>
      </c>
      <c r="V150" s="476">
        <f>SUM('ketv. 6 lent'!AA152)</f>
        <v>0</v>
      </c>
      <c r="W150" s="476">
        <v>0</v>
      </c>
      <c r="X150" s="476">
        <f t="shared" si="138"/>
        <v>0</v>
      </c>
      <c r="Y150" s="476">
        <f>SUM('ketv. 6 lent'!AE152)</f>
        <v>124371</v>
      </c>
      <c r="Z150" s="476">
        <v>15666.62</v>
      </c>
      <c r="AA150" s="721">
        <f t="shared" si="134"/>
        <v>108704.38</v>
      </c>
      <c r="AC150" s="336"/>
    </row>
    <row r="151" spans="1:29" ht="39.75" customHeight="1" thickBot="1" x14ac:dyDescent="0.3">
      <c r="A151" s="497" t="str">
        <f>CONCATENATE('3 pr-2'!A154)</f>
        <v>2.1.3.2</v>
      </c>
      <c r="B151" s="613" t="str">
        <f>CONCATENATE('ketv. 2lent'!B152)</f>
        <v/>
      </c>
      <c r="C151" s="1656" t="str">
        <f>CONCATENATE('3 pr-2'!D154)</f>
        <v/>
      </c>
      <c r="D151" s="1789"/>
      <c r="E151" s="1789"/>
      <c r="F151" s="1789"/>
      <c r="G151" s="1789"/>
      <c r="H151" s="1789"/>
      <c r="I151" s="1790"/>
      <c r="J151" s="629">
        <f>SUM('ketv. 6 lent'!K153)</f>
        <v>2966201.12</v>
      </c>
      <c r="K151" s="629">
        <f>SUM(K152:K156)</f>
        <v>1418079.24</v>
      </c>
      <c r="L151" s="629">
        <f>SUM(L152:L156)</f>
        <v>1548121.8800000001</v>
      </c>
      <c r="M151" s="629">
        <f>SUM('ketv. 6 lent'!O153)</f>
        <v>445227.48</v>
      </c>
      <c r="N151" s="629">
        <f>SUM(N152:N156)</f>
        <v>139723</v>
      </c>
      <c r="O151" s="629">
        <f>SUM(O152:O156)</f>
        <v>305504.48</v>
      </c>
      <c r="P151" s="629">
        <f>SUM('ketv. 6 lent'!S153)</f>
        <v>0</v>
      </c>
      <c r="Q151" s="629">
        <f>SUM(Q152:Q156)</f>
        <v>0</v>
      </c>
      <c r="R151" s="629">
        <f>SUM(R152:R156)</f>
        <v>0</v>
      </c>
      <c r="S151" s="629">
        <f>SUM('ketv. 6 lent'!W153)</f>
        <v>0</v>
      </c>
      <c r="T151" s="629">
        <f>SUM(T152:T156)</f>
        <v>0</v>
      </c>
      <c r="U151" s="629">
        <f>SUM(U152:U156)</f>
        <v>0</v>
      </c>
      <c r="V151" s="629">
        <f>SUM('ketv. 6 lent'!AA153)</f>
        <v>0</v>
      </c>
      <c r="W151" s="629">
        <f>SUM(W152:W156)</f>
        <v>0</v>
      </c>
      <c r="X151" s="629">
        <f>SUM(X152:X156)</f>
        <v>0</v>
      </c>
      <c r="Y151" s="629">
        <f>SUM('ketv. 6 lent'!AE153)</f>
        <v>2520973.6399999997</v>
      </c>
      <c r="Z151" s="629">
        <f>SUM(Z152:Z156)</f>
        <v>1278356.24</v>
      </c>
      <c r="AA151" s="338">
        <f>SUM(AA152:AA156)</f>
        <v>1242617.3999999999</v>
      </c>
    </row>
    <row r="152" spans="1:29" ht="36.75" x14ac:dyDescent="0.25">
      <c r="A152" s="992" t="str">
        <f>CONCATENATE('3 pr-2'!A155)</f>
        <v>2.1.3.2.1</v>
      </c>
      <c r="B152" s="1016" t="str">
        <f>CONCATENATE('ketv. 6 lent'!B154)</f>
        <v>08.1.2-CPVA-R-408-11-0001</v>
      </c>
      <c r="C152" s="332" t="str">
        <f>CONCATENATE('3 pr-2'!D155)</f>
        <v>Socialinio būsto plėtra Varėnos rajone</v>
      </c>
      <c r="D152" s="255" t="str">
        <f>CONCATENATE('3 pr-2'!E155)</f>
        <v>Varėnos rajono savivaldybės administracija</v>
      </c>
      <c r="E152" s="255" t="str">
        <f>CONCATENATE('3 pr-2'!F155)</f>
        <v>Lietuvos Respublikos socialinės apsaugos ir darbo ministerija</v>
      </c>
      <c r="F152" s="255" t="str">
        <f>CONCATENATE('3 pr-2'!G155)</f>
        <v>Varėnos rajono savivaldybė</v>
      </c>
      <c r="G152" s="255" t="str">
        <f>CONCATENATE('3 pr-2'!H155)</f>
        <v>08.1.1-CPVA·R-408</v>
      </c>
      <c r="H152" s="255" t="str">
        <f>CONCATENATE('3 pr-2'!I155)</f>
        <v>R</v>
      </c>
      <c r="I152" s="255" t="str">
        <f>CONCATENATE('3 pr-2'!J155)</f>
        <v>-</v>
      </c>
      <c r="J152" s="474">
        <f>SUM('ketv. 6 lent'!K154)</f>
        <v>736499</v>
      </c>
      <c r="K152" s="476">
        <f>SUM(N152+Q152+Z152)</f>
        <v>418850.32</v>
      </c>
      <c r="L152" s="476">
        <f t="shared" si="129"/>
        <v>317648.68</v>
      </c>
      <c r="M152" s="476">
        <f>SUM('ketv. 6 lent'!O154)</f>
        <v>110475</v>
      </c>
      <c r="N152" s="476">
        <v>42838.93</v>
      </c>
      <c r="O152" s="476">
        <f t="shared" si="130"/>
        <v>67636.070000000007</v>
      </c>
      <c r="P152" s="476">
        <f>SUM('ketv. 6 lent'!S154)</f>
        <v>0</v>
      </c>
      <c r="Q152" s="476">
        <v>0</v>
      </c>
      <c r="R152" s="476">
        <f t="shared" ref="R152:R156" si="140">SUM(P152-Q152)</f>
        <v>0</v>
      </c>
      <c r="S152" s="476">
        <f>SUM('ketv. 6 lent'!W154)</f>
        <v>0</v>
      </c>
      <c r="T152" s="476">
        <v>0</v>
      </c>
      <c r="U152" s="476">
        <f t="shared" ref="U152:U156" si="141">SUM(S152-T152)</f>
        <v>0</v>
      </c>
      <c r="V152" s="476">
        <f>SUM('ketv. 6 lent'!AA154)</f>
        <v>0</v>
      </c>
      <c r="W152" s="476">
        <v>0</v>
      </c>
      <c r="X152" s="476">
        <f t="shared" ref="X152:X156" si="142">SUM(V152-W152)</f>
        <v>0</v>
      </c>
      <c r="Y152" s="476">
        <f>SUM('ketv. 6 lent'!AE154)</f>
        <v>626024</v>
      </c>
      <c r="Z152" s="476">
        <v>376011.39</v>
      </c>
      <c r="AA152" s="721">
        <f t="shared" si="134"/>
        <v>250012.61</v>
      </c>
      <c r="AB152" s="336"/>
      <c r="AC152" s="336"/>
    </row>
    <row r="153" spans="1:29" ht="48.75" x14ac:dyDescent="0.25">
      <c r="A153" s="992" t="str">
        <f>CONCATENATE('3 pr-2'!A156)</f>
        <v>2.1.3.2.2</v>
      </c>
      <c r="B153" s="1016" t="str">
        <f>CONCATENATE('ketv. 6 lent'!B155)</f>
        <v>08.1.2-CPVA-R-408-11-0005</v>
      </c>
      <c r="C153" s="332" t="str">
        <f>CONCATENATE('3 pr-2'!D156)</f>
        <v>Būsto prieinamumo pažeidžiamoms gyventojų grupėms didinimas Alytaus rajone</v>
      </c>
      <c r="D153" s="255" t="str">
        <f>CONCATENATE('3 pr-2'!E156)</f>
        <v>Alytaus rajono savivaldybės administracija</v>
      </c>
      <c r="E153" s="255" t="str">
        <f>CONCATENATE('3 pr-2'!F156)</f>
        <v>Lietuvos Respublikos socialinės apsaugos ir darbo ministerija</v>
      </c>
      <c r="F153" s="255" t="str">
        <f>CONCATENATE('3 pr-2'!G156)</f>
        <v>Alytaus  rajono savivaldybė</v>
      </c>
      <c r="G153" s="255" t="str">
        <f>CONCATENATE('3 pr-2'!H156)</f>
        <v>08.1.1-CPVA·R-408</v>
      </c>
      <c r="H153" s="255" t="str">
        <f>CONCATENATE('3 pr-2'!I156)</f>
        <v>R</v>
      </c>
      <c r="I153" s="255" t="str">
        <f>CONCATENATE('3 pr-2'!J156)</f>
        <v>-</v>
      </c>
      <c r="J153" s="474">
        <f>SUM('ketv. 6 lent'!K155)</f>
        <v>241889</v>
      </c>
      <c r="K153" s="476">
        <f>SUM(N153+Q153+Z153)</f>
        <v>104787.71</v>
      </c>
      <c r="L153" s="476">
        <f t="shared" ref="L153" si="143">SUM(J153-K153)</f>
        <v>137101.28999999998</v>
      </c>
      <c r="M153" s="476">
        <f>SUM('ketv. 6 lent'!O155)</f>
        <v>36283.350000000006</v>
      </c>
      <c r="N153" s="476">
        <v>15718.16</v>
      </c>
      <c r="O153" s="476">
        <f t="shared" si="130"/>
        <v>20565.190000000006</v>
      </c>
      <c r="P153" s="476">
        <f>SUM('ketv. 6 lent'!S155)</f>
        <v>0</v>
      </c>
      <c r="Q153" s="476">
        <v>0</v>
      </c>
      <c r="R153" s="476">
        <f t="shared" si="140"/>
        <v>0</v>
      </c>
      <c r="S153" s="476">
        <f>SUM('ketv. 6 lent'!W155)</f>
        <v>0</v>
      </c>
      <c r="T153" s="476">
        <v>0</v>
      </c>
      <c r="U153" s="476">
        <f t="shared" si="141"/>
        <v>0</v>
      </c>
      <c r="V153" s="476">
        <f>SUM('ketv. 6 lent'!AA155)</f>
        <v>0</v>
      </c>
      <c r="W153" s="476">
        <v>0</v>
      </c>
      <c r="X153" s="476">
        <f t="shared" si="142"/>
        <v>0</v>
      </c>
      <c r="Y153" s="476">
        <f>SUM('ketv. 6 lent'!AE155)</f>
        <v>205605.65</v>
      </c>
      <c r="Z153" s="476">
        <v>89069.55</v>
      </c>
      <c r="AA153" s="728">
        <f t="shared" si="134"/>
        <v>116536.09999999999</v>
      </c>
    </row>
    <row r="154" spans="1:29" ht="36.75" x14ac:dyDescent="0.25">
      <c r="A154" s="992" t="str">
        <f>CONCATENATE('3 pr-2'!A157)</f>
        <v>2.1.3.1.3</v>
      </c>
      <c r="B154" s="1016" t="str">
        <f>CONCATENATE('ketv. 6 lent'!B156)</f>
        <v>08.1.2-CPVA-R-408-11-0002</v>
      </c>
      <c r="C154" s="332" t="str">
        <f>CONCATENATE('3 pr-2'!D157)</f>
        <v>Socialinio būsto plėtra Alytaus mieste</v>
      </c>
      <c r="D154" s="255" t="str">
        <f>CONCATENATE('3 pr-2'!E157)</f>
        <v>Alytaus miesto savivaldybės administracija</v>
      </c>
      <c r="E154" s="255" t="str">
        <f>CONCATENATE('3 pr-2'!F157)</f>
        <v>Lietuvos Respublikos socialinės apsaugos ir darbo ministerija</v>
      </c>
      <c r="F154" s="255" t="str">
        <f>CONCATENATE('3 pr-2'!G157)</f>
        <v>Alytaus miestas</v>
      </c>
      <c r="G154" s="255" t="str">
        <f>CONCATENATE('3 pr-2'!H157)</f>
        <v>08.1.1-CPVA·R-408</v>
      </c>
      <c r="H154" s="255" t="str">
        <f>CONCATENATE('3 pr-2'!I157)</f>
        <v>R</v>
      </c>
      <c r="I154" s="255" t="str">
        <f>CONCATENATE('3 pr-2'!J157)</f>
        <v>-</v>
      </c>
      <c r="J154" s="474">
        <f>SUM('ketv. 6 lent'!K156)</f>
        <v>891741.18</v>
      </c>
      <c r="K154" s="476">
        <f>SUM(N154+Q154+Z154)</f>
        <v>591608.44999999995</v>
      </c>
      <c r="L154" s="476">
        <f t="shared" si="129"/>
        <v>300132.7300000001</v>
      </c>
      <c r="M154" s="476">
        <f>SUM('ketv. 6 lent'!O156)</f>
        <v>133761.18000000005</v>
      </c>
      <c r="N154" s="476">
        <v>67604.77</v>
      </c>
      <c r="O154" s="476">
        <f t="shared" si="130"/>
        <v>66156.410000000047</v>
      </c>
      <c r="P154" s="476">
        <f>SUM('ketv. 6 lent'!S156)</f>
        <v>0</v>
      </c>
      <c r="Q154" s="476">
        <v>0</v>
      </c>
      <c r="R154" s="476">
        <f t="shared" si="140"/>
        <v>0</v>
      </c>
      <c r="S154" s="476">
        <f>SUM('ketv. 6 lent'!W156)</f>
        <v>0</v>
      </c>
      <c r="T154" s="476">
        <v>0</v>
      </c>
      <c r="U154" s="476">
        <f t="shared" si="141"/>
        <v>0</v>
      </c>
      <c r="V154" s="476">
        <f>SUM('ketv. 6 lent'!AA156)</f>
        <v>0</v>
      </c>
      <c r="W154" s="476">
        <v>0</v>
      </c>
      <c r="X154" s="476">
        <f t="shared" si="142"/>
        <v>0</v>
      </c>
      <c r="Y154" s="476">
        <f>SUM('ketv. 6 lent'!AE156)</f>
        <v>757980</v>
      </c>
      <c r="Z154" s="476">
        <v>524003.68</v>
      </c>
      <c r="AA154" s="721">
        <f t="shared" si="134"/>
        <v>233976.32000000001</v>
      </c>
    </row>
    <row r="155" spans="1:29" ht="36.75" x14ac:dyDescent="0.25">
      <c r="A155" s="992" t="str">
        <f>CONCATENATE('3 pr-2'!A158)</f>
        <v>2.1.3.2.4</v>
      </c>
      <c r="B155" s="1016" t="str">
        <f>CONCATENATE('ketv. 6 lent'!B157)</f>
        <v>08.1.2-CPVA-R-408-11-0003</v>
      </c>
      <c r="C155" s="332" t="str">
        <f>CONCATENATE('3 pr-2'!D158)</f>
        <v>Socialinio būsto fondo plėtra Druskininkų savivaldybėje</v>
      </c>
      <c r="D155" s="255" t="str">
        <f>CONCATENATE('3 pr-2'!E158)</f>
        <v>Druskininkų savivaldybės administracija</v>
      </c>
      <c r="E155" s="255" t="str">
        <f>CONCATENATE('3 pr-2'!F158)</f>
        <v>Lietuvos Respublikos socialinės apsaugos ir darbo ministerija</v>
      </c>
      <c r="F155" s="255" t="str">
        <f>CONCATENATE('3 pr-2'!G158)</f>
        <v>Druskininkų savivaldybė</v>
      </c>
      <c r="G155" s="255" t="str">
        <f>CONCATENATE('3 pr-2'!H158)</f>
        <v>08.1.1-CPVA·R-408</v>
      </c>
      <c r="H155" s="255" t="str">
        <f>CONCATENATE('3 pr-2'!I158)</f>
        <v>R</v>
      </c>
      <c r="I155" s="255" t="str">
        <f>CONCATENATE('3 pr-2'!J158)</f>
        <v>-</v>
      </c>
      <c r="J155" s="474">
        <f>SUM('ketv. 6 lent'!K157)</f>
        <v>727472.94</v>
      </c>
      <c r="K155" s="476">
        <f>SUM(N155+Q155+Z155)</f>
        <v>153706.56</v>
      </c>
      <c r="L155" s="476">
        <f t="shared" si="129"/>
        <v>573766.37999999989</v>
      </c>
      <c r="M155" s="476">
        <f>SUM('ketv. 6 lent'!O157)</f>
        <v>109120.94999999995</v>
      </c>
      <c r="N155" s="476">
        <v>2760.98</v>
      </c>
      <c r="O155" s="476">
        <f t="shared" si="130"/>
        <v>106359.96999999996</v>
      </c>
      <c r="P155" s="476">
        <f>SUM('ketv. 6 lent'!S157)</f>
        <v>0</v>
      </c>
      <c r="Q155" s="476">
        <v>0</v>
      </c>
      <c r="R155" s="476">
        <f t="shared" si="140"/>
        <v>0</v>
      </c>
      <c r="S155" s="476">
        <f>SUM('ketv. 6 lent'!W157)</f>
        <v>0</v>
      </c>
      <c r="T155" s="476">
        <v>0</v>
      </c>
      <c r="U155" s="476">
        <f t="shared" si="141"/>
        <v>0</v>
      </c>
      <c r="V155" s="476">
        <f>SUM('ketv. 6 lent'!AA157)</f>
        <v>0</v>
      </c>
      <c r="W155" s="476">
        <v>0</v>
      </c>
      <c r="X155" s="476">
        <f t="shared" si="142"/>
        <v>0</v>
      </c>
      <c r="Y155" s="476">
        <f>SUM('ketv. 6 lent'!AE157)</f>
        <v>618351.99</v>
      </c>
      <c r="Z155" s="476">
        <v>150945.57999999999</v>
      </c>
      <c r="AA155" s="721">
        <f t="shared" si="134"/>
        <v>467406.41000000003</v>
      </c>
    </row>
    <row r="156" spans="1:29" ht="36.75" x14ac:dyDescent="0.25">
      <c r="A156" s="992" t="str">
        <f>CONCATENATE('3 pr-2'!A159)</f>
        <v>2.1.3.2.5</v>
      </c>
      <c r="B156" s="1016" t="str">
        <f>CONCATENATE('ketv. 6 lent'!B158)</f>
        <v>08.1.2-CPVA-R-408-11-0004</v>
      </c>
      <c r="C156" s="332" t="str">
        <f>CONCATENATE('3 pr-2'!D159)</f>
        <v>Socialinio būsto fondo plėtra Lazdijų rajono savivaldybėje</v>
      </c>
      <c r="D156" s="255" t="str">
        <f>CONCATENATE('3 pr-2'!E159)</f>
        <v>Lazdijų rajono savivaldybės administracija</v>
      </c>
      <c r="E156" s="255" t="str">
        <f>CONCATENATE('3 pr-2'!F159)</f>
        <v>Lietuvos Respublikos socialinės apsaugos ir darbo ministerija</v>
      </c>
      <c r="F156" s="255" t="str">
        <f>CONCATENATE('3 pr-2'!G159)</f>
        <v>Lazdijų rajono savivaldybė</v>
      </c>
      <c r="G156" s="255" t="str">
        <f>CONCATENATE('3 pr-2'!H159)</f>
        <v>08.1.1-CPVA·R-408</v>
      </c>
      <c r="H156" s="255" t="str">
        <f>CONCATENATE('3 pr-2'!I159)</f>
        <v>R</v>
      </c>
      <c r="I156" s="255" t="str">
        <f>CONCATENATE('3 pr-2'!J159)</f>
        <v>-</v>
      </c>
      <c r="J156" s="474">
        <f>SUM('ketv. 6 lent'!K158)</f>
        <v>368599</v>
      </c>
      <c r="K156" s="476">
        <f>SUM(N156+Q156+Z156)</f>
        <v>149126.20000000001</v>
      </c>
      <c r="L156" s="476">
        <f t="shared" si="129"/>
        <v>219472.8</v>
      </c>
      <c r="M156" s="476">
        <f>SUM('ketv. 6 lent'!O158)</f>
        <v>55587</v>
      </c>
      <c r="N156" s="476">
        <v>10800.16</v>
      </c>
      <c r="O156" s="476">
        <f t="shared" si="130"/>
        <v>44786.84</v>
      </c>
      <c r="P156" s="476">
        <f>SUM('ketv. 6 lent'!S158)</f>
        <v>0</v>
      </c>
      <c r="Q156" s="476">
        <v>0</v>
      </c>
      <c r="R156" s="476">
        <f t="shared" si="140"/>
        <v>0</v>
      </c>
      <c r="S156" s="476">
        <f>SUM('ketv. 6 lent'!W158)</f>
        <v>0</v>
      </c>
      <c r="T156" s="476">
        <v>0</v>
      </c>
      <c r="U156" s="476">
        <f t="shared" si="141"/>
        <v>0</v>
      </c>
      <c r="V156" s="476">
        <f>SUM('ketv. 6 lent'!AA158)</f>
        <v>0</v>
      </c>
      <c r="W156" s="476">
        <v>0</v>
      </c>
      <c r="X156" s="476">
        <f t="shared" si="142"/>
        <v>0</v>
      </c>
      <c r="Y156" s="476">
        <f>SUM('ketv. 6 lent'!AE158)</f>
        <v>313012</v>
      </c>
      <c r="Z156" s="476">
        <v>138326.04</v>
      </c>
      <c r="AA156" s="721">
        <f t="shared" si="134"/>
        <v>174685.96</v>
      </c>
    </row>
    <row r="157" spans="1:29" ht="49.5" customHeight="1" thickBot="1" x14ac:dyDescent="0.3">
      <c r="A157" s="731" t="str">
        <f>CONCATENATE('3 pr-2'!A160)</f>
        <v>2.1.4.</v>
      </c>
      <c r="B157" s="732" t="str">
        <f>CONCATENATE('ketv. 2lent'!B158)</f>
        <v/>
      </c>
      <c r="C157" s="1821" t="str">
        <f>CONCATENATE('3 pr-2'!D160)</f>
        <v/>
      </c>
      <c r="D157" s="1840"/>
      <c r="E157" s="1840"/>
      <c r="F157" s="1840"/>
      <c r="G157" s="1840"/>
      <c r="H157" s="1840"/>
      <c r="I157" s="1841"/>
      <c r="J157" s="651">
        <f>SUM('ketv. 6 lent'!K159)</f>
        <v>172733.52</v>
      </c>
      <c r="K157" s="651">
        <f>SUM(K158)</f>
        <v>0</v>
      </c>
      <c r="L157" s="651">
        <f t="shared" si="129"/>
        <v>172733.52</v>
      </c>
      <c r="M157" s="651">
        <f>SUM('ketv. 6 lent'!O159)</f>
        <v>25910.03</v>
      </c>
      <c r="N157" s="651">
        <f>SUM(N158)</f>
        <v>0</v>
      </c>
      <c r="O157" s="651">
        <f t="shared" si="130"/>
        <v>25910.03</v>
      </c>
      <c r="P157" s="651">
        <f>SUM('ketv. 6 lent'!S159)</f>
        <v>0</v>
      </c>
      <c r="Q157" s="651">
        <f>SUM(Q158)</f>
        <v>0</v>
      </c>
      <c r="R157" s="651">
        <f t="shared" si="131"/>
        <v>0</v>
      </c>
      <c r="S157" s="651">
        <f>SUM('ketv. 6 lent'!W159)</f>
        <v>0</v>
      </c>
      <c r="T157" s="651">
        <f>SUM(T158)</f>
        <v>0</v>
      </c>
      <c r="U157" s="651">
        <f t="shared" si="132"/>
        <v>0</v>
      </c>
      <c r="V157" s="651">
        <f>SUM('ketv. 6 lent'!AA159)</f>
        <v>0</v>
      </c>
      <c r="W157" s="651">
        <f>SUM(W158)</f>
        <v>0</v>
      </c>
      <c r="X157" s="651">
        <f t="shared" si="133"/>
        <v>0</v>
      </c>
      <c r="Y157" s="651">
        <f>SUM('ketv. 6 lent'!AE159)</f>
        <v>146823.49</v>
      </c>
      <c r="Z157" s="651">
        <f>SUM(Z158)</f>
        <v>0</v>
      </c>
      <c r="AA157" s="351">
        <f t="shared" si="134"/>
        <v>146823.49</v>
      </c>
    </row>
    <row r="158" spans="1:29" ht="37.5" customHeight="1" thickBot="1" x14ac:dyDescent="0.3">
      <c r="A158" s="497" t="str">
        <f>CONCATENATE('3 pr-2'!A161)</f>
        <v>2.1.4.1</v>
      </c>
      <c r="B158" s="613" t="str">
        <f>CONCATENATE('ketv. 2lent'!B159)</f>
        <v/>
      </c>
      <c r="C158" s="1656" t="str">
        <f>CONCATENATE('3 pr-2'!D161)</f>
        <v/>
      </c>
      <c r="D158" s="1789"/>
      <c r="E158" s="1789"/>
      <c r="F158" s="1789"/>
      <c r="G158" s="1789"/>
      <c r="H158" s="1789"/>
      <c r="I158" s="1790"/>
      <c r="J158" s="629">
        <f>SUM('ketv. 6 lent'!K160)</f>
        <v>172733.52</v>
      </c>
      <c r="K158" s="629">
        <f>SUM(K159:K163)</f>
        <v>0</v>
      </c>
      <c r="L158" s="629">
        <f>SUM(L159:L163)</f>
        <v>172733.52</v>
      </c>
      <c r="M158" s="629">
        <f>SUM('ketv. 6 lent'!O160)</f>
        <v>25910.03</v>
      </c>
      <c r="N158" s="629">
        <f>SUM(N159:N163)</f>
        <v>0</v>
      </c>
      <c r="O158" s="629">
        <f>SUM(O159:O163)</f>
        <v>25910.03</v>
      </c>
      <c r="P158" s="629">
        <f>SUM('ketv. 6 lent'!S160)</f>
        <v>0</v>
      </c>
      <c r="Q158" s="629">
        <f>SUM(Q159:Q163)</f>
        <v>0</v>
      </c>
      <c r="R158" s="629">
        <f>SUM(R159:R163)</f>
        <v>0</v>
      </c>
      <c r="S158" s="629">
        <f>SUM('ketv. 6 lent'!W160)</f>
        <v>0</v>
      </c>
      <c r="T158" s="629">
        <f>SUM(T159:T163)</f>
        <v>0</v>
      </c>
      <c r="U158" s="629">
        <f>SUM(U159:U163)</f>
        <v>0</v>
      </c>
      <c r="V158" s="629">
        <f>SUM('ketv. 6 lent'!AA160)</f>
        <v>0</v>
      </c>
      <c r="W158" s="629">
        <f>SUM(W159:W163)</f>
        <v>0</v>
      </c>
      <c r="X158" s="629">
        <f>SUM(X159:X163)</f>
        <v>0</v>
      </c>
      <c r="Y158" s="629">
        <f>SUM('ketv. 6 lent'!AE160)</f>
        <v>146823.49</v>
      </c>
      <c r="Z158" s="629">
        <f>SUM(Z159:Z163)</f>
        <v>0</v>
      </c>
      <c r="AA158" s="338">
        <f>SUM(AA159:AA163)</f>
        <v>146823.49</v>
      </c>
    </row>
    <row r="159" spans="1:29" ht="36.75" x14ac:dyDescent="0.25">
      <c r="A159" s="992" t="str">
        <f>CONCATENATE('3 pr-2'!A162)</f>
        <v>2.1.4.1.1</v>
      </c>
      <c r="B159" s="1016" t="str">
        <f>CONCATENATE('ketv. 6 lent'!B161)</f>
        <v>10.1.3-ESFA-R-920-11-0001</v>
      </c>
      <c r="C159" s="332" t="str">
        <f>CONCATENATE('3 pr-2'!D162)</f>
        <v>Paslaugų teikimo ir asmenų aptarnavimo kokybės gerinimas Varėnos rajono savivaldybėje</v>
      </c>
      <c r="D159" s="255" t="str">
        <f>CONCATENATE('3 pr-2'!E162)</f>
        <v>Varėnos rajono savivaldybės administracija</v>
      </c>
      <c r="E159" s="255" t="str">
        <f>CONCATENATE('3 pr-2'!F162)</f>
        <v>Lietuvos Respublikos vidaus reikalų ministerija</v>
      </c>
      <c r="F159" s="255" t="str">
        <f>CONCATENATE('3 pr-2'!G162)</f>
        <v>Varėnos miestas</v>
      </c>
      <c r="G159" s="255" t="str">
        <f>CONCATENATE('3 pr-2'!H162)</f>
        <v>10.1.3-ESFA-R-920</v>
      </c>
      <c r="H159" s="255" t="str">
        <f>CONCATENATE('3 pr-2'!I162)</f>
        <v>R</v>
      </c>
      <c r="I159" s="255" t="str">
        <f>CONCATENATE('3 pr-2'!J162)</f>
        <v>-</v>
      </c>
      <c r="J159" s="474">
        <f>SUM('ketv. 6 lent'!K161)</f>
        <v>172733.52</v>
      </c>
      <c r="K159" s="474">
        <v>0</v>
      </c>
      <c r="L159" s="475">
        <f t="shared" si="129"/>
        <v>172733.52</v>
      </c>
      <c r="M159" s="476">
        <f>SUM('ketv. 6 lent'!O161)</f>
        <v>25910.03</v>
      </c>
      <c r="N159" s="474">
        <v>0</v>
      </c>
      <c r="O159" s="475">
        <f t="shared" ref="O159:O163" si="144">SUM(M159-N159)</f>
        <v>25910.03</v>
      </c>
      <c r="P159" s="476">
        <f>SUM('ketv. 6 lent'!S161)</f>
        <v>0</v>
      </c>
      <c r="Q159" s="474">
        <v>0</v>
      </c>
      <c r="R159" s="475">
        <f t="shared" ref="R159:R163" si="145">SUM(P159-Q159)</f>
        <v>0</v>
      </c>
      <c r="S159" s="476">
        <f>SUM('ketv. 6 lent'!W161)</f>
        <v>0</v>
      </c>
      <c r="T159" s="474">
        <v>0</v>
      </c>
      <c r="U159" s="475">
        <f t="shared" ref="U159:U163" si="146">SUM(S159-T159)</f>
        <v>0</v>
      </c>
      <c r="V159" s="476">
        <f>SUM('ketv. 6 lent'!AA161)</f>
        <v>0</v>
      </c>
      <c r="W159" s="474">
        <v>0</v>
      </c>
      <c r="X159" s="475">
        <f t="shared" ref="X159:X163" si="147">SUM(V159-W159)</f>
        <v>0</v>
      </c>
      <c r="Y159" s="476">
        <f>SUM('ketv. 6 lent'!AE161)</f>
        <v>146823.49</v>
      </c>
      <c r="Z159" s="474">
        <v>0</v>
      </c>
      <c r="AA159" s="728">
        <f t="shared" ref="AA159:AA163" si="148">SUM(Y159-Z159)</f>
        <v>146823.49</v>
      </c>
    </row>
    <row r="160" spans="1:29" ht="36.75" x14ac:dyDescent="0.25">
      <c r="A160" s="992" t="str">
        <f>CONCATENATE('3 pr-2'!A163)</f>
        <v>2.1.4.1.2</v>
      </c>
      <c r="B160" s="1016" t="str">
        <f>CONCATENATE('ketv. 6 lent'!B162)</f>
        <v>-</v>
      </c>
      <c r="C160" s="332" t="str">
        <f>CONCATENATE('3 pr-2'!D163)</f>
        <v>Paslaugų ir asmenų aptarnavimo kokybės gerinimas Alytaus rajono savivaldybėje</v>
      </c>
      <c r="D160" s="255" t="str">
        <f>CONCATENATE('3 pr-2'!E163)</f>
        <v>Alytaus rajono savivaldybės administracija</v>
      </c>
      <c r="E160" s="255" t="str">
        <f>CONCATENATE('3 pr-2'!F163)</f>
        <v>Lietuvos Respublikos vidaus reikalų ministerija</v>
      </c>
      <c r="F160" s="255" t="str">
        <f>CONCATENATE('3 pr-2'!G163)</f>
        <v>Alytaus  rajono savivaldybė</v>
      </c>
      <c r="G160" s="255" t="str">
        <f>CONCATENATE('3 pr-2'!H163)</f>
        <v>10.1.3-ESFA-R-920</v>
      </c>
      <c r="H160" s="255" t="str">
        <f>CONCATENATE('3 pr-2'!I163)</f>
        <v>R</v>
      </c>
      <c r="I160" s="255" t="str">
        <f>CONCATENATE('3 pr-2'!J163)</f>
        <v>-</v>
      </c>
      <c r="J160" s="474">
        <f>SUM('ketv. 6 lent'!K162)</f>
        <v>0</v>
      </c>
      <c r="K160" s="474">
        <v>0</v>
      </c>
      <c r="L160" s="475">
        <f t="shared" si="129"/>
        <v>0</v>
      </c>
      <c r="M160" s="476">
        <f>SUM('ketv. 6 lent'!O162)</f>
        <v>0</v>
      </c>
      <c r="N160" s="474">
        <v>0</v>
      </c>
      <c r="O160" s="475">
        <f t="shared" si="144"/>
        <v>0</v>
      </c>
      <c r="P160" s="476">
        <f>SUM('ketv. 6 lent'!S162)</f>
        <v>0</v>
      </c>
      <c r="Q160" s="474">
        <v>0</v>
      </c>
      <c r="R160" s="475">
        <f t="shared" si="145"/>
        <v>0</v>
      </c>
      <c r="S160" s="476">
        <f>SUM('ketv. 6 lent'!W162)</f>
        <v>0</v>
      </c>
      <c r="T160" s="474">
        <v>0</v>
      </c>
      <c r="U160" s="475">
        <f t="shared" si="146"/>
        <v>0</v>
      </c>
      <c r="V160" s="476">
        <f>SUM('ketv. 6 lent'!AA162)</f>
        <v>0</v>
      </c>
      <c r="W160" s="474">
        <v>0</v>
      </c>
      <c r="X160" s="475">
        <f t="shared" si="147"/>
        <v>0</v>
      </c>
      <c r="Y160" s="476">
        <f>SUM('ketv. 6 lent'!AE162)</f>
        <v>0</v>
      </c>
      <c r="Z160" s="474">
        <v>0</v>
      </c>
      <c r="AA160" s="728">
        <f t="shared" si="148"/>
        <v>0</v>
      </c>
    </row>
    <row r="161" spans="1:27" ht="48.75" x14ac:dyDescent="0.25">
      <c r="A161" s="992" t="str">
        <f>CONCATENATE('3 pr-2'!A164)</f>
        <v>2.1.4.1.3</v>
      </c>
      <c r="B161" s="1016" t="str">
        <f>CONCATENATE('ketv. 6 lent'!B163)</f>
        <v>-</v>
      </c>
      <c r="C161" s="332" t="str">
        <f>CONCATENATE('3 pr-2'!D164)</f>
        <v>Lazdijų rajono savivaldybės administracijos ir jos viešojo valdymo institucijų teikiamų paslaugų procesų tobulinimas</v>
      </c>
      <c r="D161" s="255" t="str">
        <f>CONCATENATE('3 pr-2'!E164)</f>
        <v>Lazdijų rajono savivaldybės administracija</v>
      </c>
      <c r="E161" s="255" t="str">
        <f>CONCATENATE('3 pr-2'!F164)</f>
        <v>Lietuvos Respublikos vidaus reikalų ministerija</v>
      </c>
      <c r="F161" s="255" t="str">
        <f>CONCATENATE('3 pr-2'!G164)</f>
        <v>Lazdijų rajono savivaldybė</v>
      </c>
      <c r="G161" s="255" t="str">
        <f>CONCATENATE('3 pr-2'!H164)</f>
        <v>10.1.3-ESFA-R-920</v>
      </c>
      <c r="H161" s="255" t="str">
        <f>CONCATENATE('3 pr-2'!I164)</f>
        <v>R</v>
      </c>
      <c r="I161" s="255" t="str">
        <f>CONCATENATE('3 pr-2'!J164)</f>
        <v>-</v>
      </c>
      <c r="J161" s="474">
        <f>SUM('ketv. 6 lent'!K163)</f>
        <v>0</v>
      </c>
      <c r="K161" s="474">
        <v>0</v>
      </c>
      <c r="L161" s="475">
        <f t="shared" si="129"/>
        <v>0</v>
      </c>
      <c r="M161" s="476">
        <f>SUM('ketv. 6 lent'!O163)</f>
        <v>0</v>
      </c>
      <c r="N161" s="474">
        <v>0</v>
      </c>
      <c r="O161" s="475">
        <f t="shared" si="144"/>
        <v>0</v>
      </c>
      <c r="P161" s="476">
        <f>SUM('ketv. 6 lent'!S163)</f>
        <v>0</v>
      </c>
      <c r="Q161" s="474">
        <v>0</v>
      </c>
      <c r="R161" s="475">
        <f t="shared" si="145"/>
        <v>0</v>
      </c>
      <c r="S161" s="476">
        <f>SUM('ketv. 6 lent'!W163)</f>
        <v>0</v>
      </c>
      <c r="T161" s="474">
        <v>0</v>
      </c>
      <c r="U161" s="475">
        <f t="shared" si="146"/>
        <v>0</v>
      </c>
      <c r="V161" s="476">
        <f>SUM('ketv. 6 lent'!AA163)</f>
        <v>0</v>
      </c>
      <c r="W161" s="474">
        <v>0</v>
      </c>
      <c r="X161" s="475">
        <f t="shared" si="147"/>
        <v>0</v>
      </c>
      <c r="Y161" s="476">
        <f>SUM('ketv. 6 lent'!AE163)</f>
        <v>0</v>
      </c>
      <c r="Z161" s="474">
        <v>0</v>
      </c>
      <c r="AA161" s="728">
        <f t="shared" si="148"/>
        <v>0</v>
      </c>
    </row>
    <row r="162" spans="1:27" ht="72.75" x14ac:dyDescent="0.25">
      <c r="A162" s="992" t="str">
        <f>CONCATENATE('3 pr-2'!A165)</f>
        <v>2.1.4.1.4</v>
      </c>
      <c r="B162" s="1016" t="str">
        <f>CONCATENATE('ketv. 6 lent'!B164)</f>
        <v>-</v>
      </c>
      <c r="C162" s="332" t="str">
        <f>CONCATENATE('3 pr-2'!D165)</f>
        <v>Teikiamų paslaugų procesų tobulinimas ir asmenų aptarnavimo kokybės gerinimas Alytaus miesto savivaldybės administracijoje ir jai pavaldžiose įstaigose. I etapas</v>
      </c>
      <c r="D162" s="255" t="str">
        <f>CONCATENATE('3 pr-2'!E165)</f>
        <v>Alytaus miesto savivaldybės administracija</v>
      </c>
      <c r="E162" s="255" t="str">
        <f>CONCATENATE('3 pr-2'!F165)</f>
        <v>Lietuvos Respublikos vidaus reikalų ministerija</v>
      </c>
      <c r="F162" s="255" t="str">
        <f>CONCATENATE('3 pr-2'!G165)</f>
        <v>Alytaus miestas</v>
      </c>
      <c r="G162" s="255" t="str">
        <f>CONCATENATE('3 pr-2'!H165)</f>
        <v>10.1.3-ESFA-R-920</v>
      </c>
      <c r="H162" s="255" t="str">
        <f>CONCATENATE('3 pr-2'!I165)</f>
        <v>R</v>
      </c>
      <c r="I162" s="255" t="str">
        <f>CONCATENATE('3 pr-2'!J165)</f>
        <v>-</v>
      </c>
      <c r="J162" s="474">
        <f>SUM('ketv. 6 lent'!K164)</f>
        <v>0</v>
      </c>
      <c r="K162" s="474">
        <v>0</v>
      </c>
      <c r="L162" s="475">
        <f t="shared" si="129"/>
        <v>0</v>
      </c>
      <c r="M162" s="476">
        <f>SUM('ketv. 6 lent'!O164)</f>
        <v>0</v>
      </c>
      <c r="N162" s="474">
        <v>0</v>
      </c>
      <c r="O162" s="475">
        <f t="shared" si="144"/>
        <v>0</v>
      </c>
      <c r="P162" s="476">
        <f>SUM('ketv. 6 lent'!S164)</f>
        <v>0</v>
      </c>
      <c r="Q162" s="474">
        <v>0</v>
      </c>
      <c r="R162" s="475">
        <f t="shared" si="145"/>
        <v>0</v>
      </c>
      <c r="S162" s="476">
        <f>SUM('ketv. 6 lent'!W164)</f>
        <v>0</v>
      </c>
      <c r="T162" s="474">
        <v>0</v>
      </c>
      <c r="U162" s="475">
        <f t="shared" si="146"/>
        <v>0</v>
      </c>
      <c r="V162" s="476">
        <f>SUM('ketv. 6 lent'!AA164)</f>
        <v>0</v>
      </c>
      <c r="W162" s="474">
        <v>0</v>
      </c>
      <c r="X162" s="475">
        <f t="shared" si="147"/>
        <v>0</v>
      </c>
      <c r="Y162" s="476">
        <f>SUM('ketv. 6 lent'!AE164)</f>
        <v>0</v>
      </c>
      <c r="Z162" s="474">
        <v>0</v>
      </c>
      <c r="AA162" s="728">
        <f t="shared" si="148"/>
        <v>0</v>
      </c>
    </row>
    <row r="163" spans="1:27" ht="36.75" x14ac:dyDescent="0.25">
      <c r="A163" s="992" t="str">
        <f>CONCATENATE('3 pr-2'!A166)</f>
        <v>2.1.4.1.5</v>
      </c>
      <c r="B163" s="1016" t="str">
        <f>CONCATENATE('ketv. 6 lent'!B165)</f>
        <v>-</v>
      </c>
      <c r="C163" s="332" t="str">
        <f>CONCATENATE('3 pr-2'!D166)</f>
        <v>Paslaugų teikimo ir asmenų aptarnavimo kokybės gerinimas Druskininkų savivaldybėje</v>
      </c>
      <c r="D163" s="255" t="str">
        <f>CONCATENATE('3 pr-2'!E166)</f>
        <v>Druskininkų savivaldybės administracija</v>
      </c>
      <c r="E163" s="255" t="str">
        <f>CONCATENATE('3 pr-2'!F166)</f>
        <v>Lietuvos Respublikos vidaus reikalų ministerija</v>
      </c>
      <c r="F163" s="255" t="str">
        <f>CONCATENATE('3 pr-2'!G166)</f>
        <v>Druskininkų savivaldybė</v>
      </c>
      <c r="G163" s="255" t="str">
        <f>CONCATENATE('3 pr-2'!H166)</f>
        <v>10.1.3-ESFA-R-920</v>
      </c>
      <c r="H163" s="255" t="str">
        <f>CONCATENATE('3 pr-2'!I166)</f>
        <v>R</v>
      </c>
      <c r="I163" s="255" t="str">
        <f>CONCATENATE('3 pr-2'!J166)</f>
        <v>-</v>
      </c>
      <c r="J163" s="474">
        <f>SUM('ketv. 6 lent'!K165)</f>
        <v>0</v>
      </c>
      <c r="K163" s="474">
        <v>0</v>
      </c>
      <c r="L163" s="475">
        <f t="shared" si="129"/>
        <v>0</v>
      </c>
      <c r="M163" s="476">
        <f>SUM('ketv. 6 lent'!O165)</f>
        <v>0</v>
      </c>
      <c r="N163" s="474">
        <v>0</v>
      </c>
      <c r="O163" s="475">
        <f t="shared" si="144"/>
        <v>0</v>
      </c>
      <c r="P163" s="476">
        <f>SUM('ketv. 6 lent'!S165)</f>
        <v>0</v>
      </c>
      <c r="Q163" s="474">
        <v>0</v>
      </c>
      <c r="R163" s="475">
        <f t="shared" si="145"/>
        <v>0</v>
      </c>
      <c r="S163" s="476">
        <f>SUM('ketv. 6 lent'!W165)</f>
        <v>0</v>
      </c>
      <c r="T163" s="474">
        <v>0</v>
      </c>
      <c r="U163" s="475">
        <f t="shared" si="146"/>
        <v>0</v>
      </c>
      <c r="V163" s="476">
        <f>SUM('ketv. 6 lent'!AA165)</f>
        <v>0</v>
      </c>
      <c r="W163" s="474">
        <v>0</v>
      </c>
      <c r="X163" s="475">
        <f t="shared" si="147"/>
        <v>0</v>
      </c>
      <c r="Y163" s="476">
        <f>SUM('ketv. 6 lent'!AE165)</f>
        <v>0</v>
      </c>
      <c r="Z163" s="474">
        <v>0</v>
      </c>
      <c r="AA163" s="726">
        <f t="shared" si="148"/>
        <v>0</v>
      </c>
    </row>
    <row r="164" spans="1:27" ht="73.5" thickBot="1" x14ac:dyDescent="0.3">
      <c r="A164" s="992" t="str">
        <f>CONCATENATE('3 pr-2'!A167)</f>
        <v>2.1.4.1.6</v>
      </c>
      <c r="B164" s="1016" t="str">
        <f>CONCATENATE('ketv. 6 lent'!B166)</f>
        <v>-</v>
      </c>
      <c r="C164" s="332" t="str">
        <f>CONCATENATE('3 pr-2'!D167)</f>
        <v>Teikiamų paslaugų procesų tobulinimas ir asmenų aptarnavimo kokybės gerinimas Alytaus miesto savivaldybės administracijoje ir jai pavaldžiose įstaigose. II etapas</v>
      </c>
      <c r="D164" s="255" t="str">
        <f>CONCATENATE('3 pr-2'!E167)</f>
        <v>Alytaus miesto savivaldybės administracija</v>
      </c>
      <c r="E164" s="255" t="str">
        <f>CONCATENATE('3 pr-2'!F167)</f>
        <v>Lietuvos Respublikos vidaus reikalų ministerija</v>
      </c>
      <c r="F164" s="255" t="str">
        <f>CONCATENATE('3 pr-2'!G167)</f>
        <v>Alytaus miestas</v>
      </c>
      <c r="G164" s="255" t="str">
        <f>CONCATENATE('3 pr-2'!H167)</f>
        <v>10.1.3-ESFA-R-920</v>
      </c>
      <c r="H164" s="255" t="str">
        <f>CONCATENATE('3 pr-2'!I167)</f>
        <v>R</v>
      </c>
      <c r="I164" s="255" t="str">
        <f>CONCATENATE('3 pr-2'!J167)</f>
        <v>-</v>
      </c>
      <c r="J164" s="474">
        <f>SUM('ketv. 6 lent'!K166)</f>
        <v>0</v>
      </c>
      <c r="K164" s="474">
        <v>0</v>
      </c>
      <c r="L164" s="475">
        <f t="shared" ref="L164" si="149">SUM(J164-K164)</f>
        <v>0</v>
      </c>
      <c r="M164" s="476">
        <f>SUM('ketv. 6 lent'!O166)</f>
        <v>0</v>
      </c>
      <c r="N164" s="474">
        <v>0</v>
      </c>
      <c r="O164" s="475">
        <f t="shared" ref="O164" si="150">SUM(M164-N164)</f>
        <v>0</v>
      </c>
      <c r="P164" s="476">
        <f>SUM('ketv. 6 lent'!S166)</f>
        <v>0</v>
      </c>
      <c r="Q164" s="474">
        <v>0</v>
      </c>
      <c r="R164" s="475">
        <f t="shared" ref="R164" si="151">SUM(P164-Q164)</f>
        <v>0</v>
      </c>
      <c r="S164" s="476">
        <f>SUM('ketv. 6 lent'!W166)</f>
        <v>0</v>
      </c>
      <c r="T164" s="474">
        <v>0</v>
      </c>
      <c r="U164" s="475">
        <f t="shared" ref="U164" si="152">SUM(S164-T164)</f>
        <v>0</v>
      </c>
      <c r="V164" s="476">
        <f>SUM('ketv. 6 lent'!AA166)</f>
        <v>0</v>
      </c>
      <c r="W164" s="474">
        <v>0</v>
      </c>
      <c r="X164" s="475">
        <f t="shared" ref="X164" si="153">SUM(V164-W164)</f>
        <v>0</v>
      </c>
      <c r="Y164" s="476">
        <f>SUM('ketv. 6 lent'!AE166)</f>
        <v>0</v>
      </c>
      <c r="Z164" s="474">
        <v>0</v>
      </c>
      <c r="AA164" s="470"/>
    </row>
    <row r="165" spans="1:27" ht="51.75" customHeight="1" thickBot="1" x14ac:dyDescent="0.35">
      <c r="A165" s="733" t="str">
        <f>CONCATENATE('3 pr-2'!A168)</f>
        <v>3.1.</v>
      </c>
      <c r="B165" s="734" t="str">
        <f>CONCATENATE('ketv. 2lent'!B166)</f>
        <v/>
      </c>
      <c r="C165" s="1842" t="str">
        <f>CONCATENATE('3 pr-2'!D168)</f>
        <v/>
      </c>
      <c r="D165" s="1843"/>
      <c r="E165" s="1843"/>
      <c r="F165" s="1843"/>
      <c r="G165" s="1843"/>
      <c r="H165" s="1843"/>
      <c r="I165" s="1844"/>
      <c r="J165" s="735">
        <f>SUM('ketv. 6 lent'!K167)</f>
        <v>5109419.8899999997</v>
      </c>
      <c r="K165" s="735">
        <f>SUM(K166+K169)</f>
        <v>243134.93</v>
      </c>
      <c r="L165" s="735">
        <f t="shared" si="129"/>
        <v>4866284.96</v>
      </c>
      <c r="M165" s="735">
        <f>SUM('ketv. 6 lent'!O167)</f>
        <v>924689.23999999976</v>
      </c>
      <c r="N165" s="735">
        <f>SUM(N166+N169)</f>
        <v>3196.9</v>
      </c>
      <c r="O165" s="735">
        <f t="shared" si="130"/>
        <v>921492.33999999973</v>
      </c>
      <c r="P165" s="735">
        <f>SUM('ketv. 6 lent'!S167)</f>
        <v>0</v>
      </c>
      <c r="Q165" s="735">
        <f>SUM(Q166+Q169)</f>
        <v>0</v>
      </c>
      <c r="R165" s="735">
        <f t="shared" si="131"/>
        <v>0</v>
      </c>
      <c r="S165" s="735">
        <f>SUM('ketv. 6 lent'!W167)</f>
        <v>0</v>
      </c>
      <c r="T165" s="735">
        <f>SUM(T166+T169)</f>
        <v>0</v>
      </c>
      <c r="U165" s="735">
        <f t="shared" si="132"/>
        <v>0</v>
      </c>
      <c r="V165" s="735">
        <f>SUM('ketv. 6 lent'!AA167)</f>
        <v>0</v>
      </c>
      <c r="W165" s="735">
        <f>SUM(W166+W169)</f>
        <v>0</v>
      </c>
      <c r="X165" s="735">
        <f t="shared" si="133"/>
        <v>0</v>
      </c>
      <c r="Y165" s="735">
        <f>SUM('ketv. 6 lent'!AE167)</f>
        <v>4184730.65</v>
      </c>
      <c r="Z165" s="735">
        <f>SUM(Z166+Z169)</f>
        <v>239938.03</v>
      </c>
      <c r="AA165" s="357">
        <f t="shared" si="134"/>
        <v>3944792.62</v>
      </c>
    </row>
    <row r="166" spans="1:27" ht="40.5" customHeight="1" thickBot="1" x14ac:dyDescent="0.3">
      <c r="A166" s="345" t="str">
        <f>CONCATENATE('3 pr-2'!A169)</f>
        <v>3.1.1.</v>
      </c>
      <c r="B166" s="648" t="str">
        <f>CONCATENATE('ketv. 2lent'!B167)</f>
        <v/>
      </c>
      <c r="C166" s="1668" t="str">
        <f>CONCATENATE('3 pr-2'!D169)</f>
        <v/>
      </c>
      <c r="D166" s="1669"/>
      <c r="E166" s="1669"/>
      <c r="F166" s="1669"/>
      <c r="G166" s="1669"/>
      <c r="H166" s="1669"/>
      <c r="I166" s="1670"/>
      <c r="J166" s="303">
        <f>SUM('ketv. 6 lent'!K168)</f>
        <v>4130687.05</v>
      </c>
      <c r="K166" s="303">
        <f>SUM(K167)</f>
        <v>0</v>
      </c>
      <c r="L166" s="303">
        <f t="shared" si="129"/>
        <v>4130687.05</v>
      </c>
      <c r="M166" s="303">
        <f>SUM('ketv. 6 lent'!O168)</f>
        <v>777879.2799999998</v>
      </c>
      <c r="N166" s="303">
        <f>SUM(N167)</f>
        <v>0</v>
      </c>
      <c r="O166" s="303">
        <f t="shared" si="130"/>
        <v>777879.2799999998</v>
      </c>
      <c r="P166" s="303">
        <f>SUM('ketv. 6 lent'!S168)</f>
        <v>0</v>
      </c>
      <c r="Q166" s="303">
        <f>SUM(Q167)</f>
        <v>0</v>
      </c>
      <c r="R166" s="303">
        <f t="shared" si="131"/>
        <v>0</v>
      </c>
      <c r="S166" s="303">
        <f>SUM('ketv. 6 lent'!W168)</f>
        <v>0</v>
      </c>
      <c r="T166" s="303">
        <f>SUM(T167)</f>
        <v>0</v>
      </c>
      <c r="U166" s="303">
        <f t="shared" si="132"/>
        <v>0</v>
      </c>
      <c r="V166" s="303">
        <f>SUM('ketv. 6 lent'!AA168)</f>
        <v>0</v>
      </c>
      <c r="W166" s="303">
        <f>SUM(W167)</f>
        <v>0</v>
      </c>
      <c r="X166" s="303">
        <f t="shared" si="133"/>
        <v>0</v>
      </c>
      <c r="Y166" s="303">
        <f>SUM('ketv. 6 lent'!AE168)</f>
        <v>3352807.77</v>
      </c>
      <c r="Z166" s="303">
        <f>SUM(Z167)</f>
        <v>0</v>
      </c>
      <c r="AA166" s="364">
        <f t="shared" si="134"/>
        <v>3352807.77</v>
      </c>
    </row>
    <row r="167" spans="1:27" ht="36.75" customHeight="1" thickBot="1" x14ac:dyDescent="0.3">
      <c r="A167" s="497" t="str">
        <f>CONCATENATE('3 pr-2'!A170)</f>
        <v>3.1.1.1</v>
      </c>
      <c r="B167" s="613" t="str">
        <f>CONCATENATE('ketv. 2lent'!B168)</f>
        <v/>
      </c>
      <c r="C167" s="1656" t="str">
        <f>CONCATENATE('3 pr-2'!D170)</f>
        <v/>
      </c>
      <c r="D167" s="1789"/>
      <c r="E167" s="1789"/>
      <c r="F167" s="1789"/>
      <c r="G167" s="1789"/>
      <c r="H167" s="1789"/>
      <c r="I167" s="1790"/>
      <c r="J167" s="629">
        <f>SUM('ketv. 6 lent'!K169)</f>
        <v>4130687.05</v>
      </c>
      <c r="K167" s="629">
        <f>SUM(K168)</f>
        <v>0</v>
      </c>
      <c r="L167" s="629">
        <f>SUM(L168)</f>
        <v>4130687.05</v>
      </c>
      <c r="M167" s="629">
        <f>SUM('ketv. 6 lent'!O169)</f>
        <v>777879.2799999998</v>
      </c>
      <c r="N167" s="629">
        <f>SUM(N168)</f>
        <v>0</v>
      </c>
      <c r="O167" s="629">
        <f>SUM(O168)</f>
        <v>777879.2799999998</v>
      </c>
      <c r="P167" s="629">
        <f>SUM('ketv. 6 lent'!S169)</f>
        <v>0</v>
      </c>
      <c r="Q167" s="629">
        <f>SUM(Q168)</f>
        <v>0</v>
      </c>
      <c r="R167" s="629">
        <f>SUM(R168)</f>
        <v>0</v>
      </c>
      <c r="S167" s="629">
        <f>SUM('ketv. 6 lent'!W169)</f>
        <v>0</v>
      </c>
      <c r="T167" s="629">
        <f>SUM(T168)</f>
        <v>0</v>
      </c>
      <c r="U167" s="629">
        <f>SUM(U168)</f>
        <v>0</v>
      </c>
      <c r="V167" s="629">
        <f>SUM('ketv. 6 lent'!AA169)</f>
        <v>0</v>
      </c>
      <c r="W167" s="629">
        <f>SUM(W168)</f>
        <v>0</v>
      </c>
      <c r="X167" s="629">
        <f>SUM(X168)</f>
        <v>0</v>
      </c>
      <c r="Y167" s="629">
        <f>SUM('ketv. 6 lent'!AE169)</f>
        <v>3352807.77</v>
      </c>
      <c r="Z167" s="629">
        <f>SUM(Z168)</f>
        <v>0</v>
      </c>
      <c r="AA167" s="353">
        <f>SUM(AA168)</f>
        <v>3352807.77</v>
      </c>
    </row>
    <row r="168" spans="1:27" ht="37.5" thickBot="1" x14ac:dyDescent="0.3">
      <c r="A168" s="992" t="str">
        <f>CONCATENATE('3 pr-2'!A171)</f>
        <v>3.1.1.1.1</v>
      </c>
      <c r="B168" s="1016" t="str">
        <f>CONCATENATE('ketv. 6 lent'!B170)</f>
        <v>05.2.1-APVA-R-008-11-0001</v>
      </c>
      <c r="C168" s="332" t="str">
        <f>CONCATENATE('3 pr-2'!D171)</f>
        <v>Komunalinių atliekų tvarkymo sistemos plėtra Alytaus regione</v>
      </c>
      <c r="D168" s="255" t="str">
        <f>CONCATENATE('3 pr-2'!E171)</f>
        <v>Alytaus regiono atliekų tvarkymo centras</v>
      </c>
      <c r="E168" s="255" t="str">
        <f>CONCATENATE('3 pr-2'!F171)</f>
        <v>Lietuvos Respublikos aplinkos ministerija</v>
      </c>
      <c r="F168" s="255" t="str">
        <f>CONCATENATE('3 pr-2'!G171)</f>
        <v>Alytaus atliekų tvarkymo regionas</v>
      </c>
      <c r="G168" s="255" t="str">
        <f>CONCATENATE('3 pr-2'!H171)</f>
        <v>05.2.1-APVA-R-008</v>
      </c>
      <c r="H168" s="255" t="str">
        <f>CONCATENATE('3 pr-2'!I171)</f>
        <v>R</v>
      </c>
      <c r="I168" s="255" t="str">
        <f>CONCATENATE('3 pr-2'!J171)</f>
        <v>-</v>
      </c>
      <c r="J168" s="474">
        <f>SUM('ketv. 6 lent'!K170)</f>
        <v>4130687.05</v>
      </c>
      <c r="K168" s="474">
        <v>0</v>
      </c>
      <c r="L168" s="475">
        <f t="shared" ref="L168" si="154">SUM(J168-K168)</f>
        <v>4130687.05</v>
      </c>
      <c r="M168" s="476">
        <f>SUM('ketv. 6 lent'!O170)</f>
        <v>777879.2799999998</v>
      </c>
      <c r="N168" s="474">
        <v>0</v>
      </c>
      <c r="O168" s="475">
        <f t="shared" si="130"/>
        <v>777879.2799999998</v>
      </c>
      <c r="P168" s="476">
        <f>SUM('ketv. 6 lent'!S170)</f>
        <v>0</v>
      </c>
      <c r="Q168" s="474">
        <v>0</v>
      </c>
      <c r="R168" s="475">
        <f t="shared" si="131"/>
        <v>0</v>
      </c>
      <c r="S168" s="476">
        <f>SUM('ketv. 6 lent'!W170)</f>
        <v>0</v>
      </c>
      <c r="T168" s="474">
        <v>0</v>
      </c>
      <c r="U168" s="475">
        <f t="shared" si="132"/>
        <v>0</v>
      </c>
      <c r="V168" s="476">
        <f>SUM('ketv. 6 lent'!AA170)</f>
        <v>0</v>
      </c>
      <c r="W168" s="474">
        <v>0</v>
      </c>
      <c r="X168" s="475">
        <f t="shared" si="133"/>
        <v>0</v>
      </c>
      <c r="Y168" s="476">
        <f>SUM('ketv. 6 lent'!AE170)</f>
        <v>3352807.77</v>
      </c>
      <c r="Z168" s="474">
        <v>0</v>
      </c>
      <c r="AA168" s="726">
        <f t="shared" si="134"/>
        <v>3352807.77</v>
      </c>
    </row>
    <row r="169" spans="1:27" ht="36.75" customHeight="1" thickBot="1" x14ac:dyDescent="0.3">
      <c r="A169" s="731" t="str">
        <f>CONCATENATE('3 pr-2'!A172)</f>
        <v>3.1.2.</v>
      </c>
      <c r="B169" s="732" t="str">
        <f>CONCATENATE('ketv. 2lent'!B170)</f>
        <v/>
      </c>
      <c r="C169" s="1821" t="str">
        <f>CONCATENATE('3 pr-2'!D172)</f>
        <v/>
      </c>
      <c r="D169" s="1840"/>
      <c r="E169" s="1840"/>
      <c r="F169" s="1840"/>
      <c r="G169" s="1840"/>
      <c r="H169" s="1840"/>
      <c r="I169" s="1841"/>
      <c r="J169" s="651">
        <f>SUM('ketv. 6 lent'!K171)</f>
        <v>978732.84000000008</v>
      </c>
      <c r="K169" s="651">
        <f>SUM(K170)</f>
        <v>243134.93</v>
      </c>
      <c r="L169" s="651">
        <f t="shared" si="129"/>
        <v>735597.91000000015</v>
      </c>
      <c r="M169" s="651">
        <f>SUM('ketv. 6 lent'!O171)</f>
        <v>146809.96000000002</v>
      </c>
      <c r="N169" s="651">
        <f>SUM(N170)</f>
        <v>3196.9</v>
      </c>
      <c r="O169" s="651">
        <f t="shared" si="130"/>
        <v>143613.06000000003</v>
      </c>
      <c r="P169" s="651">
        <f>SUM('ketv. 6 lent'!S171)</f>
        <v>0</v>
      </c>
      <c r="Q169" s="651">
        <f>SUM(Q170)</f>
        <v>0</v>
      </c>
      <c r="R169" s="651">
        <f t="shared" si="131"/>
        <v>0</v>
      </c>
      <c r="S169" s="651">
        <f>SUM('ketv. 6 lent'!W171)</f>
        <v>0</v>
      </c>
      <c r="T169" s="651">
        <f>SUM(T170)</f>
        <v>0</v>
      </c>
      <c r="U169" s="651">
        <f t="shared" si="132"/>
        <v>0</v>
      </c>
      <c r="V169" s="651">
        <f>SUM('ketv. 6 lent'!AA171)</f>
        <v>0</v>
      </c>
      <c r="W169" s="651">
        <f>SUM(W170)</f>
        <v>0</v>
      </c>
      <c r="X169" s="651">
        <f t="shared" si="133"/>
        <v>0</v>
      </c>
      <c r="Y169" s="651">
        <f>SUM('ketv. 6 lent'!AE171)</f>
        <v>831922.88</v>
      </c>
      <c r="Z169" s="651">
        <f>SUM(Z170)</f>
        <v>239938.03</v>
      </c>
      <c r="AA169" s="357">
        <f t="shared" si="134"/>
        <v>591984.85</v>
      </c>
    </row>
    <row r="170" spans="1:27" ht="40.5" customHeight="1" thickBot="1" x14ac:dyDescent="0.3">
      <c r="A170" s="497" t="str">
        <f>CONCATENATE('3 pr-2'!A173)</f>
        <v>3.1.2.1</v>
      </c>
      <c r="B170" s="613" t="str">
        <f>CONCATENATE('ketv. 2lent'!B171)</f>
        <v/>
      </c>
      <c r="C170" s="1656" t="str">
        <f>CONCATENATE('3 pr-2'!D173)</f>
        <v/>
      </c>
      <c r="D170" s="1789"/>
      <c r="E170" s="1789"/>
      <c r="F170" s="1789"/>
      <c r="G170" s="1789"/>
      <c r="H170" s="1789"/>
      <c r="I170" s="1790"/>
      <c r="J170" s="629">
        <f>SUM('ketv. 6 lent'!K172)</f>
        <v>978732.84000000008</v>
      </c>
      <c r="K170" s="629">
        <f>SUM(K171:K178)</f>
        <v>243134.93</v>
      </c>
      <c r="L170" s="629">
        <f>SUM(L171:L178)</f>
        <v>735597.91</v>
      </c>
      <c r="M170" s="629">
        <f>SUM('ketv. 6 lent'!O172)</f>
        <v>146809.96000000002</v>
      </c>
      <c r="N170" s="629">
        <f>SUM(N171:N178)</f>
        <v>3196.9</v>
      </c>
      <c r="O170" s="629">
        <f>SUM(O171:O178)</f>
        <v>143613.06</v>
      </c>
      <c r="P170" s="629">
        <f>SUM('ketv. 6 lent'!S172)</f>
        <v>0</v>
      </c>
      <c r="Q170" s="629">
        <f>SUM(Q171:Q178)</f>
        <v>0</v>
      </c>
      <c r="R170" s="629">
        <f>SUM(R171:R178)</f>
        <v>0</v>
      </c>
      <c r="S170" s="629">
        <f>SUM('ketv. 6 lent'!W172)</f>
        <v>0</v>
      </c>
      <c r="T170" s="629">
        <f>SUM(T171:T178)</f>
        <v>0</v>
      </c>
      <c r="U170" s="629">
        <f>SUM(U171:U178)</f>
        <v>0</v>
      </c>
      <c r="V170" s="629">
        <f>SUM('ketv. 6 lent'!AA172)</f>
        <v>0</v>
      </c>
      <c r="W170" s="629">
        <f>SUM(W171:W178)</f>
        <v>0</v>
      </c>
      <c r="X170" s="629">
        <f>SUM(X171:X178)</f>
        <v>0</v>
      </c>
      <c r="Y170" s="629">
        <f>SUM('ketv. 6 lent'!AE172)</f>
        <v>831922.88</v>
      </c>
      <c r="Z170" s="629">
        <f>SUM(Z171:Z178)</f>
        <v>239938.03</v>
      </c>
      <c r="AA170" s="352">
        <f>SUM(AA171:AA178)</f>
        <v>591984.85</v>
      </c>
    </row>
    <row r="171" spans="1:27" ht="36.75" x14ac:dyDescent="0.25">
      <c r="A171" s="992" t="str">
        <f>CONCATENATE('3 pr-2'!A174)</f>
        <v>3.1.2.1.1</v>
      </c>
      <c r="B171" s="1016" t="str">
        <f>CONCATENATE('ketv. 6 lent'!B173)</f>
        <v>05.5.1-APVA-R-019-11-0002</v>
      </c>
      <c r="C171" s="332" t="str">
        <f>CONCATENATE('3 pr-2'!D174)</f>
        <v>Kraštovaizdžio formavimas ir tvarkymas Varėnos r. savivaldybėje (I etapas)</v>
      </c>
      <c r="D171" s="255" t="str">
        <f>CONCATENATE('3 pr-2'!E174)</f>
        <v>Varėnos rajono savivaldybės administracija</v>
      </c>
      <c r="E171" s="255" t="str">
        <f>CONCATENATE('3 pr-2'!F174)</f>
        <v>Lietuvos Respublikos aplinkos ministerija</v>
      </c>
      <c r="F171" s="255" t="str">
        <f>CONCATENATE('3 pr-2'!G174)</f>
        <v>Varėnos  rajono savivaldybė</v>
      </c>
      <c r="G171" s="255" t="str">
        <f>CONCATENATE('3 pr-2'!H174)</f>
        <v>05.5.1-APVA-R-019</v>
      </c>
      <c r="H171" s="255" t="str">
        <f>CONCATENATE('3 pr-2'!I174)</f>
        <v>R</v>
      </c>
      <c r="I171" s="255" t="str">
        <f>CONCATENATE('3 pr-2'!J174)</f>
        <v>-</v>
      </c>
      <c r="J171" s="474">
        <f>SUM('ketv. 6 lent'!K173)</f>
        <v>309522</v>
      </c>
      <c r="K171" s="476">
        <f>SUM(N171+Q171+Z171)</f>
        <v>89683.650000000009</v>
      </c>
      <c r="L171" s="475">
        <f t="shared" si="129"/>
        <v>219838.34999999998</v>
      </c>
      <c r="M171" s="476">
        <f>SUM('ketv. 6 lent'!O173)</f>
        <v>46428.299999999988</v>
      </c>
      <c r="N171" s="476">
        <v>1613.33</v>
      </c>
      <c r="O171" s="475">
        <f t="shared" si="130"/>
        <v>44814.969999999987</v>
      </c>
      <c r="P171" s="476">
        <f>SUM('ketv. 6 lent'!S173)</f>
        <v>0</v>
      </c>
      <c r="Q171" s="474">
        <v>0</v>
      </c>
      <c r="R171" s="475">
        <f t="shared" si="131"/>
        <v>0</v>
      </c>
      <c r="S171" s="476">
        <f>SUM('ketv. 6 lent'!W173)</f>
        <v>0</v>
      </c>
      <c r="T171" s="474">
        <v>0</v>
      </c>
      <c r="U171" s="475">
        <f t="shared" si="132"/>
        <v>0</v>
      </c>
      <c r="V171" s="476">
        <f>SUM('ketv. 6 lent'!AA173)</f>
        <v>0</v>
      </c>
      <c r="W171" s="474">
        <v>0</v>
      </c>
      <c r="X171" s="475">
        <f t="shared" si="133"/>
        <v>0</v>
      </c>
      <c r="Y171" s="476">
        <f>SUM('ketv. 6 lent'!AE173)</f>
        <v>263093.7</v>
      </c>
      <c r="Z171" s="662">
        <v>88070.32</v>
      </c>
      <c r="AA171" s="728">
        <f t="shared" si="134"/>
        <v>175023.38</v>
      </c>
    </row>
    <row r="172" spans="1:27" ht="36.75" x14ac:dyDescent="0.25">
      <c r="A172" s="992" t="str">
        <f>CONCATENATE('3 pr-2'!A175)</f>
        <v>3.1.2.1.2</v>
      </c>
      <c r="B172" s="1016" t="str">
        <f>CONCATENATE('ketv. 6 lent'!B174)</f>
        <v>-</v>
      </c>
      <c r="C172" s="332" t="str">
        <f>CONCATENATE('3 pr-2'!D175)</f>
        <v>Kraštovaizdžio formavimas ir tvarkymas Varėnos r. savivaldybėje (II etapas)</v>
      </c>
      <c r="D172" s="255" t="str">
        <f>CONCATENATE('3 pr-2'!E175)</f>
        <v>Varėnos rajono savivaldybės administracija</v>
      </c>
      <c r="E172" s="255" t="str">
        <f>CONCATENATE('3 pr-2'!F175)</f>
        <v>Lietuvos Respublikos aplinkos ministerija</v>
      </c>
      <c r="F172" s="255" t="str">
        <f>CONCATENATE('3 pr-2'!G175)</f>
        <v>Varėnos  rajono savivaldybė</v>
      </c>
      <c r="G172" s="255" t="str">
        <f>CONCATENATE('3 pr-2'!H175)</f>
        <v>05.5.1-APVA-R-019</v>
      </c>
      <c r="H172" s="255" t="str">
        <f>CONCATENATE('3 pr-2'!I175)</f>
        <v>R</v>
      </c>
      <c r="I172" s="255" t="str">
        <f>CONCATENATE('3 pr-2'!J175)</f>
        <v>-</v>
      </c>
      <c r="J172" s="474">
        <f>SUM('ketv. 6 lent'!K174)</f>
        <v>0</v>
      </c>
      <c r="K172" s="476">
        <v>0</v>
      </c>
      <c r="L172" s="475">
        <f t="shared" ref="L172:L178" si="155">SUM(J172-K172)</f>
        <v>0</v>
      </c>
      <c r="M172" s="476">
        <f>SUM('ketv. 6 lent'!O174)</f>
        <v>0</v>
      </c>
      <c r="N172" s="476">
        <v>0</v>
      </c>
      <c r="O172" s="475">
        <f t="shared" si="130"/>
        <v>0</v>
      </c>
      <c r="P172" s="476">
        <f>SUM('ketv. 6 lent'!S174)</f>
        <v>0</v>
      </c>
      <c r="Q172" s="474">
        <v>0</v>
      </c>
      <c r="R172" s="475">
        <f t="shared" si="131"/>
        <v>0</v>
      </c>
      <c r="S172" s="476">
        <f>SUM('ketv. 6 lent'!W174)</f>
        <v>0</v>
      </c>
      <c r="T172" s="474">
        <v>0</v>
      </c>
      <c r="U172" s="475">
        <f t="shared" si="132"/>
        <v>0</v>
      </c>
      <c r="V172" s="476">
        <f>SUM('ketv. 6 lent'!AA174)</f>
        <v>0</v>
      </c>
      <c r="W172" s="474">
        <v>0</v>
      </c>
      <c r="X172" s="475">
        <f t="shared" si="133"/>
        <v>0</v>
      </c>
      <c r="Y172" s="476">
        <f>SUM('ketv. 6 lent'!AE174)</f>
        <v>0</v>
      </c>
      <c r="Z172" s="476">
        <v>0</v>
      </c>
      <c r="AA172" s="728">
        <f t="shared" si="134"/>
        <v>0</v>
      </c>
    </row>
    <row r="173" spans="1:27" ht="36.75" x14ac:dyDescent="0.25">
      <c r="A173" s="992" t="str">
        <f>CONCATENATE('3 pr-2'!A176)</f>
        <v>3.1.2.1.3</v>
      </c>
      <c r="B173" s="1016" t="str">
        <f>CONCATENATE('ketv. 6 lent'!B175)</f>
        <v>05.5.1-APVA-R-019-11-0001</v>
      </c>
      <c r="C173" s="332" t="str">
        <f>CONCATENATE('3 pr-2'!D176)</f>
        <v>Bešeimininkių apleistų pastatų ir įrenginių tvarkymas Alytaus rajono savivaldybėje</v>
      </c>
      <c r="D173" s="255" t="str">
        <f>CONCATENATE('3 pr-2'!E176)</f>
        <v>Alytaus rajono savivaldybės administracija</v>
      </c>
      <c r="E173" s="255" t="str">
        <f>CONCATENATE('3 pr-2'!F176)</f>
        <v>Lietuvos Respublikos aplinkos ministerija</v>
      </c>
      <c r="F173" s="255" t="str">
        <f>CONCATENATE('3 pr-2'!G176)</f>
        <v>Alytaus rajonas</v>
      </c>
      <c r="G173" s="255" t="str">
        <f>CONCATENATE('3 pr-2'!H176)</f>
        <v>05.5.1-APVA-R-019</v>
      </c>
      <c r="H173" s="255" t="str">
        <f>CONCATENATE('3 pr-2'!I176)</f>
        <v>R</v>
      </c>
      <c r="I173" s="255" t="str">
        <f>CONCATENATE('3 pr-2'!J176)</f>
        <v/>
      </c>
      <c r="J173" s="474">
        <f>SUM('ketv. 6 lent'!K175)</f>
        <v>101765.7</v>
      </c>
      <c r="K173" s="476">
        <v>0</v>
      </c>
      <c r="L173" s="475">
        <f t="shared" si="155"/>
        <v>101765.7</v>
      </c>
      <c r="M173" s="476">
        <f>SUM('ketv. 6 lent'!O175)</f>
        <v>15264.899999999994</v>
      </c>
      <c r="N173" s="476">
        <v>0</v>
      </c>
      <c r="O173" s="475">
        <f t="shared" si="130"/>
        <v>15264.899999999994</v>
      </c>
      <c r="P173" s="476">
        <f>SUM('ketv. 6 lent'!S175)</f>
        <v>0</v>
      </c>
      <c r="Q173" s="474">
        <v>0</v>
      </c>
      <c r="R173" s="475">
        <f t="shared" si="131"/>
        <v>0</v>
      </c>
      <c r="S173" s="476">
        <f>SUM('ketv. 6 lent'!W175)</f>
        <v>0</v>
      </c>
      <c r="T173" s="474">
        <v>0</v>
      </c>
      <c r="U173" s="475">
        <f t="shared" si="132"/>
        <v>0</v>
      </c>
      <c r="V173" s="476">
        <f>SUM('ketv. 6 lent'!AA175)</f>
        <v>0</v>
      </c>
      <c r="W173" s="474">
        <v>0</v>
      </c>
      <c r="X173" s="475">
        <f t="shared" si="133"/>
        <v>0</v>
      </c>
      <c r="Y173" s="476">
        <f>SUM('ketv. 6 lent'!AE175)</f>
        <v>86500.800000000003</v>
      </c>
      <c r="Z173" s="476">
        <v>0</v>
      </c>
      <c r="AA173" s="728">
        <f t="shared" si="134"/>
        <v>86500.800000000003</v>
      </c>
    </row>
    <row r="174" spans="1:27" ht="60.75" x14ac:dyDescent="0.25">
      <c r="A174" s="992" t="str">
        <f>CONCATENATE('3 pr-2'!A177)</f>
        <v>3.1.2.1.4</v>
      </c>
      <c r="B174" s="1016" t="str">
        <f>CONCATENATE('ketv. 6 lent'!B176)</f>
        <v>05.5.1-APVA-R-019-11-0004</v>
      </c>
      <c r="C174" s="332" t="str">
        <f>CONCATENATE('3 pr-2'!D177)</f>
        <v>Alytaus miesto bendrojo plano korektūra zonuojant kraštovaizdžio struktūrą, nustatant reglamentus ir principus</v>
      </c>
      <c r="D174" s="255" t="str">
        <f>CONCATENATE('3 pr-2'!E177)</f>
        <v>Alytaus miesto savivaldybės administracija</v>
      </c>
      <c r="E174" s="255" t="str">
        <f>CONCATENATE('3 pr-2'!F177)</f>
        <v>Lietuvos Respublikos aplinkos ministerija</v>
      </c>
      <c r="F174" s="255" t="str">
        <f>CONCATENATE('3 pr-2'!G177)</f>
        <v>Alytaus miestas</v>
      </c>
      <c r="G174" s="255" t="str">
        <f>CONCATENATE('3 pr-2'!H177)</f>
        <v>05.5.1-APVA-R-019</v>
      </c>
      <c r="H174" s="255" t="str">
        <f>CONCATENATE('3 pr-2'!I177)</f>
        <v>R</v>
      </c>
      <c r="I174" s="255" t="str">
        <f>CONCATENATE('3 pr-2'!J177)</f>
        <v/>
      </c>
      <c r="J174" s="474">
        <f>SUM('ketv. 6 lent'!K176)</f>
        <v>3993</v>
      </c>
      <c r="K174" s="476">
        <v>0</v>
      </c>
      <c r="L174" s="475">
        <f t="shared" si="155"/>
        <v>3993</v>
      </c>
      <c r="M174" s="476">
        <f>SUM('ketv. 6 lent'!O176)</f>
        <v>598.94999999999982</v>
      </c>
      <c r="N174" s="476">
        <v>0</v>
      </c>
      <c r="O174" s="475">
        <f t="shared" si="130"/>
        <v>598.94999999999982</v>
      </c>
      <c r="P174" s="476">
        <f>SUM('ketv. 6 lent'!S176)</f>
        <v>0</v>
      </c>
      <c r="Q174" s="474">
        <v>0</v>
      </c>
      <c r="R174" s="475">
        <f t="shared" si="131"/>
        <v>0</v>
      </c>
      <c r="S174" s="476">
        <f>SUM('ketv. 6 lent'!W176)</f>
        <v>0</v>
      </c>
      <c r="T174" s="474">
        <v>0</v>
      </c>
      <c r="U174" s="475">
        <f t="shared" si="132"/>
        <v>0</v>
      </c>
      <c r="V174" s="476">
        <f>SUM('ketv. 6 lent'!AA176)</f>
        <v>0</v>
      </c>
      <c r="W174" s="474">
        <v>0</v>
      </c>
      <c r="X174" s="475">
        <f t="shared" si="133"/>
        <v>0</v>
      </c>
      <c r="Y174" s="476">
        <f>SUM('ketv. 6 lent'!AE176)</f>
        <v>3394.05</v>
      </c>
      <c r="Z174" s="476">
        <v>0</v>
      </c>
      <c r="AA174" s="728">
        <f t="shared" si="134"/>
        <v>3394.05</v>
      </c>
    </row>
    <row r="175" spans="1:27" ht="36.75" x14ac:dyDescent="0.25">
      <c r="A175" s="992" t="str">
        <f>CONCATENATE('3 pr-2'!A178)</f>
        <v>3.1.2.1.5</v>
      </c>
      <c r="B175" s="1016" t="str">
        <f>CONCATENATE('ketv. 6 lent'!B177)</f>
        <v>05.5.1-APVA-R-019-11-0005</v>
      </c>
      <c r="C175" s="332" t="str">
        <f>CONCATENATE('3 pr-2'!D178)</f>
        <v>Bešeimininkių apleistų pastatų Druskininkų savivaldybės teritorijoje likvidavimas</v>
      </c>
      <c r="D175" s="255" t="str">
        <f>CONCATENATE('3 pr-2'!E178)</f>
        <v>Druskininkų savivaldybės administracija</v>
      </c>
      <c r="E175" s="255" t="str">
        <f>CONCATENATE('3 pr-2'!F178)</f>
        <v>Lietuvos Respublikos aplinkos ministerija</v>
      </c>
      <c r="F175" s="255" t="str">
        <f>CONCATENATE('3 pr-2'!G178)</f>
        <v>Druskininkų savivaldybė</v>
      </c>
      <c r="G175" s="255" t="str">
        <f>CONCATENATE('3 pr-2'!H178)</f>
        <v>05.5.1-APVA-R-019</v>
      </c>
      <c r="H175" s="255" t="str">
        <f>CONCATENATE('3 pr-2'!I178)</f>
        <v>R</v>
      </c>
      <c r="I175" s="255" t="str">
        <f>CONCATENATE('3 pr-2'!J178)</f>
        <v>-</v>
      </c>
      <c r="J175" s="474">
        <f>SUM('ketv. 6 lent'!K177)</f>
        <v>121153.55</v>
      </c>
      <c r="K175" s="476">
        <f>SUM(N175+Q175+Z175)</f>
        <v>37893.879999999997</v>
      </c>
      <c r="L175" s="475">
        <f t="shared" si="155"/>
        <v>83259.670000000013</v>
      </c>
      <c r="M175" s="476">
        <f>SUM('ketv. 6 lent'!O177)</f>
        <v>18173.03</v>
      </c>
      <c r="N175" s="476">
        <v>1049.96</v>
      </c>
      <c r="O175" s="475">
        <f t="shared" si="130"/>
        <v>17123.07</v>
      </c>
      <c r="P175" s="476">
        <f>SUM('ketv. 6 lent'!S177)</f>
        <v>0</v>
      </c>
      <c r="Q175" s="474">
        <v>0</v>
      </c>
      <c r="R175" s="475">
        <f t="shared" si="131"/>
        <v>0</v>
      </c>
      <c r="S175" s="476">
        <f>SUM('ketv. 6 lent'!W177)</f>
        <v>0</v>
      </c>
      <c r="T175" s="474">
        <v>0</v>
      </c>
      <c r="U175" s="475">
        <f t="shared" si="132"/>
        <v>0</v>
      </c>
      <c r="V175" s="476">
        <f>SUM('ketv. 6 lent'!AA177)</f>
        <v>0</v>
      </c>
      <c r="W175" s="474">
        <v>0</v>
      </c>
      <c r="X175" s="475">
        <f t="shared" si="133"/>
        <v>0</v>
      </c>
      <c r="Y175" s="476">
        <f>SUM('ketv. 6 lent'!AE177)</f>
        <v>102980.52</v>
      </c>
      <c r="Z175" s="662">
        <v>36843.919999999998</v>
      </c>
      <c r="AA175" s="728">
        <f t="shared" si="134"/>
        <v>66136.600000000006</v>
      </c>
    </row>
    <row r="176" spans="1:27" ht="36.75" x14ac:dyDescent="0.25">
      <c r="A176" s="992" t="str">
        <f>CONCATENATE('3 pr-2'!A179)</f>
        <v>3.1.2.1.6</v>
      </c>
      <c r="B176" s="1016" t="str">
        <f>CONCATENATE('ketv. 6 lent'!B178)</f>
        <v>05.5.1-APVA-R-019-11-0003</v>
      </c>
      <c r="C176" s="332" t="str">
        <f>CONCATENATE('3 pr-2'!D179)</f>
        <v>Kraštovaizdžio formavimas Lazdijų rajono savivaldybėje</v>
      </c>
      <c r="D176" s="255" t="str">
        <f>CONCATENATE('3 pr-2'!E179)</f>
        <v>Lazdijų rajono savivaldybės administracija</v>
      </c>
      <c r="E176" s="255" t="str">
        <f>CONCATENATE('3 pr-2'!F179)</f>
        <v>Lietuvos Respublikos aplinkos ministerija</v>
      </c>
      <c r="F176" s="255" t="str">
        <f>CONCATENATE('3 pr-2'!G179)</f>
        <v>Lazdijų rajono savivaldybė</v>
      </c>
      <c r="G176" s="255" t="str">
        <f>CONCATENATE('3 pr-2'!H179)</f>
        <v>05.5.1-APVA-R-019</v>
      </c>
      <c r="H176" s="255" t="str">
        <f>CONCATENATE('3 pr-2'!I179)</f>
        <v>R</v>
      </c>
      <c r="I176" s="255" t="str">
        <f>CONCATENATE('3 pr-2'!J179)</f>
        <v>-</v>
      </c>
      <c r="J176" s="474">
        <f>SUM('ketv. 6 lent'!K178)</f>
        <v>442298.59</v>
      </c>
      <c r="K176" s="476">
        <f>SUM(N176+Q176+Z176)</f>
        <v>115557.4</v>
      </c>
      <c r="L176" s="476">
        <f t="shared" si="155"/>
        <v>326741.19000000006</v>
      </c>
      <c r="M176" s="476">
        <f>SUM('ketv. 6 lent'!O178)</f>
        <v>66344.780000000028</v>
      </c>
      <c r="N176" s="476">
        <v>533.61</v>
      </c>
      <c r="O176" s="476">
        <f t="shared" si="130"/>
        <v>65811.170000000027</v>
      </c>
      <c r="P176" s="476">
        <f>SUM('ketv. 6 lent'!S178)</f>
        <v>0</v>
      </c>
      <c r="Q176" s="476">
        <v>0</v>
      </c>
      <c r="R176" s="476">
        <f t="shared" si="131"/>
        <v>0</v>
      </c>
      <c r="S176" s="476">
        <f>SUM('ketv. 6 lent'!W178)</f>
        <v>0</v>
      </c>
      <c r="T176" s="476">
        <v>0</v>
      </c>
      <c r="U176" s="476">
        <f t="shared" si="132"/>
        <v>0</v>
      </c>
      <c r="V176" s="476">
        <f>SUM('ketv. 6 lent'!AA178)</f>
        <v>0</v>
      </c>
      <c r="W176" s="476">
        <v>0</v>
      </c>
      <c r="X176" s="476">
        <f t="shared" si="133"/>
        <v>0</v>
      </c>
      <c r="Y176" s="476">
        <f>SUM('ketv. 6 lent'!AE178)</f>
        <v>375953.81</v>
      </c>
      <c r="Z176" s="476">
        <v>115023.79</v>
      </c>
      <c r="AA176" s="728">
        <f t="shared" si="134"/>
        <v>260930.02000000002</v>
      </c>
    </row>
    <row r="177" spans="1:27" ht="36.75" x14ac:dyDescent="0.25">
      <c r="A177" s="992" t="str">
        <f>CONCATENATE('3 pr-2'!A180)</f>
        <v>3.1.2.1.7</v>
      </c>
      <c r="B177" s="1016" t="str">
        <f>CONCATENATE('ketv. 6 lent'!B179)</f>
        <v>-</v>
      </c>
      <c r="C177" s="332" t="str">
        <f>CONCATENATE('3 pr-2'!D180)</f>
        <v>Kraštovaizdžio formavimas Lazdijų rajono savivaldybėje (II etapas)</v>
      </c>
      <c r="D177" s="255" t="str">
        <f>CONCATENATE('3 pr-2'!E180)</f>
        <v>Lazdijų rajono savivaldybės administracija</v>
      </c>
      <c r="E177" s="255" t="str">
        <f>CONCATENATE('3 pr-2'!F180)</f>
        <v>Lietuvos Respublikos aplinkos ministerija</v>
      </c>
      <c r="F177" s="255" t="str">
        <f>CONCATENATE('3 pr-2'!G180)</f>
        <v>Lazdijų rajono savivaldybė</v>
      </c>
      <c r="G177" s="255" t="str">
        <f>CONCATENATE('3 pr-2'!H180)</f>
        <v>05.5.1-APVA-R-019</v>
      </c>
      <c r="H177" s="255" t="str">
        <f>CONCATENATE('3 pr-2'!I180)</f>
        <v>R</v>
      </c>
      <c r="I177" s="255" t="str">
        <f>CONCATENATE('3 pr-2'!J180)</f>
        <v>-</v>
      </c>
      <c r="J177" s="474">
        <f>SUM('ketv. 6 lent'!K179)</f>
        <v>0</v>
      </c>
      <c r="K177" s="476">
        <v>0</v>
      </c>
      <c r="L177" s="475">
        <f t="shared" si="155"/>
        <v>0</v>
      </c>
      <c r="M177" s="476">
        <f>SUM('ketv. 6 lent'!O179)</f>
        <v>0</v>
      </c>
      <c r="N177" s="476">
        <v>0</v>
      </c>
      <c r="O177" s="475">
        <f t="shared" si="130"/>
        <v>0</v>
      </c>
      <c r="P177" s="476">
        <f>SUM('ketv. 6 lent'!S179)</f>
        <v>0</v>
      </c>
      <c r="Q177" s="474">
        <v>0</v>
      </c>
      <c r="R177" s="475">
        <f t="shared" si="131"/>
        <v>0</v>
      </c>
      <c r="S177" s="476">
        <f>SUM('ketv. 6 lent'!W179)</f>
        <v>0</v>
      </c>
      <c r="T177" s="474">
        <v>0</v>
      </c>
      <c r="U177" s="475">
        <f t="shared" si="132"/>
        <v>0</v>
      </c>
      <c r="V177" s="476">
        <f>SUM('ketv. 6 lent'!AA179)</f>
        <v>0</v>
      </c>
      <c r="W177" s="474">
        <v>0</v>
      </c>
      <c r="X177" s="475">
        <f t="shared" si="133"/>
        <v>0</v>
      </c>
      <c r="Y177" s="476">
        <f>SUM('ketv. 6 lent'!AE179)</f>
        <v>0</v>
      </c>
      <c r="Z177" s="476">
        <v>0</v>
      </c>
      <c r="AA177" s="728">
        <f t="shared" si="134"/>
        <v>0</v>
      </c>
    </row>
    <row r="178" spans="1:27" ht="37.5" thickBot="1" x14ac:dyDescent="0.3">
      <c r="A178" s="992" t="str">
        <f>CONCATENATE('3 pr-2'!A181)</f>
        <v>3.1.2.1.8</v>
      </c>
      <c r="B178" s="1016" t="str">
        <f>CONCATENATE('ketv. 6 lent'!B180)</f>
        <v>-</v>
      </c>
      <c r="C178" s="332" t="str">
        <f>CONCATENATE('3 pr-2'!D181)</f>
        <v>Bešeimininkių apleistų pastatų ir įrenginių tvarkymas Alytaus rajono savivaldybėje (II etapas)</v>
      </c>
      <c r="D178" s="255" t="str">
        <f>CONCATENATE('3 pr-2'!E181)</f>
        <v>Alytaus rajono savivaldybės administracija</v>
      </c>
      <c r="E178" s="255" t="str">
        <f>CONCATENATE('3 pr-2'!F181)</f>
        <v>Lietuvos Respublikos aplinkos ministerija</v>
      </c>
      <c r="F178" s="255" t="str">
        <f>CONCATENATE('3 pr-2'!G181)</f>
        <v>Alytaus rajono savivaldybė</v>
      </c>
      <c r="G178" s="255" t="str">
        <f>CONCATENATE('3 pr-2'!H181)</f>
        <v>05.5.1-APVA-R-019</v>
      </c>
      <c r="H178" s="255" t="str">
        <f>CONCATENATE('3 pr-2'!I181)</f>
        <v>R</v>
      </c>
      <c r="I178" s="255" t="str">
        <f>CONCATENATE('3 pr-2'!J181)</f>
        <v>-</v>
      </c>
      <c r="J178" s="474">
        <f>SUM('ketv. 6 lent'!K180)</f>
        <v>0</v>
      </c>
      <c r="K178" s="476">
        <v>0</v>
      </c>
      <c r="L178" s="475">
        <f t="shared" si="155"/>
        <v>0</v>
      </c>
      <c r="M178" s="476">
        <f>SUM('ketv. 6 lent'!O180)</f>
        <v>0</v>
      </c>
      <c r="N178" s="476">
        <v>0</v>
      </c>
      <c r="O178" s="475">
        <f t="shared" si="130"/>
        <v>0</v>
      </c>
      <c r="P178" s="476">
        <f>SUM('ketv. 6 lent'!S180)</f>
        <v>0</v>
      </c>
      <c r="Q178" s="474">
        <v>0</v>
      </c>
      <c r="R178" s="475">
        <f t="shared" si="131"/>
        <v>0</v>
      </c>
      <c r="S178" s="476">
        <f>SUM('ketv. 6 lent'!W180)</f>
        <v>0</v>
      </c>
      <c r="T178" s="474">
        <v>0</v>
      </c>
      <c r="U178" s="475">
        <f t="shared" si="132"/>
        <v>0</v>
      </c>
      <c r="V178" s="476">
        <f>SUM('ketv. 6 lent'!AA180)</f>
        <v>0</v>
      </c>
      <c r="W178" s="474">
        <v>0</v>
      </c>
      <c r="X178" s="475">
        <f t="shared" si="133"/>
        <v>0</v>
      </c>
      <c r="Y178" s="476">
        <f>SUM('ketv. 6 lent'!AE180)</f>
        <v>0</v>
      </c>
      <c r="Z178" s="476">
        <v>0</v>
      </c>
      <c r="AA178" s="728">
        <f t="shared" si="134"/>
        <v>0</v>
      </c>
    </row>
    <row r="179" spans="1:27" ht="19.5" thickBot="1" x14ac:dyDescent="0.3">
      <c r="J179" s="736">
        <f t="shared" ref="J179:AA179" si="156">SUM(J5+J98+J165)</f>
        <v>38116803.810000002</v>
      </c>
      <c r="K179" s="736">
        <f t="shared" si="156"/>
        <v>8866209.2899999991</v>
      </c>
      <c r="L179" s="472">
        <f t="shared" si="156"/>
        <v>29250594.520000003</v>
      </c>
      <c r="M179" s="736">
        <f t="shared" si="156"/>
        <v>3484504.1599999997</v>
      </c>
      <c r="N179" s="736">
        <f t="shared" si="156"/>
        <v>381403.71</v>
      </c>
      <c r="O179" s="736">
        <f t="shared" si="156"/>
        <v>3103100.45</v>
      </c>
      <c r="P179" s="736">
        <f t="shared" si="156"/>
        <v>894917.78</v>
      </c>
      <c r="Q179" s="736">
        <f t="shared" si="156"/>
        <v>222950.69</v>
      </c>
      <c r="R179" s="736">
        <f t="shared" si="156"/>
        <v>671967.09000000008</v>
      </c>
      <c r="S179" s="736">
        <f t="shared" si="156"/>
        <v>6624263.0899999999</v>
      </c>
      <c r="T179" s="736">
        <f t="shared" si="156"/>
        <v>1440051.81</v>
      </c>
      <c r="U179" s="736">
        <f t="shared" si="156"/>
        <v>5184211.2799999993</v>
      </c>
      <c r="V179" s="736">
        <f t="shared" si="156"/>
        <v>62660</v>
      </c>
      <c r="W179" s="736">
        <f t="shared" si="156"/>
        <v>32545.37</v>
      </c>
      <c r="X179" s="736">
        <f t="shared" si="156"/>
        <v>30114.63</v>
      </c>
      <c r="Y179" s="736">
        <f t="shared" si="156"/>
        <v>27050458.779999997</v>
      </c>
      <c r="Z179" s="736">
        <f t="shared" si="156"/>
        <v>6789257.7100000009</v>
      </c>
      <c r="AA179" s="356">
        <f t="shared" si="156"/>
        <v>20261201.07</v>
      </c>
    </row>
  </sheetData>
  <mergeCells count="44">
    <mergeCell ref="A1:F1"/>
    <mergeCell ref="A2:I2"/>
    <mergeCell ref="J2:AA2"/>
    <mergeCell ref="J3:L3"/>
    <mergeCell ref="M3:O3"/>
    <mergeCell ref="P3:R3"/>
    <mergeCell ref="S3:U3"/>
    <mergeCell ref="V3:X3"/>
    <mergeCell ref="Y3:AA3"/>
    <mergeCell ref="C71:I71"/>
    <mergeCell ref="C5:I5"/>
    <mergeCell ref="C6:I6"/>
    <mergeCell ref="C7:I7"/>
    <mergeCell ref="C31:I31"/>
    <mergeCell ref="C37:I37"/>
    <mergeCell ref="C44:I44"/>
    <mergeCell ref="C48:I48"/>
    <mergeCell ref="C54:I54"/>
    <mergeCell ref="C56:I56"/>
    <mergeCell ref="C60:I60"/>
    <mergeCell ref="C65:I65"/>
    <mergeCell ref="C144:I144"/>
    <mergeCell ref="C72:I72"/>
    <mergeCell ref="C77:I77"/>
    <mergeCell ref="C84:I84"/>
    <mergeCell ref="C90:I90"/>
    <mergeCell ref="C98:I98"/>
    <mergeCell ref="C99:I99"/>
    <mergeCell ref="C100:I100"/>
    <mergeCell ref="C106:I106"/>
    <mergeCell ref="C112:I112"/>
    <mergeCell ref="C118:I118"/>
    <mergeCell ref="C132:I132"/>
    <mergeCell ref="C119:I119"/>
    <mergeCell ref="C138:I138"/>
    <mergeCell ref="C167:I167"/>
    <mergeCell ref="C169:I169"/>
    <mergeCell ref="C170:I170"/>
    <mergeCell ref="C145:I145"/>
    <mergeCell ref="C151:I151"/>
    <mergeCell ref="C157:I157"/>
    <mergeCell ref="C158:I158"/>
    <mergeCell ref="C165:I165"/>
    <mergeCell ref="C166:I166"/>
  </mergeCells>
  <pageMargins left="0.25" right="0.25" top="0.75" bottom="0.75" header="0.3" footer="0.3"/>
  <pageSetup paperSize="8" scale="79" fitToHeight="0"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29"/>
  <sheetViews>
    <sheetView topLeftCell="A7" workbookViewId="0">
      <selection activeCell="G22" sqref="G22"/>
    </sheetView>
  </sheetViews>
  <sheetFormatPr defaultRowHeight="15" x14ac:dyDescent="0.25"/>
  <cols>
    <col min="1" max="1" width="25.7109375" customWidth="1"/>
    <col min="2" max="2" width="50.140625" customWidth="1"/>
    <col min="3" max="3" width="9.42578125" hidden="1" customWidth="1"/>
    <col min="4" max="4" width="9.42578125" customWidth="1"/>
    <col min="5" max="5" width="11.140625" hidden="1" customWidth="1"/>
    <col min="6" max="6" width="9.42578125" hidden="1" customWidth="1"/>
    <col min="7" max="7" width="9.42578125" customWidth="1"/>
    <col min="8" max="8" width="10.5703125" hidden="1" customWidth="1"/>
    <col min="9" max="9" width="9.42578125" hidden="1" customWidth="1"/>
    <col min="10" max="10" width="9.42578125" customWidth="1"/>
    <col min="11" max="12" width="9.42578125" hidden="1" customWidth="1"/>
    <col min="13" max="13" width="9.42578125" customWidth="1"/>
    <col min="14" max="15" width="9.42578125" hidden="1" customWidth="1"/>
    <col min="16" max="16" width="9.42578125" customWidth="1"/>
    <col min="17" max="18" width="9.42578125" hidden="1" customWidth="1"/>
    <col min="19" max="19" width="9.42578125" customWidth="1"/>
    <col min="20" max="20" width="10.5703125" hidden="1" customWidth="1"/>
    <col min="21" max="21" width="10.140625" hidden="1" customWidth="1"/>
    <col min="22" max="22" width="10.140625" bestFit="1" customWidth="1"/>
    <col min="23" max="23" width="10.140625" hidden="1" customWidth="1"/>
    <col min="24" max="24" width="11.5703125" hidden="1" customWidth="1"/>
    <col min="25" max="25" width="12.42578125" hidden="1" customWidth="1"/>
    <col min="26" max="26" width="11.28515625" hidden="1" customWidth="1"/>
    <col min="27" max="27" width="10.140625" hidden="1" customWidth="1"/>
    <col min="29" max="29" width="14.85546875" customWidth="1"/>
  </cols>
  <sheetData>
    <row r="1" spans="1:29" ht="33" customHeight="1" thickBot="1" x14ac:dyDescent="0.3">
      <c r="A1" s="1793" t="s">
        <v>792</v>
      </c>
      <c r="B1" s="1857"/>
      <c r="C1" s="1857"/>
      <c r="D1" s="1857"/>
      <c r="E1" s="1857"/>
      <c r="F1" s="1857"/>
      <c r="G1" s="1857"/>
      <c r="H1" s="1857"/>
      <c r="I1" s="1857"/>
      <c r="J1" s="1857"/>
      <c r="K1" s="1857"/>
      <c r="L1" s="1857"/>
      <c r="M1" s="1857"/>
      <c r="N1" s="1857"/>
      <c r="O1" s="1857"/>
      <c r="P1" s="1857"/>
      <c r="Q1" s="1857"/>
      <c r="R1" s="1857"/>
      <c r="S1" s="1857"/>
      <c r="T1" s="1857"/>
      <c r="U1" s="1857"/>
      <c r="V1" s="1857"/>
    </row>
    <row r="2" spans="1:29" ht="15.75" thickBot="1" x14ac:dyDescent="0.3">
      <c r="A2" s="1852" t="s">
        <v>255</v>
      </c>
      <c r="B2" s="1854" t="s">
        <v>256</v>
      </c>
      <c r="C2" s="1832" t="s">
        <v>715</v>
      </c>
      <c r="D2" s="1833"/>
      <c r="E2" s="1833"/>
      <c r="F2" s="1833"/>
      <c r="G2" s="1833"/>
      <c r="H2" s="1833"/>
      <c r="I2" s="1833"/>
      <c r="J2" s="1833"/>
      <c r="K2" s="1833"/>
      <c r="L2" s="1833"/>
      <c r="M2" s="1833"/>
      <c r="N2" s="1833"/>
      <c r="O2" s="1833"/>
      <c r="P2" s="1833"/>
      <c r="Q2" s="1833"/>
      <c r="R2" s="1833"/>
      <c r="S2" s="1833"/>
      <c r="T2" s="1833"/>
      <c r="U2" s="1833"/>
      <c r="V2" s="1856"/>
      <c r="W2" s="1831"/>
    </row>
    <row r="3" spans="1:29" ht="57.75" thickBot="1" x14ac:dyDescent="0.3">
      <c r="A3" s="1853"/>
      <c r="B3" s="1855"/>
      <c r="C3" s="1058" t="s">
        <v>798</v>
      </c>
      <c r="D3" s="1059">
        <v>2015</v>
      </c>
      <c r="E3" s="1060" t="s">
        <v>799</v>
      </c>
      <c r="F3" s="1058" t="s">
        <v>800</v>
      </c>
      <c r="G3" s="1059">
        <v>2016</v>
      </c>
      <c r="H3" s="1060" t="s">
        <v>806</v>
      </c>
      <c r="I3" s="1058" t="s">
        <v>801</v>
      </c>
      <c r="J3" s="1059">
        <v>2017</v>
      </c>
      <c r="K3" s="1060" t="s">
        <v>807</v>
      </c>
      <c r="L3" s="1058" t="s">
        <v>802</v>
      </c>
      <c r="M3" s="1059">
        <v>2018</v>
      </c>
      <c r="N3" s="1060" t="s">
        <v>808</v>
      </c>
      <c r="O3" s="1058" t="s">
        <v>803</v>
      </c>
      <c r="P3" s="1059">
        <v>2019</v>
      </c>
      <c r="Q3" s="1060" t="s">
        <v>809</v>
      </c>
      <c r="R3" s="1058" t="s">
        <v>804</v>
      </c>
      <c r="S3" s="1059">
        <v>2020</v>
      </c>
      <c r="T3" s="1060" t="s">
        <v>810</v>
      </c>
      <c r="U3" s="1058" t="s">
        <v>805</v>
      </c>
      <c r="V3" s="1059" t="s">
        <v>9</v>
      </c>
      <c r="W3" s="1061" t="s">
        <v>812</v>
      </c>
      <c r="X3" s="375" t="s">
        <v>813</v>
      </c>
      <c r="Y3" s="377" t="s">
        <v>815</v>
      </c>
      <c r="Z3" s="377" t="s">
        <v>817</v>
      </c>
      <c r="AA3" s="377" t="s">
        <v>818</v>
      </c>
    </row>
    <row r="4" spans="1:29" ht="48" thickBot="1" x14ac:dyDescent="0.3">
      <c r="A4" s="1043" t="s">
        <v>797</v>
      </c>
      <c r="B4" s="1043" t="s">
        <v>257</v>
      </c>
      <c r="C4" s="1054">
        <f>SUM('3 pr-(5-6)'!C37)</f>
        <v>0</v>
      </c>
      <c r="D4" s="1055">
        <v>0</v>
      </c>
      <c r="E4" s="1056">
        <f>SUM(C4-D4)</f>
        <v>0</v>
      </c>
      <c r="F4" s="1054">
        <f>SUM('3 pr-(5-6)'!D37)</f>
        <v>0</v>
      </c>
      <c r="G4" s="1055">
        <f>SUM('ketv. 4 lent'!P9)</f>
        <v>0</v>
      </c>
      <c r="H4" s="1056">
        <f>SUM(F4-G4)</f>
        <v>0</v>
      </c>
      <c r="I4" s="1054">
        <f>SUM('3 pr-(5-6)'!G37)</f>
        <v>2773893</v>
      </c>
      <c r="J4" s="1055">
        <f>SUM('ketv. 4 lent'!Q9)+G4</f>
        <v>364360</v>
      </c>
      <c r="K4" s="1056">
        <f>SUM(I4-J4)</f>
        <v>2409533</v>
      </c>
      <c r="L4" s="1054">
        <f>SUM('3 pr-(5-6)'!F37)</f>
        <v>2773893</v>
      </c>
      <c r="M4" s="1055">
        <f>SUM('ketv. 4 lent'!R9)+J4</f>
        <v>364360</v>
      </c>
      <c r="N4" s="1056">
        <f>SUM(L4-M4)</f>
        <v>2409533</v>
      </c>
      <c r="O4" s="1054">
        <f>SUM('3 pr-(5-6)'!G37)</f>
        <v>2773893</v>
      </c>
      <c r="P4" s="1055">
        <f>SUM('ketv. 4 lent'!S9)+M4</f>
        <v>364360</v>
      </c>
      <c r="Q4" s="1056">
        <f>SUM(O4-P4)</f>
        <v>2409533</v>
      </c>
      <c r="R4" s="1054">
        <f>SUM('3 pr-(5-6)'!H37)</f>
        <v>2773893</v>
      </c>
      <c r="S4" s="1055">
        <f>SUM(P4+'ketv. 4 lent'!T9)</f>
        <v>364360</v>
      </c>
      <c r="T4" s="1056">
        <f>SUM(R4-S4)</f>
        <v>2409533</v>
      </c>
      <c r="U4" s="1062">
        <f>SUM('3 pr-(5-6)'!I37)-'ketv. 4 lent'!O32</f>
        <v>2773893</v>
      </c>
      <c r="V4" s="1065">
        <f t="shared" ref="V4:V29" si="0">SUM(S4)</f>
        <v>364360</v>
      </c>
      <c r="W4" s="1057">
        <f>SUM(U4-V4)</f>
        <v>2409533</v>
      </c>
      <c r="X4" s="376">
        <v>2773894.25</v>
      </c>
      <c r="Y4" s="378">
        <f t="shared" ref="Y4:Y12" si="1">SUM(X4-U4)</f>
        <v>1.25</v>
      </c>
      <c r="Z4" s="378">
        <f>SUM('3 pr-2'!AD9)</f>
        <v>135.85000000000582</v>
      </c>
      <c r="AA4" s="378">
        <f>SUM(Y4+Z4)</f>
        <v>137.10000000000582</v>
      </c>
    </row>
    <row r="5" spans="1:29" ht="17.25" thickTop="1" thickBot="1" x14ac:dyDescent="0.3">
      <c r="A5" s="1046" t="s">
        <v>146</v>
      </c>
      <c r="B5" s="1046" t="s">
        <v>400</v>
      </c>
      <c r="C5" s="1047">
        <f>SUM('3 pr-(5-6)'!C38)</f>
        <v>0</v>
      </c>
      <c r="D5" s="1048">
        <v>0</v>
      </c>
      <c r="E5" s="1049">
        <f t="shared" ref="E5:E29" si="2">SUM(C5-D5)</f>
        <v>0</v>
      </c>
      <c r="F5" s="1047">
        <f>SUM('3 pr-(5-6)'!D38)</f>
        <v>0</v>
      </c>
      <c r="G5" s="1048">
        <f>SUM('ketv. 4 lent'!P33)</f>
        <v>0</v>
      </c>
      <c r="H5" s="1049">
        <f t="shared" ref="H5:H29" si="3">SUM(F5-G5)</f>
        <v>0</v>
      </c>
      <c r="I5" s="1047">
        <f>SUM('3 pr-(5-6)'!G38)</f>
        <v>2816453</v>
      </c>
      <c r="J5" s="1048">
        <f>SUM('ketv. 4 lent'!Q33)+G5</f>
        <v>0</v>
      </c>
      <c r="K5" s="1049">
        <f t="shared" ref="K5:K29" si="4">SUM(I5-J5)</f>
        <v>2816453</v>
      </c>
      <c r="L5" s="1047">
        <f>SUM('3 pr-(5-6)'!F38)</f>
        <v>2816453</v>
      </c>
      <c r="M5" s="1048">
        <f>SUM('ketv. 4 lent'!R33)+J5</f>
        <v>0</v>
      </c>
      <c r="N5" s="1049">
        <f t="shared" ref="N5:N29" si="5">SUM(L5-M5)</f>
        <v>2816453</v>
      </c>
      <c r="O5" s="1047">
        <f>SUM('3 pr-(5-6)'!G38)</f>
        <v>2816453</v>
      </c>
      <c r="P5" s="1048">
        <f>SUM('ketv. 4 lent'!S33)+M5</f>
        <v>0</v>
      </c>
      <c r="Q5" s="1049">
        <f t="shared" ref="Q5:Q29" si="6">SUM(O5-P5)</f>
        <v>2816453</v>
      </c>
      <c r="R5" s="1047">
        <f>SUM('3 pr-(5-6)'!H38)</f>
        <v>2816453</v>
      </c>
      <c r="S5" s="1048">
        <f>SUM('ketv. 4 lent'!T33)+P5</f>
        <v>0</v>
      </c>
      <c r="T5" s="1049">
        <f t="shared" ref="T5:T29" si="7">SUM(R5-S5)</f>
        <v>2816453</v>
      </c>
      <c r="U5" s="1063">
        <f>SUM('3 pr-(5-6)'!I38)</f>
        <v>2816453</v>
      </c>
      <c r="V5" s="1066">
        <f t="shared" si="0"/>
        <v>0</v>
      </c>
      <c r="W5" s="1045">
        <f t="shared" ref="W5:W29" si="8">SUM(U5-V5)</f>
        <v>2816453</v>
      </c>
      <c r="X5" s="369">
        <v>2816452</v>
      </c>
      <c r="Y5" s="378">
        <f t="shared" si="1"/>
        <v>-1</v>
      </c>
      <c r="Z5" s="378">
        <f>SUM('3 pr-2'!AD33)</f>
        <v>0</v>
      </c>
      <c r="AA5" s="378">
        <f t="shared" ref="AA5:AA29" si="9">SUM(Y5+Z5)</f>
        <v>-1</v>
      </c>
    </row>
    <row r="6" spans="1:29" ht="17.25" thickTop="1" thickBot="1" x14ac:dyDescent="0.3">
      <c r="A6" s="1046" t="s">
        <v>145</v>
      </c>
      <c r="B6" s="1046" t="s">
        <v>401</v>
      </c>
      <c r="C6" s="1047">
        <f>SUM('3 pr-(5-6)'!C39)</f>
        <v>0</v>
      </c>
      <c r="D6" s="1048">
        <v>0</v>
      </c>
      <c r="E6" s="1049">
        <f t="shared" si="2"/>
        <v>0</v>
      </c>
      <c r="F6" s="1047">
        <f>SUM('3 pr-(5-6)'!D39)</f>
        <v>1289392.2</v>
      </c>
      <c r="G6" s="1048">
        <f>SUM('ketv. 4 lent'!P39)</f>
        <v>1289392.2</v>
      </c>
      <c r="H6" s="1049">
        <f t="shared" si="3"/>
        <v>0</v>
      </c>
      <c r="I6" s="1047">
        <f>SUM('3 pr-(5-6)'!G39)</f>
        <v>3611595.54</v>
      </c>
      <c r="J6" s="1048">
        <f>SUM('ketv. 4 lent'!Q39)+G6</f>
        <v>2135325.8899999997</v>
      </c>
      <c r="K6" s="1049">
        <f t="shared" si="4"/>
        <v>1476269.6500000004</v>
      </c>
      <c r="L6" s="1047">
        <f>SUM('3 pr-(5-6)'!F39)</f>
        <v>3611595.54</v>
      </c>
      <c r="M6" s="1048">
        <f>SUM('ketv. 4 lent'!R39)+J6</f>
        <v>2648869.5399999996</v>
      </c>
      <c r="N6" s="1049">
        <f t="shared" si="5"/>
        <v>962726.00000000047</v>
      </c>
      <c r="O6" s="1047">
        <f>SUM('3 pr-(5-6)'!G39)</f>
        <v>3611595.54</v>
      </c>
      <c r="P6" s="1048">
        <f>SUM('ketv. 4 lent'!S39)+M6</f>
        <v>2648869.5399999996</v>
      </c>
      <c r="Q6" s="1049">
        <f t="shared" si="6"/>
        <v>962726.00000000047</v>
      </c>
      <c r="R6" s="1047">
        <f>SUM('3 pr-(5-6)'!H39)</f>
        <v>3611595.54</v>
      </c>
      <c r="S6" s="1048">
        <f>SUM('ketv. 4 lent'!T39)+P6</f>
        <v>2648869.5399999996</v>
      </c>
      <c r="T6" s="1049">
        <f t="shared" si="7"/>
        <v>962726.00000000047</v>
      </c>
      <c r="U6" s="1063">
        <f>SUM('3 pr-(5-6)'!I39)</f>
        <v>3611595.54</v>
      </c>
      <c r="V6" s="1066">
        <f t="shared" si="0"/>
        <v>2648869.5399999996</v>
      </c>
      <c r="W6" s="1045">
        <f t="shared" si="8"/>
        <v>962726.00000000047</v>
      </c>
      <c r="X6" s="369">
        <v>3697302</v>
      </c>
      <c r="Y6" s="378">
        <f t="shared" si="1"/>
        <v>85706.459999999963</v>
      </c>
      <c r="Z6" s="378">
        <f>SUM('3 pr-2'!AD39)</f>
        <v>0</v>
      </c>
      <c r="AA6" s="378">
        <f t="shared" si="9"/>
        <v>85706.459999999963</v>
      </c>
    </row>
    <row r="7" spans="1:29" ht="17.25" thickTop="1" thickBot="1" x14ac:dyDescent="0.3">
      <c r="A7" s="1046" t="s">
        <v>274</v>
      </c>
      <c r="B7" s="1046" t="s">
        <v>259</v>
      </c>
      <c r="C7" s="1047">
        <f>SUM('3 pr-(5-6)'!C40)</f>
        <v>0</v>
      </c>
      <c r="D7" s="1048">
        <v>0</v>
      </c>
      <c r="E7" s="1049">
        <f t="shared" si="2"/>
        <v>0</v>
      </c>
      <c r="F7" s="1047">
        <f>SUM('3 pr-(5-6)'!D40)</f>
        <v>575484.89</v>
      </c>
      <c r="G7" s="1048">
        <f>SUM('ketv. 4 lent'!P48+'ketv. 4 lent'!P49)</f>
        <v>575484.89</v>
      </c>
      <c r="H7" s="1049">
        <f t="shared" si="3"/>
        <v>0</v>
      </c>
      <c r="I7" s="1047">
        <f>SUM('3 pr-(5-6)'!G40)</f>
        <v>575484.89</v>
      </c>
      <c r="J7" s="1048">
        <f>SUM('ketv. 4 lent'!Q48+'ketv. 4 lent'!Q49)+G7</f>
        <v>575484.89</v>
      </c>
      <c r="K7" s="1049">
        <f t="shared" si="4"/>
        <v>0</v>
      </c>
      <c r="L7" s="1047">
        <f>SUM('3 pr-(5-6)'!F40)</f>
        <v>575484.89</v>
      </c>
      <c r="M7" s="1048">
        <f>SUM('ketv. 4 lent'!R48+'ketv. 4 lent'!R49)+J7</f>
        <v>575484.89</v>
      </c>
      <c r="N7" s="1049">
        <f t="shared" si="5"/>
        <v>0</v>
      </c>
      <c r="O7" s="1047">
        <f>SUM('3 pr-(5-6)'!G40)</f>
        <v>575484.89</v>
      </c>
      <c r="P7" s="1048">
        <f>SUM('ketv. 4 lent'!S48+'ketv. 4 lent'!S49)+M7</f>
        <v>575484.89</v>
      </c>
      <c r="Q7" s="1049">
        <f t="shared" si="6"/>
        <v>0</v>
      </c>
      <c r="R7" s="1047">
        <f>SUM('3 pr-(5-6)'!H40)</f>
        <v>575484.89</v>
      </c>
      <c r="S7" s="1048">
        <f>SUM('ketv. 4 lent'!T48+'ketv. 4 lent'!T49)+P7</f>
        <v>575484.89</v>
      </c>
      <c r="T7" s="1049">
        <f t="shared" si="7"/>
        <v>0</v>
      </c>
      <c r="U7" s="1063">
        <f>SUM('3 pr-(5-6)'!I40)</f>
        <v>575484.89</v>
      </c>
      <c r="V7" s="1066">
        <f t="shared" si="0"/>
        <v>575484.89</v>
      </c>
      <c r="W7" s="1045">
        <f t="shared" si="8"/>
        <v>0</v>
      </c>
      <c r="X7" s="369">
        <v>575485</v>
      </c>
      <c r="Y7" s="378">
        <f t="shared" si="1"/>
        <v>0.10999999998603016</v>
      </c>
      <c r="Z7" s="378">
        <f>SUM('3 pr-2'!AD48+'3 pr-2'!AD49)</f>
        <v>0</v>
      </c>
      <c r="AA7" s="378">
        <f t="shared" si="9"/>
        <v>0.10999999998603016</v>
      </c>
    </row>
    <row r="8" spans="1:29" ht="17.25" thickTop="1" thickBot="1" x14ac:dyDescent="0.3">
      <c r="A8" s="1046" t="s">
        <v>179</v>
      </c>
      <c r="B8" s="1046" t="s">
        <v>258</v>
      </c>
      <c r="C8" s="1047">
        <f>SUM('3 pr-(5-6)'!C41)</f>
        <v>0</v>
      </c>
      <c r="D8" s="1048">
        <v>0</v>
      </c>
      <c r="E8" s="1049">
        <f t="shared" si="2"/>
        <v>0</v>
      </c>
      <c r="F8" s="1047">
        <f>SUM('3 pr-(5-6)'!D41)</f>
        <v>1099672.68</v>
      </c>
      <c r="G8" s="1048">
        <f>SUM('ketv. 4 lent'!P47)</f>
        <v>0</v>
      </c>
      <c r="H8" s="1049">
        <f t="shared" si="3"/>
        <v>1099672.68</v>
      </c>
      <c r="I8" s="1047">
        <f>SUM('3 pr-(5-6)'!G41)</f>
        <v>1099672.68</v>
      </c>
      <c r="J8" s="1048">
        <f>SUM('ketv. 4 lent'!Q47)+G8</f>
        <v>1099672.68</v>
      </c>
      <c r="K8" s="1049">
        <f t="shared" si="4"/>
        <v>0</v>
      </c>
      <c r="L8" s="1047">
        <f>SUM('3 pr-(5-6)'!F41)</f>
        <v>1099672.68</v>
      </c>
      <c r="M8" s="1048">
        <f>SUM('ketv. 4 lent'!R47)+J8</f>
        <v>1099672.68</v>
      </c>
      <c r="N8" s="1049">
        <f t="shared" si="5"/>
        <v>0</v>
      </c>
      <c r="O8" s="1047">
        <f>SUM('3 pr-(5-6)'!G41)</f>
        <v>1099672.68</v>
      </c>
      <c r="P8" s="1048">
        <f>SUM('ketv. 4 lent'!S47)+M8</f>
        <v>1099672.68</v>
      </c>
      <c r="Q8" s="1049">
        <f t="shared" si="6"/>
        <v>0</v>
      </c>
      <c r="R8" s="1047">
        <f>SUM('3 pr-(5-6)'!H41)</f>
        <v>1099672.68</v>
      </c>
      <c r="S8" s="1048">
        <f>SUM('ketv. 4 lent'!T47)+P8</f>
        <v>1099672.68</v>
      </c>
      <c r="T8" s="1049">
        <f t="shared" si="7"/>
        <v>0</v>
      </c>
      <c r="U8" s="1063">
        <f>SUM('3 pr-(5-6)'!I41)</f>
        <v>1099672.68</v>
      </c>
      <c r="V8" s="1066">
        <f t="shared" si="0"/>
        <v>1099672.68</v>
      </c>
      <c r="W8" s="1045">
        <f t="shared" si="8"/>
        <v>0</v>
      </c>
      <c r="X8" s="369">
        <v>1158480</v>
      </c>
      <c r="Y8" s="378">
        <f t="shared" si="1"/>
        <v>58807.320000000065</v>
      </c>
      <c r="Z8" s="378">
        <f>SUM('3 pr-2'!AD47)</f>
        <v>0</v>
      </c>
      <c r="AA8" s="378">
        <f t="shared" si="9"/>
        <v>58807.320000000065</v>
      </c>
    </row>
    <row r="9" spans="1:29" ht="48.75" thickTop="1" thickBot="1" x14ac:dyDescent="0.3">
      <c r="A9" s="1046" t="s">
        <v>144</v>
      </c>
      <c r="B9" s="1046" t="s">
        <v>402</v>
      </c>
      <c r="C9" s="1047">
        <f>SUM('3 pr-(5-6)'!C42)</f>
        <v>0</v>
      </c>
      <c r="D9" s="1048">
        <v>0</v>
      </c>
      <c r="E9" s="1049">
        <f t="shared" si="2"/>
        <v>0</v>
      </c>
      <c r="F9" s="1047">
        <f>SUM('3 pr-(5-6)'!D42)</f>
        <v>0</v>
      </c>
      <c r="G9" s="1048">
        <f>SUM('ketv. 4 lent'!P50)</f>
        <v>2645996.25</v>
      </c>
      <c r="H9" s="1049">
        <f t="shared" si="3"/>
        <v>-2645996.25</v>
      </c>
      <c r="I9" s="1047">
        <f>SUM('3 pr-(5-6)'!G42)</f>
        <v>8810673.5099999998</v>
      </c>
      <c r="J9" s="1048">
        <f>SUM('ketv. 4 lent'!Q50)+G9</f>
        <v>7942929.5099999998</v>
      </c>
      <c r="K9" s="1049">
        <f t="shared" si="4"/>
        <v>867744</v>
      </c>
      <c r="L9" s="1047">
        <f>SUM('3 pr-(5-6)'!F42)</f>
        <v>8810673.5099999998</v>
      </c>
      <c r="M9" s="1048">
        <f>SUM('ketv. 4 lent'!R50)+J9</f>
        <v>8810673.5099999998</v>
      </c>
      <c r="N9" s="1049">
        <f t="shared" si="5"/>
        <v>0</v>
      </c>
      <c r="O9" s="1047">
        <f>SUM('3 pr-(5-6)'!G42)</f>
        <v>8810673.5099999998</v>
      </c>
      <c r="P9" s="1048">
        <f>SUM('ketv. 4 lent'!S50)+M9</f>
        <v>8810673.5099999998</v>
      </c>
      <c r="Q9" s="1049">
        <f t="shared" si="6"/>
        <v>0</v>
      </c>
      <c r="R9" s="1047">
        <f>SUM('3 pr-(5-6)'!H42)</f>
        <v>8810673.5099999998</v>
      </c>
      <c r="S9" s="1048">
        <f>SUM('ketv. 4 lent'!T50)+P9</f>
        <v>8810673.5099999998</v>
      </c>
      <c r="T9" s="1049">
        <f t="shared" si="7"/>
        <v>0</v>
      </c>
      <c r="U9" s="1063">
        <f>SUM('3 pr-(5-6)'!I42)</f>
        <v>8810673.5099999998</v>
      </c>
      <c r="V9" s="1066">
        <f t="shared" si="0"/>
        <v>8810673.5099999998</v>
      </c>
      <c r="W9" s="1045">
        <f t="shared" si="8"/>
        <v>0</v>
      </c>
      <c r="X9" s="369">
        <v>7788067.5199999996</v>
      </c>
      <c r="Y9" s="379">
        <f t="shared" si="1"/>
        <v>-1022605.9900000002</v>
      </c>
      <c r="Z9" s="379">
        <f>SUM('3 pr-2'!AD50)</f>
        <v>1413499.91</v>
      </c>
      <c r="AA9" s="378">
        <f t="shared" si="9"/>
        <v>390893.91999999969</v>
      </c>
      <c r="AC9" s="336"/>
    </row>
    <row r="10" spans="1:29" ht="17.25" thickTop="1" thickBot="1" x14ac:dyDescent="0.3">
      <c r="A10" s="1046" t="s">
        <v>180</v>
      </c>
      <c r="B10" s="1046" t="s">
        <v>260</v>
      </c>
      <c r="C10" s="1047">
        <f>SUM('3 pr-(5-6)'!C43)</f>
        <v>0</v>
      </c>
      <c r="D10" s="1048">
        <v>0</v>
      </c>
      <c r="E10" s="1049">
        <f t="shared" si="2"/>
        <v>0</v>
      </c>
      <c r="F10" s="1047">
        <f>SUM('3 pr-(5-6)'!D43)</f>
        <v>0</v>
      </c>
      <c r="G10" s="1048">
        <f>SUM('ketv. 4 lent'!P57)</f>
        <v>0</v>
      </c>
      <c r="H10" s="1049">
        <f t="shared" si="3"/>
        <v>0</v>
      </c>
      <c r="I10" s="1047">
        <f>SUM('3 pr-(5-6)'!G43)</f>
        <v>3399493.48</v>
      </c>
      <c r="J10" s="1048">
        <f>SUM('ketv. 4 lent'!Q56)+G10</f>
        <v>3399493.48</v>
      </c>
      <c r="K10" s="1049">
        <f t="shared" si="4"/>
        <v>0</v>
      </c>
      <c r="L10" s="1047">
        <f>SUM('3 pr-(5-6)'!F43)</f>
        <v>3399493.48</v>
      </c>
      <c r="M10" s="1048">
        <f>SUM('ketv. 4 lent'!R56)+J10</f>
        <v>3399493.48</v>
      </c>
      <c r="N10" s="1049">
        <f t="shared" si="5"/>
        <v>0</v>
      </c>
      <c r="O10" s="1047">
        <f>SUM('3 pr-(5-6)'!G43)</f>
        <v>3399493.48</v>
      </c>
      <c r="P10" s="1048">
        <f>SUM('ketv. 4 lent'!S56)+M10</f>
        <v>3399493.48</v>
      </c>
      <c r="Q10" s="1049">
        <f t="shared" si="6"/>
        <v>0</v>
      </c>
      <c r="R10" s="1047">
        <f>SUM('3 pr-(5-6)'!H43)</f>
        <v>3399493.48</v>
      </c>
      <c r="S10" s="1048">
        <f>SUM('ketv. 4 lent'!T56)+P10</f>
        <v>3399493.48</v>
      </c>
      <c r="T10" s="1049">
        <f t="shared" si="7"/>
        <v>0</v>
      </c>
      <c r="U10" s="1063">
        <f>SUM('3 pr-(5-6)'!I43)</f>
        <v>3399493.48</v>
      </c>
      <c r="V10" s="1066">
        <f t="shared" si="0"/>
        <v>3399493.48</v>
      </c>
      <c r="W10" s="1045">
        <f t="shared" si="8"/>
        <v>0</v>
      </c>
      <c r="X10" s="369">
        <v>3399493.48</v>
      </c>
      <c r="Y10" s="379">
        <f t="shared" si="1"/>
        <v>0</v>
      </c>
      <c r="Z10" s="379">
        <f>SUM('3 pr-2'!AD56)</f>
        <v>1011500</v>
      </c>
      <c r="AA10" s="378">
        <f t="shared" si="9"/>
        <v>1011500</v>
      </c>
    </row>
    <row r="11" spans="1:29" ht="33" thickTop="1" thickBot="1" x14ac:dyDescent="0.3">
      <c r="A11" s="1046" t="s">
        <v>814</v>
      </c>
      <c r="B11" s="1046" t="s">
        <v>133</v>
      </c>
      <c r="C11" s="1047">
        <f>SUM('3 pr-(5-6)'!C44)</f>
        <v>0</v>
      </c>
      <c r="D11" s="1048">
        <v>0</v>
      </c>
      <c r="E11" s="1049">
        <f t="shared" si="2"/>
        <v>0</v>
      </c>
      <c r="F11" s="1047">
        <f>SUM('3 pr-(5-6)'!D44)</f>
        <v>0</v>
      </c>
      <c r="G11" s="1048">
        <f>SUM('ketv. 4 lent'!P58)+D11</f>
        <v>0</v>
      </c>
      <c r="H11" s="1049">
        <f t="shared" si="3"/>
        <v>0</v>
      </c>
      <c r="I11" s="1047">
        <f>SUM('3 pr-(5-6)'!G44)</f>
        <v>611420</v>
      </c>
      <c r="J11" s="1048">
        <f>SUM('ketv. 4 lent'!Q58)+G11</f>
        <v>421880</v>
      </c>
      <c r="K11" s="1049">
        <f t="shared" si="4"/>
        <v>189540</v>
      </c>
      <c r="L11" s="1047">
        <f>SUM('3 pr-(5-6)'!F44)</f>
        <v>421880</v>
      </c>
      <c r="M11" s="1048">
        <f>SUM('ketv. 4 lent'!R58)+J11</f>
        <v>421880</v>
      </c>
      <c r="N11" s="1049">
        <f t="shared" si="5"/>
        <v>0</v>
      </c>
      <c r="O11" s="1047">
        <f>SUM('3 pr-(5-6)'!G44)</f>
        <v>611420</v>
      </c>
      <c r="P11" s="1048">
        <f>SUM('ketv. 4 lent'!S58)+M11</f>
        <v>421880</v>
      </c>
      <c r="Q11" s="1049">
        <f t="shared" si="6"/>
        <v>189540</v>
      </c>
      <c r="R11" s="1047">
        <f>SUM('3 pr-(5-6)'!H44)</f>
        <v>611420</v>
      </c>
      <c r="S11" s="1048">
        <f>SUM('ketv. 4 lent'!T58)+P11</f>
        <v>421880</v>
      </c>
      <c r="T11" s="1049">
        <f t="shared" si="7"/>
        <v>189540</v>
      </c>
      <c r="U11" s="1063">
        <f>SUM('3 pr-(5-6)'!I44)</f>
        <v>611420</v>
      </c>
      <c r="V11" s="1066">
        <f t="shared" si="0"/>
        <v>421880</v>
      </c>
      <c r="W11" s="1045">
        <f t="shared" si="8"/>
        <v>189540</v>
      </c>
      <c r="X11" s="369">
        <v>611420</v>
      </c>
      <c r="Y11" s="379">
        <f t="shared" si="1"/>
        <v>0</v>
      </c>
      <c r="Z11" s="379">
        <f>SUM('3 pr-2'!AD58)</f>
        <v>-0.10000000000582077</v>
      </c>
      <c r="AA11" s="378">
        <f t="shared" si="9"/>
        <v>-0.10000000000582077</v>
      </c>
    </row>
    <row r="12" spans="1:29" ht="17.25" thickTop="1" thickBot="1" x14ac:dyDescent="0.3">
      <c r="A12" s="1046" t="s">
        <v>143</v>
      </c>
      <c r="B12" s="1046" t="s">
        <v>261</v>
      </c>
      <c r="C12" s="1047">
        <f>SUM('3 pr-(5-6)'!C45)</f>
        <v>0</v>
      </c>
      <c r="D12" s="1048">
        <v>0</v>
      </c>
      <c r="E12" s="1049">
        <f t="shared" si="2"/>
        <v>0</v>
      </c>
      <c r="F12" s="1047">
        <f>SUM('3 pr-(5-6)'!D45)</f>
        <v>0</v>
      </c>
      <c r="G12" s="1048">
        <f>SUM('ketv. 4 lent'!P62)+D12</f>
        <v>0</v>
      </c>
      <c r="H12" s="1049">
        <f t="shared" si="3"/>
        <v>0</v>
      </c>
      <c r="I12" s="1047">
        <f>SUM('3 pr-(5-6)'!G45)</f>
        <v>1198163.7</v>
      </c>
      <c r="J12" s="1048">
        <f>SUM('ketv. 4 lent'!Q62)+G12</f>
        <v>898622.7</v>
      </c>
      <c r="K12" s="1049">
        <f t="shared" si="4"/>
        <v>299541</v>
      </c>
      <c r="L12" s="1047">
        <f>SUM('3 pr-(5-6)'!F45)</f>
        <v>1198163.7</v>
      </c>
      <c r="M12" s="1048">
        <f>SUM('ketv. 4 lent'!R62)+J12</f>
        <v>898622.7</v>
      </c>
      <c r="N12" s="1049">
        <f t="shared" si="5"/>
        <v>299541</v>
      </c>
      <c r="O12" s="1047">
        <f>SUM('3 pr-(5-6)'!G45)</f>
        <v>1198163.7</v>
      </c>
      <c r="P12" s="1048">
        <f>SUM('ketv. 4 lent'!S62)+M12</f>
        <v>898622.7</v>
      </c>
      <c r="Q12" s="1049">
        <f t="shared" si="6"/>
        <v>299541</v>
      </c>
      <c r="R12" s="1047">
        <f>SUM('3 pr-(5-6)'!H45)</f>
        <v>1198163.7</v>
      </c>
      <c r="S12" s="1048">
        <f>SUM('ketv. 4 lent'!T62)+P12</f>
        <v>898622.7</v>
      </c>
      <c r="T12" s="1049">
        <f t="shared" si="7"/>
        <v>299541</v>
      </c>
      <c r="U12" s="1063">
        <f>SUM('3 pr-(5-6)'!I45)</f>
        <v>1198163.7</v>
      </c>
      <c r="V12" s="1066">
        <f t="shared" si="0"/>
        <v>898622.7</v>
      </c>
      <c r="W12" s="1045">
        <f t="shared" si="8"/>
        <v>299541</v>
      </c>
      <c r="X12" s="369">
        <v>1198165.51</v>
      </c>
      <c r="Y12" s="379">
        <f t="shared" si="1"/>
        <v>1.8100000000558794</v>
      </c>
      <c r="Z12" s="379">
        <f>SUM('3 pr-2'!AD62)</f>
        <v>0</v>
      </c>
      <c r="AA12" s="378">
        <f t="shared" si="9"/>
        <v>1.8100000000558794</v>
      </c>
    </row>
    <row r="13" spans="1:29" ht="17.25" thickTop="1" thickBot="1" x14ac:dyDescent="0.3">
      <c r="A13" s="1046" t="s">
        <v>183</v>
      </c>
      <c r="B13" s="1046" t="s">
        <v>262</v>
      </c>
      <c r="C13" s="1047">
        <f>SUM('3 pr-(5-6)'!C46)</f>
        <v>0</v>
      </c>
      <c r="D13" s="1048">
        <v>0</v>
      </c>
      <c r="E13" s="1049">
        <f t="shared" si="2"/>
        <v>0</v>
      </c>
      <c r="F13" s="1047">
        <f>SUM('3 pr-(5-6)'!D46)</f>
        <v>0</v>
      </c>
      <c r="G13" s="1048">
        <f>SUM('ketv. 4 lent'!P67)+D13</f>
        <v>0</v>
      </c>
      <c r="H13" s="1049">
        <f t="shared" si="3"/>
        <v>0</v>
      </c>
      <c r="I13" s="1047">
        <f>SUM('3 pr-(5-6)'!G46)</f>
        <v>1030280</v>
      </c>
      <c r="J13" s="1048">
        <f>SUM('ketv. 4 lent'!Q67)+G13</f>
        <v>0</v>
      </c>
      <c r="K13" s="1049">
        <f t="shared" si="4"/>
        <v>1030280</v>
      </c>
      <c r="L13" s="1047">
        <f>SUM('3 pr-(5-6)'!F46)</f>
        <v>1030280</v>
      </c>
      <c r="M13" s="1048">
        <f>SUM('ketv. 4 lent'!R67)+J13</f>
        <v>0</v>
      </c>
      <c r="N13" s="1049">
        <f t="shared" si="5"/>
        <v>1030280</v>
      </c>
      <c r="O13" s="1047">
        <f>SUM('3 pr-(5-6)'!G46)</f>
        <v>1030280</v>
      </c>
      <c r="P13" s="1048">
        <f>SUM('ketv. 4 lent'!S67)+M13</f>
        <v>0</v>
      </c>
      <c r="Q13" s="1049">
        <f t="shared" si="6"/>
        <v>1030280</v>
      </c>
      <c r="R13" s="1047">
        <f>SUM('3 pr-(5-6)'!H46)</f>
        <v>1030280</v>
      </c>
      <c r="S13" s="1048">
        <f>SUM('ketv. 4 lent'!T67)+P13</f>
        <v>0</v>
      </c>
      <c r="T13" s="1049">
        <f t="shared" si="7"/>
        <v>1030280</v>
      </c>
      <c r="U13" s="1063">
        <f>SUM('3 pr-(5-6)'!I46)</f>
        <v>1030280</v>
      </c>
      <c r="V13" s="1066">
        <f t="shared" si="0"/>
        <v>0</v>
      </c>
      <c r="W13" s="1045">
        <f t="shared" si="8"/>
        <v>1030280</v>
      </c>
      <c r="X13" s="369">
        <v>1030281.61</v>
      </c>
      <c r="Y13" s="379">
        <f t="shared" ref="Y13:Y29" si="10">SUM(X13-U13)</f>
        <v>1.6099999999860302</v>
      </c>
      <c r="Z13" s="379">
        <f>SUM('3 pr-2'!AD67)</f>
        <v>0</v>
      </c>
      <c r="AA13" s="378">
        <f t="shared" si="9"/>
        <v>1.6099999999860302</v>
      </c>
    </row>
    <row r="14" spans="1:29" ht="33" thickTop="1" thickBot="1" x14ac:dyDescent="0.3">
      <c r="A14" s="1046" t="s">
        <v>135</v>
      </c>
      <c r="B14" s="1046" t="s">
        <v>263</v>
      </c>
      <c r="C14" s="1047">
        <f>SUM('3 pr-(5-6)'!C47)</f>
        <v>0</v>
      </c>
      <c r="D14" s="1048">
        <v>0</v>
      </c>
      <c r="E14" s="1049">
        <f t="shared" si="2"/>
        <v>0</v>
      </c>
      <c r="F14" s="1047">
        <f>SUM('3 pr-(5-6)'!D47)</f>
        <v>0</v>
      </c>
      <c r="G14" s="1048">
        <f>SUM('ketv. 4 lent'!P74)+D14</f>
        <v>0</v>
      </c>
      <c r="H14" s="1049">
        <f t="shared" si="3"/>
        <v>0</v>
      </c>
      <c r="I14" s="1047">
        <f>SUM('3 pr-(5-6)'!G47)</f>
        <v>1263272</v>
      </c>
      <c r="J14" s="1048">
        <f>SUM('ketv. 4 lent'!Q74)+G14</f>
        <v>0</v>
      </c>
      <c r="K14" s="1049">
        <f t="shared" si="4"/>
        <v>1263272</v>
      </c>
      <c r="L14" s="1047">
        <f>SUM('3 pr-(5-6)'!F47)</f>
        <v>640846</v>
      </c>
      <c r="M14" s="1048">
        <f>SUM('ketv. 4 lent'!R74)+J14</f>
        <v>0</v>
      </c>
      <c r="N14" s="1049">
        <f t="shared" si="5"/>
        <v>640846</v>
      </c>
      <c r="O14" s="1047">
        <f>SUM('3 pr-(5-6)'!G47)</f>
        <v>1263272</v>
      </c>
      <c r="P14" s="1048">
        <f>SUM('ketv. 4 lent'!S74)+M14</f>
        <v>0</v>
      </c>
      <c r="Q14" s="1049">
        <f t="shared" si="6"/>
        <v>1263272</v>
      </c>
      <c r="R14" s="1047">
        <f>SUM('3 pr-(5-6)'!H47)</f>
        <v>1263272</v>
      </c>
      <c r="S14" s="1048">
        <f>SUM('ketv. 4 lent'!T74)+P14</f>
        <v>0</v>
      </c>
      <c r="T14" s="1049">
        <f t="shared" si="7"/>
        <v>1263272</v>
      </c>
      <c r="U14" s="1063">
        <f>SUM('3 pr-(5-6)'!I47)</f>
        <v>1263272</v>
      </c>
      <c r="V14" s="1066">
        <f t="shared" si="0"/>
        <v>0</v>
      </c>
      <c r="W14" s="1045">
        <f t="shared" si="8"/>
        <v>1263272</v>
      </c>
      <c r="X14" s="369">
        <v>1263272</v>
      </c>
      <c r="Y14" s="379">
        <f t="shared" si="10"/>
        <v>0</v>
      </c>
      <c r="Z14" s="379">
        <f>SUM('3 pr-2'!AD74)</f>
        <v>0</v>
      </c>
      <c r="AA14" s="378">
        <f t="shared" si="9"/>
        <v>0</v>
      </c>
    </row>
    <row r="15" spans="1:29" ht="26.25" customHeight="1" thickTop="1" thickBot="1" x14ac:dyDescent="0.3">
      <c r="A15" s="1046" t="s">
        <v>147</v>
      </c>
      <c r="B15" s="1046" t="s">
        <v>264</v>
      </c>
      <c r="C15" s="1047">
        <f>SUM('3 pr-(5-6)'!C48)</f>
        <v>0</v>
      </c>
      <c r="D15" s="1048">
        <v>0</v>
      </c>
      <c r="E15" s="1049">
        <f t="shared" si="2"/>
        <v>0</v>
      </c>
      <c r="F15" s="1047">
        <f>SUM('3 pr-(5-6)'!D48)</f>
        <v>0</v>
      </c>
      <c r="G15" s="1048">
        <f>SUM('ketv. 4 lent'!P80+'ketv. 4 lent'!P82)+D15</f>
        <v>0</v>
      </c>
      <c r="H15" s="1049">
        <f t="shared" si="3"/>
        <v>0</v>
      </c>
      <c r="I15" s="1047">
        <f>SUM('3 pr-(5-6)'!G48)</f>
        <v>1567660</v>
      </c>
      <c r="J15" s="1048">
        <f>SUM('ketv. 4 lent'!Q80+'ketv. 4 lent'!Q82)+G15</f>
        <v>0</v>
      </c>
      <c r="K15" s="1049">
        <f t="shared" si="4"/>
        <v>1567660</v>
      </c>
      <c r="L15" s="1047">
        <f>SUM('3 pr-(5-6)'!F48)</f>
        <v>0</v>
      </c>
      <c r="M15" s="1048">
        <f>SUM('ketv. 4 lent'!R80+'ketv. 4 lent'!R82)+J15</f>
        <v>0</v>
      </c>
      <c r="N15" s="1049">
        <f t="shared" si="5"/>
        <v>0</v>
      </c>
      <c r="O15" s="1047">
        <f>SUM('3 pr-(5-6)'!G48)</f>
        <v>1567660</v>
      </c>
      <c r="P15" s="1048">
        <f>SUM('ketv. 4 lent'!S80+'ketv. 4 lent'!S82)+M15</f>
        <v>0</v>
      </c>
      <c r="Q15" s="1049">
        <f t="shared" si="6"/>
        <v>1567660</v>
      </c>
      <c r="R15" s="1047">
        <f>SUM('3 pr-(5-6)'!H48)</f>
        <v>1567660</v>
      </c>
      <c r="S15" s="1048">
        <f>SUM('ketv. 4 lent'!T80+'ketv. 4 lent'!T82)+P15</f>
        <v>0</v>
      </c>
      <c r="T15" s="1049">
        <f t="shared" si="7"/>
        <v>1567660</v>
      </c>
      <c r="U15" s="1063">
        <f>SUM('3 pr-(5-6)'!I48)</f>
        <v>1567660</v>
      </c>
      <c r="V15" s="1066">
        <f t="shared" si="0"/>
        <v>0</v>
      </c>
      <c r="W15" s="1045">
        <f t="shared" si="8"/>
        <v>1567660</v>
      </c>
      <c r="X15" s="369">
        <v>1314455</v>
      </c>
      <c r="Y15" s="379">
        <f t="shared" si="10"/>
        <v>-253205</v>
      </c>
      <c r="Z15" s="379">
        <f>SUM('3 pr-2'!AD80+'3 pr-2'!AD82)</f>
        <v>0</v>
      </c>
      <c r="AA15" s="378">
        <f t="shared" si="9"/>
        <v>-253205</v>
      </c>
    </row>
    <row r="16" spans="1:29" ht="17.25" thickTop="1" thickBot="1" x14ac:dyDescent="0.3">
      <c r="A16" s="1046" t="s">
        <v>276</v>
      </c>
      <c r="B16" s="1046" t="s">
        <v>281</v>
      </c>
      <c r="C16" s="1047">
        <f>SUM('3 pr-(5-6)'!C49)</f>
        <v>0</v>
      </c>
      <c r="D16" s="1048">
        <v>0</v>
      </c>
      <c r="E16" s="1049">
        <f t="shared" si="2"/>
        <v>0</v>
      </c>
      <c r="F16" s="1047">
        <f>SUM('3 pr-(5-6)'!D49)</f>
        <v>0</v>
      </c>
      <c r="G16" s="1048">
        <f>SUM('ketv. 4 lent'!P81+'ketv. 4 lent'!P83)+D16</f>
        <v>0</v>
      </c>
      <c r="H16" s="1049">
        <f t="shared" si="3"/>
        <v>0</v>
      </c>
      <c r="I16" s="1047">
        <f>SUM('3 pr-(5-6)'!G49)</f>
        <v>43042.3</v>
      </c>
      <c r="J16" s="1048">
        <f>SUM('ketv. 4 lent'!Q81+'ketv. 4 lent'!Q83)+G16</f>
        <v>43042.3</v>
      </c>
      <c r="K16" s="1049">
        <f t="shared" si="4"/>
        <v>0</v>
      </c>
      <c r="L16" s="1047">
        <f>SUM('3 pr-(5-6)'!F49)</f>
        <v>43042.3</v>
      </c>
      <c r="M16" s="1048">
        <f>SUM('ketv. 4 lent'!R81+'ketv. 4 lent'!R83)+J16</f>
        <v>43042.3</v>
      </c>
      <c r="N16" s="1049">
        <f t="shared" si="5"/>
        <v>0</v>
      </c>
      <c r="O16" s="1047">
        <f>SUM('3 pr-(5-6)'!G49)</f>
        <v>43042.3</v>
      </c>
      <c r="P16" s="1048">
        <f>SUM('ketv. 4 lent'!S81+'ketv. 4 lent'!S83)+M16</f>
        <v>43042.3</v>
      </c>
      <c r="Q16" s="1049">
        <f t="shared" si="6"/>
        <v>0</v>
      </c>
      <c r="R16" s="1047">
        <f>SUM('3 pr-(5-6)'!H49)</f>
        <v>43042.3</v>
      </c>
      <c r="S16" s="1048">
        <f>SUM('ketv. 4 lent'!T81+'ketv. 4 lent'!T83)+P16</f>
        <v>43042.3</v>
      </c>
      <c r="T16" s="1049">
        <f t="shared" si="7"/>
        <v>0</v>
      </c>
      <c r="U16" s="1063">
        <f>SUM('3 pr-(5-6)'!I49)</f>
        <v>43042.3</v>
      </c>
      <c r="V16" s="1066">
        <f t="shared" si="0"/>
        <v>43042.3</v>
      </c>
      <c r="W16" s="1045">
        <f t="shared" si="8"/>
        <v>0</v>
      </c>
      <c r="X16" s="369">
        <v>63920</v>
      </c>
      <c r="Y16" s="379">
        <f t="shared" si="10"/>
        <v>20877.699999999997</v>
      </c>
      <c r="Z16" s="379">
        <f>SUM('3 pr-2'!AD81+'3 pr-2'!AD83)</f>
        <v>0</v>
      </c>
      <c r="AA16" s="378">
        <f t="shared" si="9"/>
        <v>20877.699999999997</v>
      </c>
    </row>
    <row r="17" spans="1:27" ht="17.25" thickTop="1" thickBot="1" x14ac:dyDescent="0.3">
      <c r="A17" s="1046" t="s">
        <v>148</v>
      </c>
      <c r="B17" s="1046" t="s">
        <v>265</v>
      </c>
      <c r="C17" s="1047">
        <f>SUM('3 pr-(5-6)'!C50)</f>
        <v>0</v>
      </c>
      <c r="D17" s="1048">
        <v>0</v>
      </c>
      <c r="E17" s="1049">
        <f t="shared" si="2"/>
        <v>0</v>
      </c>
      <c r="F17" s="1047">
        <f>SUM('3 pr-(5-6)'!D50)</f>
        <v>0</v>
      </c>
      <c r="G17" s="1048">
        <f>SUM('ketv. 4 lent'!P86)+D17</f>
        <v>0</v>
      </c>
      <c r="H17" s="1049">
        <f t="shared" si="3"/>
        <v>0</v>
      </c>
      <c r="I17" s="1047">
        <f>SUM('3 pr-(5-6)'!G50)</f>
        <v>415723.56</v>
      </c>
      <c r="J17" s="1048">
        <f>SUM('ketv. 4 lent'!Q86)+G17</f>
        <v>113619.56</v>
      </c>
      <c r="K17" s="1049">
        <f t="shared" si="4"/>
        <v>302104</v>
      </c>
      <c r="L17" s="1047">
        <f>SUM('3 pr-(5-6)'!F50)</f>
        <v>415723.56</v>
      </c>
      <c r="M17" s="1048">
        <f>SUM('ketv. 4 lent'!R86)+J17</f>
        <v>187120.56</v>
      </c>
      <c r="N17" s="1049">
        <f t="shared" si="5"/>
        <v>228603</v>
      </c>
      <c r="O17" s="1047">
        <f>SUM('3 pr-(5-6)'!G50)</f>
        <v>415723.56</v>
      </c>
      <c r="P17" s="1048">
        <f>SUM('ketv. 4 lent'!S86)+M17</f>
        <v>187120.56</v>
      </c>
      <c r="Q17" s="1049">
        <f t="shared" si="6"/>
        <v>228603</v>
      </c>
      <c r="R17" s="1047">
        <f>SUM('3 pr-(5-6)'!H50)</f>
        <v>415723.56</v>
      </c>
      <c r="S17" s="1048">
        <f>SUM('ketv. 4 lent'!T86)+P17</f>
        <v>187120.56</v>
      </c>
      <c r="T17" s="1049">
        <f t="shared" si="7"/>
        <v>228603</v>
      </c>
      <c r="U17" s="1063">
        <f>SUM('3 pr-(5-6)'!I50)</f>
        <v>415723.56</v>
      </c>
      <c r="V17" s="1066">
        <f t="shared" si="0"/>
        <v>187120.56</v>
      </c>
      <c r="W17" s="1045">
        <f t="shared" si="8"/>
        <v>228603</v>
      </c>
      <c r="X17" s="369">
        <v>415732</v>
      </c>
      <c r="Y17" s="379">
        <f t="shared" si="10"/>
        <v>8.4400000000023283</v>
      </c>
      <c r="Z17" s="379">
        <f>SUM('3 pr-2'!AD86)</f>
        <v>0</v>
      </c>
      <c r="AA17" s="378">
        <f t="shared" si="9"/>
        <v>8.4400000000023283</v>
      </c>
    </row>
    <row r="18" spans="1:27" ht="17.25" thickTop="1" thickBot="1" x14ac:dyDescent="0.3">
      <c r="A18" s="1046" t="s">
        <v>141</v>
      </c>
      <c r="B18" s="1046" t="s">
        <v>304</v>
      </c>
      <c r="C18" s="1047">
        <f>SUM('3 pr-(5-6)'!C51)</f>
        <v>0</v>
      </c>
      <c r="D18" s="1048">
        <v>0</v>
      </c>
      <c r="E18" s="1049">
        <f t="shared" si="2"/>
        <v>0</v>
      </c>
      <c r="F18" s="1047">
        <f>SUM('3 pr-(5-6)'!D51)</f>
        <v>0</v>
      </c>
      <c r="G18" s="1048">
        <f>SUM('ketv. 4 lent'!P92)+D18</f>
        <v>0</v>
      </c>
      <c r="H18" s="1049">
        <f t="shared" si="3"/>
        <v>0</v>
      </c>
      <c r="I18" s="1047">
        <f>SUM('3 pr-(5-6)'!G51)</f>
        <v>3052807</v>
      </c>
      <c r="J18" s="1048">
        <f>SUM('ketv. 4 lent'!Q92)+G18</f>
        <v>1458082</v>
      </c>
      <c r="K18" s="1049">
        <f t="shared" si="4"/>
        <v>1594725</v>
      </c>
      <c r="L18" s="1047">
        <f>SUM('3 pr-(5-6)'!F51)</f>
        <v>2939818</v>
      </c>
      <c r="M18" s="1048">
        <f>SUM('ketv. 4 lent'!R92)+J18</f>
        <v>1458082</v>
      </c>
      <c r="N18" s="1049">
        <f t="shared" si="5"/>
        <v>1481736</v>
      </c>
      <c r="O18" s="1047">
        <f>SUM('3 pr-(5-6)'!G51)</f>
        <v>3052807</v>
      </c>
      <c r="P18" s="1048">
        <f>SUM('ketv. 4 lent'!S92)+M18</f>
        <v>1458082</v>
      </c>
      <c r="Q18" s="1049">
        <f t="shared" si="6"/>
        <v>1594725</v>
      </c>
      <c r="R18" s="1047">
        <f>SUM('3 pr-(5-6)'!H51)</f>
        <v>3052807</v>
      </c>
      <c r="S18" s="1048">
        <f>SUM('ketv. 4 lent'!T92)+P18</f>
        <v>1458082</v>
      </c>
      <c r="T18" s="1049">
        <f t="shared" si="7"/>
        <v>1594725</v>
      </c>
      <c r="U18" s="1063">
        <f>SUM('3 pr-(5-6)'!I51)</f>
        <v>3052807</v>
      </c>
      <c r="V18" s="1066">
        <f t="shared" si="0"/>
        <v>1458082</v>
      </c>
      <c r="W18" s="1045">
        <f t="shared" si="8"/>
        <v>1594725</v>
      </c>
      <c r="X18" s="369">
        <v>3052809</v>
      </c>
      <c r="Y18" s="379">
        <f t="shared" si="10"/>
        <v>2</v>
      </c>
      <c r="Z18" s="379">
        <f>SUM('3 pr-2'!AD92)</f>
        <v>0</v>
      </c>
      <c r="AA18" s="378">
        <f t="shared" si="9"/>
        <v>2</v>
      </c>
    </row>
    <row r="19" spans="1:27" ht="17.25" thickTop="1" thickBot="1" x14ac:dyDescent="0.3">
      <c r="A19" s="1046" t="s">
        <v>136</v>
      </c>
      <c r="B19" s="1046" t="s">
        <v>403</v>
      </c>
      <c r="C19" s="1047">
        <f>SUM('3 pr-(5-6)'!C52)</f>
        <v>0</v>
      </c>
      <c r="D19" s="1048">
        <v>0</v>
      </c>
      <c r="E19" s="1049">
        <f t="shared" si="2"/>
        <v>0</v>
      </c>
      <c r="F19" s="1047">
        <f>SUM('3 pr-(5-6)'!D52)</f>
        <v>0</v>
      </c>
      <c r="G19" s="1048">
        <f>SUM('ketv. 4 lent'!P102)+D19</f>
        <v>0</v>
      </c>
      <c r="H19" s="1049">
        <f t="shared" si="3"/>
        <v>0</v>
      </c>
      <c r="I19" s="1047">
        <f>SUM('3 pr-(5-6)'!G52)</f>
        <v>1142377</v>
      </c>
      <c r="J19" s="1048">
        <f>SUM('ketv. 4 lent'!Q102)+G19</f>
        <v>139295</v>
      </c>
      <c r="K19" s="1049">
        <f t="shared" si="4"/>
        <v>1003082</v>
      </c>
      <c r="L19" s="1047">
        <f>SUM('3 pr-(5-6)'!F52)</f>
        <v>1142377</v>
      </c>
      <c r="M19" s="1048">
        <f>SUM('ketv. 4 lent'!R102)+J19</f>
        <v>417498</v>
      </c>
      <c r="N19" s="1049">
        <f t="shared" si="5"/>
        <v>724879</v>
      </c>
      <c r="O19" s="1047">
        <f>SUM('3 pr-(5-6)'!G52)</f>
        <v>1142377</v>
      </c>
      <c r="P19" s="1048">
        <f>SUM('ketv. 4 lent'!S102)+M19</f>
        <v>417498</v>
      </c>
      <c r="Q19" s="1049">
        <f t="shared" si="6"/>
        <v>724879</v>
      </c>
      <c r="R19" s="1047">
        <f>SUM('3 pr-(5-6)'!H52)</f>
        <v>1142377</v>
      </c>
      <c r="S19" s="1048">
        <f>SUM('ketv. 4 lent'!T102)+P19</f>
        <v>417498</v>
      </c>
      <c r="T19" s="1049">
        <f t="shared" si="7"/>
        <v>724879</v>
      </c>
      <c r="U19" s="1063">
        <f>SUM('3 pr-(5-6)'!I52)</f>
        <v>1142377</v>
      </c>
      <c r="V19" s="1066">
        <f t="shared" si="0"/>
        <v>417498</v>
      </c>
      <c r="W19" s="1045">
        <f t="shared" si="8"/>
        <v>724879</v>
      </c>
      <c r="X19" s="369">
        <v>1142378</v>
      </c>
      <c r="Y19" s="379">
        <f t="shared" si="10"/>
        <v>1</v>
      </c>
      <c r="Z19" s="379">
        <f>SUM('3 pr-2'!AD102)</f>
        <v>0</v>
      </c>
      <c r="AA19" s="378">
        <f t="shared" si="9"/>
        <v>1</v>
      </c>
    </row>
    <row r="20" spans="1:27" ht="17.25" thickTop="1" thickBot="1" x14ac:dyDescent="0.3">
      <c r="A20" s="1046" t="s">
        <v>139</v>
      </c>
      <c r="B20" s="1046" t="s">
        <v>266</v>
      </c>
      <c r="C20" s="1047">
        <f>SUM('3 pr-(5-6)'!C53)</f>
        <v>0</v>
      </c>
      <c r="D20" s="1048">
        <v>0</v>
      </c>
      <c r="E20" s="1049">
        <f t="shared" si="2"/>
        <v>0</v>
      </c>
      <c r="F20" s="1047">
        <f>SUM('3 pr-(5-6)'!D53)</f>
        <v>0</v>
      </c>
      <c r="G20" s="1048">
        <f>SUM('ketv. 4 lent'!P108)+D20</f>
        <v>0</v>
      </c>
      <c r="H20" s="1049">
        <f t="shared" si="3"/>
        <v>0</v>
      </c>
      <c r="I20" s="1047">
        <f>SUM('3 pr-(5-6)'!G53)</f>
        <v>1486008</v>
      </c>
      <c r="J20" s="1048">
        <f>SUM('ketv. 4 lent'!Q108)+G20</f>
        <v>611626</v>
      </c>
      <c r="K20" s="1049">
        <f t="shared" si="4"/>
        <v>874382</v>
      </c>
      <c r="L20" s="1047">
        <f>SUM('3 pr-(5-6)'!F53)</f>
        <v>1486008</v>
      </c>
      <c r="M20" s="1048">
        <f>SUM('ketv. 4 lent'!R108)+J20</f>
        <v>1486008</v>
      </c>
      <c r="N20" s="1049">
        <f t="shared" si="5"/>
        <v>0</v>
      </c>
      <c r="O20" s="1047">
        <f>SUM('3 pr-(5-6)'!G53)</f>
        <v>1486008</v>
      </c>
      <c r="P20" s="1048">
        <f>SUM('ketv. 4 lent'!S108)+M20</f>
        <v>1486008</v>
      </c>
      <c r="Q20" s="1049">
        <f t="shared" si="6"/>
        <v>0</v>
      </c>
      <c r="R20" s="1047">
        <f>SUM('3 pr-(5-6)'!H53)</f>
        <v>1486008</v>
      </c>
      <c r="S20" s="1048">
        <f>SUM('ketv. 4 lent'!T108)+P20</f>
        <v>1486008</v>
      </c>
      <c r="T20" s="1049">
        <f t="shared" si="7"/>
        <v>0</v>
      </c>
      <c r="U20" s="1063">
        <f>SUM('3 pr-(5-6)'!I53)</f>
        <v>1486008</v>
      </c>
      <c r="V20" s="1066">
        <f t="shared" si="0"/>
        <v>1486008</v>
      </c>
      <c r="W20" s="1045">
        <f t="shared" si="8"/>
        <v>0</v>
      </c>
      <c r="X20" s="369">
        <v>1486009</v>
      </c>
      <c r="Y20" s="379">
        <f t="shared" si="10"/>
        <v>1</v>
      </c>
      <c r="Z20" s="379">
        <f>SUM('3 pr-2'!AD108)</f>
        <v>1</v>
      </c>
      <c r="AA20" s="378">
        <f t="shared" si="9"/>
        <v>2</v>
      </c>
    </row>
    <row r="21" spans="1:27" ht="33" thickTop="1" thickBot="1" x14ac:dyDescent="0.3">
      <c r="A21" s="1046" t="s">
        <v>140</v>
      </c>
      <c r="B21" s="1046" t="s">
        <v>267</v>
      </c>
      <c r="C21" s="1047">
        <f>SUM('3 pr-(5-6)'!C54)</f>
        <v>0</v>
      </c>
      <c r="D21" s="1048">
        <v>0</v>
      </c>
      <c r="E21" s="1049">
        <f t="shared" si="2"/>
        <v>0</v>
      </c>
      <c r="F21" s="1047">
        <f>SUM('3 pr-(5-6)'!D54)</f>
        <v>0</v>
      </c>
      <c r="G21" s="1048">
        <f>SUM('ketv. 4 lent'!P114)+D21</f>
        <v>0</v>
      </c>
      <c r="H21" s="1049">
        <f t="shared" si="3"/>
        <v>0</v>
      </c>
      <c r="I21" s="1047">
        <f>SUM('3 pr-(5-6)'!G54)</f>
        <v>1138588.2162162161</v>
      </c>
      <c r="J21" s="1048">
        <f>SUM('ketv. 4 lent'!Q114)+G21</f>
        <v>0</v>
      </c>
      <c r="K21" s="1049">
        <f t="shared" si="4"/>
        <v>1138588.2162162161</v>
      </c>
      <c r="L21" s="1047">
        <f>SUM('3 pr-(5-6)'!F54)</f>
        <v>1138588.2162162161</v>
      </c>
      <c r="M21" s="1048">
        <f>SUM('ketv. 4 lent'!R114)+J21</f>
        <v>0</v>
      </c>
      <c r="N21" s="1049">
        <f t="shared" si="5"/>
        <v>1138588.2162162161</v>
      </c>
      <c r="O21" s="1047">
        <f>SUM('3 pr-(5-6)'!G54)</f>
        <v>1138588.2162162161</v>
      </c>
      <c r="P21" s="1048">
        <f>SUM('ketv. 4 lent'!S114)+M21</f>
        <v>0</v>
      </c>
      <c r="Q21" s="1049">
        <f t="shared" si="6"/>
        <v>1138588.2162162161</v>
      </c>
      <c r="R21" s="1047">
        <f>SUM('3 pr-(5-6)'!H54)</f>
        <v>1138588.2162162161</v>
      </c>
      <c r="S21" s="1048">
        <f>SUM('ketv. 4 lent'!T114)+P21</f>
        <v>0</v>
      </c>
      <c r="T21" s="1049">
        <f t="shared" si="7"/>
        <v>1138588.2162162161</v>
      </c>
      <c r="U21" s="1063">
        <f>SUM('3 pr-(5-6)'!I54)</f>
        <v>1138588.2162162161</v>
      </c>
      <c r="V21" s="1066">
        <f t="shared" si="0"/>
        <v>0</v>
      </c>
      <c r="W21" s="1045">
        <f t="shared" si="8"/>
        <v>1138588.2162162161</v>
      </c>
      <c r="X21" s="369">
        <v>1138588</v>
      </c>
      <c r="Y21" s="379">
        <f t="shared" si="10"/>
        <v>-0.21621621609665453</v>
      </c>
      <c r="Z21" s="379">
        <f>SUM('3 pr-2'!AD114)</f>
        <v>0</v>
      </c>
      <c r="AA21" s="378">
        <f t="shared" si="9"/>
        <v>-0.21621621609665453</v>
      </c>
    </row>
    <row r="22" spans="1:27" ht="33" thickTop="1" thickBot="1" x14ac:dyDescent="0.3">
      <c r="A22" s="1046" t="s">
        <v>153</v>
      </c>
      <c r="B22" s="1046" t="s">
        <v>268</v>
      </c>
      <c r="C22" s="1047">
        <f>SUM('3 pr-(5-6)'!C55)</f>
        <v>0</v>
      </c>
      <c r="D22" s="1048">
        <v>0</v>
      </c>
      <c r="E22" s="1049">
        <f t="shared" si="2"/>
        <v>0</v>
      </c>
      <c r="F22" s="1047">
        <f>SUM('3 pr-(5-6)'!D55)</f>
        <v>0</v>
      </c>
      <c r="G22" s="1048">
        <f>SUM('ketv. 4 lent'!P121)+D22</f>
        <v>0</v>
      </c>
      <c r="H22" s="1049">
        <f t="shared" si="3"/>
        <v>0</v>
      </c>
      <c r="I22" s="1047">
        <f>SUM('3 pr-(5-6)'!G55)</f>
        <v>1230854</v>
      </c>
      <c r="J22" s="1048">
        <f>SUM('ketv. 4 lent'!Q121)+G22</f>
        <v>0</v>
      </c>
      <c r="K22" s="1049">
        <f t="shared" si="4"/>
        <v>1230854</v>
      </c>
      <c r="L22" s="1047">
        <f>SUM('3 pr-(5-6)'!F55)</f>
        <v>701375</v>
      </c>
      <c r="M22" s="1048">
        <f>SUM('ketv. 4 lent'!R121)+J22</f>
        <v>0</v>
      </c>
      <c r="N22" s="1049">
        <f t="shared" si="5"/>
        <v>701375</v>
      </c>
      <c r="O22" s="1047">
        <f>SUM('3 pr-(5-6)'!G55)</f>
        <v>1230854</v>
      </c>
      <c r="P22" s="1048">
        <f>SUM('ketv. 4 lent'!S121)+M22</f>
        <v>0</v>
      </c>
      <c r="Q22" s="1049">
        <f t="shared" si="6"/>
        <v>1230854</v>
      </c>
      <c r="R22" s="1047">
        <f>SUM('3 pr-(5-6)'!H55)</f>
        <v>1230854</v>
      </c>
      <c r="S22" s="1048">
        <f>SUM('ketv. 4 lent'!T121)+P22</f>
        <v>0</v>
      </c>
      <c r="T22" s="1049">
        <f t="shared" si="7"/>
        <v>1230854</v>
      </c>
      <c r="U22" s="1063">
        <f>SUM('3 pr-(5-6)'!I55)</f>
        <v>1230854</v>
      </c>
      <c r="V22" s="1066">
        <f t="shared" si="0"/>
        <v>0</v>
      </c>
      <c r="W22" s="1045">
        <f t="shared" si="8"/>
        <v>1230854</v>
      </c>
      <c r="X22" s="369">
        <v>2778000</v>
      </c>
      <c r="Y22" s="379">
        <f t="shared" si="10"/>
        <v>1547146</v>
      </c>
      <c r="Z22" s="379">
        <f>SUM('3 pr-2'!AD121)</f>
        <v>0</v>
      </c>
      <c r="AA22" s="378">
        <f t="shared" si="9"/>
        <v>1547146</v>
      </c>
    </row>
    <row r="23" spans="1:27" ht="48.75" thickTop="1" thickBot="1" x14ac:dyDescent="0.3">
      <c r="A23" s="1050" t="str">
        <f>CONCATENATE('ketv. 7 lent'!G141)</f>
        <v>08.4.2-ESFA-R-615</v>
      </c>
      <c r="B23" s="1050" t="s">
        <v>1494</v>
      </c>
      <c r="C23" s="1051"/>
      <c r="D23" s="1052">
        <v>0</v>
      </c>
      <c r="E23" s="1053">
        <f t="shared" ref="E23" si="11">SUM(C23-D23)</f>
        <v>0</v>
      </c>
      <c r="F23" s="1051">
        <f>SUM('3 pr-(5-6)'!D55)</f>
        <v>0</v>
      </c>
      <c r="G23" s="1052">
        <f>SUM('ketv. 4 lent'!P140)+D23</f>
        <v>0</v>
      </c>
      <c r="H23" s="1053">
        <f t="shared" ref="H23" si="12">SUM(F23-G23)</f>
        <v>0</v>
      </c>
      <c r="I23" s="1051">
        <f>SUM('3 pr-(5-6)'!G55)</f>
        <v>1230854</v>
      </c>
      <c r="J23" s="1052">
        <f>SUM('ketv. 4 lent'!Q140)+G23</f>
        <v>0</v>
      </c>
      <c r="K23" s="1053">
        <f t="shared" ref="K23" si="13">SUM(I23-J23)</f>
        <v>1230854</v>
      </c>
      <c r="L23" s="1051">
        <f>SUM('3 pr-(5-6)'!F55)</f>
        <v>701375</v>
      </c>
      <c r="M23" s="1052">
        <f>SUM('ketv. 4 lent'!R140)+J23</f>
        <v>0</v>
      </c>
      <c r="N23" s="1053">
        <f t="shared" ref="N23" si="14">SUM(L23-M23)</f>
        <v>701375</v>
      </c>
      <c r="O23" s="1051">
        <f>SUM('3 pr-(5-6)'!G55)</f>
        <v>1230854</v>
      </c>
      <c r="P23" s="1052">
        <f>SUM('ketv. 4 lent'!S140)+M23</f>
        <v>0</v>
      </c>
      <c r="Q23" s="1053">
        <f t="shared" ref="Q23" si="15">SUM(O23-P23)</f>
        <v>1230854</v>
      </c>
      <c r="R23" s="1051">
        <f>SUM('3 pr-(5-6)'!H55)</f>
        <v>1230854</v>
      </c>
      <c r="S23" s="1052">
        <f>SUM('ketv. 4 lent'!T140)+P23</f>
        <v>0</v>
      </c>
      <c r="T23" s="1053">
        <f t="shared" ref="T23" si="16">SUM(R23-S23)</f>
        <v>1230854</v>
      </c>
      <c r="U23" s="1064">
        <f>SUM('3 pr-(5-6)'!I55)</f>
        <v>1230854</v>
      </c>
      <c r="V23" s="1067">
        <f t="shared" ref="V23" si="17">SUM(S23)</f>
        <v>0</v>
      </c>
      <c r="W23" s="1045"/>
      <c r="X23" s="369"/>
      <c r="Y23" s="379"/>
      <c r="Z23" s="379"/>
      <c r="AA23" s="378"/>
    </row>
    <row r="24" spans="1:27" ht="17.25" thickTop="1" thickBot="1" x14ac:dyDescent="0.3">
      <c r="A24" s="1050" t="str">
        <f>CONCATENATE('ketv. 7 lent'!G133)</f>
        <v>08.4.2-ESFA-R-630</v>
      </c>
      <c r="B24" s="1050" t="s">
        <v>1493</v>
      </c>
      <c r="C24" s="1051">
        <f>SUM('3 pr-(5-6)'!C57)</f>
        <v>0</v>
      </c>
      <c r="D24" s="1052">
        <v>0</v>
      </c>
      <c r="E24" s="1053">
        <f t="shared" si="2"/>
        <v>0</v>
      </c>
      <c r="F24" s="1051">
        <f>SUM('3 pr-(5-6)'!D57)</f>
        <v>0</v>
      </c>
      <c r="G24" s="1052">
        <f>SUM('ketv. 4 lent'!P134)+D24</f>
        <v>0</v>
      </c>
      <c r="H24" s="1053">
        <f t="shared" si="3"/>
        <v>0</v>
      </c>
      <c r="I24" s="1051">
        <f>SUM('3 pr-(5-6)'!G57)</f>
        <v>845738</v>
      </c>
      <c r="J24" s="1052">
        <f>SUM('ketv. 4 lent'!Q134)+G24</f>
        <v>0</v>
      </c>
      <c r="K24" s="1053">
        <f t="shared" si="4"/>
        <v>845738</v>
      </c>
      <c r="L24" s="1051">
        <f>SUM('3 pr-(5-6)'!F57)</f>
        <v>845738</v>
      </c>
      <c r="M24" s="1052">
        <f>SUM('ketv. 4 lent'!R134)+J24</f>
        <v>0</v>
      </c>
      <c r="N24" s="1053">
        <f t="shared" si="5"/>
        <v>845738</v>
      </c>
      <c r="O24" s="1051">
        <f>SUM('3 pr-(5-6)'!G57)</f>
        <v>845738</v>
      </c>
      <c r="P24" s="1052">
        <f>SUM('ketv. 4 lent'!S134)+M24</f>
        <v>0</v>
      </c>
      <c r="Q24" s="1053">
        <f t="shared" si="6"/>
        <v>845738</v>
      </c>
      <c r="R24" s="1051">
        <f>SUM('3 pr-(5-6)'!H57)</f>
        <v>845738</v>
      </c>
      <c r="S24" s="1052">
        <f>SUM('ketv. 4 lent'!T134)+P24</f>
        <v>0</v>
      </c>
      <c r="T24" s="1053">
        <f t="shared" si="7"/>
        <v>845738</v>
      </c>
      <c r="U24" s="1064">
        <f>SUM('3 pr-(5-6)'!I57)</f>
        <v>845738</v>
      </c>
      <c r="V24" s="1067">
        <f t="shared" si="0"/>
        <v>0</v>
      </c>
      <c r="W24" s="1045">
        <f t="shared" si="8"/>
        <v>845738</v>
      </c>
      <c r="X24" s="369">
        <v>869000</v>
      </c>
      <c r="Y24" s="379">
        <f t="shared" si="10"/>
        <v>23262</v>
      </c>
      <c r="Z24" s="379">
        <f>SUM('3 pr-2'!AD135)</f>
        <v>0</v>
      </c>
      <c r="AA24" s="378">
        <f t="shared" si="9"/>
        <v>23262</v>
      </c>
    </row>
    <row r="25" spans="1:27" ht="17.25" thickTop="1" thickBot="1" x14ac:dyDescent="0.3">
      <c r="A25" s="1046" t="s">
        <v>154</v>
      </c>
      <c r="B25" s="1046" t="s">
        <v>269</v>
      </c>
      <c r="C25" s="1047">
        <f>SUM('3 pr-(5-6)'!C58)</f>
        <v>0</v>
      </c>
      <c r="D25" s="1048">
        <v>0</v>
      </c>
      <c r="E25" s="1049">
        <f t="shared" si="2"/>
        <v>0</v>
      </c>
      <c r="F25" s="1047">
        <f>SUM('3 pr-(5-6)'!D58)</f>
        <v>0</v>
      </c>
      <c r="G25" s="1048">
        <f>SUM('ketv. 4 lent'!P147)+D25</f>
        <v>0</v>
      </c>
      <c r="H25" s="1049">
        <f t="shared" si="3"/>
        <v>0</v>
      </c>
      <c r="I25" s="1047">
        <f>SUM('3 pr-(5-6)'!G58)</f>
        <v>885761</v>
      </c>
      <c r="J25" s="1048">
        <f>SUM('ketv. 4 lent'!Q147)+G25</f>
        <v>885761</v>
      </c>
      <c r="K25" s="1049">
        <f t="shared" si="4"/>
        <v>0</v>
      </c>
      <c r="L25" s="1047">
        <f>SUM('3 pr-(5-6)'!F58)</f>
        <v>885761</v>
      </c>
      <c r="M25" s="1048">
        <f>SUM('ketv. 4 lent'!R147)+J25</f>
        <v>885761</v>
      </c>
      <c r="N25" s="1049">
        <f t="shared" si="5"/>
        <v>0</v>
      </c>
      <c r="O25" s="1047">
        <f>SUM('3 pr-(5-6)'!G58)</f>
        <v>885761</v>
      </c>
      <c r="P25" s="1048">
        <f>SUM('ketv. 4 lent'!S147)+M25</f>
        <v>885761</v>
      </c>
      <c r="Q25" s="1049">
        <f t="shared" si="6"/>
        <v>0</v>
      </c>
      <c r="R25" s="1047">
        <f>SUM('3 pr-(5-6)'!H58)</f>
        <v>885761</v>
      </c>
      <c r="S25" s="1048">
        <f>SUM('ketv. 4 lent'!T147)+P25</f>
        <v>885761</v>
      </c>
      <c r="T25" s="1049">
        <f t="shared" si="7"/>
        <v>0</v>
      </c>
      <c r="U25" s="1063">
        <f>SUM('3 pr-(5-6)'!I58)</f>
        <v>885761</v>
      </c>
      <c r="V25" s="1066">
        <f t="shared" si="0"/>
        <v>885761</v>
      </c>
      <c r="W25" s="1045">
        <f t="shared" si="8"/>
        <v>0</v>
      </c>
      <c r="X25" s="369">
        <v>885762</v>
      </c>
      <c r="Y25" s="379">
        <f t="shared" si="10"/>
        <v>1</v>
      </c>
      <c r="Z25" s="379">
        <f>SUM('3 pr-2'!AD148)</f>
        <v>0</v>
      </c>
      <c r="AA25" s="378">
        <f t="shared" si="9"/>
        <v>1</v>
      </c>
    </row>
    <row r="26" spans="1:27" ht="17.25" thickTop="1" thickBot="1" x14ac:dyDescent="0.3">
      <c r="A26" s="1046" t="s">
        <v>155</v>
      </c>
      <c r="B26" s="1046" t="s">
        <v>270</v>
      </c>
      <c r="C26" s="1047">
        <f>SUM('3 pr-(5-6)'!C59)</f>
        <v>0</v>
      </c>
      <c r="D26" s="1048">
        <v>0</v>
      </c>
      <c r="E26" s="1049">
        <f t="shared" si="2"/>
        <v>0</v>
      </c>
      <c r="F26" s="1047">
        <f>SUM('3 pr-(5-6)'!D59)</f>
        <v>2520974</v>
      </c>
      <c r="G26" s="1048">
        <f>SUM('ketv. 4 lent'!P153)+D26</f>
        <v>2520974</v>
      </c>
      <c r="H26" s="1049">
        <f t="shared" si="3"/>
        <v>0</v>
      </c>
      <c r="I26" s="1047">
        <f>SUM('3 pr-(5-6)'!G59)</f>
        <v>2520974</v>
      </c>
      <c r="J26" s="1048">
        <f>SUM('ketv. 4 lent'!Q153)+G26</f>
        <v>2520974</v>
      </c>
      <c r="K26" s="1049">
        <f t="shared" si="4"/>
        <v>0</v>
      </c>
      <c r="L26" s="1047">
        <f>SUM('3 pr-(5-6)'!F59)</f>
        <v>2520974</v>
      </c>
      <c r="M26" s="1048">
        <f>SUM('ketv. 4 lent'!R153)+J26</f>
        <v>2520974</v>
      </c>
      <c r="N26" s="1049">
        <f t="shared" si="5"/>
        <v>0</v>
      </c>
      <c r="O26" s="1047">
        <f>SUM('3 pr-(5-6)'!G59)</f>
        <v>2520974</v>
      </c>
      <c r="P26" s="1048">
        <f>SUM('ketv. 4 lent'!S153)+M26</f>
        <v>2520974</v>
      </c>
      <c r="Q26" s="1049">
        <f t="shared" si="6"/>
        <v>0</v>
      </c>
      <c r="R26" s="1047">
        <f>SUM('3 pr-(5-6)'!H59)</f>
        <v>2520974</v>
      </c>
      <c r="S26" s="1048">
        <f>SUM('ketv. 4 lent'!T153)+P26</f>
        <v>2520974</v>
      </c>
      <c r="T26" s="1049">
        <f t="shared" si="7"/>
        <v>0</v>
      </c>
      <c r="U26" s="1063">
        <f>SUM('3 pr-(5-6)'!I59)</f>
        <v>2520974</v>
      </c>
      <c r="V26" s="1066">
        <f t="shared" si="0"/>
        <v>2520974</v>
      </c>
      <c r="W26" s="1045">
        <f t="shared" si="8"/>
        <v>0</v>
      </c>
      <c r="X26" s="369">
        <v>2520974</v>
      </c>
      <c r="Y26" s="379">
        <f t="shared" si="10"/>
        <v>0</v>
      </c>
      <c r="Z26" s="379">
        <f>SUM('3 pr-2'!AD154)</f>
        <v>0.36000000001513399</v>
      </c>
      <c r="AA26" s="378">
        <f t="shared" si="9"/>
        <v>0.36000000001513399</v>
      </c>
    </row>
    <row r="27" spans="1:27" ht="33" thickTop="1" thickBot="1" x14ac:dyDescent="0.3">
      <c r="A27" s="1046" t="s">
        <v>156</v>
      </c>
      <c r="B27" s="1046" t="s">
        <v>271</v>
      </c>
      <c r="C27" s="1047">
        <f>SUM('3 pr-(5-6)'!C60)</f>
        <v>0</v>
      </c>
      <c r="D27" s="1048">
        <v>0</v>
      </c>
      <c r="E27" s="1049">
        <f t="shared" si="2"/>
        <v>0</v>
      </c>
      <c r="F27" s="1047">
        <f>SUM('3 pr-(5-6)'!D60)</f>
        <v>0</v>
      </c>
      <c r="G27" s="1048">
        <f>SUM('ketv. 4 lent'!P160)+D27</f>
        <v>0</v>
      </c>
      <c r="H27" s="1049">
        <f t="shared" si="3"/>
        <v>0</v>
      </c>
      <c r="I27" s="1047">
        <f>SUM('3 pr-(5-6)'!G60)</f>
        <v>972514.49</v>
      </c>
      <c r="J27" s="1048">
        <f>SUM('ketv. 4 lent'!Q160)+G27</f>
        <v>0</v>
      </c>
      <c r="K27" s="1049">
        <f t="shared" si="4"/>
        <v>972514.49</v>
      </c>
      <c r="L27" s="1047">
        <f>SUM('3 pr-(5-6)'!F60)</f>
        <v>802514.49</v>
      </c>
      <c r="M27" s="1048">
        <f>SUM('ketv. 4 lent'!R160)+J27</f>
        <v>146823.49</v>
      </c>
      <c r="N27" s="1049">
        <f t="shared" si="5"/>
        <v>655691</v>
      </c>
      <c r="O27" s="1047">
        <f>SUM('3 pr-(5-6)'!G60)</f>
        <v>972514.49</v>
      </c>
      <c r="P27" s="1048">
        <f>SUM('ketv. 4 lent'!S160)+M27</f>
        <v>146823.49</v>
      </c>
      <c r="Q27" s="1049">
        <f t="shared" si="6"/>
        <v>825691</v>
      </c>
      <c r="R27" s="1047">
        <f>SUM('3 pr-(5-6)'!H60)</f>
        <v>972514.49</v>
      </c>
      <c r="S27" s="1048">
        <f>SUM('ketv. 4 lent'!T160)+P27</f>
        <v>146823.49</v>
      </c>
      <c r="T27" s="1049">
        <f t="shared" si="7"/>
        <v>825691</v>
      </c>
      <c r="U27" s="1063">
        <f>SUM('3 pr-(5-6)'!I60)</f>
        <v>972514.49</v>
      </c>
      <c r="V27" s="1066">
        <f t="shared" si="0"/>
        <v>146823.49</v>
      </c>
      <c r="W27" s="1045">
        <f t="shared" si="8"/>
        <v>825691</v>
      </c>
      <c r="X27" s="369">
        <v>982761</v>
      </c>
      <c r="Y27" s="379">
        <f t="shared" si="10"/>
        <v>10246.510000000009</v>
      </c>
      <c r="Z27" s="379">
        <f>SUM('3 pr-2'!AD161)</f>
        <v>0</v>
      </c>
      <c r="AA27" s="378">
        <f t="shared" si="9"/>
        <v>10246.510000000009</v>
      </c>
    </row>
    <row r="28" spans="1:27" ht="17.25" thickTop="1" thickBot="1" x14ac:dyDescent="0.3">
      <c r="A28" s="1046" t="s">
        <v>194</v>
      </c>
      <c r="B28" s="1046" t="s">
        <v>272</v>
      </c>
      <c r="C28" s="1047">
        <f>SUM('3 pr-(5-6)'!C61)</f>
        <v>0</v>
      </c>
      <c r="D28" s="1048">
        <v>0</v>
      </c>
      <c r="E28" s="1049">
        <f t="shared" si="2"/>
        <v>0</v>
      </c>
      <c r="F28" s="1047">
        <f>SUM('3 pr-(5-6)'!D61)</f>
        <v>0</v>
      </c>
      <c r="G28" s="1048">
        <f>SUM('ketv. 4 lent'!P169)+D28</f>
        <v>0</v>
      </c>
      <c r="H28" s="1049">
        <f t="shared" si="3"/>
        <v>0</v>
      </c>
      <c r="I28" s="1047">
        <f>SUM('3 pr-(5-6)'!G61)</f>
        <v>3352807.77</v>
      </c>
      <c r="J28" s="1048">
        <f>SUM('ketv. 4 lent'!Q169)+G28</f>
        <v>3352807.77</v>
      </c>
      <c r="K28" s="1049">
        <f t="shared" si="4"/>
        <v>0</v>
      </c>
      <c r="L28" s="1047">
        <f>SUM('3 pr-(5-6)'!F61)</f>
        <v>3352807.77</v>
      </c>
      <c r="M28" s="1048">
        <f>SUM('ketv. 4 lent'!R169)+J28</f>
        <v>3352807.77</v>
      </c>
      <c r="N28" s="1049">
        <f t="shared" si="5"/>
        <v>0</v>
      </c>
      <c r="O28" s="1047">
        <f>SUM('3 pr-(5-6)'!G61)</f>
        <v>3352807.77</v>
      </c>
      <c r="P28" s="1048">
        <f>SUM('ketv. 4 lent'!S169)+M28</f>
        <v>3352807.77</v>
      </c>
      <c r="Q28" s="1049">
        <f t="shared" si="6"/>
        <v>0</v>
      </c>
      <c r="R28" s="1047">
        <f>SUM('3 pr-(5-6)'!H61)</f>
        <v>3352807.77</v>
      </c>
      <c r="S28" s="1048">
        <f>SUM('ketv. 4 lent'!T169)+P28</f>
        <v>3352807.77</v>
      </c>
      <c r="T28" s="1049">
        <f t="shared" si="7"/>
        <v>0</v>
      </c>
      <c r="U28" s="1063">
        <f>SUM('3 pr-(5-6)'!I61)</f>
        <v>3352807.77</v>
      </c>
      <c r="V28" s="1066">
        <f t="shared" si="0"/>
        <v>3352807.77</v>
      </c>
      <c r="W28" s="1045">
        <f t="shared" si="8"/>
        <v>0</v>
      </c>
      <c r="X28" s="369">
        <v>3352807.77</v>
      </c>
      <c r="Y28" s="379">
        <f t="shared" si="10"/>
        <v>0</v>
      </c>
      <c r="Z28" s="379">
        <f>SUM('3 pr-2'!AD170)</f>
        <v>0</v>
      </c>
      <c r="AA28" s="378">
        <f t="shared" si="9"/>
        <v>0</v>
      </c>
    </row>
    <row r="29" spans="1:27" ht="17.25" thickTop="1" thickBot="1" x14ac:dyDescent="0.3">
      <c r="A29" s="1046" t="s">
        <v>196</v>
      </c>
      <c r="B29" s="1046" t="s">
        <v>273</v>
      </c>
      <c r="C29" s="1047">
        <f>SUM('3 pr-(5-6)'!C62)</f>
        <v>0</v>
      </c>
      <c r="D29" s="1048">
        <v>0</v>
      </c>
      <c r="E29" s="1049">
        <f t="shared" si="2"/>
        <v>0</v>
      </c>
      <c r="F29" s="1047">
        <f>SUM('3 pr-(5-6)'!D62)</f>
        <v>0</v>
      </c>
      <c r="G29" s="1048">
        <f>SUM('ketv. 4 lent'!P172)+D29</f>
        <v>0</v>
      </c>
      <c r="H29" s="1049">
        <f t="shared" si="3"/>
        <v>0</v>
      </c>
      <c r="I29" s="1047">
        <f>SUM('3 pr-(5-6)'!G62)</f>
        <v>2131628.0500000003</v>
      </c>
      <c r="J29" s="1048">
        <f>SUM('ketv. 4 lent'!Q172)+G29</f>
        <v>1050355.1800000002</v>
      </c>
      <c r="K29" s="1049">
        <f t="shared" si="4"/>
        <v>1081272.8700000001</v>
      </c>
      <c r="L29" s="1047">
        <f>SUM('3 pr-(5-6)'!F62)</f>
        <v>1676412.1800000002</v>
      </c>
      <c r="M29" s="1048">
        <f>SUM('ketv. 4 lent'!R172)+J29</f>
        <v>1050355.1800000002</v>
      </c>
      <c r="N29" s="1049">
        <f t="shared" si="5"/>
        <v>626057</v>
      </c>
      <c r="O29" s="1047">
        <f>SUM('3 pr-(5-6)'!G62)</f>
        <v>2131628.0500000003</v>
      </c>
      <c r="P29" s="1048">
        <f>SUM('ketv. 4 lent'!S172)+M29</f>
        <v>1050355.1800000002</v>
      </c>
      <c r="Q29" s="1049">
        <f t="shared" si="6"/>
        <v>1081272.8700000001</v>
      </c>
      <c r="R29" s="1047">
        <f>SUM('3 pr-(5-6)'!H62)</f>
        <v>2131628.0500000003</v>
      </c>
      <c r="S29" s="1048">
        <f>SUM('ketv. 4 lent'!T172)+P29</f>
        <v>1050355.1800000002</v>
      </c>
      <c r="T29" s="1049">
        <f t="shared" si="7"/>
        <v>1081272.8700000001</v>
      </c>
      <c r="U29" s="1063">
        <f>SUM('3 pr-(5-6)'!I62)</f>
        <v>2131628.0500000003</v>
      </c>
      <c r="V29" s="1068">
        <f t="shared" si="0"/>
        <v>1050355.1800000002</v>
      </c>
      <c r="W29" s="1045">
        <f t="shared" si="8"/>
        <v>1081272.8700000001</v>
      </c>
      <c r="X29" s="369">
        <v>2131629</v>
      </c>
      <c r="Y29" s="379">
        <f t="shared" si="10"/>
        <v>0.94999999972060323</v>
      </c>
      <c r="Z29" s="379">
        <f>SUM('3 pr-2'!AD173)</f>
        <v>218432.3</v>
      </c>
      <c r="AA29" s="378">
        <f t="shared" si="9"/>
        <v>218433.24999999971</v>
      </c>
    </row>
  </sheetData>
  <mergeCells count="4">
    <mergeCell ref="A2:A3"/>
    <mergeCell ref="B2:B3"/>
    <mergeCell ref="C2:W2"/>
    <mergeCell ref="A1:V1"/>
  </mergeCells>
  <pageMargins left="0.25" right="0.25" top="0.75" bottom="0.75" header="0.3" footer="0.3"/>
  <pageSetup paperSize="9" orientation="landscape"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7"/>
  <sheetViews>
    <sheetView topLeftCell="A13" workbookViewId="0">
      <selection activeCell="C22" sqref="C22"/>
    </sheetView>
  </sheetViews>
  <sheetFormatPr defaultRowHeight="15" x14ac:dyDescent="0.25"/>
  <cols>
    <col min="1" max="1" width="9.28515625" bestFit="1" customWidth="1"/>
    <col min="2" max="2" width="61.42578125" customWidth="1"/>
    <col min="3" max="3" width="22.140625" customWidth="1"/>
    <col min="4" max="4" width="36.5703125" bestFit="1" customWidth="1"/>
  </cols>
  <sheetData>
    <row r="1" spans="1:4" x14ac:dyDescent="0.25">
      <c r="A1" s="326" t="s">
        <v>793</v>
      </c>
    </row>
    <row r="2" spans="1:4" ht="15.75" thickBot="1" x14ac:dyDescent="0.3"/>
    <row r="3" spans="1:4" ht="63.75" thickBot="1" x14ac:dyDescent="0.3">
      <c r="A3" s="1074" t="s">
        <v>393</v>
      </c>
      <c r="B3" s="1075" t="s">
        <v>394</v>
      </c>
      <c r="C3" s="1075" t="s">
        <v>396</v>
      </c>
      <c r="D3" s="1075" t="s">
        <v>794</v>
      </c>
    </row>
    <row r="4" spans="1:4" ht="15.75" x14ac:dyDescent="0.25">
      <c r="A4" s="1072">
        <v>1</v>
      </c>
      <c r="B4" s="1073" t="s">
        <v>397</v>
      </c>
      <c r="C4" s="1073" t="s">
        <v>725</v>
      </c>
      <c r="D4" s="1073" t="s">
        <v>725</v>
      </c>
    </row>
    <row r="5" spans="1:4" ht="15.75" x14ac:dyDescent="0.25">
      <c r="A5" s="1069">
        <v>2</v>
      </c>
      <c r="B5" s="1070" t="s">
        <v>370</v>
      </c>
      <c r="C5" s="1070" t="s">
        <v>725</v>
      </c>
      <c r="D5" s="1070" t="s">
        <v>725</v>
      </c>
    </row>
    <row r="6" spans="1:4" ht="31.5" x14ac:dyDescent="0.25">
      <c r="A6" s="1069">
        <v>5</v>
      </c>
      <c r="B6" s="1070" t="s">
        <v>391</v>
      </c>
      <c r="C6" s="1070" t="s">
        <v>725</v>
      </c>
      <c r="D6" s="1070" t="s">
        <v>725</v>
      </c>
    </row>
    <row r="7" spans="1:4" ht="31.5" x14ac:dyDescent="0.25">
      <c r="A7" s="1069">
        <v>6</v>
      </c>
      <c r="B7" s="1070" t="s">
        <v>362</v>
      </c>
      <c r="C7" s="1070" t="s">
        <v>725</v>
      </c>
      <c r="D7" s="1070" t="s">
        <v>725</v>
      </c>
    </row>
    <row r="8" spans="1:4" ht="16.5" thickBot="1" x14ac:dyDescent="0.3">
      <c r="A8" s="1430">
        <v>18</v>
      </c>
      <c r="B8" s="1431" t="s">
        <v>1712</v>
      </c>
      <c r="C8" s="1070" t="s">
        <v>725</v>
      </c>
      <c r="D8" s="1070" t="s">
        <v>725</v>
      </c>
    </row>
    <row r="9" spans="1:4" ht="15.75" x14ac:dyDescent="0.25">
      <c r="A9" s="1069">
        <v>8</v>
      </c>
      <c r="B9" s="1070" t="s">
        <v>364</v>
      </c>
      <c r="C9" s="1070" t="s">
        <v>725</v>
      </c>
      <c r="D9" s="1070" t="s">
        <v>725</v>
      </c>
    </row>
    <row r="10" spans="1:4" ht="15.75" x14ac:dyDescent="0.25">
      <c r="A10" s="1069">
        <v>9</v>
      </c>
      <c r="B10" s="1070" t="s">
        <v>375</v>
      </c>
      <c r="C10" s="1070" t="s">
        <v>725</v>
      </c>
      <c r="D10" s="1070" t="s">
        <v>725</v>
      </c>
    </row>
    <row r="11" spans="1:4" ht="15.75" x14ac:dyDescent="0.25">
      <c r="A11" s="1069">
        <v>10</v>
      </c>
      <c r="B11" s="1070" t="s">
        <v>372</v>
      </c>
      <c r="C11" s="1070" t="s">
        <v>725</v>
      </c>
      <c r="D11" s="1070" t="s">
        <v>725</v>
      </c>
    </row>
    <row r="12" spans="1:4" ht="15.75" x14ac:dyDescent="0.25">
      <c r="A12" s="1069">
        <v>11</v>
      </c>
      <c r="B12" s="1070" t="s">
        <v>378</v>
      </c>
      <c r="C12" s="1070" t="s">
        <v>725</v>
      </c>
      <c r="D12" s="1070" t="s">
        <v>725</v>
      </c>
    </row>
    <row r="13" spans="1:4" ht="15.75" x14ac:dyDescent="0.25">
      <c r="A13" s="1069">
        <v>12</v>
      </c>
      <c r="B13" s="1070" t="s">
        <v>374</v>
      </c>
      <c r="C13" s="1070" t="s">
        <v>725</v>
      </c>
      <c r="D13" s="1070" t="s">
        <v>725</v>
      </c>
    </row>
    <row r="14" spans="1:4" ht="15.75" x14ac:dyDescent="0.25">
      <c r="A14" s="1069"/>
      <c r="B14" s="1070"/>
      <c r="C14" s="1070"/>
      <c r="D14" s="1070"/>
    </row>
    <row r="15" spans="1:4" ht="47.25" x14ac:dyDescent="0.25">
      <c r="A15" s="1069">
        <v>19</v>
      </c>
      <c r="B15" s="1070" t="s">
        <v>717</v>
      </c>
      <c r="C15" s="1071">
        <f>SUM('IV-3'!U81)</f>
        <v>1</v>
      </c>
      <c r="D15" s="1071">
        <f>SUM('IV-3'!V81)</f>
        <v>17000</v>
      </c>
    </row>
    <row r="16" spans="1:4" ht="15.75" x14ac:dyDescent="0.25">
      <c r="A16" s="1069">
        <v>22</v>
      </c>
      <c r="B16" s="1070" t="s">
        <v>380</v>
      </c>
      <c r="C16" s="1070" t="s">
        <v>725</v>
      </c>
      <c r="D16" s="1070" t="s">
        <v>725</v>
      </c>
    </row>
    <row r="17" spans="1:4" ht="15.75" x14ac:dyDescent="0.25">
      <c r="A17" s="1069">
        <v>23</v>
      </c>
      <c r="B17" s="1070" t="s">
        <v>382</v>
      </c>
      <c r="C17" s="1070" t="s">
        <v>725</v>
      </c>
      <c r="D17" s="1070" t="s">
        <v>725</v>
      </c>
    </row>
    <row r="18" spans="1:4" ht="15.75" x14ac:dyDescent="0.25">
      <c r="A18" s="1069">
        <v>24</v>
      </c>
      <c r="B18" s="1070" t="s">
        <v>381</v>
      </c>
      <c r="C18" s="1070" t="s">
        <v>725</v>
      </c>
      <c r="D18" s="1070" t="s">
        <v>725</v>
      </c>
    </row>
    <row r="19" spans="1:4" ht="15.75" x14ac:dyDescent="0.25">
      <c r="A19" s="1069">
        <v>25</v>
      </c>
      <c r="B19" s="1070" t="s">
        <v>389</v>
      </c>
      <c r="C19" s="1070" t="s">
        <v>725</v>
      </c>
      <c r="D19" s="1070" t="s">
        <v>725</v>
      </c>
    </row>
    <row r="20" spans="1:4" ht="15.75" x14ac:dyDescent="0.25">
      <c r="A20" s="1069">
        <v>26</v>
      </c>
      <c r="B20" s="1070" t="s">
        <v>388</v>
      </c>
      <c r="C20" s="1070" t="s">
        <v>725</v>
      </c>
      <c r="D20" s="1070" t="s">
        <v>725</v>
      </c>
    </row>
    <row r="21" spans="1:4" ht="15.75" x14ac:dyDescent="0.25">
      <c r="A21" s="1069">
        <v>27</v>
      </c>
      <c r="B21" s="1472" t="s">
        <v>1739</v>
      </c>
      <c r="C21" s="1070" t="s">
        <v>725</v>
      </c>
      <c r="D21" s="1070" t="s">
        <v>725</v>
      </c>
    </row>
    <row r="22" spans="1:4" ht="31.5" x14ac:dyDescent="0.25">
      <c r="A22" s="1069">
        <v>28</v>
      </c>
      <c r="B22" s="1070" t="s">
        <v>359</v>
      </c>
      <c r="C22" s="1070" t="s">
        <v>725</v>
      </c>
      <c r="D22" s="1070" t="s">
        <v>725</v>
      </c>
    </row>
    <row r="23" spans="1:4" ht="31.5" x14ac:dyDescent="0.25">
      <c r="A23" s="1069">
        <v>29</v>
      </c>
      <c r="B23" s="1070" t="s">
        <v>354</v>
      </c>
      <c r="C23" s="1070" t="s">
        <v>725</v>
      </c>
      <c r="D23" s="1070" t="s">
        <v>725</v>
      </c>
    </row>
    <row r="24" spans="1:4" ht="31.5" x14ac:dyDescent="0.25">
      <c r="A24" s="1069">
        <v>30</v>
      </c>
      <c r="B24" s="1070" t="s">
        <v>353</v>
      </c>
      <c r="C24" s="1070" t="s">
        <v>725</v>
      </c>
      <c r="D24" s="1070" t="s">
        <v>725</v>
      </c>
    </row>
    <row r="25" spans="1:4" ht="47.25" x14ac:dyDescent="0.25">
      <c r="A25" s="1069">
        <v>31</v>
      </c>
      <c r="B25" s="1070" t="s">
        <v>361</v>
      </c>
      <c r="C25" s="1070" t="s">
        <v>725</v>
      </c>
      <c r="D25" s="1070" t="s">
        <v>725</v>
      </c>
    </row>
    <row r="26" spans="1:4" ht="31.5" x14ac:dyDescent="0.25">
      <c r="A26" s="1069">
        <v>32</v>
      </c>
      <c r="B26" s="1070" t="s">
        <v>384</v>
      </c>
      <c r="C26" s="1070" t="s">
        <v>725</v>
      </c>
      <c r="D26" s="1070" t="s">
        <v>725</v>
      </c>
    </row>
    <row r="27" spans="1:4" ht="31.5" x14ac:dyDescent="0.25">
      <c r="A27" s="1069">
        <v>33</v>
      </c>
      <c r="B27" s="1070" t="s">
        <v>367</v>
      </c>
      <c r="C27" s="1070" t="s">
        <v>725</v>
      </c>
      <c r="D27" s="1070" t="s">
        <v>725</v>
      </c>
    </row>
    <row r="28" spans="1:4" ht="47.25" x14ac:dyDescent="0.25">
      <c r="A28" s="1069">
        <v>34</v>
      </c>
      <c r="B28" s="1070" t="s">
        <v>355</v>
      </c>
      <c r="C28" s="1070" t="s">
        <v>725</v>
      </c>
      <c r="D28" s="1070" t="s">
        <v>725</v>
      </c>
    </row>
    <row r="29" spans="1:4" ht="31.5" x14ac:dyDescent="0.25">
      <c r="A29" s="1069">
        <v>36</v>
      </c>
      <c r="B29" s="1070" t="s">
        <v>360</v>
      </c>
      <c r="C29" s="1070" t="s">
        <v>725</v>
      </c>
      <c r="D29" s="1070" t="s">
        <v>725</v>
      </c>
    </row>
    <row r="30" spans="1:4" ht="31.5" x14ac:dyDescent="0.25">
      <c r="A30" s="1069">
        <v>38</v>
      </c>
      <c r="B30" s="1070" t="s">
        <v>392</v>
      </c>
      <c r="C30" s="1070" t="s">
        <v>725</v>
      </c>
      <c r="D30" s="1070" t="s">
        <v>725</v>
      </c>
    </row>
    <row r="31" spans="1:4" ht="15.75" x14ac:dyDescent="0.25">
      <c r="A31" s="1069">
        <v>41</v>
      </c>
      <c r="B31" s="1070" t="s">
        <v>377</v>
      </c>
      <c r="C31" s="1070" t="s">
        <v>725</v>
      </c>
      <c r="D31" s="1070" t="s">
        <v>725</v>
      </c>
    </row>
    <row r="32" spans="1:4" ht="15.75" x14ac:dyDescent="0.25">
      <c r="A32" s="1069">
        <v>42</v>
      </c>
      <c r="B32" s="1070" t="s">
        <v>366</v>
      </c>
      <c r="C32" s="1070" t="s">
        <v>725</v>
      </c>
      <c r="D32" s="1070" t="s">
        <v>725</v>
      </c>
    </row>
    <row r="33" spans="1:4" ht="15.75" x14ac:dyDescent="0.25">
      <c r="A33" s="1069">
        <v>44</v>
      </c>
      <c r="B33" s="1070" t="s">
        <v>371</v>
      </c>
      <c r="C33" s="1070" t="s">
        <v>725</v>
      </c>
      <c r="D33" s="1070" t="s">
        <v>725</v>
      </c>
    </row>
    <row r="34" spans="1:4" ht="15.75" x14ac:dyDescent="0.25">
      <c r="A34" s="1069">
        <v>47</v>
      </c>
      <c r="B34" s="1070" t="s">
        <v>385</v>
      </c>
      <c r="C34" s="1070" t="s">
        <v>725</v>
      </c>
      <c r="D34" s="1070" t="s">
        <v>725</v>
      </c>
    </row>
    <row r="35" spans="1:4" ht="15.75" x14ac:dyDescent="0.25">
      <c r="A35" s="1069">
        <v>48</v>
      </c>
      <c r="B35" s="1070" t="s">
        <v>387</v>
      </c>
      <c r="C35" s="1070" t="s">
        <v>725</v>
      </c>
      <c r="D35" s="1070" t="s">
        <v>725</v>
      </c>
    </row>
    <row r="36" spans="1:4" ht="15.75" x14ac:dyDescent="0.25">
      <c r="A36" s="1069">
        <v>49</v>
      </c>
      <c r="B36" s="1070" t="s">
        <v>390</v>
      </c>
      <c r="C36" s="1070" t="s">
        <v>725</v>
      </c>
      <c r="D36" s="1070" t="s">
        <v>725</v>
      </c>
    </row>
    <row r="37" spans="1:4" ht="15.75" x14ac:dyDescent="0.25">
      <c r="A37" s="1069">
        <v>50</v>
      </c>
      <c r="B37" s="1070" t="s">
        <v>379</v>
      </c>
      <c r="C37" s="1070" t="s">
        <v>725</v>
      </c>
      <c r="D37" s="1070" t="s">
        <v>725</v>
      </c>
    </row>
  </sheetData>
  <pageMargins left="0.7" right="0.7" top="0.75" bottom="0.75" header="0.3" footer="0.3"/>
  <pageSetup paperSize="9" fitToHeight="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AV188"/>
  <sheetViews>
    <sheetView showGridLines="0" showRuler="0" zoomScale="95" zoomScaleNormal="95" zoomScalePageLayoutView="85" workbookViewId="0">
      <pane ySplit="3450" topLeftCell="A127" activePane="bottomLeft"/>
      <selection activeCell="L4" sqref="L4:AA4"/>
      <selection pane="bottomLeft" activeCell="E133" sqref="E133"/>
    </sheetView>
  </sheetViews>
  <sheetFormatPr defaultColWidth="9.140625" defaultRowHeight="15" x14ac:dyDescent="0.25"/>
  <cols>
    <col min="1" max="1" width="9.140625" style="89"/>
    <col min="2" max="2" width="12" style="89" customWidth="1"/>
    <col min="3" max="3" width="14.28515625" style="89" hidden="1" customWidth="1"/>
    <col min="4" max="4" width="42" style="89" customWidth="1"/>
    <col min="5" max="5" width="18.5703125" style="89" customWidth="1"/>
    <col min="6" max="6" width="19" style="89" customWidth="1"/>
    <col min="7" max="7" width="14.7109375" style="89" customWidth="1"/>
    <col min="8" max="8" width="25.7109375" style="89" customWidth="1"/>
    <col min="9" max="9" width="5.42578125" style="89" customWidth="1"/>
    <col min="10" max="10" width="5.85546875" style="1227" customWidth="1"/>
    <col min="11" max="11" width="6.42578125" style="1227" bestFit="1" customWidth="1"/>
    <col min="12" max="12" width="15.42578125" style="89" customWidth="1"/>
    <col min="13" max="14" width="15.42578125" style="89" hidden="1" customWidth="1"/>
    <col min="15" max="15" width="13.85546875" style="89" bestFit="1" customWidth="1"/>
    <col min="16" max="17" width="13.85546875" style="89" hidden="1" customWidth="1"/>
    <col min="18" max="18" width="12.85546875" style="89" bestFit="1" customWidth="1"/>
    <col min="19" max="20" width="12.85546875" style="89" hidden="1" customWidth="1"/>
    <col min="21" max="21" width="12.7109375" style="89" bestFit="1" customWidth="1"/>
    <col min="22" max="23" width="12.7109375" style="89" hidden="1" customWidth="1"/>
    <col min="24" max="24" width="11" style="89" customWidth="1"/>
    <col min="25" max="26" width="9.28515625" style="89" hidden="1" customWidth="1"/>
    <col min="27" max="27" width="15.42578125" style="89" bestFit="1" customWidth="1"/>
    <col min="28" max="28" width="10.140625" style="89" hidden="1" customWidth="1"/>
    <col min="29" max="29" width="12.5703125" style="89" hidden="1" customWidth="1"/>
    <col min="30" max="30" width="12.7109375" style="89" hidden="1" customWidth="1"/>
    <col min="31" max="31" width="15.42578125" style="89" hidden="1" customWidth="1"/>
    <col min="32" max="33" width="10" style="89" bestFit="1" customWidth="1"/>
    <col min="34" max="34" width="10" style="89" customWidth="1"/>
    <col min="35" max="35" width="11.28515625" style="89" hidden="1" customWidth="1"/>
    <col min="36" max="36" width="9.7109375" style="1228" customWidth="1"/>
    <col min="37" max="37" width="10.7109375" style="89" hidden="1" customWidth="1"/>
    <col min="38" max="41" width="9.7109375" style="89" hidden="1" customWidth="1"/>
    <col min="42" max="42" width="20.7109375" style="89" hidden="1" customWidth="1"/>
    <col min="43" max="43" width="13.85546875" style="89" hidden="1" customWidth="1"/>
    <col min="44" max="44" width="9.7109375" style="89" hidden="1" customWidth="1"/>
    <col min="45" max="45" width="9.7109375" style="89" customWidth="1"/>
    <col min="46" max="47" width="10.42578125" style="89" bestFit="1" customWidth="1"/>
    <col min="48" max="16384" width="9.140625" style="89"/>
  </cols>
  <sheetData>
    <row r="2" spans="1:47" ht="16.5" thickBot="1" x14ac:dyDescent="0.3">
      <c r="A2" s="1225" t="s">
        <v>73</v>
      </c>
      <c r="B2" s="1225"/>
      <c r="C2" s="1226"/>
    </row>
    <row r="3" spans="1:47" ht="17.25" customHeight="1" thickTop="1" thickBot="1" x14ac:dyDescent="0.3">
      <c r="A3" s="1633" t="s">
        <v>46</v>
      </c>
      <c r="B3" s="1634"/>
      <c r="C3" s="1634"/>
      <c r="D3" s="1634"/>
      <c r="E3" s="1634"/>
      <c r="F3" s="1634"/>
      <c r="G3" s="1634"/>
      <c r="H3" s="1634"/>
      <c r="I3" s="1634"/>
      <c r="J3" s="1634"/>
      <c r="K3" s="1635"/>
      <c r="L3" s="1636" t="s">
        <v>282</v>
      </c>
      <c r="M3" s="1634"/>
      <c r="N3" s="1634"/>
      <c r="O3" s="1634"/>
      <c r="P3" s="1634"/>
      <c r="Q3" s="1634"/>
      <c r="R3" s="1634"/>
      <c r="S3" s="1634"/>
      <c r="T3" s="1634"/>
      <c r="U3" s="1634"/>
      <c r="V3" s="1634"/>
      <c r="W3" s="1634"/>
      <c r="X3" s="1634"/>
      <c r="Y3" s="1634"/>
      <c r="Z3" s="1634"/>
      <c r="AA3" s="1635"/>
      <c r="AB3" s="1229"/>
      <c r="AC3" s="1637"/>
      <c r="AD3" s="1638"/>
      <c r="AE3" s="1637" t="s">
        <v>48</v>
      </c>
      <c r="AF3" s="1639"/>
      <c r="AG3" s="1639"/>
      <c r="AH3" s="1639"/>
      <c r="AI3" s="1639"/>
      <c r="AJ3" s="1639"/>
      <c r="AK3" s="1639"/>
      <c r="AL3" s="1639"/>
      <c r="AM3" s="1639"/>
      <c r="AN3" s="1639"/>
      <c r="AO3" s="1640"/>
      <c r="AP3" s="1631" t="s">
        <v>157</v>
      </c>
      <c r="AQ3" s="1631" t="s">
        <v>158</v>
      </c>
      <c r="AR3" s="1629" t="s">
        <v>175</v>
      </c>
    </row>
    <row r="4" spans="1:47" ht="84.75" customHeight="1" thickTop="1" thickBot="1" x14ac:dyDescent="0.3">
      <c r="A4" s="1230" t="s">
        <v>7</v>
      </c>
      <c r="B4" s="1231" t="s">
        <v>1539</v>
      </c>
      <c r="C4" s="1232" t="str">
        <f>CONCATENATE('ketv. 2lent'!B3)</f>
        <v>Projekto kodas</v>
      </c>
      <c r="D4" s="1233" t="s">
        <v>49</v>
      </c>
      <c r="E4" s="1233" t="s">
        <v>50</v>
      </c>
      <c r="F4" s="1233" t="s">
        <v>51</v>
      </c>
      <c r="G4" s="1233" t="s">
        <v>52</v>
      </c>
      <c r="H4" s="1234" t="s">
        <v>53</v>
      </c>
      <c r="I4" s="1233" t="s">
        <v>1544</v>
      </c>
      <c r="J4" s="1233" t="s">
        <v>1545</v>
      </c>
      <c r="K4" s="1233" t="s">
        <v>56</v>
      </c>
      <c r="L4" s="1233" t="s">
        <v>57</v>
      </c>
      <c r="M4" s="1233" t="s">
        <v>827</v>
      </c>
      <c r="N4" s="1233" t="s">
        <v>828</v>
      </c>
      <c r="O4" s="1233" t="s">
        <v>58</v>
      </c>
      <c r="P4" s="1233" t="s">
        <v>825</v>
      </c>
      <c r="Q4" s="1233" t="s">
        <v>826</v>
      </c>
      <c r="R4" s="1233" t="s">
        <v>59</v>
      </c>
      <c r="S4" s="1233" t="s">
        <v>823</v>
      </c>
      <c r="T4" s="1233" t="s">
        <v>824</v>
      </c>
      <c r="U4" s="1233" t="s">
        <v>60</v>
      </c>
      <c r="V4" s="1233" t="s">
        <v>821</v>
      </c>
      <c r="W4" s="1233" t="s">
        <v>822</v>
      </c>
      <c r="X4" s="1233" t="s">
        <v>61</v>
      </c>
      <c r="Y4" s="1233" t="s">
        <v>819</v>
      </c>
      <c r="Z4" s="1233" t="s">
        <v>820</v>
      </c>
      <c r="AA4" s="1233" t="s">
        <v>10</v>
      </c>
      <c r="AB4" s="1233" t="s">
        <v>1698</v>
      </c>
      <c r="AC4" s="1233" t="s">
        <v>829</v>
      </c>
      <c r="AD4" s="1233" t="s">
        <v>830</v>
      </c>
      <c r="AE4" s="1233" t="s">
        <v>1382</v>
      </c>
      <c r="AF4" s="1233" t="s">
        <v>62</v>
      </c>
      <c r="AG4" s="1233" t="s">
        <v>63</v>
      </c>
      <c r="AH4" s="1233" t="s">
        <v>419</v>
      </c>
      <c r="AI4" s="1235" t="s">
        <v>730</v>
      </c>
      <c r="AJ4" s="1236" t="s">
        <v>65</v>
      </c>
      <c r="AK4" s="1237" t="s">
        <v>644</v>
      </c>
      <c r="AL4" s="1237" t="s">
        <v>644</v>
      </c>
      <c r="AM4" s="1237" t="s">
        <v>644</v>
      </c>
      <c r="AN4" s="1237" t="s">
        <v>644</v>
      </c>
      <c r="AO4" s="1237" t="s">
        <v>644</v>
      </c>
      <c r="AP4" s="1632"/>
      <c r="AQ4" s="1632"/>
      <c r="AR4" s="1630"/>
    </row>
    <row r="5" spans="1:47" ht="16.5" thickTop="1" thickBot="1" x14ac:dyDescent="0.3">
      <c r="A5" s="1238"/>
      <c r="B5" s="1238"/>
      <c r="C5" s="1239" t="str">
        <f>CONCATENATE('ketv. 2lent'!B4)</f>
        <v/>
      </c>
      <c r="D5" s="1240"/>
      <c r="E5" s="1240"/>
      <c r="F5" s="1240"/>
      <c r="G5" s="1240"/>
      <c r="H5" s="1240"/>
      <c r="I5" s="1240"/>
      <c r="J5" s="1241"/>
      <c r="K5" s="1241"/>
      <c r="L5" s="1240"/>
      <c r="M5" s="1240"/>
      <c r="N5" s="1240"/>
      <c r="O5" s="1240"/>
      <c r="P5" s="1240"/>
      <c r="Q5" s="1240"/>
      <c r="R5" s="1240"/>
      <c r="S5" s="1240"/>
      <c r="T5" s="1240"/>
      <c r="U5" s="1240"/>
      <c r="V5" s="1240"/>
      <c r="W5" s="1240"/>
      <c r="X5" s="1240"/>
      <c r="Y5" s="1240"/>
      <c r="Z5" s="1240"/>
      <c r="AA5" s="1240"/>
      <c r="AB5" s="1240"/>
      <c r="AC5" s="1240"/>
      <c r="AD5" s="1240"/>
      <c r="AE5" s="1240"/>
      <c r="AF5" s="1240"/>
      <c r="AG5" s="1240"/>
      <c r="AH5" s="1240"/>
      <c r="AI5" s="1240" t="s">
        <v>729</v>
      </c>
      <c r="AJ5" s="1242"/>
      <c r="AK5" s="1243">
        <v>2016</v>
      </c>
      <c r="AL5" s="1244">
        <v>2017</v>
      </c>
      <c r="AM5" s="1245">
        <v>2018</v>
      </c>
      <c r="AN5" s="1244">
        <v>2019</v>
      </c>
      <c r="AO5" s="1244">
        <v>2020</v>
      </c>
      <c r="AP5" s="88"/>
      <c r="AQ5" s="88"/>
      <c r="AR5" s="88"/>
    </row>
    <row r="6" spans="1:47" ht="16.5" thickTop="1" thickBot="1" x14ac:dyDescent="0.3">
      <c r="A6" s="1238"/>
      <c r="B6" s="1238"/>
      <c r="C6" s="1239" t="str">
        <f>CONCATENATE('ketv. 2lent'!B5)</f>
        <v/>
      </c>
      <c r="D6" s="1246"/>
      <c r="E6" s="1246"/>
      <c r="F6" s="1246"/>
      <c r="G6" s="1246"/>
      <c r="H6" s="1246"/>
      <c r="I6" s="1246"/>
      <c r="J6" s="1247"/>
      <c r="K6" s="1241"/>
      <c r="L6" s="1240"/>
      <c r="M6" s="1240"/>
      <c r="N6" s="1240"/>
      <c r="O6" s="1240"/>
      <c r="P6" s="1240"/>
      <c r="Q6" s="1240"/>
      <c r="R6" s="1240"/>
      <c r="S6" s="1240"/>
      <c r="T6" s="1240"/>
      <c r="U6" s="1240"/>
      <c r="V6" s="1240"/>
      <c r="W6" s="1240"/>
      <c r="X6" s="1240"/>
      <c r="Y6" s="1240"/>
      <c r="Z6" s="1240"/>
      <c r="AA6" s="1240"/>
      <c r="AB6" s="1240"/>
      <c r="AC6" s="1240"/>
      <c r="AD6" s="1240"/>
      <c r="AE6" s="1240"/>
      <c r="AF6" s="1240"/>
      <c r="AG6" s="1240"/>
      <c r="AH6" s="1240"/>
      <c r="AI6" s="1240"/>
      <c r="AJ6" s="1242"/>
      <c r="AK6" s="1243"/>
      <c r="AL6" s="1244"/>
      <c r="AM6" s="1244"/>
      <c r="AN6" s="1244"/>
      <c r="AO6" s="1244"/>
      <c r="AP6" s="88"/>
      <c r="AQ6" s="88"/>
      <c r="AR6" s="88"/>
    </row>
    <row r="7" spans="1:47" ht="55.5" customHeight="1" thickBot="1" x14ac:dyDescent="0.3">
      <c r="A7" s="1248" t="s">
        <v>11</v>
      </c>
      <c r="B7" s="1604" t="s">
        <v>1777</v>
      </c>
      <c r="C7" s="1605"/>
      <c r="D7" s="1605"/>
      <c r="E7" s="1605"/>
      <c r="F7" s="1605"/>
      <c r="G7" s="1605"/>
      <c r="H7" s="1605"/>
      <c r="I7" s="1605"/>
      <c r="J7" s="1605"/>
      <c r="K7" s="1606"/>
      <c r="L7" s="1249">
        <f t="shared" ref="L7:AA7" si="0">SUM(L8+L73)</f>
        <v>47273678.625294112</v>
      </c>
      <c r="M7" s="1249"/>
      <c r="N7" s="1249"/>
      <c r="O7" s="1249">
        <f t="shared" si="0"/>
        <v>4499762.6952941176</v>
      </c>
      <c r="P7" s="1249"/>
      <c r="Q7" s="1249"/>
      <c r="R7" s="1249">
        <f t="shared" si="0"/>
        <v>1600234.9300000002</v>
      </c>
      <c r="S7" s="1249"/>
      <c r="T7" s="1249"/>
      <c r="U7" s="1249">
        <f t="shared" si="0"/>
        <v>8638955.3399999999</v>
      </c>
      <c r="V7" s="1249"/>
      <c r="W7" s="1249"/>
      <c r="X7" s="1249">
        <f t="shared" si="0"/>
        <v>62660</v>
      </c>
      <c r="Y7" s="1249"/>
      <c r="Z7" s="1249"/>
      <c r="AA7" s="1249">
        <f t="shared" si="0"/>
        <v>32300292.659999996</v>
      </c>
      <c r="AB7" s="1249"/>
      <c r="AC7" s="1249"/>
      <c r="AD7" s="1249"/>
      <c r="AE7" s="1249"/>
      <c r="AF7" s="590" t="s">
        <v>66</v>
      </c>
      <c r="AG7" s="468"/>
      <c r="AH7" s="468"/>
      <c r="AI7" s="1250"/>
      <c r="AJ7" s="1251"/>
      <c r="AK7" s="468"/>
      <c r="AL7" s="1252"/>
      <c r="AM7" s="1252"/>
      <c r="AN7" s="1252"/>
      <c r="AO7" s="1252"/>
      <c r="AP7" s="88">
        <f>SUM(AP8+AP73)</f>
        <v>31171185.551224813</v>
      </c>
      <c r="AQ7" s="88">
        <f>SUM(AQ8+AQ73)</f>
        <v>37405422.661469772</v>
      </c>
      <c r="AR7" s="88">
        <f>SUM(AR8+AR73)</f>
        <v>-1086064.8087751893</v>
      </c>
      <c r="AS7" s="1253"/>
      <c r="AT7" s="1254"/>
      <c r="AU7" s="1254"/>
    </row>
    <row r="8" spans="1:47" ht="46.5" customHeight="1" thickBot="1" x14ac:dyDescent="0.3">
      <c r="A8" s="1557" t="s">
        <v>12</v>
      </c>
      <c r="B8" s="1622" t="s">
        <v>727</v>
      </c>
      <c r="C8" s="1623"/>
      <c r="D8" s="1623"/>
      <c r="E8" s="1623"/>
      <c r="F8" s="1623"/>
      <c r="G8" s="1623"/>
      <c r="H8" s="1623"/>
      <c r="I8" s="1623"/>
      <c r="J8" s="1623"/>
      <c r="K8" s="1624"/>
      <c r="L8" s="1256">
        <f t="shared" ref="L8:AA8" si="1">SUM(L9+L33+L39+L46+L50+L56+L58+L62+L67)</f>
        <v>38611337.177058816</v>
      </c>
      <c r="M8" s="1256"/>
      <c r="N8" s="1256"/>
      <c r="O8" s="1256">
        <f t="shared" si="1"/>
        <v>2665278.1070588236</v>
      </c>
      <c r="P8" s="1256"/>
      <c r="Q8" s="1256"/>
      <c r="R8" s="1256">
        <f t="shared" si="1"/>
        <v>1600234.9300000002</v>
      </c>
      <c r="S8" s="1256"/>
      <c r="T8" s="1256"/>
      <c r="U8" s="1256">
        <f t="shared" si="1"/>
        <v>8216263.3399999999</v>
      </c>
      <c r="V8" s="1256"/>
      <c r="W8" s="1256"/>
      <c r="X8" s="1256">
        <f t="shared" si="1"/>
        <v>0</v>
      </c>
      <c r="Y8" s="1256"/>
      <c r="Z8" s="1256"/>
      <c r="AA8" s="1256">
        <f t="shared" si="1"/>
        <v>25957787.799999997</v>
      </c>
      <c r="AB8" s="1256"/>
      <c r="AC8" s="1256"/>
      <c r="AD8" s="1256"/>
      <c r="AE8" s="1256"/>
      <c r="AF8" s="590" t="s">
        <v>66</v>
      </c>
      <c r="AG8" s="468"/>
      <c r="AH8" s="468"/>
      <c r="AI8" s="1250"/>
      <c r="AJ8" s="1251"/>
      <c r="AK8" s="468"/>
      <c r="AL8" s="1252"/>
      <c r="AM8" s="1252"/>
      <c r="AN8" s="1252"/>
      <c r="AO8" s="1252"/>
      <c r="AP8" s="88">
        <f>SUM(AP9+AP33+AP39+AP46+AP50+AP56+AP58+AP62+AP67)</f>
        <v>25060146.591224812</v>
      </c>
      <c r="AQ8" s="88">
        <f>SUM(AQ9+AQ33+AQ39+AQ46+AQ50+AQ56+AQ58+AQ62+AQ67)</f>
        <v>30072175.909469768</v>
      </c>
      <c r="AR8" s="88">
        <f>SUM(AR9+AR33+AR39+AR46+AR50+AR56+AR58+AR62+AR67)</f>
        <v>-897641.20877518947</v>
      </c>
      <c r="AT8" s="1254"/>
      <c r="AU8" s="1254"/>
    </row>
    <row r="9" spans="1:47" ht="37.5" customHeight="1" thickBot="1" x14ac:dyDescent="0.3">
      <c r="A9" s="1257" t="s">
        <v>67</v>
      </c>
      <c r="B9" s="1621" t="s">
        <v>1773</v>
      </c>
      <c r="C9" s="1625"/>
      <c r="D9" s="1625"/>
      <c r="E9" s="1625"/>
      <c r="F9" s="1625"/>
      <c r="G9" s="1625"/>
      <c r="H9" s="1625"/>
      <c r="I9" s="1625"/>
      <c r="J9" s="1625"/>
      <c r="K9" s="1626"/>
      <c r="L9" s="1258">
        <f>SUM(O9:AA9)</f>
        <v>4379520</v>
      </c>
      <c r="M9" s="1258">
        <f t="shared" ref="M9:N9" si="2">SUM(M10:M32)</f>
        <v>535932.75</v>
      </c>
      <c r="N9" s="1258">
        <f t="shared" si="2"/>
        <v>200.25</v>
      </c>
      <c r="O9" s="1258">
        <f t="shared" ref="O9:AA9" si="3">SUM(O10:O32)</f>
        <v>908274</v>
      </c>
      <c r="P9" s="1258">
        <f t="shared" si="3"/>
        <v>107433.75</v>
      </c>
      <c r="Q9" s="1258">
        <f t="shared" si="3"/>
        <v>40.25</v>
      </c>
      <c r="R9" s="1258">
        <f t="shared" si="3"/>
        <v>494922</v>
      </c>
      <c r="S9" s="1258">
        <f t="shared" ref="S9:T9" si="4">SUM(S10:S32)</f>
        <v>64274.85</v>
      </c>
      <c r="T9" s="1258">
        <f t="shared" si="4"/>
        <v>24.149999999999636</v>
      </c>
      <c r="U9" s="1258">
        <f t="shared" si="3"/>
        <v>0</v>
      </c>
      <c r="V9" s="1258">
        <f t="shared" si="3"/>
        <v>0</v>
      </c>
      <c r="W9" s="1258">
        <f t="shared" si="3"/>
        <v>0</v>
      </c>
      <c r="X9" s="1258">
        <f t="shared" si="3"/>
        <v>0</v>
      </c>
      <c r="Y9" s="1258">
        <f t="shared" si="3"/>
        <v>0</v>
      </c>
      <c r="Z9" s="1258">
        <f t="shared" si="3"/>
        <v>0</v>
      </c>
      <c r="AA9" s="1527">
        <f t="shared" si="3"/>
        <v>2804551</v>
      </c>
      <c r="AB9" s="1258"/>
      <c r="AC9" s="1258">
        <f>SUM(AC10:AC32)</f>
        <v>364224.15</v>
      </c>
      <c r="AD9" s="1258">
        <f>SUM(AD10:AD32)</f>
        <v>135.85000000000582</v>
      </c>
      <c r="AE9" s="1258"/>
      <c r="AF9" s="1259" t="s">
        <v>66</v>
      </c>
      <c r="AG9" s="1259"/>
      <c r="AH9" s="1259"/>
      <c r="AI9" s="505"/>
      <c r="AJ9" s="1260"/>
      <c r="AK9" s="1261">
        <f>SUM(AK10:AK32)</f>
        <v>0</v>
      </c>
      <c r="AL9" s="1261">
        <f t="shared" ref="AL9:AO9" si="5">SUM(AL10:AL32)</f>
        <v>0</v>
      </c>
      <c r="AM9" s="1261">
        <f t="shared" si="5"/>
        <v>2804551</v>
      </c>
      <c r="AN9" s="1261">
        <f t="shared" si="5"/>
        <v>0</v>
      </c>
      <c r="AO9" s="1261">
        <f t="shared" si="5"/>
        <v>0</v>
      </c>
      <c r="AP9" s="787">
        <f>SUM('IV-2 amsa'!W7+'IV-2 arsa'!V7+'IV-2 dsa'!V7+'IV-2 lrsa'!W7+'IV-2 vrsa'!W7)</f>
        <v>2773893</v>
      </c>
      <c r="AQ9" s="787">
        <f>SUM(AP9*120/100)</f>
        <v>3328671.6</v>
      </c>
      <c r="AR9" s="787">
        <f>SUM(AP9-AA9)</f>
        <v>-30658</v>
      </c>
      <c r="AT9" s="1253"/>
      <c r="AU9" s="1253"/>
    </row>
    <row r="10" spans="1:47" ht="39.75" thickTop="1" thickBot="1" x14ac:dyDescent="0.3">
      <c r="A10" s="518" t="s">
        <v>68</v>
      </c>
      <c r="B10" s="518" t="s">
        <v>1551</v>
      </c>
      <c r="C10" s="1262" t="str">
        <f>CONCATENATE('ketv. 2lent'!B9)</f>
        <v>20KI-KA-17-1-02616-PR001</v>
      </c>
      <c r="D10" s="515" t="str">
        <f>CONCATENATE('IV-2 dsa'!C8)</f>
        <v xml:space="preserve">Druskininkų savivaldybės Viečiūnų seniūnijos Ilgio ir Raigardo seniūnaitijų kelių būklės gerinimas  </v>
      </c>
      <c r="E10" s="515" t="str">
        <f>CONCATENATE('IV-2 dsa'!D8)</f>
        <v xml:space="preserve">Druskininkų savivaldybės administracija  </v>
      </c>
      <c r="F10" s="515" t="str">
        <f>CONCATENATE('IV-2 dsa'!E8)</f>
        <v>Lietuvos Respublikos žemės ūkio ministerija</v>
      </c>
      <c r="G10" s="515" t="str">
        <f>CONCATENATE('IV-2 dsa'!F8)</f>
        <v>Druskininkų savivaldybė</v>
      </c>
      <c r="H10" s="515" t="str">
        <f>CONCATENATE('IV-2 dsa'!G8)</f>
        <v xml:space="preserve">Pagrindinės paslaugos ir kaimų atnaujinimas kaimo vietovėse </v>
      </c>
      <c r="I10" s="480" t="str">
        <f>CONCATENATE('IV-2 dsa'!H8)</f>
        <v>R</v>
      </c>
      <c r="J10" s="480" t="str">
        <f>CONCATENATE('IV-2 dsa'!I8)</f>
        <v>-</v>
      </c>
      <c r="K10" s="480" t="str">
        <f>CONCATENATE('IV-2 dsa'!J8)</f>
        <v>-</v>
      </c>
      <c r="L10" s="516">
        <f>SUM('IV-2 dsa'!K8)</f>
        <v>198893</v>
      </c>
      <c r="M10" s="516">
        <f>SUM('ketv. 6 lent'!K9)</f>
        <v>0</v>
      </c>
      <c r="N10" s="516">
        <f>IF(M10&gt;0,L10-M10,0)</f>
        <v>0</v>
      </c>
      <c r="O10" s="516">
        <f>SUM('IV-2 dsa'!L8)</f>
        <v>39779</v>
      </c>
      <c r="P10" s="516">
        <f>SUM('ketv. 6 lent'!O9)</f>
        <v>0</v>
      </c>
      <c r="Q10" s="516">
        <f>IF(P10&gt;0,O10-P10,0)</f>
        <v>0</v>
      </c>
      <c r="R10" s="516">
        <f>SUM('IV-2 dsa'!M8)</f>
        <v>23867</v>
      </c>
      <c r="S10" s="516">
        <f>SUM('ketv. 6 lent'!S9)</f>
        <v>0</v>
      </c>
      <c r="T10" s="516">
        <f>IF(S10&gt;0,R10-S10,0)</f>
        <v>0</v>
      </c>
      <c r="U10" s="516">
        <f>SUM('IV-2 dsa'!N8)</f>
        <v>0</v>
      </c>
      <c r="V10" s="516">
        <f>SUM('ketv. 6 lent'!W9)</f>
        <v>0</v>
      </c>
      <c r="W10" s="516">
        <f>IF(V10&gt;0,U10-V10,0)</f>
        <v>0</v>
      </c>
      <c r="X10" s="516">
        <f>SUM('IV-2 dsa'!O8)</f>
        <v>0</v>
      </c>
      <c r="Y10" s="516">
        <f>SUM('ketv. 6 lent'!AA9)</f>
        <v>0</v>
      </c>
      <c r="Z10" s="516">
        <f>IF(Y10&gt;0,X10-Y10,0)</f>
        <v>0</v>
      </c>
      <c r="AA10" s="516">
        <f>SUM('IV-2 dsa'!P8)</f>
        <v>135247</v>
      </c>
      <c r="AB10" s="468" t="str">
        <f>IF('ketv. 4 lent'!V10&gt;0,"Taip","Ne")</f>
        <v>Ne</v>
      </c>
      <c r="AC10" s="468">
        <f>SUM('ketv. 6 lent'!AE9)</f>
        <v>0</v>
      </c>
      <c r="AD10" s="468">
        <f t="shared" ref="AD10:AD32" si="6">IF(AC10&gt;0,AA10-AC10,0)</f>
        <v>0</v>
      </c>
      <c r="AE10" s="1113">
        <f>SUM('IV-2 dsa'!Q8)</f>
        <v>42643</v>
      </c>
      <c r="AF10" s="587">
        <f>SUM('IV-2 dsa'!R8)</f>
        <v>42855</v>
      </c>
      <c r="AG10" s="587">
        <f>SUM('IV-2 dsa'!S8)</f>
        <v>43010</v>
      </c>
      <c r="AH10" s="587">
        <f>SUM('IV-2 dsa'!T8)</f>
        <v>43102</v>
      </c>
      <c r="AI10" s="589">
        <f>IF(YEAR(AH10),YEAR(AH10))</f>
        <v>2018</v>
      </c>
      <c r="AJ10" s="1263">
        <f>SUM('IV-2 dsa'!U8)</f>
        <v>43465</v>
      </c>
      <c r="AK10" s="468">
        <f t="shared" ref="AK10:AK32" si="7">IF(YEAR(AH10)=2016,AA10,0)</f>
        <v>0</v>
      </c>
      <c r="AL10" s="468">
        <f t="shared" ref="AL10:AL32" si="8">IF(YEAR(AH10)=2017,AA10,0)</f>
        <v>0</v>
      </c>
      <c r="AM10" s="468">
        <f t="shared" ref="AM10:AM32" si="9">IF(YEAR(AH10)=2018,AA10,0)</f>
        <v>135247</v>
      </c>
      <c r="AN10" s="468">
        <f t="shared" ref="AN10:AN32" si="10">IF(YEAR(AH10)=2019,AA10,0)</f>
        <v>0</v>
      </c>
      <c r="AO10" s="1264">
        <f t="shared" ref="AO10:AO32" si="11">IF(YEAR(AH10)=2020,AA10,0)</f>
        <v>0</v>
      </c>
      <c r="AP10" s="1265"/>
      <c r="AQ10" s="1265"/>
      <c r="AR10" s="1265"/>
      <c r="AS10" s="1253"/>
      <c r="AT10" s="1253"/>
      <c r="AU10" s="1253"/>
    </row>
    <row r="11" spans="1:47" ht="39.75" thickTop="1" thickBot="1" x14ac:dyDescent="0.3">
      <c r="A11" s="515" t="s">
        <v>120</v>
      </c>
      <c r="B11" s="518" t="s">
        <v>1553</v>
      </c>
      <c r="C11" s="1262" t="str">
        <f>CONCATENATE('ketv. 2lent'!B10)</f>
        <v>20KI-KA-17-1-02617-PR001</v>
      </c>
      <c r="D11" s="515" t="str">
        <f>CONCATENATE('IV-2 dsa'!C9)</f>
        <v>Druskininkų savivaldybės Viečiūnų seniūnijos Ratnyčėlės seniūnaitijos kelių būklės gerinimas</v>
      </c>
      <c r="E11" s="515" t="str">
        <f>CONCATENATE('IV-2 dsa'!D9)</f>
        <v xml:space="preserve">Druskininkų savivaldybės administracija  </v>
      </c>
      <c r="F11" s="515" t="str">
        <f>CONCATENATE('IV-2 dsa'!E9)</f>
        <v>Lietuvos Respublikos žemės ūkio ministerija</v>
      </c>
      <c r="G11" s="515" t="str">
        <f>CONCATENATE('IV-2 dsa'!F9)</f>
        <v>Druskininkų savivaldybė</v>
      </c>
      <c r="H11" s="515" t="str">
        <f>CONCATENATE('IV-2 dsa'!G9)</f>
        <v xml:space="preserve">Pagrindinės paslaugos ir kaimų atnaujinimas kaimo vietovėse </v>
      </c>
      <c r="I11" s="480" t="str">
        <f>CONCATENATE('IV-2 dsa'!H9)</f>
        <v>R</v>
      </c>
      <c r="J11" s="480" t="str">
        <f>CONCATENATE('IV-2 dsa'!I9)</f>
        <v>-</v>
      </c>
      <c r="K11" s="480" t="str">
        <f>CONCATENATE('IV-2 dsa'!J9)</f>
        <v>-</v>
      </c>
      <c r="L11" s="516">
        <f>SUM('IV-2 dsa'!K9)</f>
        <v>151340</v>
      </c>
      <c r="M11" s="516">
        <f>SUM('ketv. 6 lent'!K10)</f>
        <v>0</v>
      </c>
      <c r="N11" s="516">
        <f t="shared" ref="N11:N32" si="12">IF(M11&gt;0,L11-M11,0)</f>
        <v>0</v>
      </c>
      <c r="O11" s="516">
        <f>SUM('IV-2 dsa'!L9)</f>
        <v>30268</v>
      </c>
      <c r="P11" s="516">
        <f>SUM('ketv. 6 lent'!O10)</f>
        <v>0</v>
      </c>
      <c r="Q11" s="516">
        <f t="shared" ref="Q11:Q32" si="13">IF(P11&gt;0,O11-P11,0)</f>
        <v>0</v>
      </c>
      <c r="R11" s="516">
        <f>SUM('IV-2 dsa'!M9)</f>
        <v>18161</v>
      </c>
      <c r="S11" s="516">
        <f>SUM('ketv. 6 lent'!S10)</f>
        <v>0</v>
      </c>
      <c r="T11" s="516">
        <f t="shared" ref="T11:T32" si="14">IF(S11&gt;0,R11-S11,0)</f>
        <v>0</v>
      </c>
      <c r="U11" s="516">
        <f>SUM('IV-2 dsa'!N9)</f>
        <v>0</v>
      </c>
      <c r="V11" s="516">
        <f>SUM('ketv. 6 lent'!W10)</f>
        <v>0</v>
      </c>
      <c r="W11" s="516">
        <f t="shared" ref="W11:W32" si="15">IF(V11&gt;0,U11-V11,0)</f>
        <v>0</v>
      </c>
      <c r="X11" s="516">
        <f>SUM('IV-2 dsa'!O9)</f>
        <v>0</v>
      </c>
      <c r="Y11" s="516">
        <f>SUM('ketv. 6 lent'!AA10)</f>
        <v>0</v>
      </c>
      <c r="Z11" s="516">
        <f t="shared" ref="Z11:Z32" si="16">IF(Y11&gt;0,X11-Y11,0)</f>
        <v>0</v>
      </c>
      <c r="AA11" s="1266">
        <f>SUM('IV-2 dsa'!P9)</f>
        <v>102911</v>
      </c>
      <c r="AB11" s="468" t="str">
        <f>IF('ketv. 4 lent'!V11&gt;0,"Taip","Ne")</f>
        <v>Ne</v>
      </c>
      <c r="AC11" s="1250">
        <f>SUM('ketv. 6 lent'!AE10)</f>
        <v>0</v>
      </c>
      <c r="AD11" s="468">
        <f t="shared" si="6"/>
        <v>0</v>
      </c>
      <c r="AE11" s="1267">
        <f>SUM('IV-2 dsa'!Q9)</f>
        <v>42643</v>
      </c>
      <c r="AF11" s="587">
        <f>SUM('IV-2 dsa'!R9)</f>
        <v>42855</v>
      </c>
      <c r="AG11" s="587">
        <f>SUM('IV-2 dsa'!S9)</f>
        <v>43010</v>
      </c>
      <c r="AH11" s="587">
        <f>SUM('IV-2 dsa'!T9)</f>
        <v>43102</v>
      </c>
      <c r="AI11" s="589">
        <f>IF(YEAR(AH11),YEAR(AH11))</f>
        <v>2018</v>
      </c>
      <c r="AJ11" s="1263">
        <f>SUM('IV-2 dsa'!U9)</f>
        <v>43465</v>
      </c>
      <c r="AK11" s="468">
        <f t="shared" si="7"/>
        <v>0</v>
      </c>
      <c r="AL11" s="468">
        <f t="shared" si="8"/>
        <v>0</v>
      </c>
      <c r="AM11" s="468">
        <f t="shared" si="9"/>
        <v>102911</v>
      </c>
      <c r="AN11" s="468">
        <f t="shared" si="10"/>
        <v>0</v>
      </c>
      <c r="AO11" s="1264">
        <f t="shared" si="11"/>
        <v>0</v>
      </c>
      <c r="AP11" s="1265"/>
      <c r="AQ11" s="1265"/>
      <c r="AR11" s="1265"/>
    </row>
    <row r="12" spans="1:47" ht="39.75" thickTop="1" thickBot="1" x14ac:dyDescent="0.3">
      <c r="A12" s="515" t="s">
        <v>121</v>
      </c>
      <c r="B12" s="518" t="s">
        <v>1554</v>
      </c>
      <c r="C12" s="1262" t="str">
        <f>CONCATENATE('ketv. 2lent'!B11)</f>
        <v>20KI-KA-17-1-02622-PR001</v>
      </c>
      <c r="D12" s="515" t="str">
        <f>CONCATENATE('IV-2 dsa'!C10)</f>
        <v>Druskininkų savivaldybės Leipalingio seniūnijos Klonio seniūnaitijos kelių būklės gerinimas</v>
      </c>
      <c r="E12" s="515" t="str">
        <f>CONCATENATE('IV-2 dsa'!D10)</f>
        <v xml:space="preserve">Druskininkų savivaldybės administracija  </v>
      </c>
      <c r="F12" s="515" t="str">
        <f>CONCATENATE('IV-2 dsa'!E10)</f>
        <v>Lietuvos Respublikos žemės ūkio ministerija</v>
      </c>
      <c r="G12" s="515" t="str">
        <f>CONCATENATE('IV-2 dsa'!F10)</f>
        <v>Druskininkų savivaldybė</v>
      </c>
      <c r="H12" s="515" t="str">
        <f>CONCATENATE('IV-2 dsa'!G10)</f>
        <v xml:space="preserve">Pagrindinės paslaugos ir kaimų atnaujinimas kaimo vietovėse </v>
      </c>
      <c r="I12" s="480" t="str">
        <f>CONCATENATE('IV-2 dsa'!H10)</f>
        <v>R</v>
      </c>
      <c r="J12" s="480" t="str">
        <f>CONCATENATE('IV-2 dsa'!I10)</f>
        <v>-</v>
      </c>
      <c r="K12" s="480" t="str">
        <f>CONCATENATE('IV-2 dsa'!J10)</f>
        <v>-</v>
      </c>
      <c r="L12" s="516">
        <f>SUM('IV-2 dsa'!K10)</f>
        <v>193059</v>
      </c>
      <c r="M12" s="516">
        <f>SUM('ketv. 6 lent'!K11)</f>
        <v>0</v>
      </c>
      <c r="N12" s="516">
        <f t="shared" si="12"/>
        <v>0</v>
      </c>
      <c r="O12" s="516">
        <f>SUM('IV-2 dsa'!L10)</f>
        <v>38612</v>
      </c>
      <c r="P12" s="516">
        <f>SUM('ketv. 6 lent'!O11)</f>
        <v>0</v>
      </c>
      <c r="Q12" s="516">
        <f t="shared" si="13"/>
        <v>0</v>
      </c>
      <c r="R12" s="516">
        <f>SUM('IV-2 dsa'!M10)</f>
        <v>23167</v>
      </c>
      <c r="S12" s="516">
        <f>SUM('ketv. 6 lent'!S11)</f>
        <v>0</v>
      </c>
      <c r="T12" s="516">
        <f t="shared" si="14"/>
        <v>0</v>
      </c>
      <c r="U12" s="516">
        <f>SUM('IV-2 dsa'!N10)</f>
        <v>0</v>
      </c>
      <c r="V12" s="516">
        <f>SUM('ketv. 6 lent'!W11)</f>
        <v>0</v>
      </c>
      <c r="W12" s="516">
        <f t="shared" si="15"/>
        <v>0</v>
      </c>
      <c r="X12" s="516">
        <f>SUM('IV-2 dsa'!O10)</f>
        <v>0</v>
      </c>
      <c r="Y12" s="516">
        <f>SUM('ketv. 6 lent'!AA11)</f>
        <v>0</v>
      </c>
      <c r="Z12" s="516">
        <f t="shared" si="16"/>
        <v>0</v>
      </c>
      <c r="AA12" s="516">
        <f>SUM('IV-2 dsa'!P10)</f>
        <v>131280</v>
      </c>
      <c r="AB12" s="468" t="str">
        <f>IF('ketv. 4 lent'!V12&gt;0,"Taip","Ne")</f>
        <v>Ne</v>
      </c>
      <c r="AC12" s="468">
        <f>SUM('ketv. 6 lent'!AE11)</f>
        <v>0</v>
      </c>
      <c r="AD12" s="468">
        <f t="shared" si="6"/>
        <v>0</v>
      </c>
      <c r="AE12" s="1113">
        <f>SUM('IV-2 dsa'!Q10)</f>
        <v>42643</v>
      </c>
      <c r="AF12" s="587">
        <f>SUM('IV-2 dsa'!R10)</f>
        <v>42855</v>
      </c>
      <c r="AG12" s="587">
        <f>SUM('IV-2 dsa'!S10)</f>
        <v>43010</v>
      </c>
      <c r="AH12" s="587">
        <f>SUM('IV-2 dsa'!T10)</f>
        <v>43102</v>
      </c>
      <c r="AI12" s="589">
        <f>IF(YEAR(AH12),YEAR(AH12))</f>
        <v>2018</v>
      </c>
      <c r="AJ12" s="1263">
        <f>SUM('IV-2 dsa'!U10)</f>
        <v>43465</v>
      </c>
      <c r="AK12" s="468">
        <f t="shared" si="7"/>
        <v>0</v>
      </c>
      <c r="AL12" s="468">
        <f t="shared" si="8"/>
        <v>0</v>
      </c>
      <c r="AM12" s="468">
        <f t="shared" si="9"/>
        <v>131280</v>
      </c>
      <c r="AN12" s="468">
        <f t="shared" si="10"/>
        <v>0</v>
      </c>
      <c r="AO12" s="1264">
        <f t="shared" si="11"/>
        <v>0</v>
      </c>
      <c r="AP12" s="1265"/>
      <c r="AQ12" s="1265"/>
      <c r="AR12" s="1265"/>
    </row>
    <row r="13" spans="1:47" ht="27" thickTop="1" thickBot="1" x14ac:dyDescent="0.3">
      <c r="A13" s="515" t="s">
        <v>279</v>
      </c>
      <c r="B13" s="518" t="s">
        <v>1555</v>
      </c>
      <c r="C13" s="1262" t="str">
        <f>CONCATENATE('ketv. 2lent'!B12)</f>
        <v>20KI-KA-17-1-02368-PR001</v>
      </c>
      <c r="D13" s="515" t="str">
        <f>CONCATENATE('IV-2 lrsa'!D8)</f>
        <v>Rudaminos laisvalaikio salės pritaikymas bendruomenės poreikiams ir liaudies amatų plėtrai</v>
      </c>
      <c r="E13" s="515" t="str">
        <f>CONCATENATE('IV-2 lrsa'!E8)</f>
        <v>Viešoji įstaiga Lazdijų kultūros centras</v>
      </c>
      <c r="F13" s="515" t="str">
        <f>CONCATENATE('IV-2 lrsa'!F8)</f>
        <v>Lietuvos Respublikos žemės ūkio ministerija</v>
      </c>
      <c r="G13" s="515" t="str">
        <f>CONCATENATE('IV-2 lrsa'!G8)</f>
        <v>Lazdijų rajono savivaldybė</v>
      </c>
      <c r="H13" s="515" t="str">
        <f>CONCATENATE('IV-2 lrsa'!H8)</f>
        <v xml:space="preserve">Pagrindinės paslaugos ir kaimų atnaujinimas kaimo vietovėse </v>
      </c>
      <c r="I13" s="480" t="str">
        <f>CONCATENATE('IV-2 lrsa'!I8)</f>
        <v>R</v>
      </c>
      <c r="J13" s="480" t="str">
        <f>CONCATENATE('IV-2 lrsa'!J8)</f>
        <v>-</v>
      </c>
      <c r="K13" s="480" t="str">
        <f>CONCATENATE('IV-2 lrsa'!K8)</f>
        <v>-</v>
      </c>
      <c r="L13" s="516">
        <f>SUM('IV-2 lrsa'!L8)</f>
        <v>125000</v>
      </c>
      <c r="M13" s="516">
        <f>SUM('ketv. 6 lent'!K12)</f>
        <v>0</v>
      </c>
      <c r="N13" s="516">
        <f t="shared" si="12"/>
        <v>0</v>
      </c>
      <c r="O13" s="516">
        <f>SUM('IV-2 lrsa'!M8)</f>
        <v>25000</v>
      </c>
      <c r="P13" s="516">
        <f>SUM('ketv. 6 lent'!O12)</f>
        <v>0</v>
      </c>
      <c r="Q13" s="516">
        <f t="shared" si="13"/>
        <v>0</v>
      </c>
      <c r="R13" s="516">
        <f>SUM('IV-2 lrsa'!N8)</f>
        <v>15000</v>
      </c>
      <c r="S13" s="516">
        <f>SUM('ketv. 6 lent'!S12)</f>
        <v>0</v>
      </c>
      <c r="T13" s="516">
        <f t="shared" si="14"/>
        <v>0</v>
      </c>
      <c r="U13" s="516">
        <f>SUM('IV-2 lrsa'!O8)</f>
        <v>0</v>
      </c>
      <c r="V13" s="516">
        <f>SUM('ketv. 6 lent'!W12)</f>
        <v>0</v>
      </c>
      <c r="W13" s="516">
        <f t="shared" si="15"/>
        <v>0</v>
      </c>
      <c r="X13" s="516">
        <f>SUM('IV-2 lrsa'!P8)</f>
        <v>0</v>
      </c>
      <c r="Y13" s="516">
        <f>SUM('ketv. 6 lent'!AA12)</f>
        <v>0</v>
      </c>
      <c r="Z13" s="516">
        <f t="shared" si="16"/>
        <v>0</v>
      </c>
      <c r="AA13" s="516">
        <f>SUM('IV-2 lrsa'!Q8)</f>
        <v>85000</v>
      </c>
      <c r="AB13" s="468" t="str">
        <f>IF('ketv. 4 lent'!V13&gt;0,"Taip","Ne")</f>
        <v>Ne</v>
      </c>
      <c r="AC13" s="468">
        <f>SUM('ketv. 6 lent'!AE12)</f>
        <v>0</v>
      </c>
      <c r="AD13" s="468">
        <f t="shared" si="6"/>
        <v>0</v>
      </c>
      <c r="AE13" s="1113">
        <f>SUM('IV-2 lrsa'!R8)</f>
        <v>42643</v>
      </c>
      <c r="AF13" s="587">
        <f>SUM('IV-2 lrsa'!S8)</f>
        <v>42855</v>
      </c>
      <c r="AG13" s="587">
        <f>SUM('IV-2 lrsa'!T8)</f>
        <v>43010</v>
      </c>
      <c r="AH13" s="587">
        <f>SUM('IV-2 lrsa'!U8)</f>
        <v>43102</v>
      </c>
      <c r="AI13" s="589">
        <f>IF(YEAR(AH13),YEAR(AH13))</f>
        <v>2018</v>
      </c>
      <c r="AJ13" s="1263">
        <f>SUM('IV-2 lrsa'!V8)</f>
        <v>43373</v>
      </c>
      <c r="AK13" s="468">
        <f t="shared" si="7"/>
        <v>0</v>
      </c>
      <c r="AL13" s="468">
        <f t="shared" si="8"/>
        <v>0</v>
      </c>
      <c r="AM13" s="468">
        <f t="shared" si="9"/>
        <v>85000</v>
      </c>
      <c r="AN13" s="468">
        <f t="shared" si="10"/>
        <v>0</v>
      </c>
      <c r="AO13" s="1264">
        <f t="shared" si="11"/>
        <v>0</v>
      </c>
      <c r="AP13" s="1265"/>
      <c r="AQ13" s="1265"/>
      <c r="AR13" s="1265"/>
    </row>
    <row r="14" spans="1:47" ht="39.75" thickTop="1" thickBot="1" x14ac:dyDescent="0.3">
      <c r="A14" s="515" t="s">
        <v>303</v>
      </c>
      <c r="B14" s="518" t="s">
        <v>1556</v>
      </c>
      <c r="C14" s="1262" t="str">
        <f>CONCATENATE('ketv. 2lent'!B13)</f>
        <v>20KI-KA-17-1-02619-PR001</v>
      </c>
      <c r="D14" s="515" t="str">
        <f>CONCATENATE('IV-2 dsa'!C11)</f>
        <v>Druskininkų savivaldybės Leipalingio seniūnijos Bilso seniūnaitijos kelių būklės gerinimas</v>
      </c>
      <c r="E14" s="515" t="str">
        <f>CONCATENATE('IV-2 dsa'!D11)</f>
        <v xml:space="preserve">Druskininkų savivaldybės administracija  </v>
      </c>
      <c r="F14" s="515" t="str">
        <f>CONCATENATE('IV-2 dsa'!E11)</f>
        <v>Lietuvos Respublikos žemės ūkio ministerija</v>
      </c>
      <c r="G14" s="515" t="str">
        <f>CONCATENATE('IV-2 dsa'!F11)</f>
        <v>Druskininkų savivaldybė</v>
      </c>
      <c r="H14" s="515" t="str">
        <f>CONCATENATE('IV-2 dsa'!G11)</f>
        <v xml:space="preserve">Pagrindinės paslaugos ir kaimų atnaujinimas kaimo vietovėse </v>
      </c>
      <c r="I14" s="480" t="str">
        <f>CONCATENATE('IV-2 dsa'!H11)</f>
        <v>R</v>
      </c>
      <c r="J14" s="480" t="str">
        <f>CONCATENATE('IV-2 dsa'!I11)</f>
        <v>-</v>
      </c>
      <c r="K14" s="480" t="str">
        <f>CONCATENATE('IV-2 dsa'!J11)</f>
        <v>-</v>
      </c>
      <c r="L14" s="516">
        <f>SUM('IV-2 dsa'!K11)</f>
        <v>240940</v>
      </c>
      <c r="M14" s="516">
        <f>SUM('ketv. 6 lent'!K13)</f>
        <v>0</v>
      </c>
      <c r="N14" s="516">
        <f t="shared" si="12"/>
        <v>0</v>
      </c>
      <c r="O14" s="516">
        <f>SUM('IV-2 dsa'!L11)</f>
        <v>112896</v>
      </c>
      <c r="P14" s="516">
        <f>SUM('ketv. 6 lent'!O13)</f>
        <v>0</v>
      </c>
      <c r="Q14" s="516">
        <f t="shared" si="13"/>
        <v>0</v>
      </c>
      <c r="R14" s="516">
        <f>SUM('IV-2 dsa'!M11)</f>
        <v>19207</v>
      </c>
      <c r="S14" s="516">
        <f>SUM('ketv. 6 lent'!S13)</f>
        <v>0</v>
      </c>
      <c r="T14" s="516">
        <f t="shared" si="14"/>
        <v>0</v>
      </c>
      <c r="U14" s="516">
        <f>SUM('IV-2 dsa'!N11)</f>
        <v>0</v>
      </c>
      <c r="V14" s="516">
        <f>SUM('ketv. 6 lent'!W13)</f>
        <v>0</v>
      </c>
      <c r="W14" s="516">
        <f t="shared" si="15"/>
        <v>0</v>
      </c>
      <c r="X14" s="516">
        <f>SUM('IV-2 dsa'!O11)</f>
        <v>0</v>
      </c>
      <c r="Y14" s="516">
        <f>SUM('ketv. 6 lent'!AA13)</f>
        <v>0</v>
      </c>
      <c r="Z14" s="516">
        <f t="shared" si="16"/>
        <v>0</v>
      </c>
      <c r="AA14" s="516">
        <f>SUM('IV-2 dsa'!P11)</f>
        <v>108837</v>
      </c>
      <c r="AB14" s="468" t="str">
        <f>IF('ketv. 4 lent'!V14&gt;0,"Taip","Ne")</f>
        <v>Ne</v>
      </c>
      <c r="AC14" s="468">
        <f>SUM('ketv. 6 lent'!AE13)</f>
        <v>0</v>
      </c>
      <c r="AD14" s="468">
        <f t="shared" si="6"/>
        <v>0</v>
      </c>
      <c r="AE14" s="1113">
        <f>SUM('IV-2 dsa'!Q11)</f>
        <v>42643</v>
      </c>
      <c r="AF14" s="587">
        <f>SUM('IV-2 dsa'!R11)</f>
        <v>42855</v>
      </c>
      <c r="AG14" s="587">
        <f>SUM('IV-2 dsa'!S11)</f>
        <v>43010</v>
      </c>
      <c r="AH14" s="587">
        <f>SUM('IV-2 dsa'!T11)</f>
        <v>43102</v>
      </c>
      <c r="AI14" s="589">
        <f>IF(YEAR(AH14),YEAR(AH14))</f>
        <v>2018</v>
      </c>
      <c r="AJ14" s="1263">
        <f>SUM('IV-2 dsa'!U11)</f>
        <v>43465</v>
      </c>
      <c r="AK14" s="468">
        <f t="shared" si="7"/>
        <v>0</v>
      </c>
      <c r="AL14" s="468">
        <f t="shared" si="8"/>
        <v>0</v>
      </c>
      <c r="AM14" s="468">
        <f t="shared" si="9"/>
        <v>108837</v>
      </c>
      <c r="AN14" s="468">
        <f t="shared" si="10"/>
        <v>0</v>
      </c>
      <c r="AO14" s="1264">
        <f t="shared" si="11"/>
        <v>0</v>
      </c>
      <c r="AP14" s="588"/>
      <c r="AQ14" s="1268"/>
      <c r="AR14" s="1265"/>
    </row>
    <row r="15" spans="1:47" ht="52.5" thickTop="1" thickBot="1" x14ac:dyDescent="0.3">
      <c r="A15" s="515" t="s">
        <v>422</v>
      </c>
      <c r="B15" s="518" t="s">
        <v>1557</v>
      </c>
      <c r="C15" s="1262" t="str">
        <f>CONCATENATE('ketv. 2lent'!B14)</f>
        <v>20KI-KA-17-1-02374-PR001</v>
      </c>
      <c r="D15" s="515" t="str">
        <f>CONCATENATE('IV-2 lrsa'!D9)</f>
        <v>Lazdijų rajono kaimų patrauklumo didinimas atnaujinant bibliotekas</v>
      </c>
      <c r="E15" s="515" t="str">
        <f>CONCATENATE('IV-2 lrsa'!E9)</f>
        <v xml:space="preserve">Biudžetinė įstaiga Lazdijų rajono savivaldybės viešoji biblioteka </v>
      </c>
      <c r="F15" s="515" t="str">
        <f>CONCATENATE('IV-2 lrsa'!F9)</f>
        <v>Lietuvos Respublikos žemės ūkio ministerija</v>
      </c>
      <c r="G15" s="515" t="str">
        <f>CONCATENATE('IV-2 lrsa'!G9)</f>
        <v>Lazdijų rajono savivaldybė</v>
      </c>
      <c r="H15" s="515" t="str">
        <f>CONCATENATE('IV-2 lrsa'!H9)</f>
        <v xml:space="preserve">Pagrindinės paslaugos ir kaimų atnaujinimas kaimo vietovėse </v>
      </c>
      <c r="I15" s="480" t="str">
        <f>CONCATENATE('IV-2 lrsa'!I9)</f>
        <v>R</v>
      </c>
      <c r="J15" s="480" t="str">
        <f>CONCATENATE('IV-2 lrsa'!J9)</f>
        <v>-</v>
      </c>
      <c r="K15" s="480" t="str">
        <f>CONCATENATE('IV-2 lrsa'!K9)</f>
        <v>-</v>
      </c>
      <c r="L15" s="516">
        <f>SUM('IV-2 lrsa'!L9)</f>
        <v>201000</v>
      </c>
      <c r="M15" s="516">
        <f>SUM('ketv. 6 lent'!K14)</f>
        <v>0</v>
      </c>
      <c r="N15" s="516">
        <f t="shared" si="12"/>
        <v>0</v>
      </c>
      <c r="O15" s="516">
        <f>SUM('IV-2 lrsa'!M9)</f>
        <v>40200</v>
      </c>
      <c r="P15" s="516">
        <f>SUM('ketv. 6 lent'!O14)</f>
        <v>0</v>
      </c>
      <c r="Q15" s="516">
        <f t="shared" si="13"/>
        <v>0</v>
      </c>
      <c r="R15" s="516">
        <f>SUM('IV-2 lrsa'!N9)</f>
        <v>24120</v>
      </c>
      <c r="S15" s="516">
        <f>SUM('ketv. 6 lent'!S14)</f>
        <v>0</v>
      </c>
      <c r="T15" s="516">
        <f t="shared" si="14"/>
        <v>0</v>
      </c>
      <c r="U15" s="516">
        <f>SUM('IV-2 lrsa'!O9)</f>
        <v>0</v>
      </c>
      <c r="V15" s="516">
        <f>SUM('ketv. 6 lent'!W14)</f>
        <v>0</v>
      </c>
      <c r="W15" s="516">
        <f t="shared" si="15"/>
        <v>0</v>
      </c>
      <c r="X15" s="516">
        <f>SUM('IV-2 lrsa'!P9)</f>
        <v>0</v>
      </c>
      <c r="Y15" s="516">
        <f>SUM('ketv. 6 lent'!AA14)</f>
        <v>0</v>
      </c>
      <c r="Z15" s="516">
        <f t="shared" si="16"/>
        <v>0</v>
      </c>
      <c r="AA15" s="516">
        <f>SUM('IV-2 lrsa'!Q9)</f>
        <v>136680</v>
      </c>
      <c r="AB15" s="468" t="str">
        <f>IF('ketv. 4 lent'!V15&gt;0,"Taip","Ne")</f>
        <v>Ne</v>
      </c>
      <c r="AC15" s="468">
        <f>SUM('ketv. 6 lent'!AE14)</f>
        <v>0</v>
      </c>
      <c r="AD15" s="468">
        <f t="shared" si="6"/>
        <v>0</v>
      </c>
      <c r="AE15" s="1113">
        <f>SUM('IV-2 lrsa'!R9)</f>
        <v>42643</v>
      </c>
      <c r="AF15" s="587">
        <f>SUM('IV-2 lrsa'!S9)</f>
        <v>42855</v>
      </c>
      <c r="AG15" s="587">
        <f>SUM('IV-2 lrsa'!T9)</f>
        <v>43010</v>
      </c>
      <c r="AH15" s="587">
        <f>SUM('IV-2 lrsa'!U9)</f>
        <v>43102</v>
      </c>
      <c r="AI15" s="589">
        <f t="shared" ref="AI15:AI32" si="17">IF(YEAR(AH15),YEAR(AH15))</f>
        <v>2018</v>
      </c>
      <c r="AJ15" s="1263">
        <f>SUM('IV-2 lrsa'!V9)</f>
        <v>43373</v>
      </c>
      <c r="AK15" s="468">
        <f t="shared" si="7"/>
        <v>0</v>
      </c>
      <c r="AL15" s="468">
        <f t="shared" si="8"/>
        <v>0</v>
      </c>
      <c r="AM15" s="468">
        <f t="shared" si="9"/>
        <v>136680</v>
      </c>
      <c r="AN15" s="468">
        <f t="shared" si="10"/>
        <v>0</v>
      </c>
      <c r="AO15" s="1264">
        <f t="shared" si="11"/>
        <v>0</v>
      </c>
      <c r="AP15" s="1269" t="s">
        <v>731</v>
      </c>
      <c r="AQ15" s="1265"/>
      <c r="AR15" s="1265"/>
    </row>
    <row r="16" spans="1:47" ht="39.75" thickTop="1" thickBot="1" x14ac:dyDescent="0.3">
      <c r="A16" s="515" t="s">
        <v>423</v>
      </c>
      <c r="B16" s="518" t="s">
        <v>1558</v>
      </c>
      <c r="C16" s="1262" t="str">
        <f>CONCATENATE('ketv. 2lent'!B15)</f>
        <v>20KI-KA-17-1-02437-PR001</v>
      </c>
      <c r="D16" s="515" t="str">
        <f>CONCATENATE('IV-2 arsa'!C8)</f>
        <v>Alytaus rajono Miroslavo kaimo multifunkcinės sporto aikštės įrengimas ir gatvių bei šaligatvių rekonstrukcija</v>
      </c>
      <c r="E16" s="515" t="str">
        <f>CONCATENATE('IV-2 arsa'!D8)</f>
        <v>Alytaus rajono savivaldybės administracija</v>
      </c>
      <c r="F16" s="515" t="str">
        <f>CONCATENATE('IV-2 arsa'!E8)</f>
        <v>Lietuvos Respublikos žemės ūkio ministerija</v>
      </c>
      <c r="G16" s="515" t="str">
        <f>CONCATENATE('IV-2 arsa'!F8)</f>
        <v>Alytaus rajono savivaldybė</v>
      </c>
      <c r="H16" s="515" t="str">
        <f>CONCATENATE('IV-2 arsa'!G8)</f>
        <v xml:space="preserve">Pagrindinės paslaugos ir kaimų atnaujinimas kaimo vietovėse </v>
      </c>
      <c r="I16" s="480" t="str">
        <f>CONCATENATE('IV-2 arsa'!H8)</f>
        <v>R</v>
      </c>
      <c r="J16" s="480" t="str">
        <f>CONCATENATE('IV-2 arsa'!I8)</f>
        <v>-</v>
      </c>
      <c r="K16" s="480" t="str">
        <f>CONCATENATE('IV-2 arsa'!J8)</f>
        <v>-</v>
      </c>
      <c r="L16" s="516">
        <f>SUM('IV-2 arsa'!K8)</f>
        <v>252212</v>
      </c>
      <c r="M16" s="516">
        <f>SUM('ketv. 6 lent'!K15)</f>
        <v>0</v>
      </c>
      <c r="N16" s="516">
        <f t="shared" si="12"/>
        <v>0</v>
      </c>
      <c r="O16" s="516">
        <f>SUM('IV-2 arsa'!L8)</f>
        <v>52212</v>
      </c>
      <c r="P16" s="516">
        <f>SUM('ketv. 6 lent'!O15)</f>
        <v>0</v>
      </c>
      <c r="Q16" s="516">
        <f t="shared" si="13"/>
        <v>0</v>
      </c>
      <c r="R16" s="516">
        <f>SUM('IV-2 arsa'!M8)</f>
        <v>30000</v>
      </c>
      <c r="S16" s="516">
        <f>SUM('ketv. 6 lent'!S15)</f>
        <v>0</v>
      </c>
      <c r="T16" s="516">
        <f t="shared" si="14"/>
        <v>0</v>
      </c>
      <c r="U16" s="516">
        <f>SUM('IV-2 arsa'!N8)</f>
        <v>0</v>
      </c>
      <c r="V16" s="516">
        <f>SUM('ketv. 6 lent'!W15)</f>
        <v>0</v>
      </c>
      <c r="W16" s="516">
        <f t="shared" si="15"/>
        <v>0</v>
      </c>
      <c r="X16" s="516">
        <f>SUM('IV-2 arsa'!O8)</f>
        <v>0</v>
      </c>
      <c r="Y16" s="516">
        <f>SUM('ketv. 6 lent'!AA15)</f>
        <v>0</v>
      </c>
      <c r="Z16" s="516">
        <f t="shared" si="16"/>
        <v>0</v>
      </c>
      <c r="AA16" s="516">
        <f>SUM('IV-2 arsa'!P8)</f>
        <v>170000</v>
      </c>
      <c r="AB16" s="468" t="str">
        <f>IF('ketv. 4 lent'!V16&gt;0,"Taip","Ne")</f>
        <v>Ne</v>
      </c>
      <c r="AC16" s="468">
        <f>SUM('ketv. 6 lent'!AE15)</f>
        <v>0</v>
      </c>
      <c r="AD16" s="468">
        <f t="shared" si="6"/>
        <v>0</v>
      </c>
      <c r="AE16" s="1113">
        <f>SUM('IV-2 arsa'!Q8)</f>
        <v>42643</v>
      </c>
      <c r="AF16" s="587">
        <f>SUM('IV-2 arsa'!R8)</f>
        <v>42855</v>
      </c>
      <c r="AG16" s="587">
        <f>SUM('IV-2 arsa'!S8)</f>
        <v>43010</v>
      </c>
      <c r="AH16" s="587">
        <f>SUM('IV-2 arsa'!T8)</f>
        <v>43102</v>
      </c>
      <c r="AI16" s="589">
        <f t="shared" si="17"/>
        <v>2018</v>
      </c>
      <c r="AJ16" s="1263">
        <f>SUM('IV-2 arsa'!U8)</f>
        <v>43465</v>
      </c>
      <c r="AK16" s="468">
        <f t="shared" si="7"/>
        <v>0</v>
      </c>
      <c r="AL16" s="468">
        <f t="shared" si="8"/>
        <v>0</v>
      </c>
      <c r="AM16" s="468">
        <f t="shared" si="9"/>
        <v>170000</v>
      </c>
      <c r="AN16" s="468">
        <f t="shared" si="10"/>
        <v>0</v>
      </c>
      <c r="AO16" s="1264">
        <f t="shared" si="11"/>
        <v>0</v>
      </c>
      <c r="AP16" s="1265"/>
      <c r="AQ16" s="1265"/>
      <c r="AR16" s="1265"/>
    </row>
    <row r="17" spans="1:44" ht="39.75" thickTop="1" thickBot="1" x14ac:dyDescent="0.3">
      <c r="A17" s="515" t="s">
        <v>424</v>
      </c>
      <c r="B17" s="515" t="s">
        <v>1559</v>
      </c>
      <c r="C17" s="1262" t="str">
        <f>CONCATENATE('ketv. 2lent'!B16)</f>
        <v>20KI-KA-17-1-02242-PR001</v>
      </c>
      <c r="D17" s="515" t="str">
        <f>CONCATENATE('IV-2 arsa'!C9)</f>
        <v>Alytaus rajono Luksnėnų kaimo multifunkcinės sporto aikštės įrengimas ir gatvių rekonstrukcija</v>
      </c>
      <c r="E17" s="515" t="str">
        <f>CONCATENATE('IV-2 arsa'!D9)</f>
        <v>Alytaus rajono savivaldybės administracija</v>
      </c>
      <c r="F17" s="515" t="str">
        <f>CONCATENATE('IV-2 arsa'!E9)</f>
        <v>Lietuvos Respublikos žemės ūkio ministerija</v>
      </c>
      <c r="G17" s="515" t="str">
        <f>CONCATENATE('IV-2 arsa'!F9)</f>
        <v>Alytaus rajono savivaldybė</v>
      </c>
      <c r="H17" s="515" t="str">
        <f>CONCATENATE('IV-2 arsa'!G9)</f>
        <v xml:space="preserve">Pagrindinės paslaugos ir kaimų atnaujinimas kaimo vietovėse </v>
      </c>
      <c r="I17" s="480" t="str">
        <f>CONCATENATE('IV-2 arsa'!H9)</f>
        <v>R</v>
      </c>
      <c r="J17" s="480" t="str">
        <f>CONCATENATE('IV-2 arsa'!I9)</f>
        <v>-</v>
      </c>
      <c r="K17" s="480" t="str">
        <f>CONCATENATE('IV-2 arsa'!J9)</f>
        <v>-</v>
      </c>
      <c r="L17" s="516">
        <f>SUM('IV-2 arsa'!K9)</f>
        <v>250309</v>
      </c>
      <c r="M17" s="516">
        <f>SUM('ketv. 6 lent'!K16)</f>
        <v>250309</v>
      </c>
      <c r="N17" s="516">
        <f t="shared" si="12"/>
        <v>0</v>
      </c>
      <c r="O17" s="516">
        <f>SUM('IV-2 arsa'!L9)</f>
        <v>50309</v>
      </c>
      <c r="P17" s="516">
        <f>SUM('ketv. 6 lent'!O16)</f>
        <v>50309</v>
      </c>
      <c r="Q17" s="516">
        <f t="shared" si="13"/>
        <v>0</v>
      </c>
      <c r="R17" s="516">
        <f>SUM('IV-2 arsa'!M9)</f>
        <v>30000</v>
      </c>
      <c r="S17" s="516">
        <f>SUM('ketv. 6 lent'!S16)</f>
        <v>30000</v>
      </c>
      <c r="T17" s="516">
        <f t="shared" si="14"/>
        <v>0</v>
      </c>
      <c r="U17" s="516">
        <f>SUM('IV-2 arsa'!N9)</f>
        <v>0</v>
      </c>
      <c r="V17" s="516">
        <f>SUM('ketv. 6 lent'!W16)</f>
        <v>0</v>
      </c>
      <c r="W17" s="516">
        <f t="shared" si="15"/>
        <v>0</v>
      </c>
      <c r="X17" s="516">
        <f>SUM('IV-2 arsa'!O9)</f>
        <v>0</v>
      </c>
      <c r="Y17" s="516">
        <f>SUM('ketv. 6 lent'!AA16)</f>
        <v>0</v>
      </c>
      <c r="Z17" s="516">
        <f t="shared" si="16"/>
        <v>0</v>
      </c>
      <c r="AA17" s="516">
        <f>SUM('IV-2 arsa'!P9)</f>
        <v>170000</v>
      </c>
      <c r="AB17" s="468" t="str">
        <f>IF('ketv. 4 lent'!V17&gt;0,"Taip","Ne")</f>
        <v>Taip</v>
      </c>
      <c r="AC17" s="468">
        <f>SUM('ketv. 6 lent'!AE16)</f>
        <v>170000</v>
      </c>
      <c r="AD17" s="468">
        <f t="shared" si="6"/>
        <v>0</v>
      </c>
      <c r="AE17" s="1113">
        <f>SUM('IV-2 arsa'!Q9)</f>
        <v>42643</v>
      </c>
      <c r="AF17" s="587">
        <f>SUM('IV-2 arsa'!R9)</f>
        <v>42855</v>
      </c>
      <c r="AG17" s="587">
        <f>SUM('IV-2 arsa'!S9)</f>
        <v>43010</v>
      </c>
      <c r="AH17" s="587">
        <f>SUM('IV-2 arsa'!T9)</f>
        <v>43102</v>
      </c>
      <c r="AI17" s="589">
        <f t="shared" si="17"/>
        <v>2018</v>
      </c>
      <c r="AJ17" s="1263">
        <f>SUM('IV-2 arsa'!U9)</f>
        <v>43465</v>
      </c>
      <c r="AK17" s="468">
        <f t="shared" si="7"/>
        <v>0</v>
      </c>
      <c r="AL17" s="468">
        <f t="shared" si="8"/>
        <v>0</v>
      </c>
      <c r="AM17" s="468">
        <f t="shared" si="9"/>
        <v>170000</v>
      </c>
      <c r="AN17" s="468">
        <f t="shared" si="10"/>
        <v>0</v>
      </c>
      <c r="AO17" s="1264">
        <f t="shared" si="11"/>
        <v>0</v>
      </c>
      <c r="AP17" s="1265"/>
      <c r="AQ17" s="1265"/>
      <c r="AR17" s="1265"/>
    </row>
    <row r="18" spans="1:44" ht="27" thickTop="1" thickBot="1" x14ac:dyDescent="0.3">
      <c r="A18" s="515" t="s">
        <v>425</v>
      </c>
      <c r="B18" s="515" t="s">
        <v>1560</v>
      </c>
      <c r="C18" s="1262" t="str">
        <f>CONCATENATE('ketv. 2lent'!B17)</f>
        <v>20KI-KA-17-1-02372-PR001</v>
      </c>
      <c r="D18" s="515" t="str">
        <f>CONCATENATE('IV-2 lrsa'!D10)</f>
        <v>Krikštonių laisvalaikio salės pritaikymas bendruomenės poreikiams</v>
      </c>
      <c r="E18" s="515" t="str">
        <f>CONCATENATE('IV-2 lrsa'!E10)</f>
        <v xml:space="preserve">Viešoji įstaiga Lazdijų kultūros centras </v>
      </c>
      <c r="F18" s="515" t="str">
        <f>CONCATENATE('IV-2 lrsa'!F10)</f>
        <v>Lietuvos Respublikos žemės ūkio ministerija</v>
      </c>
      <c r="G18" s="515" t="str">
        <f>CONCATENATE('IV-2 lrsa'!G10)</f>
        <v>Lazdijų rajono savivaldybė</v>
      </c>
      <c r="H18" s="515" t="str">
        <f>CONCATENATE('IV-2 lrsa'!H10)</f>
        <v xml:space="preserve">Pagrindinės paslaugos ir kaimų atnaujinimas kaimo vietovėse </v>
      </c>
      <c r="I18" s="480" t="str">
        <f>CONCATENATE('IV-2 lrsa'!I10)</f>
        <v>R</v>
      </c>
      <c r="J18" s="480" t="str">
        <f>CONCATENATE('IV-2 lrsa'!J10)</f>
        <v>-</v>
      </c>
      <c r="K18" s="480" t="str">
        <f>CONCATENATE('IV-2 lrsa'!K10)</f>
        <v>-</v>
      </c>
      <c r="L18" s="516">
        <f>SUM('IV-2 lrsa'!L10)</f>
        <v>250000</v>
      </c>
      <c r="M18" s="516">
        <f>SUM('ketv. 6 lent'!K17)</f>
        <v>0</v>
      </c>
      <c r="N18" s="516">
        <f t="shared" si="12"/>
        <v>0</v>
      </c>
      <c r="O18" s="516">
        <f>SUM('IV-2 lrsa'!M10)</f>
        <v>50000</v>
      </c>
      <c r="P18" s="516">
        <f>SUM('ketv. 6 lent'!O17)</f>
        <v>0</v>
      </c>
      <c r="Q18" s="516">
        <f t="shared" si="13"/>
        <v>0</v>
      </c>
      <c r="R18" s="516">
        <f>SUM('IV-2 lrsa'!N10)</f>
        <v>30000</v>
      </c>
      <c r="S18" s="516">
        <f>SUM('ketv. 6 lent'!S17)</f>
        <v>0</v>
      </c>
      <c r="T18" s="516">
        <f t="shared" si="14"/>
        <v>0</v>
      </c>
      <c r="U18" s="516">
        <f>SUM('IV-2 lrsa'!O10)</f>
        <v>0</v>
      </c>
      <c r="V18" s="516">
        <f>SUM('ketv. 6 lent'!W17)</f>
        <v>0</v>
      </c>
      <c r="W18" s="516">
        <f t="shared" si="15"/>
        <v>0</v>
      </c>
      <c r="X18" s="516">
        <f>SUM('IV-2 lrsa'!P10)</f>
        <v>0</v>
      </c>
      <c r="Y18" s="516">
        <f>SUM('ketv. 6 lent'!AA17)</f>
        <v>0</v>
      </c>
      <c r="Z18" s="516">
        <f t="shared" si="16"/>
        <v>0</v>
      </c>
      <c r="AA18" s="516">
        <f>SUM('IV-2 lrsa'!Q10)</f>
        <v>170000</v>
      </c>
      <c r="AB18" s="468" t="str">
        <f>IF('ketv. 4 lent'!V18&gt;0,"Taip","Ne")</f>
        <v>Ne</v>
      </c>
      <c r="AC18" s="468">
        <f>SUM('ketv. 6 lent'!AE17)</f>
        <v>0</v>
      </c>
      <c r="AD18" s="468">
        <f t="shared" si="6"/>
        <v>0</v>
      </c>
      <c r="AE18" s="1113">
        <f>SUM('IV-2 lrsa'!R10)</f>
        <v>42643</v>
      </c>
      <c r="AF18" s="587">
        <f>SUM('IV-2 lrsa'!S10)</f>
        <v>42855</v>
      </c>
      <c r="AG18" s="587">
        <f>SUM('IV-2 lrsa'!T10)</f>
        <v>43010</v>
      </c>
      <c r="AH18" s="587">
        <f>SUM('IV-2 lrsa'!U10)</f>
        <v>43102</v>
      </c>
      <c r="AI18" s="589">
        <f t="shared" si="17"/>
        <v>2018</v>
      </c>
      <c r="AJ18" s="1263">
        <f>SUM('IV-2 lrsa'!V10)</f>
        <v>43373</v>
      </c>
      <c r="AK18" s="468">
        <f t="shared" si="7"/>
        <v>0</v>
      </c>
      <c r="AL18" s="468">
        <f t="shared" si="8"/>
        <v>0</v>
      </c>
      <c r="AM18" s="468">
        <f t="shared" si="9"/>
        <v>170000</v>
      </c>
      <c r="AN18" s="468">
        <f t="shared" si="10"/>
        <v>0</v>
      </c>
      <c r="AO18" s="1264">
        <f t="shared" si="11"/>
        <v>0</v>
      </c>
      <c r="AP18" s="1265"/>
      <c r="AQ18" s="1265"/>
      <c r="AR18" s="1265"/>
    </row>
    <row r="19" spans="1:44" ht="27" thickTop="1" thickBot="1" x14ac:dyDescent="0.3">
      <c r="A19" s="515" t="s">
        <v>426</v>
      </c>
      <c r="B19" s="515" t="s">
        <v>1550</v>
      </c>
      <c r="C19" s="1262" t="str">
        <f>CONCATENATE('ketv. 2lent'!B18)</f>
        <v>20KI-KA-17-1-02370-PR001</v>
      </c>
      <c r="D19" s="515" t="str">
        <f>CONCATENATE('IV-2 lrsa'!D11)</f>
        <v>Kučiūnų laisvalaikio salės pritaikymas bendruomenės poreikiams</v>
      </c>
      <c r="E19" s="515" t="str">
        <f>CONCATENATE('IV-2 lrsa'!E11)</f>
        <v xml:space="preserve">Viešoji įstaiga Lazdijų kultūros centras </v>
      </c>
      <c r="F19" s="515" t="str">
        <f>CONCATENATE('IV-2 lrsa'!F11)</f>
        <v>Lietuvos Respublikos žemės ūkio ministerija</v>
      </c>
      <c r="G19" s="515" t="str">
        <f>CONCATENATE('IV-2 lrsa'!G11)</f>
        <v>Lazdijų rajono savivaldybė</v>
      </c>
      <c r="H19" s="515" t="str">
        <f>CONCATENATE('IV-2 lrsa'!H11)</f>
        <v xml:space="preserve">Pagrindinės paslaugos ir kaimų atnaujinimas kaimo vietovėse </v>
      </c>
      <c r="I19" s="480" t="str">
        <f>CONCATENATE('IV-2 lrsa'!I11)</f>
        <v>R</v>
      </c>
      <c r="J19" s="480" t="str">
        <f>CONCATENATE('IV-2 lrsa'!J11)</f>
        <v>-</v>
      </c>
      <c r="K19" s="480" t="str">
        <f>CONCATENATE('IV-2 lrsa'!K11)</f>
        <v>-</v>
      </c>
      <c r="L19" s="516">
        <f>SUM('IV-2 lrsa'!L11)</f>
        <v>250000</v>
      </c>
      <c r="M19" s="516">
        <f>SUM('ketv. 6 lent'!K18)</f>
        <v>0</v>
      </c>
      <c r="N19" s="516">
        <f t="shared" si="12"/>
        <v>0</v>
      </c>
      <c r="O19" s="516">
        <f>SUM('IV-2 lrsa'!M11)</f>
        <v>50000</v>
      </c>
      <c r="P19" s="516">
        <f>SUM('ketv. 6 lent'!O18)</f>
        <v>0</v>
      </c>
      <c r="Q19" s="516">
        <f t="shared" si="13"/>
        <v>0</v>
      </c>
      <c r="R19" s="516">
        <f>SUM('IV-2 lrsa'!N11)</f>
        <v>30000</v>
      </c>
      <c r="S19" s="516">
        <f>SUM('ketv. 6 lent'!S18)</f>
        <v>0</v>
      </c>
      <c r="T19" s="516">
        <f t="shared" si="14"/>
        <v>0</v>
      </c>
      <c r="U19" s="516">
        <f>SUM('IV-2 lrsa'!O11)</f>
        <v>0</v>
      </c>
      <c r="V19" s="516">
        <f>SUM('ketv. 6 lent'!W18)</f>
        <v>0</v>
      </c>
      <c r="W19" s="516">
        <f t="shared" si="15"/>
        <v>0</v>
      </c>
      <c r="X19" s="516">
        <f>SUM('IV-2 lrsa'!P11)</f>
        <v>0</v>
      </c>
      <c r="Y19" s="516">
        <f>SUM('ketv. 6 lent'!AA18)</f>
        <v>0</v>
      </c>
      <c r="Z19" s="516">
        <f t="shared" si="16"/>
        <v>0</v>
      </c>
      <c r="AA19" s="516">
        <f>SUM('IV-2 lrsa'!Q11)</f>
        <v>170000</v>
      </c>
      <c r="AB19" s="468" t="str">
        <f>IF('ketv. 4 lent'!V19&gt;0,"Taip","Ne")</f>
        <v>Ne</v>
      </c>
      <c r="AC19" s="468">
        <f>SUM('ketv. 6 lent'!AE18)</f>
        <v>0</v>
      </c>
      <c r="AD19" s="468">
        <f t="shared" si="6"/>
        <v>0</v>
      </c>
      <c r="AE19" s="1113">
        <f>SUM('IV-2 lrsa'!R11)</f>
        <v>42643</v>
      </c>
      <c r="AF19" s="587">
        <f>SUM('IV-2 lrsa'!S11)</f>
        <v>42855</v>
      </c>
      <c r="AG19" s="587">
        <f>SUM('IV-2 lrsa'!T11)</f>
        <v>43010</v>
      </c>
      <c r="AH19" s="587">
        <f>SUM('IV-2 lrsa'!U11)</f>
        <v>43102</v>
      </c>
      <c r="AI19" s="589">
        <f t="shared" si="17"/>
        <v>2018</v>
      </c>
      <c r="AJ19" s="1263">
        <f>SUM('IV-2 lrsa'!V11)</f>
        <v>43291</v>
      </c>
      <c r="AK19" s="468">
        <f t="shared" si="7"/>
        <v>0</v>
      </c>
      <c r="AL19" s="468">
        <f t="shared" si="8"/>
        <v>0</v>
      </c>
      <c r="AM19" s="468">
        <f t="shared" si="9"/>
        <v>170000</v>
      </c>
      <c r="AN19" s="468">
        <f t="shared" si="10"/>
        <v>0</v>
      </c>
      <c r="AO19" s="1264">
        <f t="shared" si="11"/>
        <v>0</v>
      </c>
      <c r="AP19" s="1265"/>
      <c r="AQ19" s="1265"/>
      <c r="AR19" s="1265"/>
    </row>
    <row r="20" spans="1:44" ht="39.75" thickTop="1" thickBot="1" x14ac:dyDescent="0.3">
      <c r="A20" s="515" t="s">
        <v>427</v>
      </c>
      <c r="B20" s="515" t="s">
        <v>1561</v>
      </c>
      <c r="C20" s="1262" t="str">
        <f>CONCATENATE('ketv. 2lent'!B19)</f>
        <v>20KI-KA-17-1-02354-PR001</v>
      </c>
      <c r="D20" s="515" t="str">
        <f>CONCATENATE('IV-2 lrsa'!D12)</f>
        <v>Laisvalaikio infrastruktūros sukūrimas Lazdijų rajono kaimo gyvenamosiose vietovėse</v>
      </c>
      <c r="E20" s="515" t="str">
        <f>CONCATENATE('IV-2 lrsa'!E12)</f>
        <v>Lazdijų rajono savivaldybės administracija</v>
      </c>
      <c r="F20" s="515" t="str">
        <f>CONCATENATE('IV-2 lrsa'!F12)</f>
        <v>Lietuvos Respublikos žemės ūkio ministerija</v>
      </c>
      <c r="G20" s="515" t="str">
        <f>CONCATENATE('IV-2 lrsa'!G12)</f>
        <v>Lazdijų rajono savivaldybė</v>
      </c>
      <c r="H20" s="515" t="str">
        <f>CONCATENATE('IV-2 lrsa'!H12)</f>
        <v xml:space="preserve">Pagrindinės paslaugos ir kaimų atnaujinimas kaimo vietovėse </v>
      </c>
      <c r="I20" s="480" t="str">
        <f>CONCATENATE('IV-2 lrsa'!I12)</f>
        <v>R</v>
      </c>
      <c r="J20" s="480" t="str">
        <f>CONCATENATE('IV-2 lrsa'!J12)</f>
        <v>-</v>
      </c>
      <c r="K20" s="480" t="str">
        <f>CONCATENATE('IV-2 lrsa'!K12)</f>
        <v>-</v>
      </c>
      <c r="L20" s="516">
        <f>SUM('IV-2 lrsa'!L12)</f>
        <v>125000</v>
      </c>
      <c r="M20" s="516">
        <f>SUM('ketv. 6 lent'!K19)</f>
        <v>0</v>
      </c>
      <c r="N20" s="516">
        <f t="shared" si="12"/>
        <v>0</v>
      </c>
      <c r="O20" s="516">
        <f>SUM('IV-2 lrsa'!M12)</f>
        <v>25000</v>
      </c>
      <c r="P20" s="516">
        <f>SUM('ketv. 6 lent'!O19)</f>
        <v>0</v>
      </c>
      <c r="Q20" s="516">
        <f t="shared" si="13"/>
        <v>0</v>
      </c>
      <c r="R20" s="516">
        <f>SUM('IV-2 lrsa'!N12)</f>
        <v>15000</v>
      </c>
      <c r="S20" s="516">
        <f>SUM('ketv. 6 lent'!S19)</f>
        <v>0</v>
      </c>
      <c r="T20" s="516">
        <f t="shared" si="14"/>
        <v>0</v>
      </c>
      <c r="U20" s="516">
        <f>SUM('IV-2 lrsa'!O12)</f>
        <v>0</v>
      </c>
      <c r="V20" s="516">
        <f>SUM('ketv. 6 lent'!W19)</f>
        <v>0</v>
      </c>
      <c r="W20" s="516">
        <f t="shared" si="15"/>
        <v>0</v>
      </c>
      <c r="X20" s="516">
        <f>SUM('IV-2 lrsa'!P12)</f>
        <v>0</v>
      </c>
      <c r="Y20" s="516">
        <f>SUM('ketv. 6 lent'!AA19)</f>
        <v>0</v>
      </c>
      <c r="Z20" s="516">
        <f t="shared" si="16"/>
        <v>0</v>
      </c>
      <c r="AA20" s="516">
        <f>SUM('IV-2 lrsa'!Q12)</f>
        <v>85000</v>
      </c>
      <c r="AB20" s="468" t="str">
        <f>IF('ketv. 4 lent'!V20&gt;0,"Taip","Ne")</f>
        <v>Ne</v>
      </c>
      <c r="AC20" s="468">
        <f>SUM('ketv. 6 lent'!AE19)</f>
        <v>0</v>
      </c>
      <c r="AD20" s="468">
        <f t="shared" si="6"/>
        <v>0</v>
      </c>
      <c r="AE20" s="1113">
        <f>SUM('IV-2 lrsa'!R12)</f>
        <v>42643</v>
      </c>
      <c r="AF20" s="587">
        <f>SUM('IV-2 lrsa'!S12)</f>
        <v>42855</v>
      </c>
      <c r="AG20" s="587">
        <f>SUM('IV-2 lrsa'!T12)</f>
        <v>43010</v>
      </c>
      <c r="AH20" s="587">
        <f>SUM('IV-2 lrsa'!U12)</f>
        <v>43102</v>
      </c>
      <c r="AI20" s="589">
        <f t="shared" si="17"/>
        <v>2018</v>
      </c>
      <c r="AJ20" s="1263">
        <f>SUM('IV-2 lrsa'!V12)</f>
        <v>43292</v>
      </c>
      <c r="AK20" s="468">
        <f t="shared" si="7"/>
        <v>0</v>
      </c>
      <c r="AL20" s="468">
        <f t="shared" si="8"/>
        <v>0</v>
      </c>
      <c r="AM20" s="468">
        <f t="shared" si="9"/>
        <v>85000</v>
      </c>
      <c r="AN20" s="468">
        <f t="shared" si="10"/>
        <v>0</v>
      </c>
      <c r="AO20" s="1264">
        <f t="shared" si="11"/>
        <v>0</v>
      </c>
      <c r="AP20" s="1265"/>
      <c r="AQ20" s="1265"/>
      <c r="AR20" s="1265"/>
    </row>
    <row r="21" spans="1:44" ht="39.75" thickTop="1" thickBot="1" x14ac:dyDescent="0.3">
      <c r="A21" s="515" t="s">
        <v>428</v>
      </c>
      <c r="B21" s="515" t="s">
        <v>1546</v>
      </c>
      <c r="C21" s="1262" t="str">
        <f>CONCATENATE('ketv. 2lent'!B20)</f>
        <v>20KI-KA-17-1-02470-PR001</v>
      </c>
      <c r="D21" s="515" t="str">
        <f>CONCATENATE('IV-2 arsa'!C10)</f>
        <v>Alytaus rajono Butrimonių miestelio šaligatvių kapitalinis remontas ir gyvenvietės apšvietimo įrengimas</v>
      </c>
      <c r="E21" s="515" t="str">
        <f>CONCATENATE('IV-2 arsa'!D10)</f>
        <v>Alytaus rajono savivaldybės administracija</v>
      </c>
      <c r="F21" s="515" t="str">
        <f>CONCATENATE('IV-2 arsa'!E10)</f>
        <v>Lietuvos Respublikos žemės ūkio ministerija</v>
      </c>
      <c r="G21" s="515" t="str">
        <f>CONCATENATE('IV-2 arsa'!F10)</f>
        <v>Alytaus rajono savivaldybė</v>
      </c>
      <c r="H21" s="515" t="str">
        <f>CONCATENATE('IV-2 arsa'!G10)</f>
        <v xml:space="preserve">Pagrindinės paslaugos ir kaimų atnaujinimas kaimo vietovėse </v>
      </c>
      <c r="I21" s="480" t="str">
        <f>CONCATENATE('IV-2 arsa'!H10)</f>
        <v>R</v>
      </c>
      <c r="J21" s="480" t="str">
        <f>CONCATENATE('IV-2 arsa'!I10)</f>
        <v>-</v>
      </c>
      <c r="K21" s="480" t="str">
        <f>CONCATENATE('IV-2 arsa'!J10)</f>
        <v>-</v>
      </c>
      <c r="L21" s="516">
        <f>SUM('IV-2 arsa'!K10)</f>
        <v>153566</v>
      </c>
      <c r="M21" s="516">
        <f>SUM('ketv. 6 lent'!K20)</f>
        <v>0</v>
      </c>
      <c r="N21" s="516">
        <f t="shared" si="12"/>
        <v>0</v>
      </c>
      <c r="O21" s="516">
        <f>SUM('IV-2 arsa'!L10)</f>
        <v>30713</v>
      </c>
      <c r="P21" s="516">
        <f>SUM('ketv. 6 lent'!O20)</f>
        <v>0</v>
      </c>
      <c r="Q21" s="516">
        <f t="shared" si="13"/>
        <v>0</v>
      </c>
      <c r="R21" s="516">
        <f>SUM('IV-2 arsa'!M10)</f>
        <v>18428</v>
      </c>
      <c r="S21" s="516">
        <f>SUM('ketv. 6 lent'!S20)</f>
        <v>0</v>
      </c>
      <c r="T21" s="516">
        <f t="shared" si="14"/>
        <v>0</v>
      </c>
      <c r="U21" s="516">
        <f>SUM('IV-2 arsa'!N10)</f>
        <v>0</v>
      </c>
      <c r="V21" s="516">
        <f>SUM('ketv. 6 lent'!W20)</f>
        <v>0</v>
      </c>
      <c r="W21" s="516">
        <f t="shared" si="15"/>
        <v>0</v>
      </c>
      <c r="X21" s="516">
        <f>SUM('IV-2 arsa'!O10)</f>
        <v>0</v>
      </c>
      <c r="Y21" s="516">
        <f>SUM('ketv. 6 lent'!AA20)</f>
        <v>0</v>
      </c>
      <c r="Z21" s="516">
        <f t="shared" si="16"/>
        <v>0</v>
      </c>
      <c r="AA21" s="516">
        <f>SUM('IV-2 arsa'!P10)</f>
        <v>104425</v>
      </c>
      <c r="AB21" s="468" t="str">
        <f>IF('ketv. 4 lent'!V21&gt;0,"Taip","Ne")</f>
        <v>Ne</v>
      </c>
      <c r="AC21" s="468">
        <f>SUM('ketv. 6 lent'!AE20)</f>
        <v>0</v>
      </c>
      <c r="AD21" s="468">
        <f t="shared" si="6"/>
        <v>0</v>
      </c>
      <c r="AE21" s="1113">
        <f>SUM('IV-2 arsa'!Q10)</f>
        <v>42643</v>
      </c>
      <c r="AF21" s="587">
        <f>SUM('IV-2 arsa'!R10)</f>
        <v>42855</v>
      </c>
      <c r="AG21" s="587">
        <f>SUM('IV-2 arsa'!S10)</f>
        <v>43010</v>
      </c>
      <c r="AH21" s="587">
        <f>SUM('IV-2 arsa'!T10)</f>
        <v>43102</v>
      </c>
      <c r="AI21" s="589">
        <f t="shared" si="17"/>
        <v>2018</v>
      </c>
      <c r="AJ21" s="1263">
        <f>SUM('IV-2 arsa'!U10)</f>
        <v>43465</v>
      </c>
      <c r="AK21" s="468">
        <f t="shared" si="7"/>
        <v>0</v>
      </c>
      <c r="AL21" s="468">
        <f t="shared" si="8"/>
        <v>0</v>
      </c>
      <c r="AM21" s="468">
        <f t="shared" si="9"/>
        <v>104425</v>
      </c>
      <c r="AN21" s="468">
        <f t="shared" si="10"/>
        <v>0</v>
      </c>
      <c r="AO21" s="1264">
        <f t="shared" si="11"/>
        <v>0</v>
      </c>
      <c r="AP21" s="1265"/>
      <c r="AQ21" s="1265"/>
      <c r="AR21" s="1265"/>
    </row>
    <row r="22" spans="1:44" ht="39.75" thickTop="1" thickBot="1" x14ac:dyDescent="0.3">
      <c r="A22" s="515" t="s">
        <v>429</v>
      </c>
      <c r="B22" s="515" t="s">
        <v>1562</v>
      </c>
      <c r="C22" s="1262" t="str">
        <f>CONCATENATE('ketv. 2lent'!B21)</f>
        <v>20KI-KA-17-1-02438-PR001</v>
      </c>
      <c r="D22" s="515" t="str">
        <f>CONCATENATE('IV-2 arsa'!C11)</f>
        <v>Alytaus rajono Genių kaimo sporto aikštės įrengimas ir gatvių rekonstrukcija</v>
      </c>
      <c r="E22" s="515" t="str">
        <f>CONCATENATE('IV-2 arsa'!D11)</f>
        <v>Alytaus rajono savivaldybės administracija</v>
      </c>
      <c r="F22" s="515" t="str">
        <f>CONCATENATE('IV-2 arsa'!E11)</f>
        <v>Lietuvos Respublikos žemės ūkio ministerija</v>
      </c>
      <c r="G22" s="515" t="str">
        <f>CONCATENATE('IV-2 arsa'!F11)</f>
        <v>Alytaus rajono savivaldybė</v>
      </c>
      <c r="H22" s="515" t="str">
        <f>CONCATENATE('IV-2 arsa'!G11)</f>
        <v xml:space="preserve">Pagrindinės paslaugos ir kaimų atnaujinimas kaimo vietovėse </v>
      </c>
      <c r="I22" s="480" t="str">
        <f>CONCATENATE('IV-2 arsa'!H11)</f>
        <v>R</v>
      </c>
      <c r="J22" s="480" t="str">
        <f>CONCATENATE('IV-2 arsa'!I11)</f>
        <v>-</v>
      </c>
      <c r="K22" s="480" t="str">
        <f>CONCATENATE('IV-2 arsa'!J11)</f>
        <v>-</v>
      </c>
      <c r="L22" s="516">
        <f>SUM('IV-2 arsa'!K11)</f>
        <v>250000</v>
      </c>
      <c r="M22" s="516">
        <f>SUM('ketv. 6 lent'!K21)</f>
        <v>0</v>
      </c>
      <c r="N22" s="516">
        <f t="shared" si="12"/>
        <v>0</v>
      </c>
      <c r="O22" s="516">
        <f>SUM('IV-2 arsa'!L11)</f>
        <v>50000</v>
      </c>
      <c r="P22" s="516">
        <f>SUM('ketv. 6 lent'!O21)</f>
        <v>0</v>
      </c>
      <c r="Q22" s="516">
        <f t="shared" si="13"/>
        <v>0</v>
      </c>
      <c r="R22" s="516">
        <f>SUM('IV-2 arsa'!M11)</f>
        <v>30000</v>
      </c>
      <c r="S22" s="516">
        <f>SUM('ketv. 6 lent'!S21)</f>
        <v>0</v>
      </c>
      <c r="T22" s="516">
        <f t="shared" si="14"/>
        <v>0</v>
      </c>
      <c r="U22" s="516">
        <f>SUM('IV-2 arsa'!N11)</f>
        <v>0</v>
      </c>
      <c r="V22" s="516">
        <f>SUM('ketv. 6 lent'!W21)</f>
        <v>0</v>
      </c>
      <c r="W22" s="516">
        <f t="shared" si="15"/>
        <v>0</v>
      </c>
      <c r="X22" s="516">
        <f>SUM('IV-2 arsa'!O11)</f>
        <v>0</v>
      </c>
      <c r="Y22" s="516">
        <f>SUM('ketv. 6 lent'!AA21)</f>
        <v>0</v>
      </c>
      <c r="Z22" s="516">
        <f t="shared" si="16"/>
        <v>0</v>
      </c>
      <c r="AA22" s="516">
        <f>SUM('IV-2 arsa'!P11)</f>
        <v>170000</v>
      </c>
      <c r="AB22" s="468" t="str">
        <f>IF('ketv. 4 lent'!V22&gt;0,"Taip","Ne")</f>
        <v>Ne</v>
      </c>
      <c r="AC22" s="468">
        <f>SUM('ketv. 6 lent'!AE21)</f>
        <v>0</v>
      </c>
      <c r="AD22" s="468">
        <f t="shared" si="6"/>
        <v>0</v>
      </c>
      <c r="AE22" s="1113">
        <f>SUM('IV-2 arsa'!Q11)</f>
        <v>42643</v>
      </c>
      <c r="AF22" s="587">
        <f>SUM('IV-2 arsa'!R11)</f>
        <v>42855</v>
      </c>
      <c r="AG22" s="587">
        <f>SUM('IV-2 arsa'!S11)</f>
        <v>43010</v>
      </c>
      <c r="AH22" s="587">
        <f>SUM('IV-2 arsa'!T11)</f>
        <v>43102</v>
      </c>
      <c r="AI22" s="589">
        <f t="shared" si="17"/>
        <v>2018</v>
      </c>
      <c r="AJ22" s="1263">
        <f>SUM('IV-2 arsa'!U11)</f>
        <v>43465</v>
      </c>
      <c r="AK22" s="468">
        <f t="shared" si="7"/>
        <v>0</v>
      </c>
      <c r="AL22" s="468">
        <f t="shared" si="8"/>
        <v>0</v>
      </c>
      <c r="AM22" s="468">
        <f t="shared" si="9"/>
        <v>170000</v>
      </c>
      <c r="AN22" s="468">
        <f t="shared" si="10"/>
        <v>0</v>
      </c>
      <c r="AO22" s="1264">
        <f t="shared" si="11"/>
        <v>0</v>
      </c>
      <c r="AP22" s="1265"/>
      <c r="AQ22" s="1265"/>
      <c r="AR22" s="1265"/>
    </row>
    <row r="23" spans="1:44" ht="39.75" thickTop="1" thickBot="1" x14ac:dyDescent="0.3">
      <c r="A23" s="515" t="s">
        <v>430</v>
      </c>
      <c r="B23" s="515" t="s">
        <v>1565</v>
      </c>
      <c r="C23" s="1262" t="str">
        <f>CONCATENATE('ketv. 2lent'!B22)</f>
        <v>20KI-KA-17-1-01647-PR001</v>
      </c>
      <c r="D23" s="515" t="str">
        <f>CONCATENATE('IV-2 vrsa'!D8)</f>
        <v>Varėnos r. Dargužių kaimo Liepų gatvės ir viešosios erdvės įrengimas</v>
      </c>
      <c r="E23" s="515" t="str">
        <f>CONCATENATE('IV-2 vrsa'!E8)</f>
        <v xml:space="preserve">Varėnos rajono savivaldybės administracija </v>
      </c>
      <c r="F23" s="515" t="str">
        <f>CONCATENATE('IV-2 vrsa'!F8)</f>
        <v>Lietuvos Respublikos žemės ūkio ministerija</v>
      </c>
      <c r="G23" s="515" t="str">
        <f>CONCATENATE('IV-2 vrsa'!G8)</f>
        <v>Varėnos rajono savivaldybė</v>
      </c>
      <c r="H23" s="515" t="str">
        <f>CONCATENATE('IV-2 vrsa'!H8)</f>
        <v xml:space="preserve">Pagrindinės paslaugos ir kaimų atnaujinimas kaimo vietovėse </v>
      </c>
      <c r="I23" s="480" t="str">
        <f>CONCATENATE('IV-2 vrsa'!I8)</f>
        <v>R</v>
      </c>
      <c r="J23" s="480" t="str">
        <f>CONCATENATE('IV-2 vrsa'!J8)</f>
        <v>-</v>
      </c>
      <c r="K23" s="480" t="str">
        <f>CONCATENATE('IV-2 vrsa'!K8)</f>
        <v>-</v>
      </c>
      <c r="L23" s="516">
        <f>SUM('IV-2 vrsa'!L8)</f>
        <v>215626</v>
      </c>
      <c r="M23" s="516">
        <f>SUM('ketv. 6 lent'!K22)</f>
        <v>0</v>
      </c>
      <c r="N23" s="516">
        <f t="shared" si="12"/>
        <v>0</v>
      </c>
      <c r="O23" s="516">
        <f>SUM('IV-2 vrsa'!M8)</f>
        <v>43125</v>
      </c>
      <c r="P23" s="516">
        <f>SUM('ketv. 6 lent'!O22)</f>
        <v>0</v>
      </c>
      <c r="Q23" s="516">
        <f t="shared" si="13"/>
        <v>0</v>
      </c>
      <c r="R23" s="516">
        <f>SUM('IV-2 vrsa'!N8)</f>
        <v>25875</v>
      </c>
      <c r="S23" s="516">
        <f>SUM('ketv. 6 lent'!S22)</f>
        <v>0</v>
      </c>
      <c r="T23" s="516">
        <f t="shared" si="14"/>
        <v>0</v>
      </c>
      <c r="U23" s="516">
        <f>SUM('IV-2 vrsa'!O8)</f>
        <v>0</v>
      </c>
      <c r="V23" s="516">
        <f>SUM('ketv. 6 lent'!W22)</f>
        <v>0</v>
      </c>
      <c r="W23" s="516">
        <f t="shared" si="15"/>
        <v>0</v>
      </c>
      <c r="X23" s="516">
        <f>SUM('IV-2 vrsa'!P8)</f>
        <v>0</v>
      </c>
      <c r="Y23" s="516">
        <f>SUM('ketv. 6 lent'!AA22)</f>
        <v>0</v>
      </c>
      <c r="Z23" s="516">
        <f t="shared" si="16"/>
        <v>0</v>
      </c>
      <c r="AA23" s="516">
        <f>SUM('IV-2 vrsa'!Q8)</f>
        <v>146626</v>
      </c>
      <c r="AB23" s="468" t="str">
        <f>IF('ketv. 4 lent'!V23&gt;0,"Taip","Ne")</f>
        <v>Ne</v>
      </c>
      <c r="AC23" s="468">
        <f>SUM('ketv. 6 lent'!AE22)</f>
        <v>0</v>
      </c>
      <c r="AD23" s="468">
        <f t="shared" si="6"/>
        <v>0</v>
      </c>
      <c r="AE23" s="1113">
        <f>SUM('IV-2 arsa'!Q12)</f>
        <v>42643</v>
      </c>
      <c r="AF23" s="587">
        <f>SUM('IV-2 arsa'!R12)</f>
        <v>42855</v>
      </c>
      <c r="AG23" s="587">
        <f>SUM('IV-2 vrsa'!T8)</f>
        <v>43010</v>
      </c>
      <c r="AH23" s="587">
        <f>SUM('IV-2 vrsa'!U8)</f>
        <v>43102</v>
      </c>
      <c r="AI23" s="589">
        <f t="shared" si="17"/>
        <v>2018</v>
      </c>
      <c r="AJ23" s="1263">
        <f>SUM('IV-2 vrsa'!V8)</f>
        <v>43830</v>
      </c>
      <c r="AK23" s="468">
        <f t="shared" si="7"/>
        <v>0</v>
      </c>
      <c r="AL23" s="468">
        <f t="shared" si="8"/>
        <v>0</v>
      </c>
      <c r="AM23" s="468">
        <f t="shared" si="9"/>
        <v>146626</v>
      </c>
      <c r="AN23" s="468">
        <f t="shared" si="10"/>
        <v>0</v>
      </c>
      <c r="AO23" s="1264">
        <f t="shared" si="11"/>
        <v>0</v>
      </c>
      <c r="AP23" s="1265"/>
      <c r="AQ23" s="1265"/>
      <c r="AR23" s="1265"/>
    </row>
    <row r="24" spans="1:44" ht="39.75" thickTop="1" thickBot="1" x14ac:dyDescent="0.3">
      <c r="A24" s="515" t="s">
        <v>431</v>
      </c>
      <c r="B24" s="515" t="s">
        <v>1563</v>
      </c>
      <c r="C24" s="1262" t="str">
        <f>CONCATENATE('ketv. 2lent'!B23)</f>
        <v>20KI-KA-17-1-02469-PR001</v>
      </c>
      <c r="D24" s="515" t="str">
        <f>CONCATENATE('IV-2 arsa'!C12)</f>
        <v>Alytaus rajono Vaisodžių kaimo sporto aikštės įrengimas ir gatvių apšvietimo atnaujinimas bei plėtra</v>
      </c>
      <c r="E24" s="515" t="str">
        <f>CONCATENATE('IV-2 arsa'!D12)</f>
        <v>Alytaus rajono savivaldybės administracija</v>
      </c>
      <c r="F24" s="515" t="str">
        <f>CONCATENATE('IV-2 arsa'!E12)</f>
        <v>Lietuvos Respublikos žemės ūkio ministerija</v>
      </c>
      <c r="G24" s="515" t="str">
        <f>CONCATENATE('IV-2 arsa'!F12)</f>
        <v>Alytaus rajono savivaldybė</v>
      </c>
      <c r="H24" s="515" t="str">
        <f>CONCATENATE('IV-2 arsa'!G12)</f>
        <v xml:space="preserve">Pagrindinės paslaugos ir kaimų atnaujinimas kaimo vietovėse </v>
      </c>
      <c r="I24" s="480" t="str">
        <f>CONCATENATE('IV-2 arsa'!H12)</f>
        <v>R</v>
      </c>
      <c r="J24" s="480" t="str">
        <f>CONCATENATE('IV-2 arsa'!I12)</f>
        <v>-</v>
      </c>
      <c r="K24" s="480" t="str">
        <f>CONCATENATE('IV-2 arsa'!J12)</f>
        <v>-</v>
      </c>
      <c r="L24" s="516">
        <f>SUM('IV-2 arsa'!K12)</f>
        <v>76480</v>
      </c>
      <c r="M24" s="516">
        <f>SUM('ketv. 6 lent'!K23)</f>
        <v>0</v>
      </c>
      <c r="N24" s="516">
        <f t="shared" si="12"/>
        <v>0</v>
      </c>
      <c r="O24" s="516">
        <f>SUM('IV-2 arsa'!L12)</f>
        <v>15296</v>
      </c>
      <c r="P24" s="516">
        <f>SUM('ketv. 6 lent'!O23)</f>
        <v>0</v>
      </c>
      <c r="Q24" s="516">
        <f t="shared" si="13"/>
        <v>0</v>
      </c>
      <c r="R24" s="516">
        <f>SUM('IV-2 arsa'!M12)</f>
        <v>9178</v>
      </c>
      <c r="S24" s="516">
        <f>SUM('ketv. 6 lent'!S23)</f>
        <v>0</v>
      </c>
      <c r="T24" s="516">
        <f t="shared" si="14"/>
        <v>0</v>
      </c>
      <c r="U24" s="516">
        <f>SUM('IV-2 arsa'!N12)</f>
        <v>0</v>
      </c>
      <c r="V24" s="516">
        <f>SUM('ketv. 6 lent'!W23)</f>
        <v>0</v>
      </c>
      <c r="W24" s="516">
        <f t="shared" si="15"/>
        <v>0</v>
      </c>
      <c r="X24" s="516">
        <f>SUM('IV-2 arsa'!O12)</f>
        <v>0</v>
      </c>
      <c r="Y24" s="516">
        <f>SUM('ketv. 6 lent'!AA23)</f>
        <v>0</v>
      </c>
      <c r="Z24" s="516">
        <f t="shared" si="16"/>
        <v>0</v>
      </c>
      <c r="AA24" s="516">
        <f>SUM('IV-2 arsa'!P12)</f>
        <v>52006</v>
      </c>
      <c r="AB24" s="468" t="str">
        <f>IF('ketv. 4 lent'!V24&gt;0,"Taip","Ne")</f>
        <v>Ne</v>
      </c>
      <c r="AC24" s="468">
        <f>SUM('ketv. 6 lent'!AE23)</f>
        <v>0</v>
      </c>
      <c r="AD24" s="468">
        <f t="shared" si="6"/>
        <v>0</v>
      </c>
      <c r="AE24" s="1113">
        <f>SUM('IV-2 arsa'!Q13)</f>
        <v>42643</v>
      </c>
      <c r="AF24" s="587">
        <f>SUM('IV-2 arsa'!R13)</f>
        <v>42855</v>
      </c>
      <c r="AG24" s="587">
        <f>SUM('IV-2 arsa'!S12)</f>
        <v>43010</v>
      </c>
      <c r="AH24" s="587">
        <f>SUM('IV-2 arsa'!T12)</f>
        <v>43102</v>
      </c>
      <c r="AI24" s="589">
        <f t="shared" si="17"/>
        <v>2018</v>
      </c>
      <c r="AJ24" s="1263">
        <f>SUM('IV-2 arsa'!U12)</f>
        <v>43465</v>
      </c>
      <c r="AK24" s="468">
        <f t="shared" si="7"/>
        <v>0</v>
      </c>
      <c r="AL24" s="468">
        <f t="shared" si="8"/>
        <v>0</v>
      </c>
      <c r="AM24" s="468">
        <f t="shared" si="9"/>
        <v>52006</v>
      </c>
      <c r="AN24" s="468">
        <f t="shared" si="10"/>
        <v>0</v>
      </c>
      <c r="AO24" s="1264">
        <f t="shared" si="11"/>
        <v>0</v>
      </c>
      <c r="AP24" s="1265"/>
      <c r="AQ24" s="1265"/>
      <c r="AR24" s="1265"/>
    </row>
    <row r="25" spans="1:44" ht="39.75" thickTop="1" thickBot="1" x14ac:dyDescent="0.3">
      <c r="A25" s="515" t="s">
        <v>432</v>
      </c>
      <c r="B25" s="515" t="s">
        <v>1564</v>
      </c>
      <c r="C25" s="1262" t="str">
        <f>CONCATENATE('ketv. 2lent'!B24)</f>
        <v>20KI-KA-17-1-02240-PR001</v>
      </c>
      <c r="D25" s="515" t="str">
        <f>CONCATENATE('IV-2 arsa'!C13)</f>
        <v>Alytaus rajono Talokių kaimo sporto aikštės įrengimas ir Plytinės gatvės apšvietimas</v>
      </c>
      <c r="E25" s="515" t="str">
        <f>CONCATENATE('IV-2 arsa'!D13)</f>
        <v>Alytaus rajono savivaldybės administracija</v>
      </c>
      <c r="F25" s="515" t="str">
        <f>CONCATENATE('IV-2 arsa'!E13)</f>
        <v>Lietuvos Respublikos žemės ūkio ministerija</v>
      </c>
      <c r="G25" s="515" t="str">
        <f>CONCATENATE('IV-2 arsa'!F13)</f>
        <v>Alytaus rajono savivaldybė</v>
      </c>
      <c r="H25" s="515" t="str">
        <f>CONCATENATE('IV-2 arsa'!G13)</f>
        <v xml:space="preserve">Pagrindinės paslaugos ir kaimų atnaujinimas kaimo vietovėse </v>
      </c>
      <c r="I25" s="480" t="str">
        <f>CONCATENATE('IV-2 arsa'!H13)</f>
        <v>R</v>
      </c>
      <c r="J25" s="480" t="str">
        <f>CONCATENATE('IV-2 arsa'!I13)</f>
        <v>-</v>
      </c>
      <c r="K25" s="480" t="str">
        <f>CONCATENATE('IV-2 arsa'!J13)</f>
        <v>-</v>
      </c>
      <c r="L25" s="516">
        <f>SUM('IV-2 arsa'!K13)</f>
        <v>139472</v>
      </c>
      <c r="M25" s="516">
        <f>SUM('ketv. 6 lent'!K24)</f>
        <v>0</v>
      </c>
      <c r="N25" s="516">
        <f t="shared" si="12"/>
        <v>0</v>
      </c>
      <c r="O25" s="516">
        <f>SUM('IV-2 arsa'!L13)</f>
        <v>27894</v>
      </c>
      <c r="P25" s="516">
        <f>SUM('ketv. 6 lent'!O24)</f>
        <v>0</v>
      </c>
      <c r="Q25" s="516">
        <f t="shared" si="13"/>
        <v>0</v>
      </c>
      <c r="R25" s="516">
        <f>SUM('IV-2 arsa'!M13)</f>
        <v>16737</v>
      </c>
      <c r="S25" s="516">
        <f>SUM('ketv. 6 lent'!S24)</f>
        <v>0</v>
      </c>
      <c r="T25" s="516">
        <f t="shared" si="14"/>
        <v>0</v>
      </c>
      <c r="U25" s="516">
        <f>SUM('IV-2 arsa'!N13)</f>
        <v>0</v>
      </c>
      <c r="V25" s="516">
        <f>SUM('ketv. 6 lent'!W24)</f>
        <v>0</v>
      </c>
      <c r="W25" s="516">
        <f t="shared" si="15"/>
        <v>0</v>
      </c>
      <c r="X25" s="516">
        <f>SUM('IV-2 arsa'!O13)</f>
        <v>0</v>
      </c>
      <c r="Y25" s="516">
        <f>SUM('ketv. 6 lent'!AA24)</f>
        <v>0</v>
      </c>
      <c r="Z25" s="516">
        <f t="shared" si="16"/>
        <v>0</v>
      </c>
      <c r="AA25" s="516">
        <f>SUM('IV-2 arsa'!P13)</f>
        <v>94841</v>
      </c>
      <c r="AB25" s="468" t="str">
        <f>IF('ketv. 4 lent'!V25&gt;0,"Taip","Ne")</f>
        <v>Ne</v>
      </c>
      <c r="AC25" s="468">
        <f>SUM('ketv. 6 lent'!AE24)</f>
        <v>0</v>
      </c>
      <c r="AD25" s="468">
        <f t="shared" si="6"/>
        <v>0</v>
      </c>
      <c r="AE25" s="1113">
        <f>SUM('IV-2 arsa'!Q14)</f>
        <v>42643</v>
      </c>
      <c r="AF25" s="587">
        <f>SUM('IV-2 arsa'!R14)</f>
        <v>42855</v>
      </c>
      <c r="AG25" s="587">
        <f>SUM('IV-2 arsa'!S13)</f>
        <v>43010</v>
      </c>
      <c r="AH25" s="587">
        <f>SUM('IV-2 arsa'!T13)</f>
        <v>43102</v>
      </c>
      <c r="AI25" s="589">
        <f t="shared" si="17"/>
        <v>2018</v>
      </c>
      <c r="AJ25" s="1263">
        <f>SUM('IV-2 arsa'!U13)</f>
        <v>43465</v>
      </c>
      <c r="AK25" s="468">
        <f t="shared" si="7"/>
        <v>0</v>
      </c>
      <c r="AL25" s="468">
        <f t="shared" si="8"/>
        <v>0</v>
      </c>
      <c r="AM25" s="468">
        <f t="shared" si="9"/>
        <v>94841</v>
      </c>
      <c r="AN25" s="468">
        <f t="shared" si="10"/>
        <v>0</v>
      </c>
      <c r="AO25" s="1264">
        <f t="shared" si="11"/>
        <v>0</v>
      </c>
      <c r="AP25" s="1265"/>
      <c r="AQ25" s="1265"/>
      <c r="AR25" s="1265"/>
    </row>
    <row r="26" spans="1:44" ht="39.75" thickTop="1" thickBot="1" x14ac:dyDescent="0.3">
      <c r="A26" s="515" t="s">
        <v>433</v>
      </c>
      <c r="B26" s="515" t="s">
        <v>1547</v>
      </c>
      <c r="C26" s="1262" t="str">
        <f>CONCATENATE('ketv. 2lent'!B25)</f>
        <v>20KI-KA-17-1-01639-PR001</v>
      </c>
      <c r="D26" s="515" t="str">
        <f>CONCATENATE('IV-2 vrsa'!D9)</f>
        <v>Varėnos r. Rudnios kaimo Pušyno gatvės įrengimas</v>
      </c>
      <c r="E26" s="515" t="str">
        <f>CONCATENATE('IV-2 vrsa'!E9)</f>
        <v xml:space="preserve">Varėnos rajono savivaldybės administracija </v>
      </c>
      <c r="F26" s="515" t="str">
        <f>CONCATENATE('IV-2 vrsa'!F9)</f>
        <v>Lietuvos Respublikos žemės ūkio ministerija</v>
      </c>
      <c r="G26" s="515" t="str">
        <f>CONCATENATE('IV-2 vrsa'!G9)</f>
        <v>Varėnos rajono savivaldybė</v>
      </c>
      <c r="H26" s="515" t="str">
        <f>CONCATENATE('IV-2 vrsa'!H9)</f>
        <v xml:space="preserve">Pagrindinės paslaugos ir kaimų atnaujinimas kaimo vietovėse </v>
      </c>
      <c r="I26" s="480" t="str">
        <f>CONCATENATE('IV-2 vrsa'!I9)</f>
        <v>R</v>
      </c>
      <c r="J26" s="480" t="str">
        <f>CONCATENATE('IV-2 vrsa'!J9)</f>
        <v>-</v>
      </c>
      <c r="K26" s="480" t="str">
        <f>CONCATENATE('IV-2 vrsa'!K9)</f>
        <v>-</v>
      </c>
      <c r="L26" s="516">
        <f>SUM('IV-2 vrsa'!L9)</f>
        <v>115824</v>
      </c>
      <c r="M26" s="516">
        <f>SUM('ketv. 6 lent'!K25)</f>
        <v>115623.75</v>
      </c>
      <c r="N26" s="516">
        <f t="shared" si="12"/>
        <v>200.25</v>
      </c>
      <c r="O26" s="516">
        <f>SUM('IV-2 vrsa'!M9)</f>
        <v>23165</v>
      </c>
      <c r="P26" s="516">
        <f>SUM('ketv. 6 lent'!O25)</f>
        <v>23124.75</v>
      </c>
      <c r="Q26" s="516">
        <f t="shared" si="13"/>
        <v>40.25</v>
      </c>
      <c r="R26" s="516">
        <f>SUM('IV-2 vrsa'!N9)</f>
        <v>13899</v>
      </c>
      <c r="S26" s="516">
        <f>SUM('ketv. 6 lent'!S25)</f>
        <v>13874.85</v>
      </c>
      <c r="T26" s="516">
        <f t="shared" si="14"/>
        <v>24.149999999999636</v>
      </c>
      <c r="U26" s="516">
        <f>SUM('IV-2 vrsa'!O9)</f>
        <v>0</v>
      </c>
      <c r="V26" s="516">
        <f>SUM('ketv. 6 lent'!W25)</f>
        <v>0</v>
      </c>
      <c r="W26" s="516">
        <f t="shared" si="15"/>
        <v>0</v>
      </c>
      <c r="X26" s="516">
        <f>SUM('IV-2 vrsa'!P9)</f>
        <v>0</v>
      </c>
      <c r="Y26" s="516">
        <f>SUM('ketv. 6 lent'!AA25)</f>
        <v>0</v>
      </c>
      <c r="Z26" s="516">
        <f t="shared" si="16"/>
        <v>0</v>
      </c>
      <c r="AA26" s="516">
        <f>SUM('IV-2 vrsa'!Q9)</f>
        <v>78760</v>
      </c>
      <c r="AB26" s="468" t="str">
        <f>IF('ketv. 4 lent'!V26&gt;0,"Taip","Ne")</f>
        <v>Taip</v>
      </c>
      <c r="AC26" s="468">
        <f>SUM('ketv. 6 lent'!AE25)</f>
        <v>78624.149999999994</v>
      </c>
      <c r="AD26" s="468">
        <f t="shared" si="6"/>
        <v>135.85000000000582</v>
      </c>
      <c r="AE26" s="1113">
        <f>SUM('IV-2 vrsa'!R9)</f>
        <v>42643</v>
      </c>
      <c r="AF26" s="587">
        <f>SUM('IV-2 vrsa'!S9)</f>
        <v>42855</v>
      </c>
      <c r="AG26" s="587">
        <f>SUM('IV-2 vrsa'!T9)</f>
        <v>43010</v>
      </c>
      <c r="AH26" s="587">
        <f>SUM('IV-2 vrsa'!U9)</f>
        <v>43102</v>
      </c>
      <c r="AI26" s="589">
        <f t="shared" si="17"/>
        <v>2018</v>
      </c>
      <c r="AJ26" s="1263">
        <f>SUM('IV-2 vrsa'!V9)</f>
        <v>43830</v>
      </c>
      <c r="AK26" s="468">
        <f t="shared" si="7"/>
        <v>0</v>
      </c>
      <c r="AL26" s="468">
        <f t="shared" si="8"/>
        <v>0</v>
      </c>
      <c r="AM26" s="468">
        <f t="shared" si="9"/>
        <v>78760</v>
      </c>
      <c r="AN26" s="468">
        <f t="shared" si="10"/>
        <v>0</v>
      </c>
      <c r="AO26" s="1264">
        <f t="shared" si="11"/>
        <v>0</v>
      </c>
      <c r="AP26" s="1265"/>
      <c r="AQ26" s="1265"/>
      <c r="AR26" s="1265"/>
    </row>
    <row r="27" spans="1:44" ht="39.75" thickTop="1" thickBot="1" x14ac:dyDescent="0.3">
      <c r="A27" s="515" t="s">
        <v>434</v>
      </c>
      <c r="B27" s="515" t="s">
        <v>1549</v>
      </c>
      <c r="C27" s="1262" t="str">
        <f>CONCATENATE('ketv. 2lent'!B26)</f>
        <v>20KI-KA-17-1-01666-PR001</v>
      </c>
      <c r="D27" s="515" t="str">
        <f>CONCATENATE('IV-2 vrsa'!D10)</f>
        <v>Varėnos kultūros centro Žilinų filialo pastato atnaujinimas ir pritaikymas bendruomenės poreikiams</v>
      </c>
      <c r="E27" s="515" t="str">
        <f>CONCATENATE('IV-2 vrsa'!E10)</f>
        <v xml:space="preserve">Varėnos rajono savivaldybės administracija </v>
      </c>
      <c r="F27" s="515" t="str">
        <f>CONCATENATE('IV-2 vrsa'!F10)</f>
        <v>Lietuvos Respublikos žemės ūkio ministerija</v>
      </c>
      <c r="G27" s="515" t="str">
        <f>CONCATENATE('IV-2 vrsa'!G10)</f>
        <v>Varėnos rajono savivaldybė</v>
      </c>
      <c r="H27" s="515" t="str">
        <f>CONCATENATE('IV-2 vrsa'!H10)</f>
        <v xml:space="preserve">Pagrindinės paslaugos ir kaimų atnaujinimas kaimo vietovėse </v>
      </c>
      <c r="I27" s="480" t="str">
        <f>CONCATENATE('IV-2 vrsa'!I10)</f>
        <v>R</v>
      </c>
      <c r="J27" s="480" t="str">
        <f>CONCATENATE('IV-2 vrsa'!J10)</f>
        <v>-</v>
      </c>
      <c r="K27" s="590" t="s">
        <v>66</v>
      </c>
      <c r="L27" s="516">
        <f>SUM('IV-2 vrsa'!L10)</f>
        <v>250000</v>
      </c>
      <c r="M27" s="516">
        <f>SUM('ketv. 6 lent'!K26)</f>
        <v>0</v>
      </c>
      <c r="N27" s="516">
        <f t="shared" si="12"/>
        <v>0</v>
      </c>
      <c r="O27" s="516">
        <f>SUM('IV-2 vrsa'!M10)</f>
        <v>50000</v>
      </c>
      <c r="P27" s="516">
        <f>SUM('ketv. 6 lent'!O26)</f>
        <v>0</v>
      </c>
      <c r="Q27" s="516">
        <f t="shared" si="13"/>
        <v>0</v>
      </c>
      <c r="R27" s="516">
        <f>SUM('IV-2 vrsa'!N10)</f>
        <v>30000</v>
      </c>
      <c r="S27" s="516">
        <f>SUM('ketv. 6 lent'!S26)</f>
        <v>0</v>
      </c>
      <c r="T27" s="516">
        <f t="shared" si="14"/>
        <v>0</v>
      </c>
      <c r="U27" s="516">
        <f>SUM('IV-2 vrsa'!O10)</f>
        <v>0</v>
      </c>
      <c r="V27" s="516">
        <f>SUM('ketv. 6 lent'!W26)</f>
        <v>0</v>
      </c>
      <c r="W27" s="516">
        <f t="shared" si="15"/>
        <v>0</v>
      </c>
      <c r="X27" s="516">
        <f>SUM('IV-2 vrsa'!P10)</f>
        <v>0</v>
      </c>
      <c r="Y27" s="516">
        <f>SUM('ketv. 6 lent'!AA26)</f>
        <v>0</v>
      </c>
      <c r="Z27" s="516">
        <f t="shared" si="16"/>
        <v>0</v>
      </c>
      <c r="AA27" s="516">
        <f>SUM('IV-2 vrsa'!Q10)</f>
        <v>170000</v>
      </c>
      <c r="AB27" s="468" t="str">
        <f>IF('ketv. 4 lent'!V27&gt;0,"Taip","Ne")</f>
        <v>Ne</v>
      </c>
      <c r="AC27" s="468">
        <f>SUM('ketv. 6 lent'!AE26)</f>
        <v>0</v>
      </c>
      <c r="AD27" s="468">
        <f t="shared" si="6"/>
        <v>0</v>
      </c>
      <c r="AE27" s="1113">
        <f>SUM('IV-2 vrsa'!R10)</f>
        <v>42643</v>
      </c>
      <c r="AF27" s="587">
        <f>SUM('IV-2 vrsa'!S10)</f>
        <v>42855</v>
      </c>
      <c r="AG27" s="587">
        <f>SUM('IV-2 vrsa'!T10)</f>
        <v>43010</v>
      </c>
      <c r="AH27" s="587">
        <f>SUM('IV-2 vrsa'!U10)</f>
        <v>43102</v>
      </c>
      <c r="AI27" s="589">
        <f t="shared" si="17"/>
        <v>2018</v>
      </c>
      <c r="AJ27" s="1263">
        <f>SUM('IV-2 vrsa'!V10)</f>
        <v>43830</v>
      </c>
      <c r="AK27" s="468">
        <f t="shared" si="7"/>
        <v>0</v>
      </c>
      <c r="AL27" s="468">
        <f t="shared" si="8"/>
        <v>0</v>
      </c>
      <c r="AM27" s="468">
        <f t="shared" si="9"/>
        <v>170000</v>
      </c>
      <c r="AN27" s="468">
        <f t="shared" si="10"/>
        <v>0</v>
      </c>
      <c r="AO27" s="1264">
        <f t="shared" si="11"/>
        <v>0</v>
      </c>
      <c r="AP27" s="1265"/>
      <c r="AQ27" s="1265"/>
      <c r="AR27" s="1265"/>
    </row>
    <row r="28" spans="1:44" ht="39.75" thickTop="1" thickBot="1" x14ac:dyDescent="0.3">
      <c r="A28" s="515" t="s">
        <v>435</v>
      </c>
      <c r="B28" s="515" t="s">
        <v>1548</v>
      </c>
      <c r="C28" s="1262" t="str">
        <f>CONCATENATE('ketv. 2lent'!B27)</f>
        <v>20KI-KA-17-1-02648-PR001</v>
      </c>
      <c r="D28" s="515" t="str">
        <f>CONCATENATE('IV-2 arsa'!C14)</f>
        <v>Alytaus rajono Pivašiūnų kaimo šaligatvių, laiptų kapitalinis remontas ir gyvenvietės apšvietimo įrengimas</v>
      </c>
      <c r="E28" s="515" t="str">
        <f>CONCATENATE('IV-2 arsa'!D14)</f>
        <v>Alytaus rajono savivaldybės administracija</v>
      </c>
      <c r="F28" s="515" t="str">
        <f>CONCATENATE('IV-2 arsa'!E14)</f>
        <v>Lietuvos Respublikos žemės ūkio ministerija</v>
      </c>
      <c r="G28" s="515" t="str">
        <f>CONCATENATE('IV-2 arsa'!F14)</f>
        <v>Alytaus rajono savivaldybė</v>
      </c>
      <c r="H28" s="515" t="str">
        <f>CONCATENATE('IV-2 arsa'!G14)</f>
        <v xml:space="preserve">Pagrindinės paslaugos ir kaimų atnaujinimas kaimo vietovėse </v>
      </c>
      <c r="I28" s="480" t="str">
        <f>CONCATENATE('IV-2 arsa'!H14)</f>
        <v>R</v>
      </c>
      <c r="J28" s="480" t="str">
        <f>CONCATENATE('IV-2 arsa'!I14)</f>
        <v>-</v>
      </c>
      <c r="K28" s="480" t="str">
        <f>CONCATENATE('IV-2 arsa'!J14)</f>
        <v>-</v>
      </c>
      <c r="L28" s="516">
        <f>SUM('IV-2 arsa'!K14)</f>
        <v>117986</v>
      </c>
      <c r="M28" s="516">
        <f>SUM('ketv. 6 lent'!K27)</f>
        <v>0</v>
      </c>
      <c r="N28" s="516">
        <f t="shared" si="12"/>
        <v>0</v>
      </c>
      <c r="O28" s="516">
        <f>SUM('IV-2 arsa'!L14)</f>
        <v>23597</v>
      </c>
      <c r="P28" s="516">
        <f>SUM('ketv. 6 lent'!O27)</f>
        <v>0</v>
      </c>
      <c r="Q28" s="516">
        <f t="shared" si="13"/>
        <v>0</v>
      </c>
      <c r="R28" s="516">
        <f>SUM('IV-2 arsa'!M14)</f>
        <v>14158</v>
      </c>
      <c r="S28" s="516">
        <f>SUM('ketv. 6 lent'!S27)</f>
        <v>0</v>
      </c>
      <c r="T28" s="516">
        <f t="shared" si="14"/>
        <v>0</v>
      </c>
      <c r="U28" s="516">
        <f>SUM('IV-2 arsa'!N14)</f>
        <v>0</v>
      </c>
      <c r="V28" s="516">
        <f>SUM('ketv. 6 lent'!W27)</f>
        <v>0</v>
      </c>
      <c r="W28" s="516">
        <f t="shared" si="15"/>
        <v>0</v>
      </c>
      <c r="X28" s="516">
        <f>SUM('IV-2 arsa'!O14)</f>
        <v>0</v>
      </c>
      <c r="Y28" s="516">
        <f>SUM('ketv. 6 lent'!AA27)</f>
        <v>0</v>
      </c>
      <c r="Z28" s="516">
        <f t="shared" si="16"/>
        <v>0</v>
      </c>
      <c r="AA28" s="516">
        <f>SUM('IV-2 arsa'!P14)</f>
        <v>80231</v>
      </c>
      <c r="AB28" s="468" t="str">
        <f>IF('ketv. 4 lent'!V28&gt;0,"Taip","Ne")</f>
        <v>Ne</v>
      </c>
      <c r="AC28" s="468">
        <f>SUM('ketv. 6 lent'!AE27)</f>
        <v>0</v>
      </c>
      <c r="AD28" s="468">
        <f t="shared" si="6"/>
        <v>0</v>
      </c>
      <c r="AE28" s="1113">
        <f>SUM('IV-2 arsa'!Q14)</f>
        <v>42643</v>
      </c>
      <c r="AF28" s="587">
        <f>SUM('IV-2 arsa'!R14)</f>
        <v>42855</v>
      </c>
      <c r="AG28" s="587">
        <f>SUM('IV-2 arsa'!S14)</f>
        <v>43010</v>
      </c>
      <c r="AH28" s="587">
        <f>SUM('IV-2 arsa'!T14)</f>
        <v>43102</v>
      </c>
      <c r="AI28" s="589">
        <f t="shared" si="17"/>
        <v>2018</v>
      </c>
      <c r="AJ28" s="1263">
        <f>SUM('IV-2 arsa'!U14)</f>
        <v>43465</v>
      </c>
      <c r="AK28" s="468">
        <f t="shared" si="7"/>
        <v>0</v>
      </c>
      <c r="AL28" s="468">
        <f t="shared" si="8"/>
        <v>0</v>
      </c>
      <c r="AM28" s="468">
        <f t="shared" si="9"/>
        <v>80231</v>
      </c>
      <c r="AN28" s="468">
        <f t="shared" si="10"/>
        <v>0</v>
      </c>
      <c r="AO28" s="1264">
        <f t="shared" si="11"/>
        <v>0</v>
      </c>
      <c r="AP28" s="1265"/>
      <c r="AQ28" s="1265"/>
      <c r="AR28" s="1265"/>
    </row>
    <row r="29" spans="1:44" ht="39.75" thickTop="1" thickBot="1" x14ac:dyDescent="0.3">
      <c r="A29" s="515" t="s">
        <v>436</v>
      </c>
      <c r="B29" s="515" t="s">
        <v>1568</v>
      </c>
      <c r="C29" s="1262" t="str">
        <f>CONCATENATE('ketv. 2lent'!B28)</f>
        <v>20KI-KA-17-1-01736-PR001</v>
      </c>
      <c r="D29" s="515" t="str">
        <f>CONCATENATE('IV-2 vrsa'!D11)</f>
        <v>Pastato, esančio Pušelės g. 11, Naujųjų Valkininkų k., Varėnos r., atnaujinimas ir pritaikymas bendruomenės poreikiams</v>
      </c>
      <c r="E29" s="515" t="str">
        <f>CONCATENATE('IV-2 vrsa'!E11)</f>
        <v xml:space="preserve">Varėnos rajono savivaldybės administracija </v>
      </c>
      <c r="F29" s="515" t="str">
        <f>CONCATENATE('IV-2 vrsa'!F11)</f>
        <v>Lietuvos Respublikos žemės ūkio ministerija</v>
      </c>
      <c r="G29" s="515" t="str">
        <f>CONCATENATE('IV-2 vrsa'!G11)</f>
        <v>Varėnos rajono savivaldybė</v>
      </c>
      <c r="H29" s="515" t="str">
        <f>CONCATENATE('IV-2 vrsa'!H11)</f>
        <v xml:space="preserve">Pagrindinės paslaugos ir kaimų atnaujinimas kaimo vietovėse </v>
      </c>
      <c r="I29" s="480" t="str">
        <f>CONCATENATE('IV-2 vrsa'!I11)</f>
        <v>R</v>
      </c>
      <c r="J29" s="480" t="str">
        <f>CONCATENATE('IV-2 vrsa'!J11)</f>
        <v>-</v>
      </c>
      <c r="K29" s="590" t="s">
        <v>66</v>
      </c>
      <c r="L29" s="516">
        <f>SUM('IV-2 vrsa'!L11)</f>
        <v>250000</v>
      </c>
      <c r="M29" s="516">
        <f>SUM('ketv. 6 lent'!K28)</f>
        <v>0</v>
      </c>
      <c r="N29" s="516">
        <f t="shared" si="12"/>
        <v>0</v>
      </c>
      <c r="O29" s="516">
        <f>SUM('IV-2 vrsa'!M11)</f>
        <v>50000</v>
      </c>
      <c r="P29" s="516">
        <f>SUM('ketv. 6 lent'!O28)</f>
        <v>0</v>
      </c>
      <c r="Q29" s="516">
        <f t="shared" si="13"/>
        <v>0</v>
      </c>
      <c r="R29" s="516">
        <f>SUM('IV-2 vrsa'!N11)</f>
        <v>30000</v>
      </c>
      <c r="S29" s="516">
        <f>SUM('ketv. 6 lent'!S28)</f>
        <v>0</v>
      </c>
      <c r="T29" s="516">
        <f t="shared" si="14"/>
        <v>0</v>
      </c>
      <c r="U29" s="516">
        <f>SUM('IV-2 vrsa'!O11)</f>
        <v>0</v>
      </c>
      <c r="V29" s="516">
        <f>SUM('ketv. 6 lent'!W28)</f>
        <v>0</v>
      </c>
      <c r="W29" s="516">
        <f t="shared" si="15"/>
        <v>0</v>
      </c>
      <c r="X29" s="516">
        <f>SUM('IV-2 vrsa'!P11)</f>
        <v>0</v>
      </c>
      <c r="Y29" s="516">
        <f>SUM('ketv. 6 lent'!AA28)</f>
        <v>0</v>
      </c>
      <c r="Z29" s="516">
        <f t="shared" si="16"/>
        <v>0</v>
      </c>
      <c r="AA29" s="516">
        <f>SUM('IV-2 vrsa'!Q11)</f>
        <v>170000</v>
      </c>
      <c r="AB29" s="468" t="str">
        <f>IF('ketv. 4 lent'!V29&gt;0,"Taip","Ne")</f>
        <v>Ne</v>
      </c>
      <c r="AC29" s="468">
        <f>SUM('ketv. 6 lent'!AE28)</f>
        <v>0</v>
      </c>
      <c r="AD29" s="468">
        <f t="shared" si="6"/>
        <v>0</v>
      </c>
      <c r="AE29" s="1113">
        <f>SUM('IV-2 vrsa'!R11)</f>
        <v>42643</v>
      </c>
      <c r="AF29" s="587">
        <f>SUM('IV-2 vrsa'!S11)</f>
        <v>42855</v>
      </c>
      <c r="AG29" s="587">
        <f>SUM('IV-2 vrsa'!T11)</f>
        <v>43010</v>
      </c>
      <c r="AH29" s="587">
        <f>SUM('IV-2 vrsa'!U11)</f>
        <v>43102</v>
      </c>
      <c r="AI29" s="589">
        <f t="shared" si="17"/>
        <v>2018</v>
      </c>
      <c r="AJ29" s="1263">
        <f>SUM('IV-2 vrsa'!V11)</f>
        <v>43830</v>
      </c>
      <c r="AK29" s="468">
        <f t="shared" si="7"/>
        <v>0</v>
      </c>
      <c r="AL29" s="468">
        <f t="shared" si="8"/>
        <v>0</v>
      </c>
      <c r="AM29" s="468">
        <f t="shared" si="9"/>
        <v>170000</v>
      </c>
      <c r="AN29" s="468">
        <f t="shared" si="10"/>
        <v>0</v>
      </c>
      <c r="AO29" s="1264">
        <f t="shared" si="11"/>
        <v>0</v>
      </c>
      <c r="AP29" s="1265"/>
      <c r="AQ29" s="1265"/>
      <c r="AR29" s="1265"/>
    </row>
    <row r="30" spans="1:44" ht="39.75" thickTop="1" thickBot="1" x14ac:dyDescent="0.3">
      <c r="A30" s="515" t="s">
        <v>437</v>
      </c>
      <c r="B30" s="515" t="s">
        <v>1566</v>
      </c>
      <c r="C30" s="1262" t="str">
        <f>CONCATENATE('ketv. 2lent'!B29)</f>
        <v>20KI-KA-17-1-02364-PR001</v>
      </c>
      <c r="D30" s="515" t="str">
        <f>CONCATENATE('IV-2 lrsa'!D13)</f>
        <v>Kaimo gyvenamųjų vietovių Lazdijų rajono savivaldybėje patrauklumo gerinimas</v>
      </c>
      <c r="E30" s="515" t="str">
        <f>CONCATENATE('IV-2 lrsa'!E13)</f>
        <v>Lazdijų rajono savivaldybės administracija</v>
      </c>
      <c r="F30" s="515" t="str">
        <f>CONCATENATE('IV-2 lrsa'!F13)</f>
        <v>Lietuvos Respublikos žemės ūkio ministerija</v>
      </c>
      <c r="G30" s="515" t="str">
        <f>CONCATENATE('IV-2 lrsa'!G13)</f>
        <v>Lazdijų rajono savivaldybė</v>
      </c>
      <c r="H30" s="515" t="str">
        <f>CONCATENATE('IV-2 lrsa'!H13)</f>
        <v xml:space="preserve">Pagrindinės paslaugos ir kaimų atnaujinimas kaimo vietovėse </v>
      </c>
      <c r="I30" s="480" t="str">
        <f>CONCATENATE('IV-2 lrsa'!I13)</f>
        <v>R</v>
      </c>
      <c r="J30" s="480" t="str">
        <f>CONCATENATE('IV-2 lrsa'!J13)</f>
        <v>-</v>
      </c>
      <c r="K30" s="480" t="str">
        <f>CONCATENATE('IV-2 lrsa'!K13)</f>
        <v>-</v>
      </c>
      <c r="L30" s="516">
        <f>SUM('IV-2 lrsa'!L13)</f>
        <v>170000</v>
      </c>
      <c r="M30" s="516">
        <f>SUM('ketv. 6 lent'!K29)</f>
        <v>170000</v>
      </c>
      <c r="N30" s="516">
        <f t="shared" si="12"/>
        <v>0</v>
      </c>
      <c r="O30" s="516">
        <f>SUM('IV-2 lrsa'!M13)</f>
        <v>34000</v>
      </c>
      <c r="P30" s="516">
        <f>SUM('ketv. 6 lent'!O29)</f>
        <v>34000</v>
      </c>
      <c r="Q30" s="516">
        <f t="shared" si="13"/>
        <v>0</v>
      </c>
      <c r="R30" s="516">
        <f>SUM('IV-2 lrsa'!N13)</f>
        <v>20400</v>
      </c>
      <c r="S30" s="516">
        <f>SUM('ketv. 6 lent'!S29)</f>
        <v>20400</v>
      </c>
      <c r="T30" s="516">
        <f t="shared" si="14"/>
        <v>0</v>
      </c>
      <c r="U30" s="516">
        <f>SUM('IV-2 lrsa'!O13)</f>
        <v>0</v>
      </c>
      <c r="V30" s="516">
        <f>SUM('ketv. 6 lent'!W29)</f>
        <v>0</v>
      </c>
      <c r="W30" s="516">
        <f t="shared" si="15"/>
        <v>0</v>
      </c>
      <c r="X30" s="516">
        <f>SUM('IV-2 lrsa'!P13)</f>
        <v>0</v>
      </c>
      <c r="Y30" s="516">
        <f>SUM('ketv. 6 lent'!AA29)</f>
        <v>0</v>
      </c>
      <c r="Z30" s="516">
        <f t="shared" si="16"/>
        <v>0</v>
      </c>
      <c r="AA30" s="516">
        <f>SUM('IV-2 lrsa'!Q13)</f>
        <v>115600</v>
      </c>
      <c r="AB30" s="468" t="str">
        <f>IF('ketv. 4 lent'!V30&gt;0,"Taip","Ne")</f>
        <v>Taip</v>
      </c>
      <c r="AC30" s="468">
        <f>SUM('ketv. 6 lent'!AE29)</f>
        <v>115600</v>
      </c>
      <c r="AD30" s="468">
        <f t="shared" si="6"/>
        <v>0</v>
      </c>
      <c r="AE30" s="1113">
        <f>SUM('IV-2 lrsa'!R13)</f>
        <v>42643</v>
      </c>
      <c r="AF30" s="587">
        <f>SUM('IV-2 lrsa'!S13)</f>
        <v>42855</v>
      </c>
      <c r="AG30" s="587">
        <f>SUM('IV-2 lrsa'!T13)</f>
        <v>43010</v>
      </c>
      <c r="AH30" s="587">
        <f>SUM('IV-2 lrsa'!U13)</f>
        <v>43102</v>
      </c>
      <c r="AI30" s="589">
        <f t="shared" si="17"/>
        <v>2018</v>
      </c>
      <c r="AJ30" s="1263">
        <f>SUM('IV-2 lrsa'!V13)</f>
        <v>43291</v>
      </c>
      <c r="AK30" s="468">
        <f t="shared" si="7"/>
        <v>0</v>
      </c>
      <c r="AL30" s="468">
        <f t="shared" si="8"/>
        <v>0</v>
      </c>
      <c r="AM30" s="468">
        <f t="shared" si="9"/>
        <v>115600</v>
      </c>
      <c r="AN30" s="468">
        <f t="shared" si="10"/>
        <v>0</v>
      </c>
      <c r="AO30" s="1264">
        <f t="shared" si="11"/>
        <v>0</v>
      </c>
      <c r="AP30" s="1265"/>
      <c r="AQ30" s="1265"/>
      <c r="AR30" s="1265"/>
    </row>
    <row r="31" spans="1:44" ht="39.75" thickTop="1" thickBot="1" x14ac:dyDescent="0.3">
      <c r="A31" s="515" t="s">
        <v>438</v>
      </c>
      <c r="B31" s="515" t="s">
        <v>1567</v>
      </c>
      <c r="C31" s="1262" t="str">
        <f>CONCATENATE('ketv. 2lent'!B30)</f>
        <v>20KI-KA-17-1-02241-PR001</v>
      </c>
      <c r="D31" s="515" t="str">
        <f>CONCATENATE('IV-2 arsa'!C15)</f>
        <v>Alytaus rajono Makniūnų kaimo šaligatvių atnaujinimas ir plėtra</v>
      </c>
      <c r="E31" s="515" t="str">
        <f>CONCATENATE('IV-2 arsa'!D15)</f>
        <v>Alytaus rajono savivaldybės administracija</v>
      </c>
      <c r="F31" s="515" t="str">
        <f>CONCATENATE('IV-2 arsa'!E15)</f>
        <v>Lietuvos Respublikos žemės ūkio ministerija</v>
      </c>
      <c r="G31" s="515" t="str">
        <f>CONCATENATE('IV-2 arsa'!F15)</f>
        <v>Alytaus rajono savivaldybė</v>
      </c>
      <c r="H31" s="515" t="str">
        <f>CONCATENATE('IV-2 arsa'!G15)</f>
        <v xml:space="preserve">Pagrindinės paslaugos ir kaimų atnaujinimas kaimo vietovėse </v>
      </c>
      <c r="I31" s="480" t="str">
        <f>CONCATENATE('IV-2 arsa'!H15)</f>
        <v>R</v>
      </c>
      <c r="J31" s="480" t="str">
        <f>CONCATENATE('IV-2 arsa'!I15)</f>
        <v>-</v>
      </c>
      <c r="K31" s="480" t="str">
        <f>CONCATENATE('IV-2 arsa'!J15)</f>
        <v>-</v>
      </c>
      <c r="L31" s="516">
        <f>SUM('IV-2 arsa'!K15)</f>
        <v>70991</v>
      </c>
      <c r="M31" s="516">
        <f>SUM('ketv. 6 lent'!K30)</f>
        <v>0</v>
      </c>
      <c r="N31" s="516">
        <f t="shared" si="12"/>
        <v>0</v>
      </c>
      <c r="O31" s="516">
        <f>SUM('IV-2 arsa'!L15)</f>
        <v>14198</v>
      </c>
      <c r="P31" s="516">
        <f>SUM('ketv. 6 lent'!O30)</f>
        <v>0</v>
      </c>
      <c r="Q31" s="516">
        <f t="shared" si="13"/>
        <v>0</v>
      </c>
      <c r="R31" s="516">
        <f>SUM('IV-2 arsa'!M15)</f>
        <v>8519</v>
      </c>
      <c r="S31" s="516">
        <f>SUM('ketv. 6 lent'!S30)</f>
        <v>0</v>
      </c>
      <c r="T31" s="516">
        <f t="shared" si="14"/>
        <v>0</v>
      </c>
      <c r="U31" s="516">
        <f>SUM('IV-2 arsa'!N15)</f>
        <v>0</v>
      </c>
      <c r="V31" s="516">
        <f>SUM('ketv. 6 lent'!W30)</f>
        <v>0</v>
      </c>
      <c r="W31" s="516">
        <f t="shared" si="15"/>
        <v>0</v>
      </c>
      <c r="X31" s="516">
        <f>SUM('IV-2 arsa'!O15)</f>
        <v>0</v>
      </c>
      <c r="Y31" s="516">
        <f>SUM('ketv. 6 lent'!AA30)</f>
        <v>0</v>
      </c>
      <c r="Z31" s="516">
        <f t="shared" si="16"/>
        <v>0</v>
      </c>
      <c r="AA31" s="516">
        <f>SUM('IV-2 arsa'!P15)</f>
        <v>48274</v>
      </c>
      <c r="AB31" s="468" t="str">
        <f>IF('ketv. 4 lent'!V31&gt;0,"Taip","Ne")</f>
        <v>Ne</v>
      </c>
      <c r="AC31" s="468">
        <f>SUM('ketv. 6 lent'!AE30)</f>
        <v>0</v>
      </c>
      <c r="AD31" s="468">
        <f t="shared" si="6"/>
        <v>0</v>
      </c>
      <c r="AE31" s="1113">
        <f>SUM('IV-2 arsa'!Q15)</f>
        <v>42643</v>
      </c>
      <c r="AF31" s="587">
        <f>SUM('IV-2 arsa'!R15)</f>
        <v>42855</v>
      </c>
      <c r="AG31" s="587">
        <f>SUM('IV-2 arsa'!S15)</f>
        <v>43010</v>
      </c>
      <c r="AH31" s="587">
        <f>SUM('IV-2 arsa'!T15)</f>
        <v>43102</v>
      </c>
      <c r="AI31" s="589">
        <f t="shared" si="17"/>
        <v>2018</v>
      </c>
      <c r="AJ31" s="1263">
        <f>SUM('IV-2 arsa'!U15)</f>
        <v>43465</v>
      </c>
      <c r="AK31" s="468">
        <f t="shared" si="7"/>
        <v>0</v>
      </c>
      <c r="AL31" s="468">
        <f t="shared" si="8"/>
        <v>0</v>
      </c>
      <c r="AM31" s="468">
        <f t="shared" si="9"/>
        <v>48274</v>
      </c>
      <c r="AN31" s="468">
        <f t="shared" si="10"/>
        <v>0</v>
      </c>
      <c r="AO31" s="1264">
        <f t="shared" si="11"/>
        <v>0</v>
      </c>
      <c r="AP31" s="1265"/>
      <c r="AQ31" s="1265"/>
      <c r="AR31" s="1265"/>
    </row>
    <row r="32" spans="1:44" ht="39.75" thickTop="1" thickBot="1" x14ac:dyDescent="0.3">
      <c r="A32" s="515" t="s">
        <v>439</v>
      </c>
      <c r="B32" s="515" t="s">
        <v>1552</v>
      </c>
      <c r="C32" s="1262" t="str">
        <f>CONCATENATE('ketv. 2lent'!B31)</f>
        <v/>
      </c>
      <c r="D32" s="515" t="str">
        <f>CONCATENATE('IV-2 vrsa'!D12)</f>
        <v>Varėnos r. Vazgirdonių kaimo Klevų gatvės įrengimas</v>
      </c>
      <c r="E32" s="515" t="str">
        <f>CONCATENATE('IV-2 vrsa'!E12)</f>
        <v xml:space="preserve">Varėnos rajono savivaldybės administracija </v>
      </c>
      <c r="F32" s="515" t="str">
        <f>CONCATENATE('IV-2 vrsa'!F12)</f>
        <v>Lietuvos Respublikos žemės ūkio ministerija</v>
      </c>
      <c r="G32" s="515" t="str">
        <f>CONCATENATE('IV-2 vrsa'!G12)</f>
        <v>Varėnos rajono savivaldybė</v>
      </c>
      <c r="H32" s="515" t="str">
        <f>CONCATENATE('IV-2 vrsa'!H12)</f>
        <v xml:space="preserve">Pagrindinės paslaugos ir kaimų atnaujinimas kaimo vietovėse </v>
      </c>
      <c r="I32" s="480" t="str">
        <f>CONCATENATE('IV-2 vrsa'!I12)</f>
        <v>R</v>
      </c>
      <c r="J32" s="480" t="str">
        <f>CONCATENATE('IV-2 vrsa'!J12)</f>
        <v>-</v>
      </c>
      <c r="K32" s="480" t="str">
        <f>CONCATENATE('IV-2 vrsa'!K12)</f>
        <v>rez.***</v>
      </c>
      <c r="L32" s="516">
        <f>SUM('IV-2 vrsa'!L12)</f>
        <v>160049</v>
      </c>
      <c r="M32" s="516">
        <f>SUM('ketv. 6 lent'!K31)</f>
        <v>0</v>
      </c>
      <c r="N32" s="516">
        <f t="shared" si="12"/>
        <v>0</v>
      </c>
      <c r="O32" s="516">
        <f>SUM('IV-2 vrsa'!M12)</f>
        <v>32010</v>
      </c>
      <c r="P32" s="516">
        <f>SUM('ketv. 6 lent'!O31)</f>
        <v>0</v>
      </c>
      <c r="Q32" s="516">
        <f t="shared" si="13"/>
        <v>0</v>
      </c>
      <c r="R32" s="516">
        <f>SUM('IV-2 vrsa'!N12)</f>
        <v>19206</v>
      </c>
      <c r="S32" s="516">
        <f>SUM('ketv. 6 lent'!S31)</f>
        <v>0</v>
      </c>
      <c r="T32" s="516">
        <f t="shared" si="14"/>
        <v>0</v>
      </c>
      <c r="U32" s="516">
        <f>SUM('IV-2 vrsa'!O12)</f>
        <v>0</v>
      </c>
      <c r="V32" s="516">
        <f>SUM('ketv. 6 lent'!W31)</f>
        <v>0</v>
      </c>
      <c r="W32" s="516">
        <f t="shared" si="15"/>
        <v>0</v>
      </c>
      <c r="X32" s="516">
        <f>SUM('IV-2 vrsa'!P12)</f>
        <v>0</v>
      </c>
      <c r="Y32" s="516">
        <f>SUM('ketv. 6 lent'!AA31)</f>
        <v>0</v>
      </c>
      <c r="Z32" s="516">
        <f t="shared" si="16"/>
        <v>0</v>
      </c>
      <c r="AA32" s="516">
        <f>SUM('IV-2 vrsa'!Q12)</f>
        <v>108833</v>
      </c>
      <c r="AB32" s="468" t="str">
        <f>IF('ketv. 4 lent'!V32&gt;0,"Taip","Ne")</f>
        <v>Ne</v>
      </c>
      <c r="AC32" s="468">
        <f>SUM('ketv. 6 lent'!AE31)</f>
        <v>0</v>
      </c>
      <c r="AD32" s="468">
        <f t="shared" si="6"/>
        <v>0</v>
      </c>
      <c r="AE32" s="1113">
        <f>SUM('IV-2 vrsa'!R12)</f>
        <v>42643</v>
      </c>
      <c r="AF32" s="587">
        <f>SUM('IV-2 vrsa'!S12)</f>
        <v>42855</v>
      </c>
      <c r="AG32" s="587">
        <f>SUM('IV-2 vrsa'!T12)</f>
        <v>43010</v>
      </c>
      <c r="AH32" s="587">
        <f>SUM('IV-2 vrsa'!U12)</f>
        <v>43102</v>
      </c>
      <c r="AI32" s="589">
        <f t="shared" si="17"/>
        <v>2018</v>
      </c>
      <c r="AJ32" s="1263">
        <f>SUM('IV-2 vrsa'!V12)</f>
        <v>43830</v>
      </c>
      <c r="AK32" s="468">
        <f t="shared" si="7"/>
        <v>0</v>
      </c>
      <c r="AL32" s="468">
        <f t="shared" si="8"/>
        <v>0</v>
      </c>
      <c r="AM32" s="468">
        <f t="shared" si="9"/>
        <v>108833</v>
      </c>
      <c r="AN32" s="468">
        <f t="shared" si="10"/>
        <v>0</v>
      </c>
      <c r="AO32" s="1264">
        <f t="shared" si="11"/>
        <v>0</v>
      </c>
      <c r="AP32" s="1265"/>
      <c r="AQ32" s="1265"/>
      <c r="AR32" s="1265"/>
    </row>
    <row r="33" spans="1:47" s="241" customFormat="1" ht="35.25" customHeight="1" thickBot="1" x14ac:dyDescent="0.3">
      <c r="A33" s="1257" t="s">
        <v>14</v>
      </c>
      <c r="B33" s="1627" t="s">
        <v>1774</v>
      </c>
      <c r="C33" s="1610"/>
      <c r="D33" s="1610"/>
      <c r="E33" s="1610"/>
      <c r="F33" s="1610"/>
      <c r="G33" s="1610"/>
      <c r="H33" s="1610"/>
      <c r="I33" s="1610"/>
      <c r="J33" s="1610"/>
      <c r="K33" s="1611"/>
      <c r="L33" s="1258">
        <f t="shared" ref="L33:AA33" si="18">SUM(L34:L38)</f>
        <v>3386329</v>
      </c>
      <c r="M33" s="1258">
        <f>SUM(M34:M38)</f>
        <v>0</v>
      </c>
      <c r="N33" s="1258">
        <f>SUM(N34:N38)</f>
        <v>0</v>
      </c>
      <c r="O33" s="1258">
        <f t="shared" si="18"/>
        <v>321365</v>
      </c>
      <c r="P33" s="1258">
        <f>SUM(P34:P38)</f>
        <v>0</v>
      </c>
      <c r="Q33" s="1258">
        <f>SUM(Q34:Q38)</f>
        <v>0</v>
      </c>
      <c r="R33" s="1258">
        <f t="shared" si="18"/>
        <v>248511</v>
      </c>
      <c r="S33" s="1258">
        <f>SUM(S34:S38)</f>
        <v>0</v>
      </c>
      <c r="T33" s="1258">
        <f>SUM(T34:T38)</f>
        <v>0</v>
      </c>
      <c r="U33" s="1258">
        <f t="shared" si="18"/>
        <v>0</v>
      </c>
      <c r="V33" s="1258">
        <f>SUM(V34:V38)</f>
        <v>0</v>
      </c>
      <c r="W33" s="1258">
        <f>SUM(W34:W38)</f>
        <v>0</v>
      </c>
      <c r="X33" s="1258">
        <f t="shared" si="18"/>
        <v>0</v>
      </c>
      <c r="Y33" s="1258">
        <f>SUM(Y34:Y38)</f>
        <v>0</v>
      </c>
      <c r="Z33" s="1258">
        <f>SUM(Z34:Z38)</f>
        <v>0</v>
      </c>
      <c r="AA33" s="1258">
        <f t="shared" si="18"/>
        <v>2816453</v>
      </c>
      <c r="AB33" s="1270"/>
      <c r="AC33" s="1270">
        <f>SUM(AC34:AC38)</f>
        <v>0</v>
      </c>
      <c r="AD33" s="1270">
        <f>SUM(AD34:AD38)</f>
        <v>0</v>
      </c>
      <c r="AE33" s="1270"/>
      <c r="AF33" s="1271"/>
      <c r="AG33" s="1271"/>
      <c r="AH33" s="1271"/>
      <c r="AI33" s="1272"/>
      <c r="AJ33" s="1273"/>
      <c r="AK33" s="1274">
        <f>SUM(AK34:AK38)</f>
        <v>0</v>
      </c>
      <c r="AL33" s="1274">
        <f t="shared" ref="AL33:AO33" si="19">SUM(AL34:AL38)</f>
        <v>0</v>
      </c>
      <c r="AM33" s="1274">
        <f t="shared" si="19"/>
        <v>2816453</v>
      </c>
      <c r="AN33" s="1274">
        <f t="shared" si="19"/>
        <v>0</v>
      </c>
      <c r="AO33" s="1274">
        <f t="shared" si="19"/>
        <v>0</v>
      </c>
      <c r="AP33" s="1275">
        <f>SUM('IV-2 amsa'!W9+'IV-2 arsa'!V16+'IV-2 dsa'!V12+'IV-2 lrsa'!W14+'IV-2 vrsa'!W13)</f>
        <v>2816452.5292248097</v>
      </c>
      <c r="AQ33" s="1275">
        <f>SUM(AP33*120/100)</f>
        <v>3379743.0350697716</v>
      </c>
      <c r="AR33" s="1275">
        <f>SUM(AP33-AA33)</f>
        <v>-0.47077519027516246</v>
      </c>
      <c r="AT33" s="1276"/>
      <c r="AU33" s="1276"/>
    </row>
    <row r="34" spans="1:47" ht="39.75" thickTop="1" thickBot="1" x14ac:dyDescent="0.3">
      <c r="A34" s="515" t="s">
        <v>69</v>
      </c>
      <c r="B34" s="515" t="s">
        <v>1569</v>
      </c>
      <c r="C34" s="1262" t="str">
        <f>CONCATENATE('ketv. 2lent'!B33)</f>
        <v/>
      </c>
      <c r="D34" s="515" t="str">
        <f>CONCATENATE('IV-2 vrsa'!D14)</f>
        <v>Matuizų kaimo viešosios infrastruktūros atnaujinimas ir pritaikymas bendruomenės poreikiams</v>
      </c>
      <c r="E34" s="515" t="str">
        <f>CONCATENATE('IV-2 vrsa'!E14)</f>
        <v>Varėnos rajono savivaldybės administracija</v>
      </c>
      <c r="F34" s="515" t="str">
        <f>CONCATENATE('IV-2 vrsa'!F14)</f>
        <v>Lietuvos Respublikos vidaus reikalų ministerija</v>
      </c>
      <c r="G34" s="515" t="str">
        <f>CONCATENATE('IV-2 vrsa'!G14)</f>
        <v>Varėnos rajono savivaldybė</v>
      </c>
      <c r="H34" s="518" t="str">
        <f>CONCATENATE('IV-2 vrsa'!H14)</f>
        <v>8.2.1-CPVA-R-908</v>
      </c>
      <c r="I34" s="480" t="str">
        <f>CONCATENATE('IV-2 vrsa'!I14)</f>
        <v>R</v>
      </c>
      <c r="J34" s="480" t="str">
        <f>CONCATENATE('IV-2 vrsa'!J14)</f>
        <v>-</v>
      </c>
      <c r="K34" s="480" t="str">
        <f>CONCATENATE('IV-2 vrsa'!K14)</f>
        <v>-</v>
      </c>
      <c r="L34" s="516">
        <f>SUM('IV-2 vrsa'!L14)</f>
        <v>646197</v>
      </c>
      <c r="M34" s="516">
        <f>SUM('ketv. 6 lent'!K33)</f>
        <v>0</v>
      </c>
      <c r="N34" s="516">
        <f t="shared" ref="N34:N38" si="20">IF(M34&gt;0,L34-M34,0)</f>
        <v>0</v>
      </c>
      <c r="O34" s="516">
        <f>SUM('IV-2 vrsa'!M14)</f>
        <v>115855</v>
      </c>
      <c r="P34" s="516">
        <f>SUM('ketv. 6 lent'!O33)</f>
        <v>0</v>
      </c>
      <c r="Q34" s="516">
        <f t="shared" ref="Q34:Q38" si="21">IF(P34&gt;0,O34-P34,0)</f>
        <v>0</v>
      </c>
      <c r="R34" s="516">
        <f>SUM('IV-2 vrsa'!N14)</f>
        <v>43001</v>
      </c>
      <c r="S34" s="516">
        <f>SUM('ketv. 6 lent'!S33)</f>
        <v>0</v>
      </c>
      <c r="T34" s="516">
        <f t="shared" ref="T34:T38" si="22">IF(S34&gt;0,R34-S34,0)</f>
        <v>0</v>
      </c>
      <c r="U34" s="516">
        <f>SUM('IV-2 vrsa'!O14)</f>
        <v>0</v>
      </c>
      <c r="V34" s="516">
        <f>SUM('ketv. 6 lent'!W33)</f>
        <v>0</v>
      </c>
      <c r="W34" s="516">
        <f t="shared" ref="W34:W38" si="23">IF(V34&gt;0,U34-V34,0)</f>
        <v>0</v>
      </c>
      <c r="X34" s="516">
        <f>SUM('IV-2 vrsa'!P14)</f>
        <v>0</v>
      </c>
      <c r="Y34" s="516">
        <f>SUM('ketv. 6 lent'!AA33)</f>
        <v>0</v>
      </c>
      <c r="Z34" s="516">
        <f t="shared" ref="Z34:Z38" si="24">IF(Y34&gt;0,X34-Y34,0)</f>
        <v>0</v>
      </c>
      <c r="AA34" s="516">
        <f>SUM('IV-2 vrsa'!Q14)</f>
        <v>487341</v>
      </c>
      <c r="AB34" s="468" t="str">
        <f>IF('ketv. 4 lent'!V34&gt;0,"Taip","Ne")</f>
        <v>Ne</v>
      </c>
      <c r="AC34" s="468">
        <f>SUM('ketv. 6 lent'!AE33)</f>
        <v>0</v>
      </c>
      <c r="AD34" s="468">
        <f>IF(AC34&gt;0,AA34-AC34,0)</f>
        <v>0</v>
      </c>
      <c r="AE34" s="1113">
        <f>SUM('IV-2 vrsa'!R14)</f>
        <v>43006</v>
      </c>
      <c r="AF34" s="587">
        <f>SUM('IV-2 vrsa'!S14)</f>
        <v>43100</v>
      </c>
      <c r="AG34" s="587">
        <f>SUM('IV-2 vrsa'!T14)</f>
        <v>43189</v>
      </c>
      <c r="AH34" s="587">
        <f>SUM('IV-2 vrsa'!U14)</f>
        <v>43281</v>
      </c>
      <c r="AI34" s="589">
        <f>IF(YEAR(AH34),YEAR(AH34))</f>
        <v>2018</v>
      </c>
      <c r="AJ34" s="1263">
        <f>SUM('IV-2 vrsa'!V14)</f>
        <v>44196</v>
      </c>
      <c r="AK34" s="468">
        <f>IF(YEAR(AH34)=2016,AA34,0)</f>
        <v>0</v>
      </c>
      <c r="AL34" s="468">
        <f>IF(YEAR(AH34)=2017,AA34,0)</f>
        <v>0</v>
      </c>
      <c r="AM34" s="468">
        <f>IF(YEAR(AH34)=2018,AA34,0)</f>
        <v>487341</v>
      </c>
      <c r="AN34" s="468">
        <f>IF(YEAR(AH34)=2019,AA34,0)</f>
        <v>0</v>
      </c>
      <c r="AO34" s="1264">
        <f>IF(YEAR(AH34)=2020,AA34,0)</f>
        <v>0</v>
      </c>
      <c r="AP34" s="88"/>
      <c r="AQ34" s="88"/>
      <c r="AR34" s="88"/>
      <c r="AU34" s="1253"/>
    </row>
    <row r="35" spans="1:47" ht="39.75" thickTop="1" thickBot="1" x14ac:dyDescent="0.3">
      <c r="A35" s="515" t="s">
        <v>123</v>
      </c>
      <c r="B35" s="515" t="s">
        <v>1570</v>
      </c>
      <c r="C35" s="1262" t="str">
        <f>CONCATENATE('ketv. 2lent'!B34)</f>
        <v>08.2.1-CPVA-R-908-11-0001</v>
      </c>
      <c r="D35" s="515" t="str">
        <f>CONCATENATE('IV-2 vrsa'!D15)</f>
        <v>Senosios Varėnos kaimo viešosios infrastruktūros atnaujinimas ir pritaikymas bendruomenės poreikiams</v>
      </c>
      <c r="E35" s="515" t="str">
        <f>CONCATENATE('IV-2 vrsa'!E15)</f>
        <v>Varėnos rajono savivaldybės administracija</v>
      </c>
      <c r="F35" s="515" t="str">
        <f>CONCATENATE('IV-2 vrsa'!F15)</f>
        <v>Lietuvos Respublikos vidaus reikalų ministerija</v>
      </c>
      <c r="G35" s="515" t="str">
        <f>CONCATENATE('IV-2 vrsa'!G15)</f>
        <v>Varėnos rajono savivaldybė</v>
      </c>
      <c r="H35" s="518" t="str">
        <f>CONCATENATE('IV-2 vrsa'!H15)</f>
        <v>8.2.1-CPVA-R-908</v>
      </c>
      <c r="I35" s="480" t="str">
        <f>CONCATENATE('IV-2 vrsa'!I15)</f>
        <v>R</v>
      </c>
      <c r="J35" s="480" t="str">
        <f>CONCATENATE('IV-2 vrsa'!J15)</f>
        <v>-</v>
      </c>
      <c r="K35" s="480" t="str">
        <f>CONCATENATE('IV-2 vrsa'!K15)</f>
        <v>-</v>
      </c>
      <c r="L35" s="516">
        <f>SUM('IV-2 vrsa'!L15)</f>
        <v>605025</v>
      </c>
      <c r="M35" s="516">
        <f>SUM('ketv. 6 lent'!K34)</f>
        <v>0</v>
      </c>
      <c r="N35" s="516">
        <f t="shared" si="20"/>
        <v>0</v>
      </c>
      <c r="O35" s="516">
        <f>SUM('IV-2 vrsa'!M15)</f>
        <v>45377</v>
      </c>
      <c r="P35" s="516">
        <f>SUM('ketv. 6 lent'!O34)</f>
        <v>0</v>
      </c>
      <c r="Q35" s="516">
        <f t="shared" si="21"/>
        <v>0</v>
      </c>
      <c r="R35" s="516">
        <f>SUM('IV-2 vrsa'!N15)</f>
        <v>45377</v>
      </c>
      <c r="S35" s="516">
        <f>SUM('ketv. 6 lent'!S34)</f>
        <v>0</v>
      </c>
      <c r="T35" s="516">
        <f t="shared" si="22"/>
        <v>0</v>
      </c>
      <c r="U35" s="516">
        <f>SUM('IV-2 vrsa'!O15)</f>
        <v>0</v>
      </c>
      <c r="V35" s="516">
        <f>SUM('ketv. 6 lent'!W34)</f>
        <v>0</v>
      </c>
      <c r="W35" s="516">
        <f t="shared" si="23"/>
        <v>0</v>
      </c>
      <c r="X35" s="516">
        <f>SUM('IV-2 vrsa'!P15)</f>
        <v>0</v>
      </c>
      <c r="Y35" s="516">
        <f>SUM('ketv. 6 lent'!AA34)</f>
        <v>0</v>
      </c>
      <c r="Z35" s="516">
        <f t="shared" si="24"/>
        <v>0</v>
      </c>
      <c r="AA35" s="516">
        <f>SUM('IV-2 vrsa'!Q15)</f>
        <v>514271</v>
      </c>
      <c r="AB35" s="468" t="str">
        <f>IF('ketv. 4 lent'!V35&gt;0,"Taip","Ne")</f>
        <v>Ne</v>
      </c>
      <c r="AC35" s="468">
        <f>SUM('ketv. 6 lent'!AE34)</f>
        <v>0</v>
      </c>
      <c r="AD35" s="468">
        <f>IF(AC35&gt;0,AA35-AC35,0)</f>
        <v>0</v>
      </c>
      <c r="AE35" s="1113">
        <f>SUM('IV-2 vrsa'!R15)</f>
        <v>42982</v>
      </c>
      <c r="AF35" s="587">
        <f>SUM('IV-2 vrsa'!S15)</f>
        <v>42978</v>
      </c>
      <c r="AG35" s="587">
        <f>SUM('IV-2 vrsa'!T15)</f>
        <v>43039</v>
      </c>
      <c r="AH35" s="587">
        <f>SUM('IV-2 vrsa'!U15)</f>
        <v>43131</v>
      </c>
      <c r="AI35" s="589">
        <f t="shared" ref="AI35:AI38" si="25">IF(YEAR(AH35),YEAR(AH35))</f>
        <v>2018</v>
      </c>
      <c r="AJ35" s="1263">
        <f>SUM('IV-2 vrsa'!V15)</f>
        <v>44196</v>
      </c>
      <c r="AK35" s="468">
        <f>IF(YEAR(AH35)=2016,AA35,0)</f>
        <v>0</v>
      </c>
      <c r="AL35" s="468">
        <f>IF(YEAR(AH35)=2017,AA35,0)</f>
        <v>0</v>
      </c>
      <c r="AM35" s="468">
        <f>IF(YEAR(AH35)=2018,AA35,0)</f>
        <v>514271</v>
      </c>
      <c r="AN35" s="468">
        <f>IF(YEAR(AH35)=2019,AA35,0)</f>
        <v>0</v>
      </c>
      <c r="AO35" s="1264">
        <f>IF(YEAR(AH35)=2020,AA35,0)</f>
        <v>0</v>
      </c>
      <c r="AP35" s="88"/>
      <c r="AQ35" s="88"/>
      <c r="AR35" s="88"/>
    </row>
    <row r="36" spans="1:47" ht="39.75" thickTop="1" thickBot="1" x14ac:dyDescent="0.3">
      <c r="A36" s="515" t="s">
        <v>197</v>
      </c>
      <c r="B36" s="515" t="s">
        <v>1571</v>
      </c>
      <c r="C36" s="1262" t="str">
        <f>CONCATENATE('ketv. 2lent'!B35)</f>
        <v/>
      </c>
      <c r="D36" s="515" t="str">
        <f>CONCATENATE('IV-2 arsa'!C17)</f>
        <v>Kompleksinė Miklusėnų gyvenvietės plėtra</v>
      </c>
      <c r="E36" s="515" t="str">
        <f>CONCATENATE('IV-2 arsa'!D17)</f>
        <v>Alytaus rajono savivaldybės administracija</v>
      </c>
      <c r="F36" s="515" t="str">
        <f>CONCATENATE('IV-2 arsa'!E17)</f>
        <v>Lietuvos Respublikos vidaus reikalų ministerija</v>
      </c>
      <c r="G36" s="515" t="str">
        <f>CONCATENATE('IV-2 arsa'!F17)</f>
        <v>Alytaus rajono  savivaldybė</v>
      </c>
      <c r="H36" s="518" t="str">
        <f>CONCATENATE('IV-2 arsa'!G17)</f>
        <v>8.2.1-CPVA-R-908</v>
      </c>
      <c r="I36" s="480" t="str">
        <f>CONCATENATE('IV-2 arsa'!H17)</f>
        <v>R</v>
      </c>
      <c r="J36" s="480" t="str">
        <f>CONCATENATE('IV-2 arsa'!I17)</f>
        <v>-</v>
      </c>
      <c r="K36" s="480" t="str">
        <f>CONCATENATE('IV-2 arsa'!J17)</f>
        <v>-</v>
      </c>
      <c r="L36" s="516">
        <f>SUM('IV-2 arsa'!K17)</f>
        <v>1043467</v>
      </c>
      <c r="M36" s="516">
        <f>SUM('ketv. 6 lent'!K35)</f>
        <v>0</v>
      </c>
      <c r="N36" s="516">
        <f t="shared" si="20"/>
        <v>0</v>
      </c>
      <c r="O36" s="516">
        <f>SUM('IV-2 arsa'!L17)</f>
        <v>78260</v>
      </c>
      <c r="P36" s="516">
        <f>SUM('ketv. 6 lent'!O35)</f>
        <v>0</v>
      </c>
      <c r="Q36" s="516">
        <f t="shared" si="21"/>
        <v>0</v>
      </c>
      <c r="R36" s="516">
        <f>SUM('IV-2 arsa'!M17)</f>
        <v>78260</v>
      </c>
      <c r="S36" s="516">
        <f>SUM('ketv. 6 lent'!S35)</f>
        <v>0</v>
      </c>
      <c r="T36" s="516">
        <f t="shared" si="22"/>
        <v>0</v>
      </c>
      <c r="U36" s="516">
        <f>SUM('IV-2 arsa'!N17)</f>
        <v>0</v>
      </c>
      <c r="V36" s="516">
        <f>SUM('ketv. 6 lent'!W35)</f>
        <v>0</v>
      </c>
      <c r="W36" s="516">
        <f t="shared" si="23"/>
        <v>0</v>
      </c>
      <c r="X36" s="516">
        <f>SUM('IV-2 arsa'!O17)</f>
        <v>0</v>
      </c>
      <c r="Y36" s="516">
        <f>SUM('ketv. 6 lent'!AA35)</f>
        <v>0</v>
      </c>
      <c r="Z36" s="516">
        <f t="shared" si="24"/>
        <v>0</v>
      </c>
      <c r="AA36" s="516">
        <f>SUM('IV-2 arsa'!P17)</f>
        <v>886947</v>
      </c>
      <c r="AB36" s="468" t="str">
        <f>IF('ketv. 4 lent'!V36&gt;0,"Taip","Ne")</f>
        <v>Ne</v>
      </c>
      <c r="AC36" s="468">
        <f>SUM('ketv. 6 lent'!AE35)</f>
        <v>0</v>
      </c>
      <c r="AD36" s="468">
        <f>IF(AC36&gt;0,AA36-AC36,0)</f>
        <v>0</v>
      </c>
      <c r="AE36" s="1113">
        <v>43130</v>
      </c>
      <c r="AF36" s="587">
        <f>SUM('IV-2 arsa'!R17)</f>
        <v>43190</v>
      </c>
      <c r="AG36" s="587">
        <f>SUM('IV-2 arsa'!S17)</f>
        <v>43281</v>
      </c>
      <c r="AH36" s="587">
        <f>SUM('IV-2 arsa'!T17)</f>
        <v>43373</v>
      </c>
      <c r="AI36" s="589">
        <f t="shared" si="25"/>
        <v>2018</v>
      </c>
      <c r="AJ36" s="1263">
        <f>SUM('IV-2 arsa'!U17)</f>
        <v>44196</v>
      </c>
      <c r="AK36" s="468">
        <f>IF(YEAR(AH36)=2016,AA36,0)</f>
        <v>0</v>
      </c>
      <c r="AL36" s="468">
        <f>IF(YEAR(AH36)=2017,AA36,0)</f>
        <v>0</v>
      </c>
      <c r="AM36" s="468">
        <f>IF(YEAR(AH36)=2018,AA36,0)</f>
        <v>886947</v>
      </c>
      <c r="AN36" s="468">
        <f>IF(YEAR(AH36)=2019,AA36,0)</f>
        <v>0</v>
      </c>
      <c r="AO36" s="1264">
        <f>IF(YEAR(AH36)=2020,AA36,0)</f>
        <v>0</v>
      </c>
      <c r="AP36" s="88"/>
      <c r="AQ36" s="88"/>
      <c r="AR36" s="88"/>
    </row>
    <row r="37" spans="1:47" ht="52.5" thickTop="1" thickBot="1" x14ac:dyDescent="0.3">
      <c r="A37" s="515" t="s">
        <v>231</v>
      </c>
      <c r="B37" s="515" t="s">
        <v>1572</v>
      </c>
      <c r="C37" s="1262" t="str">
        <f>CONCATENATE('ketv. 2lent'!B36)</f>
        <v/>
      </c>
      <c r="D37" s="515" t="str">
        <f>CONCATENATE('IV-2 dsa'!C13)</f>
        <v>Leipalingio viešosios erdvės pritaikymas bendruomenės poreikiams</v>
      </c>
      <c r="E37" s="515" t="str">
        <f>CONCATENATE('IV-2 dsa'!D13)</f>
        <v xml:space="preserve">Druskininkų savivaldybės administracija  </v>
      </c>
      <c r="F37" s="515" t="str">
        <f>CONCATENATE('IV-2 dsa'!E13)</f>
        <v>Lietuvos Respublikos vidaus reikalų ministerija</v>
      </c>
      <c r="G37" s="515" t="str">
        <f>CONCATENATE('IV-2 dsa'!F13)</f>
        <v>Druskininkų savivaldybė, Leipalingio seniūnija</v>
      </c>
      <c r="H37" s="518" t="str">
        <f>CONCATENATE('IV-2 dsa'!G13)</f>
        <v>8.2.1-CPVA-R-908</v>
      </c>
      <c r="I37" s="480" t="str">
        <f>CONCATENATE('IV-2 dsa'!H13)</f>
        <v>R</v>
      </c>
      <c r="J37" s="480" t="str">
        <f>CONCATENATE('IV-2 dsa'!I13)</f>
        <v>-</v>
      </c>
      <c r="K37" s="480" t="str">
        <f>CONCATENATE('IV-2 dsa'!J13)</f>
        <v>-</v>
      </c>
      <c r="L37" s="516">
        <f>SUM('IV-2 dsa'!K13)</f>
        <v>417761</v>
      </c>
      <c r="M37" s="516">
        <f>SUM('ketv. 6 lent'!K36)</f>
        <v>0</v>
      </c>
      <c r="N37" s="516">
        <f t="shared" si="20"/>
        <v>0</v>
      </c>
      <c r="O37" s="516">
        <f>SUM('IV-2 dsa'!L13)</f>
        <v>31332</v>
      </c>
      <c r="P37" s="516">
        <f>SUM('ketv. 6 lent'!O36)</f>
        <v>0</v>
      </c>
      <c r="Q37" s="516">
        <f t="shared" si="21"/>
        <v>0</v>
      </c>
      <c r="R37" s="516">
        <f>SUM('IV-2 dsa'!M13)</f>
        <v>31332</v>
      </c>
      <c r="S37" s="516">
        <f>SUM('ketv. 6 lent'!S36)</f>
        <v>0</v>
      </c>
      <c r="T37" s="516">
        <f t="shared" si="22"/>
        <v>0</v>
      </c>
      <c r="U37" s="516">
        <f>SUM('IV-2 dsa'!N13)</f>
        <v>0</v>
      </c>
      <c r="V37" s="516">
        <f>SUM('ketv. 6 lent'!W36)</f>
        <v>0</v>
      </c>
      <c r="W37" s="516">
        <f t="shared" si="23"/>
        <v>0</v>
      </c>
      <c r="X37" s="516">
        <f>SUM('IV-2 dsa'!O13)</f>
        <v>0</v>
      </c>
      <c r="Y37" s="516">
        <f>SUM('ketv. 6 lent'!AA36)</f>
        <v>0</v>
      </c>
      <c r="Z37" s="516">
        <f t="shared" si="24"/>
        <v>0</v>
      </c>
      <c r="AA37" s="516">
        <f>SUM('IV-2 dsa'!P13)</f>
        <v>355097</v>
      </c>
      <c r="AB37" s="468" t="str">
        <f>IF('ketv. 4 lent'!V37&gt;0,"Taip","Ne")</f>
        <v>Ne</v>
      </c>
      <c r="AC37" s="468">
        <f>SUM('ketv. 6 lent'!AE36)</f>
        <v>0</v>
      </c>
      <c r="AD37" s="468">
        <f>IF(AC37&gt;0,AA37-AC37,0)</f>
        <v>0</v>
      </c>
      <c r="AE37" s="1113">
        <f>SUM('IV-2 dsa'!Q13)</f>
        <v>43038</v>
      </c>
      <c r="AF37" s="587">
        <f>SUM('IV-2 dsa'!R13)</f>
        <v>43124</v>
      </c>
      <c r="AG37" s="587">
        <f>SUM('IV-2 dsa'!S13)</f>
        <v>43251</v>
      </c>
      <c r="AH37" s="587">
        <f>SUM('IV-2 dsa'!T13)</f>
        <v>43343</v>
      </c>
      <c r="AI37" s="589">
        <f t="shared" si="25"/>
        <v>2018</v>
      </c>
      <c r="AJ37" s="1263">
        <f>SUM('IV-2 dsa'!U13)</f>
        <v>43830</v>
      </c>
      <c r="AK37" s="468">
        <f>IF(YEAR(AH37)=2016,AA37,0)</f>
        <v>0</v>
      </c>
      <c r="AL37" s="468">
        <f>IF(YEAR(AH37)=2017,AA37,0)</f>
        <v>0</v>
      </c>
      <c r="AM37" s="468">
        <f>IF(YEAR(AH37)=2018,AA37,0)</f>
        <v>355097</v>
      </c>
      <c r="AN37" s="468">
        <f>IF(YEAR(AH37)=2019,AA37,0)</f>
        <v>0</v>
      </c>
      <c r="AO37" s="1264">
        <f>IF(YEAR(AH37)=2020,AA37,0)</f>
        <v>0</v>
      </c>
      <c r="AP37" s="88"/>
      <c r="AQ37" s="88"/>
      <c r="AR37" s="88"/>
    </row>
    <row r="38" spans="1:47" ht="52.5" thickTop="1" thickBot="1" x14ac:dyDescent="0.3">
      <c r="A38" s="515" t="s">
        <v>232</v>
      </c>
      <c r="B38" s="515" t="s">
        <v>1573</v>
      </c>
      <c r="C38" s="1262" t="str">
        <f>CONCATENATE('ketv. 2lent'!B37)</f>
        <v/>
      </c>
      <c r="D38" s="515" t="str">
        <f>CONCATENATE('IV-2 dsa'!C14)</f>
        <v>Viečiūnų viešosios erdvės pritaikymas bendruomenės poreikiams</v>
      </c>
      <c r="E38" s="515" t="str">
        <f>CONCATENATE('IV-2 dsa'!D14)</f>
        <v xml:space="preserve">Druskininkų savivaldybės administracija  </v>
      </c>
      <c r="F38" s="515" t="str">
        <f>CONCATENATE('IV-2 dsa'!E14)</f>
        <v>Lietuvos Respublikos vidaus reikalų ministerija</v>
      </c>
      <c r="G38" s="515" t="str">
        <f>CONCATENATE('IV-2 dsa'!F14)</f>
        <v>Druskininkų savivaldybė, Viečiūnų seniūnija</v>
      </c>
      <c r="H38" s="518" t="str">
        <f>CONCATENATE('IV-2 dsa'!G14)</f>
        <v>8.2.1-CPVA-R-908</v>
      </c>
      <c r="I38" s="480" t="str">
        <f>CONCATENATE('IV-2 dsa'!H14)</f>
        <v>R</v>
      </c>
      <c r="J38" s="480" t="str">
        <f>CONCATENATE('IV-2 dsa'!I14)</f>
        <v>-</v>
      </c>
      <c r="K38" s="480" t="str">
        <f>CONCATENATE('IV-2 dsa'!J14)</f>
        <v>-</v>
      </c>
      <c r="L38" s="516">
        <f>SUM('IV-2 dsa'!K14)</f>
        <v>673879</v>
      </c>
      <c r="M38" s="516">
        <f>SUM('ketv. 6 lent'!K37)</f>
        <v>0</v>
      </c>
      <c r="N38" s="516">
        <f t="shared" si="20"/>
        <v>0</v>
      </c>
      <c r="O38" s="516">
        <f>SUM('IV-2 dsa'!L14)</f>
        <v>50541</v>
      </c>
      <c r="P38" s="516">
        <f>SUM('ketv. 6 lent'!O37)</f>
        <v>0</v>
      </c>
      <c r="Q38" s="516">
        <f t="shared" si="21"/>
        <v>0</v>
      </c>
      <c r="R38" s="516">
        <f>SUM('IV-2 dsa'!M14)</f>
        <v>50541</v>
      </c>
      <c r="S38" s="516">
        <f>SUM('ketv. 6 lent'!S37)</f>
        <v>0</v>
      </c>
      <c r="T38" s="516">
        <f t="shared" si="22"/>
        <v>0</v>
      </c>
      <c r="U38" s="516">
        <f>SUM('IV-2 dsa'!N14)</f>
        <v>0</v>
      </c>
      <c r="V38" s="516">
        <f>SUM('ketv. 6 lent'!W37)</f>
        <v>0</v>
      </c>
      <c r="W38" s="516">
        <f t="shared" si="23"/>
        <v>0</v>
      </c>
      <c r="X38" s="516">
        <f>SUM('IV-2 dsa'!O14)</f>
        <v>0</v>
      </c>
      <c r="Y38" s="516">
        <f>SUM('ketv. 6 lent'!AA37)</f>
        <v>0</v>
      </c>
      <c r="Z38" s="516">
        <f t="shared" si="24"/>
        <v>0</v>
      </c>
      <c r="AA38" s="516">
        <f>SUM('IV-2 dsa'!P14)</f>
        <v>572797</v>
      </c>
      <c r="AB38" s="468" t="str">
        <f>IF('ketv. 4 lent'!V38&gt;0,"Taip","Ne")</f>
        <v>Ne</v>
      </c>
      <c r="AC38" s="468">
        <f>SUM('ketv. 6 lent'!AE37)</f>
        <v>0</v>
      </c>
      <c r="AD38" s="468">
        <f>IF(AC38&gt;0,AA38-AC38,0)</f>
        <v>0</v>
      </c>
      <c r="AE38" s="1113">
        <f>SUM('IV-2 dsa'!Q14)</f>
        <v>43038</v>
      </c>
      <c r="AF38" s="587">
        <f>SUM('IV-2 dsa'!R14)</f>
        <v>43100</v>
      </c>
      <c r="AG38" s="587">
        <f>SUM('IV-2 dsa'!S14)</f>
        <v>43251</v>
      </c>
      <c r="AH38" s="587">
        <f>SUM('IV-2 dsa'!T14)</f>
        <v>43312</v>
      </c>
      <c r="AI38" s="589">
        <f t="shared" si="25"/>
        <v>2018</v>
      </c>
      <c r="AJ38" s="1263">
        <f>SUM('IV-2 dsa'!U14)</f>
        <v>44044</v>
      </c>
      <c r="AK38" s="468">
        <f>IF(YEAR(AH38)=2016,AA38,0)</f>
        <v>0</v>
      </c>
      <c r="AL38" s="468">
        <f>IF(YEAR(AH38)=2017,AA38,0)</f>
        <v>0</v>
      </c>
      <c r="AM38" s="468">
        <f>IF(YEAR(AH38)=2018,AA38,0)</f>
        <v>572797</v>
      </c>
      <c r="AN38" s="468">
        <f>IF(YEAR(AH38)=2019,AA38,0)</f>
        <v>0</v>
      </c>
      <c r="AO38" s="1264">
        <f>IF(YEAR(AH38)=2020,AA38,0)</f>
        <v>0</v>
      </c>
      <c r="AP38" s="88"/>
      <c r="AQ38" s="88"/>
      <c r="AR38" s="88"/>
    </row>
    <row r="39" spans="1:47" s="241" customFormat="1" ht="28.5" customHeight="1" thickBot="1" x14ac:dyDescent="0.3">
      <c r="A39" s="1257" t="s">
        <v>70</v>
      </c>
      <c r="B39" s="1627" t="s">
        <v>1775</v>
      </c>
      <c r="C39" s="1608"/>
      <c r="D39" s="1608"/>
      <c r="E39" s="1608"/>
      <c r="F39" s="1608"/>
      <c r="G39" s="1608"/>
      <c r="H39" s="1608"/>
      <c r="I39" s="1608"/>
      <c r="J39" s="1608"/>
      <c r="K39" s="1609"/>
      <c r="L39" s="1258">
        <f>SUM(L40:L45)</f>
        <v>4402013.13</v>
      </c>
      <c r="M39" s="1258">
        <f>SUM(M40:M45)</f>
        <v>3269394.13</v>
      </c>
      <c r="N39" s="1258">
        <f>SUM(N40:N45)</f>
        <v>0</v>
      </c>
      <c r="O39" s="1258">
        <f t="shared" ref="O39:U39" si="26">SUM(O40:O45)</f>
        <v>433824.5</v>
      </c>
      <c r="P39" s="1258">
        <f t="shared" si="26"/>
        <v>348877.5</v>
      </c>
      <c r="Q39" s="1258">
        <f t="shared" si="26"/>
        <v>0</v>
      </c>
      <c r="R39" s="1258">
        <f t="shared" si="26"/>
        <v>356593.09</v>
      </c>
      <c r="S39" s="1258">
        <f t="shared" si="26"/>
        <v>271647.09000000003</v>
      </c>
      <c r="T39" s="1258">
        <f t="shared" si="26"/>
        <v>0</v>
      </c>
      <c r="U39" s="1258">
        <f t="shared" si="26"/>
        <v>0</v>
      </c>
      <c r="V39" s="1258">
        <f>SUM(V40:V45)</f>
        <v>0</v>
      </c>
      <c r="W39" s="1258">
        <f>SUM(W40:W45)</f>
        <v>0</v>
      </c>
      <c r="X39" s="1258">
        <f>SUM(X40:X45)</f>
        <v>0</v>
      </c>
      <c r="Y39" s="1258">
        <f t="shared" ref="Y39:Z39" si="27">SUM(Y40:Y45)</f>
        <v>0</v>
      </c>
      <c r="Z39" s="1258">
        <f t="shared" si="27"/>
        <v>0</v>
      </c>
      <c r="AA39" s="1258">
        <f t="shared" ref="AA39:AD39" si="28">SUM(AA40:AA45)</f>
        <v>3611595.5399999996</v>
      </c>
      <c r="AB39" s="1258"/>
      <c r="AC39" s="1258">
        <f t="shared" si="28"/>
        <v>2648869.5399999996</v>
      </c>
      <c r="AD39" s="1258">
        <f t="shared" si="28"/>
        <v>0</v>
      </c>
      <c r="AE39" s="1258"/>
      <c r="AF39" s="1277"/>
      <c r="AG39" s="1277"/>
      <c r="AH39" s="1277"/>
      <c r="AI39" s="1278"/>
      <c r="AJ39" s="1279"/>
      <c r="AK39" s="1274">
        <f>SUM(AK40:AK45)</f>
        <v>1289392.2</v>
      </c>
      <c r="AL39" s="1274">
        <f t="shared" ref="AL39:AO39" si="29">SUM(AL40:AL45)</f>
        <v>1359477.3399999999</v>
      </c>
      <c r="AM39" s="1274">
        <f t="shared" si="29"/>
        <v>962726</v>
      </c>
      <c r="AN39" s="1274">
        <f t="shared" si="29"/>
        <v>0</v>
      </c>
      <c r="AO39" s="1274">
        <f t="shared" si="29"/>
        <v>0</v>
      </c>
      <c r="AP39" s="1275">
        <f>SUM('IV-2 amsa'!W11+'IV-2 arsa'!V18+'IV-2 dsa'!V15+'IV-2 lrsa'!W16+'IV-2 vrsa'!W16)</f>
        <v>3697302</v>
      </c>
      <c r="AQ39" s="1275">
        <f>SUM(AP39*120/100)</f>
        <v>4436762.4000000004</v>
      </c>
      <c r="AR39" s="1275">
        <f>SUM(AP39-AA39)</f>
        <v>85706.460000000428</v>
      </c>
    </row>
    <row r="40" spans="1:47" ht="39.75" thickTop="1" thickBot="1" x14ac:dyDescent="0.3">
      <c r="A40" s="515" t="s">
        <v>71</v>
      </c>
      <c r="B40" s="515" t="s">
        <v>1574</v>
      </c>
      <c r="C40" s="1262" t="str">
        <f>CONCATENATE('ketv. 2lent'!B39)</f>
        <v>07.1.1-CPVA-R-905-11-0001</v>
      </c>
      <c r="D40" s="515" t="str">
        <f>CONCATENATE('IV-2 vrsa'!D17)</f>
        <v>Varėnos miesto centrinės dalies modernizavimas ir pritaikymas visuomenės poreikiams (I etapas)</v>
      </c>
      <c r="E40" s="515" t="str">
        <f>CONCATENATE('IV-2 vrsa'!E17)</f>
        <v>Varėnos rajono savivaldybės administracija</v>
      </c>
      <c r="F40" s="515" t="str">
        <f>CONCATENATE('IV-2 vrsa'!F17)</f>
        <v>Lietuvos Respublikos vidaus reikalų ministerija</v>
      </c>
      <c r="G40" s="515" t="str">
        <f>CONCATENATE('IV-2 vrsa'!G17)</f>
        <v>Varėnos miestas</v>
      </c>
      <c r="H40" s="518" t="str">
        <f>CONCATENATE('IV-2 vrsa'!H17)</f>
        <v xml:space="preserve">07.1.1-CPVA-R-905 </v>
      </c>
      <c r="I40" s="480" t="str">
        <f>CONCATENATE('IV-2 vrsa'!I17)</f>
        <v>R</v>
      </c>
      <c r="J40" s="480" t="str">
        <f>CONCATENATE('IV-2 vrsa'!J17)</f>
        <v>ITI</v>
      </c>
      <c r="K40" s="480" t="str">
        <f>CONCATENATE('IV-2 vrsa'!K17)</f>
        <v>-</v>
      </c>
      <c r="L40" s="516">
        <f>SUM('IV-2 vrsa'!L17)</f>
        <v>1516932.01</v>
      </c>
      <c r="M40" s="516">
        <f>SUM('ketv. 6 lent'!K39)</f>
        <v>1516932.01</v>
      </c>
      <c r="N40" s="516">
        <f>IF(M40&gt;0,L40-M40,0)</f>
        <v>0</v>
      </c>
      <c r="O40" s="516">
        <f>SUM('IV-2 vrsa'!M17)</f>
        <v>75846.61</v>
      </c>
      <c r="P40" s="516">
        <f>SUM('ketv. 6 lent'!O39)</f>
        <v>75846.61</v>
      </c>
      <c r="Q40" s="516">
        <f t="shared" ref="Q40:Q42" si="30">IF(P40&gt;0,O40-P40,0)</f>
        <v>0</v>
      </c>
      <c r="R40" s="516">
        <f>SUM('IV-2 vrsa'!N17)</f>
        <v>151693.20000000001</v>
      </c>
      <c r="S40" s="516">
        <f>SUM('ketv. 6 lent'!S39)</f>
        <v>151693.20000000001</v>
      </c>
      <c r="T40" s="516">
        <f t="shared" ref="T40:T44" si="31">IF(S40&gt;0,R40-S40,0)</f>
        <v>0</v>
      </c>
      <c r="U40" s="516">
        <f>SUM('IV-2 vrsa'!O17)</f>
        <v>0</v>
      </c>
      <c r="V40" s="516">
        <f>SUM('ketv. 6 lent'!W39)</f>
        <v>0</v>
      </c>
      <c r="W40" s="516">
        <f t="shared" ref="W40:W44" si="32">IF(V40&gt;0,U40-V40,0)</f>
        <v>0</v>
      </c>
      <c r="X40" s="516">
        <f>SUM('IV-2 vrsa'!P17)</f>
        <v>0</v>
      </c>
      <c r="Y40" s="516">
        <f>SUM('ketv. 6 lent'!AA39)</f>
        <v>0</v>
      </c>
      <c r="Z40" s="516">
        <f t="shared" ref="Z40:Z44" si="33">IF(Y40&gt;0,X40-Y40,0)</f>
        <v>0</v>
      </c>
      <c r="AA40" s="516">
        <f>SUM('IV-2 vrsa'!Q17)</f>
        <v>1289392.2</v>
      </c>
      <c r="AB40" s="468" t="str">
        <f>IF('ketv. 4 lent'!V40&gt;0,"Taip","Ne")</f>
        <v>Taip</v>
      </c>
      <c r="AC40" s="468">
        <f>SUM('ketv. 6 lent'!AE39)</f>
        <v>1289392.2</v>
      </c>
      <c r="AD40" s="468">
        <f t="shared" ref="AD40:AD45" si="34">IF(AC40&gt;0,AA40-AC40,0)</f>
        <v>0</v>
      </c>
      <c r="AE40" s="1113">
        <f>SUM('IV-2 vrsa'!R17)</f>
        <v>43108</v>
      </c>
      <c r="AF40" s="587">
        <f>SUM('IV-2 vrsa'!S17)</f>
        <v>42528</v>
      </c>
      <c r="AG40" s="587">
        <f>SUM('IV-2 vrsa'!T17)</f>
        <v>42566</v>
      </c>
      <c r="AH40" s="587">
        <f>SUM('IV-2 vrsa'!U17)</f>
        <v>42735</v>
      </c>
      <c r="AI40" s="589">
        <f t="shared" ref="AI40:AI45" si="35">IF(YEAR(AH40),YEAR(AH40))</f>
        <v>2016</v>
      </c>
      <c r="AJ40" s="1263">
        <f>SUM('IV-2 vrsa'!V17)</f>
        <v>43465</v>
      </c>
      <c r="AK40" s="468">
        <f t="shared" ref="AK40:AK45" si="36">IF(YEAR(AH40)=2016,AA40,0)</f>
        <v>1289392.2</v>
      </c>
      <c r="AL40" s="468">
        <f t="shared" ref="AL40:AL45" si="37">IF(YEAR(AH40)=2017,AA40,0)</f>
        <v>0</v>
      </c>
      <c r="AM40" s="468">
        <f t="shared" ref="AM40:AM45" si="38">IF(YEAR(AH40)=2018,AA40,0)</f>
        <v>0</v>
      </c>
      <c r="AN40" s="468">
        <f t="shared" ref="AN40:AN45" si="39">IF(YEAR(AH40)=2019,AA40,0)</f>
        <v>0</v>
      </c>
      <c r="AO40" s="1264">
        <f t="shared" ref="AO40:AO45" si="40">IF(YEAR(AH40)=2020,AA40,0)</f>
        <v>0</v>
      </c>
      <c r="AP40" s="88"/>
      <c r="AQ40" s="88"/>
      <c r="AR40" s="88"/>
    </row>
    <row r="41" spans="1:47" ht="39.75" thickTop="1" thickBot="1" x14ac:dyDescent="0.3">
      <c r="A41" s="515" t="s">
        <v>126</v>
      </c>
      <c r="B41" s="515" t="s">
        <v>1575</v>
      </c>
      <c r="C41" s="1262" t="str">
        <f>CONCATENATE('ketv. 2lent'!B40)</f>
        <v>07.1.1-CPVA-R-905-11-0002</v>
      </c>
      <c r="D41" s="515" t="str">
        <f>CONCATENATE('IV-2 vrsa'!D18)</f>
        <v>Varėnos miesto centrinės dalies modernizavimas ir pritaikymas visuomenės poreikiams (II etapas)</v>
      </c>
      <c r="E41" s="515" t="str">
        <f>CONCATENATE('IV-2 vrsa'!E18)</f>
        <v>Varėnos rajono savivaldybės administracija</v>
      </c>
      <c r="F41" s="515" t="str">
        <f>CONCATENATE('IV-2 vrsa'!F18)</f>
        <v>Lietuvos Respublikos vidaus reikalų ministerija</v>
      </c>
      <c r="G41" s="515" t="str">
        <f>CONCATENATE('IV-2 vrsa'!G18)</f>
        <v>Varėnos miestas</v>
      </c>
      <c r="H41" s="518" t="str">
        <f>CONCATENATE('IV-2 vrsa'!H18)</f>
        <v xml:space="preserve">07.1.1-CPVA-R-905 </v>
      </c>
      <c r="I41" s="480" t="str">
        <f>CONCATENATE('IV-2 vrsa'!I18)</f>
        <v>R</v>
      </c>
      <c r="J41" s="480" t="str">
        <f>CONCATENATE('IV-2 vrsa'!J18)</f>
        <v>ITI</v>
      </c>
      <c r="K41" s="480" t="str">
        <f>CONCATENATE('IV-2 vrsa'!K18)</f>
        <v>-</v>
      </c>
      <c r="L41" s="516">
        <f>SUM('IV-2 vrsa'!L18)</f>
        <v>995216.11</v>
      </c>
      <c r="M41" s="516">
        <f>SUM('ketv. 6 lent'!K40)</f>
        <v>995216.11</v>
      </c>
      <c r="N41" s="516">
        <f>IF(M41&gt;0,L41-M41,0)</f>
        <v>0</v>
      </c>
      <c r="O41" s="516">
        <f>SUM('IV-2 vrsa'!M18)</f>
        <v>74641.210000000006</v>
      </c>
      <c r="P41" s="516">
        <f>SUM('ketv. 6 lent'!O40)</f>
        <v>74641.210000000006</v>
      </c>
      <c r="Q41" s="516">
        <f t="shared" si="30"/>
        <v>0</v>
      </c>
      <c r="R41" s="516">
        <f>SUM('IV-2 vrsa'!N18)</f>
        <v>74641.210000000006</v>
      </c>
      <c r="S41" s="516">
        <f>SUM('ketv. 6 lent'!S40)</f>
        <v>74641.210000000006</v>
      </c>
      <c r="T41" s="516">
        <f t="shared" si="31"/>
        <v>0</v>
      </c>
      <c r="U41" s="516">
        <f>SUM('IV-2 vrsa'!O18)</f>
        <v>0</v>
      </c>
      <c r="V41" s="516">
        <f>SUM('ketv. 6 lent'!W40)</f>
        <v>0</v>
      </c>
      <c r="W41" s="516">
        <f t="shared" si="32"/>
        <v>0</v>
      </c>
      <c r="X41" s="516">
        <f>SUM('IV-2 vrsa'!P18)</f>
        <v>0</v>
      </c>
      <c r="Y41" s="516">
        <f>SUM('ketv. 6 lent'!AA40)</f>
        <v>0</v>
      </c>
      <c r="Z41" s="516">
        <f t="shared" si="33"/>
        <v>0</v>
      </c>
      <c r="AA41" s="516">
        <f>SUM('IV-2 vrsa'!Q18)</f>
        <v>845933.69</v>
      </c>
      <c r="AB41" s="468" t="str">
        <f>IF('ketv. 4 lent'!V41&gt;0,"Taip","Ne")</f>
        <v>Taip</v>
      </c>
      <c r="AC41" s="468">
        <f>SUM('ketv. 6 lent'!AE40)</f>
        <v>845933.69</v>
      </c>
      <c r="AD41" s="468">
        <f t="shared" si="34"/>
        <v>0</v>
      </c>
      <c r="AE41" s="1113">
        <f>SUM('IV-2 vrsa'!R18)</f>
        <v>43108</v>
      </c>
      <c r="AF41" s="587">
        <f>SUM('IV-2 vrsa'!S18)</f>
        <v>42830</v>
      </c>
      <c r="AG41" s="587">
        <f>SUM('IV-2 vrsa'!T18)</f>
        <v>42885</v>
      </c>
      <c r="AH41" s="587">
        <f>SUM('IV-2 vrsa'!U18)</f>
        <v>42978</v>
      </c>
      <c r="AI41" s="589">
        <f t="shared" si="35"/>
        <v>2017</v>
      </c>
      <c r="AJ41" s="1263">
        <f>SUM('IV-2 vrsa'!V18)</f>
        <v>43830</v>
      </c>
      <c r="AK41" s="468">
        <f t="shared" si="36"/>
        <v>0</v>
      </c>
      <c r="AL41" s="468">
        <f t="shared" si="37"/>
        <v>845933.69</v>
      </c>
      <c r="AM41" s="468">
        <f t="shared" si="38"/>
        <v>0</v>
      </c>
      <c r="AN41" s="468">
        <f t="shared" si="39"/>
        <v>0</v>
      </c>
      <c r="AO41" s="1264">
        <f t="shared" si="40"/>
        <v>0</v>
      </c>
      <c r="AP41" s="88"/>
      <c r="AQ41" s="88"/>
      <c r="AR41" s="88"/>
    </row>
    <row r="42" spans="1:47" ht="39.75" thickTop="1" thickBot="1" x14ac:dyDescent="0.3">
      <c r="A42" s="515" t="s">
        <v>127</v>
      </c>
      <c r="B42" s="515" t="s">
        <v>1576</v>
      </c>
      <c r="C42" s="1262" t="str">
        <f>CONCATENATE('ketv. 2lent'!B41)</f>
        <v/>
      </c>
      <c r="D42" s="515" t="str">
        <f>CONCATENATE('IV-2 vrsa'!D19)</f>
        <v xml:space="preserve">Varėnos miesto Dainų slėnio infrastruktūros atnaujinimas ir pritaikymas visuomenės poreikiams </v>
      </c>
      <c r="E42" s="515" t="str">
        <f>CONCATENATE('IV-2 vrsa'!E19)</f>
        <v>Varėnos rajono savivaldybės administracija</v>
      </c>
      <c r="F42" s="515" t="str">
        <f>CONCATENATE('IV-2 vrsa'!F19)</f>
        <v>Lietuvos Respublikos vidaus reikalų ministerija</v>
      </c>
      <c r="G42" s="515" t="str">
        <f>CONCATENATE('IV-2 vrsa'!G19)</f>
        <v>Varėnos miestas</v>
      </c>
      <c r="H42" s="518" t="str">
        <f>CONCATENATE('IV-2 vrsa'!H19)</f>
        <v xml:space="preserve">07.1.1-CPVA-R-905 </v>
      </c>
      <c r="I42" s="480" t="str">
        <f>CONCATENATE('IV-2 vrsa'!I19)</f>
        <v>R</v>
      </c>
      <c r="J42" s="480" t="str">
        <f>CONCATENATE('IV-2 vrsa'!J19)</f>
        <v>ITI</v>
      </c>
      <c r="K42" s="480" t="str">
        <f>CONCATENATE('IV-2 vrsa'!K19)</f>
        <v>-</v>
      </c>
      <c r="L42" s="516">
        <f>SUM('IV-2 vrsa'!L19)</f>
        <v>630000</v>
      </c>
      <c r="M42" s="516">
        <f>SUM('ketv. 6 lent'!K41)</f>
        <v>0</v>
      </c>
      <c r="N42" s="516">
        <f t="shared" ref="N42" si="41">IF(M42&gt;0,L42-M42,0)</f>
        <v>0</v>
      </c>
      <c r="O42" s="516">
        <f>SUM('IV-2 vrsa'!M19)</f>
        <v>47250</v>
      </c>
      <c r="P42" s="516">
        <f>SUM('ketv. 6 lent'!O41)</f>
        <v>0</v>
      </c>
      <c r="Q42" s="516">
        <f t="shared" si="30"/>
        <v>0</v>
      </c>
      <c r="R42" s="516">
        <f>SUM('IV-2 vrsa'!N19)</f>
        <v>47250</v>
      </c>
      <c r="S42" s="516">
        <f>SUM('ketv. 6 lent'!S41)</f>
        <v>0</v>
      </c>
      <c r="T42" s="516">
        <f t="shared" si="31"/>
        <v>0</v>
      </c>
      <c r="U42" s="516">
        <f>SUM('IV-2 vrsa'!O19)</f>
        <v>0</v>
      </c>
      <c r="V42" s="516">
        <f>SUM('ketv. 6 lent'!W41)</f>
        <v>0</v>
      </c>
      <c r="W42" s="516">
        <f t="shared" si="32"/>
        <v>0</v>
      </c>
      <c r="X42" s="516">
        <f>SUM('IV-2 vrsa'!P19)</f>
        <v>0</v>
      </c>
      <c r="Y42" s="516">
        <f>SUM('ketv. 6 lent'!AA41)</f>
        <v>0</v>
      </c>
      <c r="Z42" s="516">
        <f t="shared" si="33"/>
        <v>0</v>
      </c>
      <c r="AA42" s="516">
        <f>SUM('IV-2 vrsa'!Q19)</f>
        <v>535500</v>
      </c>
      <c r="AB42" s="468" t="str">
        <f>IF('ketv. 4 lent'!V42&gt;0,"Taip","Ne")</f>
        <v>Ne</v>
      </c>
      <c r="AC42" s="468">
        <f>SUM('ketv. 6 lent'!AE41)</f>
        <v>0</v>
      </c>
      <c r="AD42" s="468">
        <f t="shared" si="34"/>
        <v>0</v>
      </c>
      <c r="AE42" s="1113">
        <f>SUM('IV-2 vrsa'!R19)</f>
        <v>43108</v>
      </c>
      <c r="AF42" s="587">
        <f>SUM('IV-2 vrsa'!S19)</f>
        <v>43190</v>
      </c>
      <c r="AG42" s="587">
        <f>SUM('IV-2 vrsa'!T19)</f>
        <v>43251</v>
      </c>
      <c r="AH42" s="587">
        <f>SUM('IV-2 vrsa'!U19)</f>
        <v>43343</v>
      </c>
      <c r="AI42" s="589">
        <f t="shared" si="35"/>
        <v>2018</v>
      </c>
      <c r="AJ42" s="1263">
        <f>SUM('IV-2 vrsa'!V19)</f>
        <v>44196</v>
      </c>
      <c r="AK42" s="468">
        <f t="shared" si="36"/>
        <v>0</v>
      </c>
      <c r="AL42" s="468">
        <f t="shared" si="37"/>
        <v>0</v>
      </c>
      <c r="AM42" s="468">
        <f t="shared" si="38"/>
        <v>535500</v>
      </c>
      <c r="AN42" s="468">
        <f t="shared" si="39"/>
        <v>0</v>
      </c>
      <c r="AO42" s="1264">
        <f t="shared" si="40"/>
        <v>0</v>
      </c>
      <c r="AP42" s="88"/>
      <c r="AQ42" s="88"/>
      <c r="AR42" s="88"/>
    </row>
    <row r="43" spans="1:47" ht="39.75" thickTop="1" thickBot="1" x14ac:dyDescent="0.3">
      <c r="A43" s="515" t="s">
        <v>128</v>
      </c>
      <c r="B43" s="515" t="s">
        <v>1577</v>
      </c>
      <c r="C43" s="1262" t="str">
        <f>CONCATENATE('ketv. 2lent'!B42)</f>
        <v>07.1.1-CPVA-R-905-11-0003</v>
      </c>
      <c r="D43" s="515" t="str">
        <f>CONCATENATE('IV-2 vrsa'!D20)</f>
        <v>Karloniškės ežero ir jo prieigų sutvarkymas ir pritaikymas aktyviam poilsiui</v>
      </c>
      <c r="E43" s="515" t="str">
        <f>CONCATENATE('IV-2 vrsa'!E20)</f>
        <v>Varėnos rajono savivaldybės administracija</v>
      </c>
      <c r="F43" s="515" t="str">
        <f>CONCATENATE('IV-2 vrsa'!F20)</f>
        <v>Lietuvos Respublikos vidaus reikalų ministerija</v>
      </c>
      <c r="G43" s="515" t="str">
        <f>CONCATENATE('IV-2 vrsa'!G20)</f>
        <v>Varėnos miestas</v>
      </c>
      <c r="H43" s="518" t="str">
        <f>CONCATENATE('IV-2 vrsa'!H20)</f>
        <v xml:space="preserve">07.1.1-CPVA-R-905 </v>
      </c>
      <c r="I43" s="480" t="str">
        <f>CONCATENATE('IV-2 vrsa'!I20)</f>
        <v>R</v>
      </c>
      <c r="J43" s="480" t="str">
        <f>CONCATENATE('IV-2 vrsa'!J20)</f>
        <v>ITI</v>
      </c>
      <c r="K43" s="590" t="s">
        <v>66</v>
      </c>
      <c r="L43" s="516">
        <f>SUM('IV-2 vrsa'!L20)</f>
        <v>757246.01</v>
      </c>
      <c r="M43" s="516">
        <f>SUM('ketv. 6 lent'!K42)</f>
        <v>757246.01</v>
      </c>
      <c r="N43" s="516">
        <f t="shared" ref="N43:N45" si="42">IF(M43&gt;0,L43-M43,0)</f>
        <v>0</v>
      </c>
      <c r="O43" s="516">
        <f>SUM('IV-2 vrsa'!M20)</f>
        <v>198389.68</v>
      </c>
      <c r="P43" s="516">
        <f>SUM('ketv. 6 lent'!O42)</f>
        <v>198389.68</v>
      </c>
      <c r="Q43" s="516">
        <f t="shared" ref="Q43:Q45" si="43">IF(P43&gt;0,O43-P43,0)</f>
        <v>0</v>
      </c>
      <c r="R43" s="516">
        <f>SUM('IV-2 vrsa'!N20)</f>
        <v>45312.68</v>
      </c>
      <c r="S43" s="516">
        <f>SUM('ketv. 6 lent'!S42)</f>
        <v>45312.68</v>
      </c>
      <c r="T43" s="516">
        <f t="shared" si="31"/>
        <v>0</v>
      </c>
      <c r="U43" s="516">
        <f>SUM('IV-2 vrsa'!O20)</f>
        <v>0</v>
      </c>
      <c r="V43" s="516">
        <f>SUM('ketv. 6 lent'!W42)</f>
        <v>0</v>
      </c>
      <c r="W43" s="516">
        <f t="shared" si="32"/>
        <v>0</v>
      </c>
      <c r="X43" s="516">
        <f>SUM('IV-2 vrsa'!P20)</f>
        <v>0</v>
      </c>
      <c r="Y43" s="516">
        <f>SUM('ketv. 6 lent'!AA42)</f>
        <v>0</v>
      </c>
      <c r="Z43" s="516">
        <f t="shared" si="33"/>
        <v>0</v>
      </c>
      <c r="AA43" s="516">
        <f>SUM('IV-2 vrsa'!Q20)</f>
        <v>513543.65</v>
      </c>
      <c r="AB43" s="468" t="str">
        <f>IF('ketv. 4 lent'!V43&gt;0,"Taip","Ne")</f>
        <v>Taip</v>
      </c>
      <c r="AC43" s="468">
        <f>SUM('ketv. 6 lent'!AE42)</f>
        <v>513543.65</v>
      </c>
      <c r="AD43" s="468">
        <f t="shared" si="34"/>
        <v>0</v>
      </c>
      <c r="AE43" s="1113">
        <f>SUM('IV-2 vrsa'!R20)</f>
        <v>43108</v>
      </c>
      <c r="AF43" s="587">
        <f>SUM('IV-2 vrsa'!S20)</f>
        <v>42923</v>
      </c>
      <c r="AG43" s="587">
        <f>SUM('IV-2 vrsa'!T20)</f>
        <v>43008</v>
      </c>
      <c r="AH43" s="587">
        <f>SUM('IV-2 vrsa'!U20)</f>
        <v>43100</v>
      </c>
      <c r="AI43" s="589">
        <f t="shared" si="35"/>
        <v>2017</v>
      </c>
      <c r="AJ43" s="1263">
        <f>SUM('IV-2 vrsa'!V20)</f>
        <v>43830</v>
      </c>
      <c r="AK43" s="468">
        <f t="shared" si="36"/>
        <v>0</v>
      </c>
      <c r="AL43" s="468">
        <f t="shared" si="37"/>
        <v>513543.65</v>
      </c>
      <c r="AM43" s="468">
        <f t="shared" si="38"/>
        <v>0</v>
      </c>
      <c r="AN43" s="468">
        <f t="shared" si="39"/>
        <v>0</v>
      </c>
      <c r="AO43" s="1264">
        <f t="shared" si="40"/>
        <v>0</v>
      </c>
      <c r="AP43" s="787"/>
      <c r="AQ43" s="787"/>
      <c r="AR43" s="88"/>
    </row>
    <row r="44" spans="1:47" ht="39.75" thickTop="1" thickBot="1" x14ac:dyDescent="0.3">
      <c r="A44" s="515" t="s">
        <v>316</v>
      </c>
      <c r="B44" s="515" t="s">
        <v>1578</v>
      </c>
      <c r="C44" s="1262" t="str">
        <f>CONCATENATE('ketv. 2lent'!B43)</f>
        <v/>
      </c>
      <c r="D44" s="515" t="str">
        <f>CONCATENATE('IV-2 vrsa'!D21)</f>
        <v xml:space="preserve">Nenaudojamų teritorijų Varėnos mieste sutvarkymas ir pritaikymas verslui </v>
      </c>
      <c r="E44" s="515" t="str">
        <f>CONCATENATE('IV-2 vrsa'!E21)</f>
        <v>Varėnos rajono savivaldybės administracija</v>
      </c>
      <c r="F44" s="515" t="str">
        <f>CONCATENATE('IV-2 vrsa'!F21)</f>
        <v>Lietuvos Respublikos vidaus reikalų ministerija</v>
      </c>
      <c r="G44" s="515" t="str">
        <f>CONCATENATE('IV-2 vrsa'!G21)</f>
        <v>Varėnos miestas</v>
      </c>
      <c r="H44" s="518" t="str">
        <f>CONCATENATE('IV-2 vrsa'!H21)</f>
        <v xml:space="preserve">07.1.1-CPVA-R-905 </v>
      </c>
      <c r="I44" s="480" t="str">
        <f>CONCATENATE('IV-2 vrsa'!I21)</f>
        <v>R</v>
      </c>
      <c r="J44" s="480" t="str">
        <f>CONCATENATE('IV-2 vrsa'!J21)</f>
        <v>ITI</v>
      </c>
      <c r="K44" s="480" t="str">
        <f>CONCATENATE('IV-2 vrsa'!K21)</f>
        <v>-</v>
      </c>
      <c r="L44" s="516">
        <f>SUM('IV-2 vrsa'!L21)</f>
        <v>250000</v>
      </c>
      <c r="M44" s="516">
        <f>SUM('ketv. 6 lent'!K43)</f>
        <v>0</v>
      </c>
      <c r="N44" s="516">
        <f t="shared" si="42"/>
        <v>0</v>
      </c>
      <c r="O44" s="516">
        <f>SUM('IV-2 vrsa'!M21)</f>
        <v>18750</v>
      </c>
      <c r="P44" s="516">
        <f>SUM('ketv. 6 lent'!O43)</f>
        <v>0</v>
      </c>
      <c r="Q44" s="516">
        <f t="shared" si="43"/>
        <v>0</v>
      </c>
      <c r="R44" s="516">
        <f>SUM('IV-2 vrsa'!N21)</f>
        <v>18750</v>
      </c>
      <c r="S44" s="516">
        <f>SUM('ketv. 6 lent'!S43)</f>
        <v>0</v>
      </c>
      <c r="T44" s="516">
        <f t="shared" si="31"/>
        <v>0</v>
      </c>
      <c r="U44" s="516">
        <f>SUM('IV-2 vrsa'!O21)</f>
        <v>0</v>
      </c>
      <c r="V44" s="516">
        <f>SUM('ketv. 6 lent'!W43)</f>
        <v>0</v>
      </c>
      <c r="W44" s="516">
        <f t="shared" si="32"/>
        <v>0</v>
      </c>
      <c r="X44" s="516">
        <f>SUM('IV-2 vrsa'!P21)</f>
        <v>0</v>
      </c>
      <c r="Y44" s="516">
        <f>SUM('ketv. 6 lent'!AA43)</f>
        <v>0</v>
      </c>
      <c r="Z44" s="516">
        <f t="shared" si="33"/>
        <v>0</v>
      </c>
      <c r="AA44" s="516">
        <f>SUM('IV-2 vrsa'!Q21)</f>
        <v>212500</v>
      </c>
      <c r="AB44" s="468" t="str">
        <f>IF('ketv. 4 lent'!V44&gt;0,"Taip","Ne")</f>
        <v>Ne</v>
      </c>
      <c r="AC44" s="468">
        <f>SUM('ketv. 6 lent'!AE43)</f>
        <v>0</v>
      </c>
      <c r="AD44" s="468">
        <f t="shared" si="34"/>
        <v>0</v>
      </c>
      <c r="AE44" s="1113">
        <f>SUM('IV-2 vrsa'!R21)</f>
        <v>43108</v>
      </c>
      <c r="AF44" s="587">
        <f>SUM('IV-2 vrsa'!S21)</f>
        <v>43190</v>
      </c>
      <c r="AG44" s="587">
        <f>SUM('IV-2 vrsa'!T21)</f>
        <v>43251</v>
      </c>
      <c r="AH44" s="587">
        <f>SUM('IV-2 vrsa'!U21)</f>
        <v>43343</v>
      </c>
      <c r="AI44" s="589">
        <f t="shared" si="35"/>
        <v>2018</v>
      </c>
      <c r="AJ44" s="1263">
        <f>SUM('IV-2 vrsa'!V21)</f>
        <v>44196</v>
      </c>
      <c r="AK44" s="468">
        <f t="shared" si="36"/>
        <v>0</v>
      </c>
      <c r="AL44" s="468">
        <f t="shared" si="37"/>
        <v>0</v>
      </c>
      <c r="AM44" s="468">
        <f t="shared" si="38"/>
        <v>212500</v>
      </c>
      <c r="AN44" s="468">
        <f t="shared" si="39"/>
        <v>0</v>
      </c>
      <c r="AO44" s="1264">
        <f t="shared" si="40"/>
        <v>0</v>
      </c>
      <c r="AP44" s="1145"/>
      <c r="AQ44" s="1146"/>
      <c r="AR44" s="88"/>
    </row>
    <row r="45" spans="1:47" ht="45.75" customHeight="1" thickTop="1" thickBot="1" x14ac:dyDescent="0.3">
      <c r="A45" s="515" t="s">
        <v>849</v>
      </c>
      <c r="B45" s="515" t="s">
        <v>1579</v>
      </c>
      <c r="C45" s="1262" t="str">
        <f>CONCATENATE('ketv. 2lent'!B45)</f>
        <v/>
      </c>
      <c r="D45" s="515" t="str">
        <f>CONCATENATE('IV-2 vrsa'!D22)</f>
        <v xml:space="preserve">Teritorijų prie daugiabučių gyvenamųjų pastatų Varėnos mieste sutvarkymas ir pritaikymas visuomenės poreikiams  </v>
      </c>
      <c r="E45" s="515" t="str">
        <f>CONCATENATE('IV-2 vrsa'!E22)</f>
        <v>Varėnos rajono savivaldybės administracija</v>
      </c>
      <c r="F45" s="515" t="str">
        <f>CONCATENATE('IV-2 vrsa'!F22)</f>
        <v>Lietuvos Respublikos vidaus reikalų ministerija</v>
      </c>
      <c r="G45" s="515" t="str">
        <f>CONCATENATE('IV-2 vrsa'!G22)</f>
        <v>Varėnos miestas</v>
      </c>
      <c r="H45" s="518" t="str">
        <f>CONCATENATE('IV-2 vrsa'!H22)</f>
        <v xml:space="preserve">07.1.1-CPVA-R-905 </v>
      </c>
      <c r="I45" s="480" t="str">
        <f>CONCATENATE('IV-2 vrsa'!I22)</f>
        <v>R</v>
      </c>
      <c r="J45" s="480" t="str">
        <f>CONCATENATE('IV-2 vrsa'!J22)</f>
        <v>ITI</v>
      </c>
      <c r="K45" s="480" t="str">
        <f>CONCATENATE('IV-2 vrsa'!K22)</f>
        <v>-</v>
      </c>
      <c r="L45" s="516">
        <f>SUM('IV-2 vrsa'!L22)</f>
        <v>252619</v>
      </c>
      <c r="M45" s="516">
        <f>SUM('ketv. 6 lent'!K44)</f>
        <v>0</v>
      </c>
      <c r="N45" s="516">
        <f t="shared" si="42"/>
        <v>0</v>
      </c>
      <c r="O45" s="516">
        <f>SUM('IV-2 vrsa'!M22)</f>
        <v>18947</v>
      </c>
      <c r="P45" s="516">
        <f>SUM('ketv. 6 lent'!O44)</f>
        <v>0</v>
      </c>
      <c r="Q45" s="516">
        <f t="shared" si="43"/>
        <v>0</v>
      </c>
      <c r="R45" s="516">
        <f>SUM('IV-2 vrsa'!N22)</f>
        <v>18946</v>
      </c>
      <c r="S45" s="516">
        <f>SUM('ketv. 6 lent'!S44)</f>
        <v>0</v>
      </c>
      <c r="T45" s="516">
        <f t="shared" ref="T45" si="44">IF(S45&gt;0,R45-S45,0)</f>
        <v>0</v>
      </c>
      <c r="U45" s="516">
        <f>SUM('IV-2 vrsa'!O22)</f>
        <v>0</v>
      </c>
      <c r="V45" s="516">
        <f>SUM('ketv. 6 lent'!W44)</f>
        <v>0</v>
      </c>
      <c r="W45" s="516">
        <f t="shared" ref="W45" si="45">IF(V45&gt;0,U45-V45,0)</f>
        <v>0</v>
      </c>
      <c r="X45" s="516">
        <f>SUM('IV-2 vrsa'!P22)</f>
        <v>0</v>
      </c>
      <c r="Y45" s="516">
        <f>SUM('ketv. 6 lent'!AA44)</f>
        <v>0</v>
      </c>
      <c r="Z45" s="516">
        <f t="shared" ref="Z45" si="46">IF(Y45&gt;0,X45-Y45,0)</f>
        <v>0</v>
      </c>
      <c r="AA45" s="516">
        <f>SUM('IV-2 vrsa'!Q22)</f>
        <v>214726</v>
      </c>
      <c r="AB45" s="468" t="str">
        <f>IF('ketv. 4 lent'!V45&gt;0,"Taip","Ne")</f>
        <v>Ne</v>
      </c>
      <c r="AC45" s="468">
        <f>SUM('ketv. 6 lent'!AE44)</f>
        <v>0</v>
      </c>
      <c r="AD45" s="468">
        <f t="shared" si="34"/>
        <v>0</v>
      </c>
      <c r="AE45" s="1113">
        <v>43108</v>
      </c>
      <c r="AF45" s="587">
        <f>SUM('IV-2 vrsa'!S22)</f>
        <v>43159</v>
      </c>
      <c r="AG45" s="587">
        <f>SUM('IV-2 vrsa'!T22)</f>
        <v>43218</v>
      </c>
      <c r="AH45" s="587">
        <f>SUM('IV-2 vrsa'!U22)</f>
        <v>43309</v>
      </c>
      <c r="AI45" s="589">
        <f t="shared" si="35"/>
        <v>2018</v>
      </c>
      <c r="AJ45" s="1263">
        <f>SUM('IV-2 vrsa'!V22)</f>
        <v>44196</v>
      </c>
      <c r="AK45" s="468">
        <f t="shared" si="36"/>
        <v>0</v>
      </c>
      <c r="AL45" s="468">
        <f t="shared" si="37"/>
        <v>0</v>
      </c>
      <c r="AM45" s="468">
        <f t="shared" si="38"/>
        <v>214726</v>
      </c>
      <c r="AN45" s="468">
        <f t="shared" si="39"/>
        <v>0</v>
      </c>
      <c r="AO45" s="1264">
        <f t="shared" si="40"/>
        <v>0</v>
      </c>
      <c r="AP45" s="88"/>
      <c r="AQ45" s="595"/>
      <c r="AR45" s="88"/>
    </row>
    <row r="46" spans="1:47" ht="33.75" customHeight="1" thickBot="1" x14ac:dyDescent="0.3">
      <c r="A46" s="1280" t="s">
        <v>16</v>
      </c>
      <c r="B46" s="1607" t="s">
        <v>1776</v>
      </c>
      <c r="C46" s="1608"/>
      <c r="D46" s="1608"/>
      <c r="E46" s="1608"/>
      <c r="F46" s="1608"/>
      <c r="G46" s="1608"/>
      <c r="H46" s="1608"/>
      <c r="I46" s="1608"/>
      <c r="J46" s="1608"/>
      <c r="K46" s="1609"/>
      <c r="L46" s="1258">
        <f t="shared" ref="L46:AA46" si="47">SUM(L47:L49)</f>
        <v>2112023.5599999996</v>
      </c>
      <c r="M46" s="1258">
        <f>SUM(M47:M49)</f>
        <v>1998062.27</v>
      </c>
      <c r="N46" s="1258">
        <f>SUM(N47:N49)</f>
        <v>113961.28999999975</v>
      </c>
      <c r="O46" s="1258">
        <f t="shared" si="47"/>
        <v>289057.97000000003</v>
      </c>
      <c r="P46" s="1258">
        <f>SUM(P47:P49)</f>
        <v>175096.68</v>
      </c>
      <c r="Q46" s="1258">
        <f>SUM(Q47:Q49)</f>
        <v>113961.29000000001</v>
      </c>
      <c r="R46" s="1258">
        <f t="shared" si="47"/>
        <v>147808.01999999999</v>
      </c>
      <c r="S46" s="1258">
        <f>SUM(S47:S49)</f>
        <v>147808.01999999999</v>
      </c>
      <c r="T46" s="1258">
        <f>SUM(T47:T49)</f>
        <v>0</v>
      </c>
      <c r="U46" s="1258">
        <f t="shared" si="47"/>
        <v>0</v>
      </c>
      <c r="V46" s="1258">
        <f>SUM(V47:V49)</f>
        <v>0</v>
      </c>
      <c r="W46" s="1258">
        <f>SUM(W47:W49)</f>
        <v>0</v>
      </c>
      <c r="X46" s="1258">
        <f t="shared" si="47"/>
        <v>0</v>
      </c>
      <c r="Y46" s="1258">
        <f>SUM(Y47:Y49)</f>
        <v>0</v>
      </c>
      <c r="Z46" s="1258">
        <f>SUM(Z47:Z49)</f>
        <v>0</v>
      </c>
      <c r="AA46" s="1258">
        <f t="shared" si="47"/>
        <v>1675157.5699999998</v>
      </c>
      <c r="AB46" s="1258"/>
      <c r="AC46" s="1258">
        <f>SUM(AC47:AC49)</f>
        <v>1675157.5699999998</v>
      </c>
      <c r="AD46" s="1258">
        <f>SUM(AD47:AD49)</f>
        <v>0</v>
      </c>
      <c r="AE46" s="1258"/>
      <c r="AF46" s="1277"/>
      <c r="AG46" s="1277"/>
      <c r="AH46" s="1277"/>
      <c r="AI46" s="1278"/>
      <c r="AJ46" s="1279"/>
      <c r="AK46" s="468">
        <f>SUM(AK47:AK49)</f>
        <v>1675157.5699999998</v>
      </c>
      <c r="AL46" s="468">
        <f t="shared" ref="AL46:AO46" si="48">SUM(AL47:AL49)</f>
        <v>0</v>
      </c>
      <c r="AM46" s="468">
        <f t="shared" si="48"/>
        <v>0</v>
      </c>
      <c r="AN46" s="468">
        <f t="shared" si="48"/>
        <v>0</v>
      </c>
      <c r="AO46" s="468">
        <f t="shared" si="48"/>
        <v>0</v>
      </c>
      <c r="AP46" s="88">
        <f>SUM('IV-2 amsa'!W13+'IV-2 arsa'!V20+'IV-2 dsa'!V17+'IV-2 lrsa'!W18+'IV-2 vrsa'!W23)</f>
        <v>1733965</v>
      </c>
      <c r="AQ46" s="88">
        <f>SUM(AP46*120/100)</f>
        <v>2080758</v>
      </c>
      <c r="AR46" s="88">
        <f>SUM(AP46-AA46)</f>
        <v>58807.430000000168</v>
      </c>
    </row>
    <row r="47" spans="1:47" ht="39.75" thickTop="1" thickBot="1" x14ac:dyDescent="0.3">
      <c r="A47" s="515" t="s">
        <v>72</v>
      </c>
      <c r="B47" s="515" t="s">
        <v>1580</v>
      </c>
      <c r="C47" s="1262" t="str">
        <f>CONCATENATE('ketv. 2lent'!B46)</f>
        <v>07.1.1-CPVA-V-902-01-0008</v>
      </c>
      <c r="D47" s="515" t="str">
        <f>CONCATENATE('IV-2 amsa'!D14)</f>
        <v>Buvusios pramoninės teritorijos Pramonės g. 1 Alytuje, pritaikymas verslo vystymui ir plėtrai.</v>
      </c>
      <c r="E47" s="515" t="str">
        <f>CONCATENATE('IV-2 amsa'!E14)</f>
        <v>Alytaus miesto savivaldybės administracija</v>
      </c>
      <c r="F47" s="515" t="str">
        <f>CONCATENATE('IV-2 amsa'!F14)</f>
        <v>Lietuvos Respublikos vidaus reikalų ministerija</v>
      </c>
      <c r="G47" s="515" t="str">
        <f>CONCATENATE('IV-2 amsa'!G14)</f>
        <v>Alytaus m.</v>
      </c>
      <c r="H47" s="518" t="str">
        <f>CONCATENATE('IV-2 amsa'!H14)</f>
        <v>07.1.1-CPVA-V-902</v>
      </c>
      <c r="I47" s="480" t="str">
        <f>CONCATENATE('IV-2 amsa'!I14)</f>
        <v>V</v>
      </c>
      <c r="J47" s="480" t="str">
        <f>CONCATENATE('IV-2 amsa'!J14)</f>
        <v>ITI</v>
      </c>
      <c r="K47" s="480" t="str">
        <f>CONCATENATE('IV-2 amsa'!K14)</f>
        <v>-</v>
      </c>
      <c r="L47" s="591">
        <f>SUM('IV-2 amsa'!L14)</f>
        <v>1293732.5699999998</v>
      </c>
      <c r="M47" s="591">
        <f>SUM('ketv. 6 lent'!K46)</f>
        <v>1293732.56</v>
      </c>
      <c r="N47" s="591">
        <f>IF(M47&gt;0,L47-M47,0)</f>
        <v>9.9999997764825821E-3</v>
      </c>
      <c r="O47" s="591">
        <f>SUM('IV-2 amsa'!M14)</f>
        <v>97029.95</v>
      </c>
      <c r="P47" s="591">
        <f>SUM('ketv. 6 lent'!O46)</f>
        <v>97029.94</v>
      </c>
      <c r="Q47" s="591">
        <f t="shared" ref="Q47:Q49" si="49">IF(P47&gt;0,O47-P47,0)</f>
        <v>9.9999999947613105E-3</v>
      </c>
      <c r="R47" s="591">
        <f>SUM('IV-2 amsa'!N14)</f>
        <v>97029.94</v>
      </c>
      <c r="S47" s="591">
        <f>SUM('ketv. 6 lent'!S46)</f>
        <v>97029.94</v>
      </c>
      <c r="T47" s="591">
        <f t="shared" ref="T47:T49" si="50">IF(S47&gt;0,R47-S47,0)</f>
        <v>0</v>
      </c>
      <c r="U47" s="591">
        <f>SUM('IV-2 amsa'!O14)</f>
        <v>0</v>
      </c>
      <c r="V47" s="591">
        <f>SUM('ketv. 6 lent'!W46)</f>
        <v>0</v>
      </c>
      <c r="W47" s="591">
        <f t="shared" ref="W47:W49" si="51">IF(V47&gt;0,U47-V47,0)</f>
        <v>0</v>
      </c>
      <c r="X47" s="591">
        <f>SUM('IV-2 amsa'!P14)</f>
        <v>0</v>
      </c>
      <c r="Y47" s="591">
        <f>SUM('ketv. 6 lent'!AA46)</f>
        <v>0</v>
      </c>
      <c r="Z47" s="591">
        <f t="shared" ref="Z47:Z49" si="52">IF(Y47&gt;0,X47-Y47,0)</f>
        <v>0</v>
      </c>
      <c r="AA47" s="591">
        <f>SUM('IV-2 amsa'!Q14)</f>
        <v>1099672.68</v>
      </c>
      <c r="AB47" s="468" t="str">
        <f>IF('ketv. 4 lent'!V47&gt;0,"Taip","Ne")</f>
        <v>Taip</v>
      </c>
      <c r="AC47" s="468">
        <f>SUM('ketv. 6 lent'!AE46)</f>
        <v>1099672.68</v>
      </c>
      <c r="AD47" s="468">
        <f>IF(AC47&gt;0,AA47-AC47,0)</f>
        <v>0</v>
      </c>
      <c r="AE47" s="1113">
        <f>SUM('IV-2 amsa'!R14)</f>
        <v>42246</v>
      </c>
      <c r="AF47" s="587">
        <f>SUM('IV-2 amsa'!S14)</f>
        <v>42338</v>
      </c>
      <c r="AG47" s="587">
        <f>SUM('IV-2 amsa'!T14)</f>
        <v>42674</v>
      </c>
      <c r="AH47" s="587">
        <f>SUM('IV-2 amsa'!U14)</f>
        <v>42735</v>
      </c>
      <c r="AI47" s="589">
        <f t="shared" ref="AI47:AI49" si="53">IF(YEAR(AH47),YEAR(AH47))</f>
        <v>2016</v>
      </c>
      <c r="AJ47" s="1263">
        <f>SUM('IV-2 amsa'!V14)</f>
        <v>43281</v>
      </c>
      <c r="AK47" s="468">
        <f>IF(YEAR(AH47)=2016,AA47,0)</f>
        <v>1099672.68</v>
      </c>
      <c r="AL47" s="468">
        <f>IF(YEAR(AH47)=2017,AA47,0)</f>
        <v>0</v>
      </c>
      <c r="AM47" s="468">
        <f>IF(YEAR(AH47)=2018,AA47,0)</f>
        <v>0</v>
      </c>
      <c r="AN47" s="468">
        <f>IF(YEAR(AH47)=2019,AA47,0)</f>
        <v>0</v>
      </c>
      <c r="AO47" s="1264">
        <f>IF(YEAR(AH47)=2020,AA47,0)</f>
        <v>0</v>
      </c>
      <c r="AP47" s="88"/>
      <c r="AQ47" s="88"/>
      <c r="AR47" s="88"/>
    </row>
    <row r="48" spans="1:47" ht="39.75" thickTop="1" thickBot="1" x14ac:dyDescent="0.3">
      <c r="A48" s="515" t="s">
        <v>166</v>
      </c>
      <c r="B48" s="515" t="s">
        <v>1581</v>
      </c>
      <c r="C48" s="1262" t="str">
        <f>CONCATENATE('ketv. 2lent'!B47)</f>
        <v>07.1.1-CPVA-R-903-11-0001</v>
      </c>
      <c r="D48" s="515" t="str">
        <f>CONCATENATE('IV-2 dsa'!C18)</f>
        <v>Amatų centro „Menų kalvė“ Druskininkuose įkūrimas</v>
      </c>
      <c r="E48" s="515" t="str">
        <f>CONCATENATE('IV-2 dsa'!D18)</f>
        <v xml:space="preserve">Druskininkų savivaldybės administracija  </v>
      </c>
      <c r="F48" s="515" t="str">
        <f>CONCATENATE('IV-2 dsa'!E18)</f>
        <v>Lietuvos Respublikos vidaus reikalų ministerija</v>
      </c>
      <c r="G48" s="515" t="str">
        <f>CONCATENATE('IV-2 dsa'!F18)</f>
        <v>Druskininkų miestas</v>
      </c>
      <c r="H48" s="518" t="str">
        <f>CONCATENATE('IV-2 dsa'!G18)</f>
        <v>07.1.1-CPVA-R-903</v>
      </c>
      <c r="I48" s="480" t="str">
        <f>CONCATENATE('IV-2 dsa'!H18)</f>
        <v>R</v>
      </c>
      <c r="J48" s="480" t="str">
        <f>CONCATENATE('IV-2 dsa'!I18)</f>
        <v>ITI</v>
      </c>
      <c r="K48" s="480" t="str">
        <f>CONCATENATE('IV-2 dsa'!J18)</f>
        <v>-</v>
      </c>
      <c r="L48" s="591">
        <f>SUM('IV-2 dsa'!K18)</f>
        <v>474784</v>
      </c>
      <c r="M48" s="591">
        <f>SUM('ketv. 6 lent'!K47)</f>
        <v>360822.71</v>
      </c>
      <c r="N48" s="591">
        <f>IF(M48&gt;0,L48-M48,0)</f>
        <v>113961.28999999998</v>
      </c>
      <c r="O48" s="591">
        <f>SUM('IV-2 dsa'!L18)</f>
        <v>166265</v>
      </c>
      <c r="P48" s="516">
        <f>SUM('ketv. 6 lent'!O47)</f>
        <v>52303.71</v>
      </c>
      <c r="Q48" s="516">
        <f t="shared" si="49"/>
        <v>113961.29000000001</v>
      </c>
      <c r="R48" s="516">
        <f>SUM('IV-2 dsa'!M18)</f>
        <v>25015.06</v>
      </c>
      <c r="S48" s="516">
        <f>SUM('ketv. 6 lent'!S47)</f>
        <v>25015.06</v>
      </c>
      <c r="T48" s="516">
        <f t="shared" si="50"/>
        <v>0</v>
      </c>
      <c r="U48" s="516">
        <f>SUM('IV-2 dsa'!N18)</f>
        <v>0</v>
      </c>
      <c r="V48" s="516">
        <f>SUM('ketv. 6 lent'!W47)</f>
        <v>0</v>
      </c>
      <c r="W48" s="516">
        <f t="shared" si="51"/>
        <v>0</v>
      </c>
      <c r="X48" s="516">
        <f>SUM('IV-2 dsa'!O18)</f>
        <v>0</v>
      </c>
      <c r="Y48" s="516">
        <f>SUM('ketv. 6 lent'!AA47)</f>
        <v>0</v>
      </c>
      <c r="Z48" s="516">
        <f t="shared" si="52"/>
        <v>0</v>
      </c>
      <c r="AA48" s="516">
        <f>SUM('IV-2 dsa'!P18)</f>
        <v>283503.94</v>
      </c>
      <c r="AB48" s="468" t="str">
        <f>IF('ketv. 4 lent'!V48&gt;0,"Taip","Ne")</f>
        <v>Taip</v>
      </c>
      <c r="AC48" s="468">
        <f>SUM('ketv. 6 lent'!AE47)</f>
        <v>283503.94</v>
      </c>
      <c r="AD48" s="468">
        <f>IF(AC48&gt;0,AA48-AC48,0)</f>
        <v>0</v>
      </c>
      <c r="AE48" s="1113">
        <f>SUM('IV-2 dsa'!Q18)</f>
        <v>42419</v>
      </c>
      <c r="AF48" s="587">
        <f>SUM('IV-2 dsa'!R18)</f>
        <v>42494</v>
      </c>
      <c r="AG48" s="587">
        <f>SUM('IV-2 dsa'!S18)</f>
        <v>42583</v>
      </c>
      <c r="AH48" s="587">
        <f>SUM('IV-2 dsa'!T18)</f>
        <v>42675</v>
      </c>
      <c r="AI48" s="589">
        <f t="shared" si="53"/>
        <v>2016</v>
      </c>
      <c r="AJ48" s="1263">
        <f>SUM('IV-2 dsa'!U18)</f>
        <v>43465</v>
      </c>
      <c r="AK48" s="468">
        <f>IF(YEAR(AH48)=2016,AA48,0)</f>
        <v>283503.94</v>
      </c>
      <c r="AL48" s="468">
        <f>IF(YEAR(AH48)=2017,AA48,0)</f>
        <v>0</v>
      </c>
      <c r="AM48" s="468">
        <f>IF(YEAR(AH48)=2018,AA48,0)</f>
        <v>0</v>
      </c>
      <c r="AN48" s="468">
        <f>IF(YEAR(AH48)=2019,AA48,0)</f>
        <v>0</v>
      </c>
      <c r="AO48" s="1264">
        <f>IF(YEAR(AH48)=2020,AA48,0)</f>
        <v>0</v>
      </c>
      <c r="AP48" s="88"/>
      <c r="AQ48" s="88"/>
      <c r="AR48" s="88"/>
    </row>
    <row r="49" spans="1:44" ht="39.75" thickTop="1" thickBot="1" x14ac:dyDescent="0.3">
      <c r="A49" s="515" t="s">
        <v>167</v>
      </c>
      <c r="B49" s="515" t="s">
        <v>1582</v>
      </c>
      <c r="C49" s="1262" t="str">
        <f>CONCATENATE('ketv. 2lent'!B48)</f>
        <v>07.1.1-CPVA-R-903-11-0002</v>
      </c>
      <c r="D49" s="515" t="str">
        <f>CONCATENATE('IV-2 lrsa'!D19)</f>
        <v>Lazdijų miesto kompleksinė infrastruktūros plėtra, III etapas</v>
      </c>
      <c r="E49" s="515" t="str">
        <f>CONCATENATE('IV-2 lrsa'!E19)</f>
        <v>Lazdijų rajono savivaldybės administracija</v>
      </c>
      <c r="F49" s="515" t="str">
        <f>CONCATENATE('IV-2 lrsa'!F19)</f>
        <v>Lietuvos Respublikos vidaus reikalų ministerija</v>
      </c>
      <c r="G49" s="515" t="str">
        <f>CONCATENATE('IV-2 lrsa'!G19)</f>
        <v>Lazdijų miestas</v>
      </c>
      <c r="H49" s="518" t="str">
        <f>CONCATENATE('IV-2 lrsa'!H19)</f>
        <v>07.1.1-CPVA-R-903</v>
      </c>
      <c r="I49" s="480" t="str">
        <f>CONCATENATE('IV-2 lrsa'!I19)</f>
        <v>R</v>
      </c>
      <c r="J49" s="480" t="str">
        <f>CONCATENATE('IV-2 lrsa'!J19)</f>
        <v>ITI</v>
      </c>
      <c r="K49" s="480" t="str">
        <f>CONCATENATE('IV-2 lrsa'!K19)</f>
        <v>-</v>
      </c>
      <c r="L49" s="516">
        <f>SUM('IV-2 lrsa'!L19)</f>
        <v>343506.99</v>
      </c>
      <c r="M49" s="516">
        <f>SUM('ketv. 6 lent'!K48)</f>
        <v>343507</v>
      </c>
      <c r="N49" s="516">
        <f>IF(M49&gt;0,L49-M49,0)</f>
        <v>-1.0000000009313226E-2</v>
      </c>
      <c r="O49" s="516">
        <f>SUM('IV-2 lrsa'!M19)</f>
        <v>25763.02</v>
      </c>
      <c r="P49" s="516">
        <f>SUM('ketv. 6 lent'!O48)</f>
        <v>25763.03</v>
      </c>
      <c r="Q49" s="516">
        <f t="shared" si="49"/>
        <v>-9.9999999983992893E-3</v>
      </c>
      <c r="R49" s="516">
        <f>SUM('IV-2 lrsa'!N19)</f>
        <v>25763.02</v>
      </c>
      <c r="S49" s="516">
        <f>SUM('ketv. 6 lent'!S48)</f>
        <v>25763.02</v>
      </c>
      <c r="T49" s="516">
        <f t="shared" si="50"/>
        <v>0</v>
      </c>
      <c r="U49" s="516">
        <f>SUM('IV-2 lrsa'!O19)</f>
        <v>0</v>
      </c>
      <c r="V49" s="516">
        <f>SUM('ketv. 6 lent'!W48)</f>
        <v>0</v>
      </c>
      <c r="W49" s="516">
        <f t="shared" si="51"/>
        <v>0</v>
      </c>
      <c r="X49" s="516">
        <f>SUM('IV-2 lrsa'!P19)</f>
        <v>0</v>
      </c>
      <c r="Y49" s="516">
        <f>SUM('ketv. 6 lent'!AA48)</f>
        <v>0</v>
      </c>
      <c r="Z49" s="516">
        <f t="shared" si="52"/>
        <v>0</v>
      </c>
      <c r="AA49" s="516">
        <f>SUM('IV-2 lrsa'!Q19)</f>
        <v>291980.95</v>
      </c>
      <c r="AB49" s="468" t="str">
        <f>IF('ketv. 4 lent'!V49&gt;0,"Taip","Ne")</f>
        <v>Taip</v>
      </c>
      <c r="AC49" s="468">
        <f>SUM('ketv. 6 lent'!AE48)</f>
        <v>291980.95</v>
      </c>
      <c r="AD49" s="468">
        <f>IF(AC49&gt;0,AA49-AC49,0)</f>
        <v>0</v>
      </c>
      <c r="AE49" s="1113">
        <f>SUM('IV-2 lrsa'!R19)</f>
        <v>42419</v>
      </c>
      <c r="AF49" s="587">
        <f>SUM('IV-2 lrsa'!S19)</f>
        <v>42494</v>
      </c>
      <c r="AG49" s="587">
        <f>SUM('IV-2 lrsa'!T19)</f>
        <v>42552</v>
      </c>
      <c r="AH49" s="587">
        <f>SUM('IV-2 lrsa'!U19)</f>
        <v>42674</v>
      </c>
      <c r="AI49" s="589">
        <f t="shared" si="53"/>
        <v>2016</v>
      </c>
      <c r="AJ49" s="1263">
        <f>SUM('IV-2 lrsa'!V19)</f>
        <v>43465</v>
      </c>
      <c r="AK49" s="468">
        <f>IF(YEAR(AH49)=2016,AA49,0)</f>
        <v>291980.95</v>
      </c>
      <c r="AL49" s="468">
        <f>IF(YEAR(AH49)=2017,AA49,0)</f>
        <v>0</v>
      </c>
      <c r="AM49" s="468">
        <f>IF(YEAR(AH49)=2018,AA49,0)</f>
        <v>0</v>
      </c>
      <c r="AN49" s="468">
        <f>IF(YEAR(AH49)=2019,AA49,0)</f>
        <v>0</v>
      </c>
      <c r="AO49" s="1264">
        <f>IF(YEAR(AH49)=2020,AA49,0)</f>
        <v>0</v>
      </c>
      <c r="AP49" s="88"/>
      <c r="AQ49" s="88"/>
      <c r="AR49" s="88"/>
    </row>
    <row r="50" spans="1:44" ht="27" customHeight="1" thickBot="1" x14ac:dyDescent="0.3">
      <c r="A50" s="1280" t="s">
        <v>76</v>
      </c>
      <c r="B50" s="1607" t="str">
        <f>CONCATENATE('IV-2 vrsa'!D25)</f>
        <v xml:space="preserve">Priemonė:
Geriamojo vandens tiekimo ir nuotekų tvarkymo sistemų renovavimas ir plėtra, įmonių valdymo tobulinimas </v>
      </c>
      <c r="C50" s="1608"/>
      <c r="D50" s="1608"/>
      <c r="E50" s="1608"/>
      <c r="F50" s="1608"/>
      <c r="G50" s="1608"/>
      <c r="H50" s="1608"/>
      <c r="I50" s="1608"/>
      <c r="J50" s="1608"/>
      <c r="K50" s="1609"/>
      <c r="L50" s="1258">
        <f t="shared" ref="L50:X50" si="54">SUM(L51:L55)</f>
        <v>16427026.24</v>
      </c>
      <c r="M50" s="1258">
        <f>SUM(M51:M55)</f>
        <v>13600026.08</v>
      </c>
      <c r="N50" s="1258">
        <f>SUM(N51:N55)</f>
        <v>2827000.16</v>
      </c>
      <c r="O50" s="1258">
        <f t="shared" si="54"/>
        <v>0</v>
      </c>
      <c r="P50" s="1258">
        <f>SUM(P51:P55)</f>
        <v>0</v>
      </c>
      <c r="Q50" s="1258">
        <f>SUM(Q51:Q55)</f>
        <v>0</v>
      </c>
      <c r="R50" s="1258">
        <f t="shared" si="54"/>
        <v>0</v>
      </c>
      <c r="S50" s="1258">
        <f>SUM(S51:S55)</f>
        <v>0</v>
      </c>
      <c r="T50" s="1258">
        <f>SUM(T51:T55)</f>
        <v>0</v>
      </c>
      <c r="U50" s="1258">
        <f t="shared" si="54"/>
        <v>7616352.7299999995</v>
      </c>
      <c r="V50" s="1258">
        <f>SUM(V51:V55)</f>
        <v>6202852.4799999995</v>
      </c>
      <c r="W50" s="1258">
        <f>SUM(W51:W55)</f>
        <v>1413500.25</v>
      </c>
      <c r="X50" s="1258">
        <f t="shared" si="54"/>
        <v>0</v>
      </c>
      <c r="Y50" s="1258">
        <f>SUM(Y51:Y55)</f>
        <v>0</v>
      </c>
      <c r="Z50" s="1258">
        <f>SUM(Z51:Z55)</f>
        <v>0</v>
      </c>
      <c r="AA50" s="1258">
        <f>SUM(AA51:AA55)</f>
        <v>8810673.5099999998</v>
      </c>
      <c r="AB50" s="1258"/>
      <c r="AC50" s="1258">
        <f>SUM(AC51:AC55)</f>
        <v>7397173.5999999996</v>
      </c>
      <c r="AD50" s="1258">
        <f>SUM(AD51:AD55)</f>
        <v>1413499.91</v>
      </c>
      <c r="AE50" s="1258"/>
      <c r="AF50" s="1277"/>
      <c r="AG50" s="1277"/>
      <c r="AH50" s="1277"/>
      <c r="AI50" s="1278"/>
      <c r="AJ50" s="1279"/>
      <c r="AK50" s="468">
        <f>SUM(AK51:AK55)</f>
        <v>0</v>
      </c>
      <c r="AL50" s="468">
        <f t="shared" ref="AL50:AO50" si="55">SUM(AL51:AL55)</f>
        <v>8810673.5099999998</v>
      </c>
      <c r="AM50" s="468">
        <f t="shared" si="55"/>
        <v>0</v>
      </c>
      <c r="AN50" s="468">
        <f t="shared" si="55"/>
        <v>0</v>
      </c>
      <c r="AO50" s="468">
        <f t="shared" si="55"/>
        <v>0</v>
      </c>
      <c r="AP50" s="88">
        <f>SUM('IV-2 amsa'!W15+'IV-2 arsa'!V22+'IV-2 dsa'!V19+'IV-2 lrsa'!W20+'IV-2 vrsa'!W25)</f>
        <v>8810673.5099999998</v>
      </c>
      <c r="AQ50" s="88">
        <f>SUM(AP50*120/100)</f>
        <v>10572808.211999999</v>
      </c>
      <c r="AR50" s="88">
        <f>SUM(AP50-AA50)</f>
        <v>0</v>
      </c>
    </row>
    <row r="51" spans="1:44" ht="36" customHeight="1" thickTop="1" thickBot="1" x14ac:dyDescent="0.3">
      <c r="A51" s="515" t="s">
        <v>78</v>
      </c>
      <c r="B51" s="515" t="s">
        <v>1583</v>
      </c>
      <c r="C51" s="1262" t="str">
        <f>CONCATENATE('ketv. 2lent'!B50)</f>
        <v>05.3.2-APVA-R-014-11-0001</v>
      </c>
      <c r="D51" s="515" t="str">
        <f>CONCATENATE('IV-2 vrsa'!D26)</f>
        <v>Geriamojo vandens tiekimo ir nuotekų tvarkymo sistemų renovavimas ir plėtra Varėnos rajone</v>
      </c>
      <c r="E51" s="515" t="str">
        <f>CONCATENATE('IV-2 vrsa'!E26)</f>
        <v>UAB „Varėnos vandenys“</v>
      </c>
      <c r="F51" s="515" t="str">
        <f>CONCATENATE('IV-2 vrsa'!F26)</f>
        <v>Lietuvos Respublikos aplinkos ministerija</v>
      </c>
      <c r="G51" s="515" t="str">
        <f>CONCATENATE('IV-2 vrsa'!G26)</f>
        <v>Varėnos rajono savivaldybė</v>
      </c>
      <c r="H51" s="518" t="str">
        <f>CONCATENATE('IV-2 vrsa'!H26)</f>
        <v>05.3.2-APVA-R-014</v>
      </c>
      <c r="I51" s="480" t="str">
        <f>CONCATENATE('IV-2 vrsa'!I26)</f>
        <v>R</v>
      </c>
      <c r="J51" s="480" t="str">
        <f>CONCATENATE('IV-2 vrsa'!J26)</f>
        <v>ITI</v>
      </c>
      <c r="K51" s="480" t="str">
        <f>CONCATENATE('IV-2 vrsa'!K26)</f>
        <v>-</v>
      </c>
      <c r="L51" s="516">
        <f>SUM('IV-2 vrsa'!L26)</f>
        <v>2477103.23</v>
      </c>
      <c r="M51" s="516">
        <f>SUM('ketv. 6 lent'!K50)</f>
        <v>2477103.23</v>
      </c>
      <c r="N51" s="516">
        <f>IF(M51&gt;0,L51-M51,0)</f>
        <v>0</v>
      </c>
      <c r="O51" s="516">
        <f>SUM('IV-2 vrsa'!M26)</f>
        <v>0</v>
      </c>
      <c r="P51" s="516">
        <f>SUM('ketv. 6 lent'!O50)</f>
        <v>0</v>
      </c>
      <c r="Q51" s="516">
        <f t="shared" ref="Q51:Q55" si="56">IF(P51&gt;0,O51-P51,0)</f>
        <v>0</v>
      </c>
      <c r="R51" s="516">
        <f>SUM('IV-2 vrsa'!N26)</f>
        <v>0</v>
      </c>
      <c r="S51" s="516">
        <f>SUM('ketv. 6 lent'!S50)</f>
        <v>0</v>
      </c>
      <c r="T51" s="516">
        <f t="shared" ref="T51:T55" si="57">IF(S51&gt;0,R51-S51,0)</f>
        <v>0</v>
      </c>
      <c r="U51" s="591">
        <f>SUM('IV-2 vrsa'!O26)</f>
        <v>862874.97</v>
      </c>
      <c r="V51" s="516">
        <f>SUM('ketv. 6 lent'!W50)</f>
        <v>862874.97</v>
      </c>
      <c r="W51" s="516">
        <f t="shared" ref="W51:W55" si="58">IF(V51&gt;0,U51-V51,0)</f>
        <v>0</v>
      </c>
      <c r="X51" s="516">
        <f>SUM('IV-2 vrsa'!P26)</f>
        <v>0</v>
      </c>
      <c r="Y51" s="516">
        <f>SUM('ketv. 6 lent'!AA50)</f>
        <v>0</v>
      </c>
      <c r="Z51" s="516">
        <f t="shared" ref="Z51:Z55" si="59">IF(Y51&gt;0,X51-Y51,0)</f>
        <v>0</v>
      </c>
      <c r="AA51" s="516">
        <f>SUM('IV-2 vrsa'!Q26)</f>
        <v>1614228.26</v>
      </c>
      <c r="AB51" s="468" t="str">
        <f>IF('ketv. 4 lent'!V51&gt;0,"Taip","Ne")</f>
        <v>Taip</v>
      </c>
      <c r="AC51" s="468">
        <f>SUM('ketv. 6 lent'!AE50)</f>
        <v>1614228.26</v>
      </c>
      <c r="AD51" s="468">
        <f>IF(AC51&gt;0,AA51-AC51,0)</f>
        <v>0</v>
      </c>
      <c r="AE51" s="1113">
        <f>SUM('IV-2 vrsa'!R26)</f>
        <v>42451</v>
      </c>
      <c r="AF51" s="587">
        <f>SUM('IV-2 vrsa'!S26)</f>
        <v>42551</v>
      </c>
      <c r="AG51" s="587">
        <f>SUM('IV-2 vrsa'!T26)</f>
        <v>42674</v>
      </c>
      <c r="AH51" s="587">
        <f>SUM('IV-2 vrsa'!U26)</f>
        <v>42766</v>
      </c>
      <c r="AI51" s="589">
        <f t="shared" ref="AI51:AI55" si="60">IF(YEAR(AH51),YEAR(AH51))</f>
        <v>2017</v>
      </c>
      <c r="AJ51" s="1263">
        <f>SUM('IV-2 vrsa'!V26)</f>
        <v>44012</v>
      </c>
      <c r="AK51" s="468">
        <f>IF(YEAR(AH51)=2016,AA51,0)</f>
        <v>0</v>
      </c>
      <c r="AL51" s="468">
        <f>IF(YEAR(AH51)=2017,AA51,0)</f>
        <v>1614228.26</v>
      </c>
      <c r="AM51" s="468">
        <f>IF(YEAR(AH51)=2018,AA51,0)</f>
        <v>0</v>
      </c>
      <c r="AN51" s="468">
        <f>IF(YEAR(AH51)=2019,AA51,0)</f>
        <v>0</v>
      </c>
      <c r="AO51" s="1264">
        <f>IF(YEAR(AH51)=2020,AA51,0)</f>
        <v>0</v>
      </c>
      <c r="AP51" s="88"/>
      <c r="AQ51" s="88"/>
      <c r="AR51" s="88"/>
    </row>
    <row r="52" spans="1:44" ht="37.5" customHeight="1" thickTop="1" thickBot="1" x14ac:dyDescent="0.3">
      <c r="A52" s="515" t="s">
        <v>129</v>
      </c>
      <c r="B52" s="515" t="s">
        <v>1584</v>
      </c>
      <c r="C52" s="1262" t="str">
        <f>CONCATENATE('ketv. 2lent'!B51)</f>
        <v>05.3.2-APVA-R-014-11-0002</v>
      </c>
      <c r="D52" s="515" t="str">
        <f>CONCATENATE('IV-2 amsa'!D16)</f>
        <v>Geriamojo vandens ir nuotekų tvarkymo sistemų renovavimas Alytaus mieste</v>
      </c>
      <c r="E52" s="515" t="str">
        <f>CONCATENATE('IV-2 amsa'!E16)</f>
        <v>UAB “Dzūkijos vandenys“</v>
      </c>
      <c r="F52" s="515" t="str">
        <f>CONCATENATE('IV-2 amsa'!F16)</f>
        <v>Lietuvos Respublikos aplinkos ministerija</v>
      </c>
      <c r="G52" s="515" t="str">
        <f>CONCATENATE('IV-2 amsa'!G16)</f>
        <v>Alytaus miestas</v>
      </c>
      <c r="H52" s="518" t="str">
        <f>CONCATENATE('IV-2 amsa'!H16)</f>
        <v xml:space="preserve">05.3.2-APVA-R-014 </v>
      </c>
      <c r="I52" s="480" t="str">
        <f>CONCATENATE('IV-2 amsa'!I16)</f>
        <v>R</v>
      </c>
      <c r="J52" s="480" t="str">
        <f>CONCATENATE('IV-2 amsa'!J16)</f>
        <v>ITI</v>
      </c>
      <c r="K52" s="480" t="str">
        <f>CONCATENATE('IV-2 amsa'!K16)</f>
        <v>-</v>
      </c>
      <c r="L52" s="516">
        <f>SUM('IV-2 amsa'!L16)</f>
        <v>5993883</v>
      </c>
      <c r="M52" s="516">
        <f>SUM('ketv. 6 lent'!K51)</f>
        <v>5993883</v>
      </c>
      <c r="N52" s="516">
        <f>IF(M52&gt;0,L52-M52,0)</f>
        <v>0</v>
      </c>
      <c r="O52" s="516">
        <f>SUM('IV-2 amsa'!M16)</f>
        <v>0</v>
      </c>
      <c r="P52" s="516">
        <f>SUM('ketv. 6 lent'!O51)</f>
        <v>0</v>
      </c>
      <c r="Q52" s="516">
        <f t="shared" si="56"/>
        <v>0</v>
      </c>
      <c r="R52" s="516">
        <f>SUM('IV-2 amsa'!N16)</f>
        <v>0</v>
      </c>
      <c r="S52" s="516">
        <f>SUM('ketv. 6 lent'!S51)</f>
        <v>0</v>
      </c>
      <c r="T52" s="516">
        <f t="shared" si="57"/>
        <v>0</v>
      </c>
      <c r="U52" s="591">
        <f>SUM('IV-2 amsa'!O16)</f>
        <v>3347886.75</v>
      </c>
      <c r="V52" s="516">
        <f>SUM('ketv. 6 lent'!W51)</f>
        <v>3347886.75</v>
      </c>
      <c r="W52" s="516">
        <f t="shared" si="58"/>
        <v>0</v>
      </c>
      <c r="X52" s="516">
        <f>SUM('IV-2 amsa'!P16)</f>
        <v>0</v>
      </c>
      <c r="Y52" s="516">
        <f>SUM('ketv. 6 lent'!AA51)</f>
        <v>0</v>
      </c>
      <c r="Z52" s="516">
        <f t="shared" si="59"/>
        <v>0</v>
      </c>
      <c r="AA52" s="516">
        <f>SUM('IV-2 amsa'!Q16)</f>
        <v>2645996.25</v>
      </c>
      <c r="AB52" s="468" t="str">
        <f>IF('ketv. 4 lent'!V52&gt;0,"Taip","Ne")</f>
        <v>Taip</v>
      </c>
      <c r="AC52" s="468">
        <f>SUM('ketv. 6 lent'!AE51)</f>
        <v>2645996.25</v>
      </c>
      <c r="AD52" s="468">
        <f>IF(AC52&gt;0,AA52-AC52,0)</f>
        <v>0</v>
      </c>
      <c r="AE52" s="1113">
        <f>SUM('IV-2 amsa'!R16)</f>
        <v>42451</v>
      </c>
      <c r="AF52" s="587">
        <f>SUM('IV-2 amsa'!S16)</f>
        <v>42551</v>
      </c>
      <c r="AG52" s="587">
        <f>SUM('IV-2 amsa'!T16)</f>
        <v>42704</v>
      </c>
      <c r="AH52" s="587">
        <f>SUM('IV-2 amsa'!U16)</f>
        <v>42736</v>
      </c>
      <c r="AI52" s="589">
        <f t="shared" si="60"/>
        <v>2017</v>
      </c>
      <c r="AJ52" s="1263">
        <f>SUM('IV-2 amsa'!V16)</f>
        <v>44012</v>
      </c>
      <c r="AK52" s="468">
        <f>IF(YEAR(AH52)=2016,AA52,0)</f>
        <v>0</v>
      </c>
      <c r="AL52" s="468">
        <f>IF(YEAR(AH52)=2017,AA52,0)</f>
        <v>2645996.25</v>
      </c>
      <c r="AM52" s="468">
        <f>IF(YEAR(AH52)=2018,AA52,0)</f>
        <v>0</v>
      </c>
      <c r="AN52" s="468">
        <f>IF(YEAR(AH52)=2019,AA52,0)</f>
        <v>0</v>
      </c>
      <c r="AO52" s="1264">
        <f>IF(YEAR(AH52)=2020,AA52,0)</f>
        <v>0</v>
      </c>
      <c r="AP52" s="88"/>
      <c r="AQ52" s="88"/>
      <c r="AR52" s="88"/>
    </row>
    <row r="53" spans="1:44" ht="43.5" customHeight="1" thickTop="1" thickBot="1" x14ac:dyDescent="0.3">
      <c r="A53" s="515" t="s">
        <v>130</v>
      </c>
      <c r="B53" s="515" t="s">
        <v>1585</v>
      </c>
      <c r="C53" s="1262" t="str">
        <f>CONCATENATE('ketv. 2lent'!B52)</f>
        <v>05.3.2-APVA-R-014-11-0004</v>
      </c>
      <c r="D53" s="515" t="str">
        <f>CONCATENATE('IV-2 lrsa'!D21)</f>
        <v>Geriamojo vandens tiekimo ir nuotekų tvarkymo sistemų renovavimas ir plėtra Lazdijų rajono savivaldybėje</v>
      </c>
      <c r="E53" s="515" t="str">
        <f>CONCATENATE('IV-2 lrsa'!E21)</f>
        <v>UAB „Lazdijų vanduo“</v>
      </c>
      <c r="F53" s="515" t="str">
        <f>CONCATENATE('IV-2 lrsa'!F21)</f>
        <v>Lietuvos Respublikos aplinkos ministerija</v>
      </c>
      <c r="G53" s="515" t="str">
        <f>CONCATENATE('IV-2 lrsa'!G21)</f>
        <v>Lazdijų rajono savivaldybė</v>
      </c>
      <c r="H53" s="518" t="str">
        <f>CONCATENATE('IV-2 lrsa'!H21)</f>
        <v>05.3.2-APVA-R-014</v>
      </c>
      <c r="I53" s="480" t="str">
        <f>CONCATENATE('IV-2 lrsa'!I21)</f>
        <v>R</v>
      </c>
      <c r="J53" s="480" t="str">
        <f>CONCATENATE('IV-2 lrsa'!J21)</f>
        <v>-</v>
      </c>
      <c r="K53" s="480" t="str">
        <f>CONCATENATE('IV-2 lrsa'!K21)</f>
        <v>-</v>
      </c>
      <c r="L53" s="516">
        <f>SUM('IV-2 lrsa'!L21)</f>
        <v>1288228.01</v>
      </c>
      <c r="M53" s="516">
        <f>SUM('ketv. 6 lent'!K52)</f>
        <v>1288228.01</v>
      </c>
      <c r="N53" s="516">
        <f>IF(M53&gt;0,L53-M53,0)</f>
        <v>0</v>
      </c>
      <c r="O53" s="516">
        <f>SUM('IV-2 lrsa'!M21)</f>
        <v>0</v>
      </c>
      <c r="P53" s="516">
        <f>SUM('ketv. 6 lent'!O52)</f>
        <v>0</v>
      </c>
      <c r="Q53" s="516">
        <f t="shared" si="56"/>
        <v>0</v>
      </c>
      <c r="R53" s="516">
        <f>SUM('IV-2 lrsa'!N21)</f>
        <v>0</v>
      </c>
      <c r="S53" s="516">
        <f>SUM('ketv. 6 lent'!S52)</f>
        <v>0</v>
      </c>
      <c r="T53" s="516">
        <f t="shared" si="57"/>
        <v>0</v>
      </c>
      <c r="U53" s="591">
        <f>SUM('IV-2 lrsa'!O21)</f>
        <v>498126.01</v>
      </c>
      <c r="V53" s="516">
        <f>SUM('ketv. 6 lent'!W52)</f>
        <v>498126.01</v>
      </c>
      <c r="W53" s="516">
        <f t="shared" si="58"/>
        <v>0</v>
      </c>
      <c r="X53" s="516">
        <f>SUM('IV-2 lrsa'!P21)</f>
        <v>0</v>
      </c>
      <c r="Y53" s="516">
        <f>SUM('ketv. 6 lent'!AA52)</f>
        <v>0</v>
      </c>
      <c r="Z53" s="516">
        <f t="shared" si="59"/>
        <v>0</v>
      </c>
      <c r="AA53" s="516">
        <f>SUM('IV-2 lrsa'!Q21)</f>
        <v>790102</v>
      </c>
      <c r="AB53" s="468" t="str">
        <f>IF('ketv. 4 lent'!V53&gt;0,"Taip","Ne")</f>
        <v>Taip</v>
      </c>
      <c r="AC53" s="468">
        <f>SUM('ketv. 6 lent'!AE52)</f>
        <v>790102</v>
      </c>
      <c r="AD53" s="468">
        <f>IF(AC53&gt;0,AA53-AC53,0)</f>
        <v>0</v>
      </c>
      <c r="AE53" s="1113">
        <f>SUM('IV-2 lrsa'!R21)</f>
        <v>42451</v>
      </c>
      <c r="AF53" s="587">
        <f>SUM('IV-2 lrsa'!S21)</f>
        <v>42551</v>
      </c>
      <c r="AG53" s="587">
        <f>SUM('IV-2 lrsa'!T21)</f>
        <v>42734</v>
      </c>
      <c r="AH53" s="587">
        <f>SUM('IV-2 lrsa'!U21)</f>
        <v>42825</v>
      </c>
      <c r="AI53" s="589">
        <f t="shared" si="60"/>
        <v>2017</v>
      </c>
      <c r="AJ53" s="1263">
        <f>SUM('IV-2 lrsa'!V21)</f>
        <v>43646</v>
      </c>
      <c r="AK53" s="468">
        <f>IF(YEAR(AH53)=2016,AA53,0)</f>
        <v>0</v>
      </c>
      <c r="AL53" s="468">
        <f>IF(YEAR(AH53)=2017,AA53,0)</f>
        <v>790102</v>
      </c>
      <c r="AM53" s="468">
        <f>IF(YEAR(AH53)=2018,AA53,0)</f>
        <v>0</v>
      </c>
      <c r="AN53" s="468">
        <f>IF(YEAR(AH53)=2019,AA53,0)</f>
        <v>0</v>
      </c>
      <c r="AO53" s="1264">
        <f>IF(YEAR(AH53)=2020,AA53,0)</f>
        <v>0</v>
      </c>
      <c r="AP53" s="592"/>
      <c r="AQ53" s="88"/>
      <c r="AR53" s="88"/>
    </row>
    <row r="54" spans="1:44" ht="36" customHeight="1" thickTop="1" thickBot="1" x14ac:dyDescent="0.3">
      <c r="A54" s="515" t="s">
        <v>131</v>
      </c>
      <c r="B54" s="515" t="s">
        <v>1586</v>
      </c>
      <c r="C54" s="1262" t="str">
        <f>CONCATENATE('ketv. 2lent'!B53)</f>
        <v>05.3.2-APVA-R-014-11-0003</v>
      </c>
      <c r="D54" s="515" t="str">
        <f>CONCATENATE('IV-2 dsa'!C20)</f>
        <v>Vandens tiekimo ir nuotekų šalinimo infrastruktūros renovavimas ir plėtra Druskininkų savivaldybėje</v>
      </c>
      <c r="E54" s="515" t="str">
        <f>CONCATENATE('IV-2 dsa'!D20)</f>
        <v>UAB "Druskininkų vandenys"</v>
      </c>
      <c r="F54" s="515" t="str">
        <f>CONCATENATE('IV-2 dsa'!E20)</f>
        <v>Lietuvos Respublikos aplinkos ministerija</v>
      </c>
      <c r="G54" s="515" t="str">
        <f>CONCATENATE('IV-2 dsa'!F20)</f>
        <v>Druskininkų miestas</v>
      </c>
      <c r="H54" s="518" t="str">
        <f>CONCATENATE('IV-2 dsa'!G20)</f>
        <v>05.3.2-APVA-R-014</v>
      </c>
      <c r="I54" s="480" t="str">
        <f>CONCATENATE('IV-2 dsa'!H20)</f>
        <v>R</v>
      </c>
      <c r="J54" s="480" t="str">
        <f>CONCATENATE('IV-2 dsa'!I20)</f>
        <v>-</v>
      </c>
      <c r="K54" s="480" t="str">
        <f>CONCATENATE('IV-2 dsa'!J20)</f>
        <v>-</v>
      </c>
      <c r="L54" s="516">
        <f>SUM('IV-2 dsa'!K20)</f>
        <v>5186812</v>
      </c>
      <c r="M54" s="516">
        <f>SUM('ketv. 6 lent'!K53)</f>
        <v>2359811.84</v>
      </c>
      <c r="N54" s="516">
        <f>IF(M54&gt;0,L54-M54,0)</f>
        <v>2827000.16</v>
      </c>
      <c r="O54" s="516">
        <f>SUM('IV-2 dsa'!L20)</f>
        <v>0</v>
      </c>
      <c r="P54" s="516">
        <f>SUM('ketv. 6 lent'!O53)</f>
        <v>0</v>
      </c>
      <c r="Q54" s="516">
        <f t="shared" si="56"/>
        <v>0</v>
      </c>
      <c r="R54" s="516">
        <f>SUM('IV-2 dsa'!M20)</f>
        <v>0</v>
      </c>
      <c r="S54" s="516">
        <f>SUM('ketv. 6 lent'!S53)</f>
        <v>0</v>
      </c>
      <c r="T54" s="516">
        <f t="shared" si="57"/>
        <v>0</v>
      </c>
      <c r="U54" s="516">
        <f>SUM('IV-2 dsa'!N20)</f>
        <v>2294209</v>
      </c>
      <c r="V54" s="516">
        <f>SUM('ketv. 6 lent'!W53)</f>
        <v>880708.75</v>
      </c>
      <c r="W54" s="516">
        <f t="shared" si="58"/>
        <v>1413500.25</v>
      </c>
      <c r="X54" s="516">
        <f>SUM('IV-2 dsa'!O20)</f>
        <v>0</v>
      </c>
      <c r="Y54" s="516">
        <f>SUM('ketv. 6 lent'!AA53)</f>
        <v>0</v>
      </c>
      <c r="Z54" s="516">
        <f t="shared" si="59"/>
        <v>0</v>
      </c>
      <c r="AA54" s="516">
        <f>SUM('IV-2 dsa'!P20)</f>
        <v>2892603</v>
      </c>
      <c r="AB54" s="468" t="str">
        <f>IF('ketv. 4 lent'!V54&gt;0,"Taip","Ne")</f>
        <v>Taip</v>
      </c>
      <c r="AC54" s="468">
        <f>SUM('ketv. 6 lent'!AE53)</f>
        <v>1479103.09</v>
      </c>
      <c r="AD54" s="468">
        <f>IF(AC54&gt;0,AA54-AC54,0)</f>
        <v>1413499.91</v>
      </c>
      <c r="AE54" s="1113">
        <f>SUM('IV-2 dsa'!Q20)</f>
        <v>42451</v>
      </c>
      <c r="AF54" s="587">
        <f>SUM('IV-2 dsa'!R20)</f>
        <v>42551</v>
      </c>
      <c r="AG54" s="587">
        <f>SUM('IV-2 dsa'!S20)</f>
        <v>42705</v>
      </c>
      <c r="AH54" s="587">
        <f>SUM('IV-2 dsa'!T20)</f>
        <v>42795</v>
      </c>
      <c r="AI54" s="589">
        <f t="shared" si="60"/>
        <v>2017</v>
      </c>
      <c r="AJ54" s="1263">
        <f>SUM('IV-2 dsa'!U20)</f>
        <v>44440</v>
      </c>
      <c r="AK54" s="468">
        <f>IF(YEAR(AH54)=2016,AA54,0)</f>
        <v>0</v>
      </c>
      <c r="AL54" s="468">
        <f>IF(YEAR(AH54)=2017,AA54,0)</f>
        <v>2892603</v>
      </c>
      <c r="AM54" s="468">
        <f>IF(YEAR(AH54)=2018,AA54,0)</f>
        <v>0</v>
      </c>
      <c r="AN54" s="468">
        <f>IF(YEAR(AH54)=2019,AA54,0)</f>
        <v>0</v>
      </c>
      <c r="AO54" s="1264">
        <f>IF(YEAR(AH54)=2020,AA54,0)</f>
        <v>0</v>
      </c>
      <c r="AP54" s="88"/>
      <c r="AQ54" s="88"/>
      <c r="AR54" s="88"/>
    </row>
    <row r="55" spans="1:44" ht="48" customHeight="1" thickTop="1" thickBot="1" x14ac:dyDescent="0.3">
      <c r="A55" s="515" t="s">
        <v>132</v>
      </c>
      <c r="B55" s="515" t="s">
        <v>1587</v>
      </c>
      <c r="C55" s="1262" t="str">
        <f>CONCATENATE('ketv. 2lent'!B54)</f>
        <v>05.3.2-APVA-R-014-11-0005</v>
      </c>
      <c r="D55" s="515" t="str">
        <f>CONCATENATE('IV-2 arsa'!C23)</f>
        <v>Vandens tiekimo ir nuotekų tvarkymo infrastruktūros plėtra Alytaus rajone (Krokialaukyje)</v>
      </c>
      <c r="E55" s="515" t="str">
        <f>CONCATENATE('IV-2 arsa'!D23)</f>
        <v>SĮ „Simno komunalininkas“</v>
      </c>
      <c r="F55" s="515" t="str">
        <f>CONCATENATE('IV-2 arsa'!E23)</f>
        <v>Lietuvos Respublikos aplinkos ministerija</v>
      </c>
      <c r="G55" s="515" t="str">
        <f>CONCATENATE('IV-2 arsa'!F23)</f>
        <v>Alytaus  rajono savivaldybė</v>
      </c>
      <c r="H55" s="518" t="str">
        <f>CONCATENATE('IV-2 arsa'!G23)</f>
        <v>05.3.2-APVA-R-014</v>
      </c>
      <c r="I55" s="480" t="str">
        <f>CONCATENATE('IV-2 arsa'!H23)</f>
        <v>R</v>
      </c>
      <c r="J55" s="480" t="str">
        <f>CONCATENATE('IV-2 arsa'!I23)</f>
        <v>-</v>
      </c>
      <c r="K55" s="480" t="str">
        <f>CONCATENATE('IV-2 arsa'!J23)</f>
        <v>-</v>
      </c>
      <c r="L55" s="516">
        <f>SUM('IV-2 arsa'!K22)</f>
        <v>1481000</v>
      </c>
      <c r="M55" s="516">
        <f>SUM('ketv. 6 lent'!K54)</f>
        <v>1481000</v>
      </c>
      <c r="N55" s="516">
        <f t="shared" ref="N55" si="61">IF(M55&gt;0,L55-M55,0)</f>
        <v>0</v>
      </c>
      <c r="O55" s="516">
        <f>SUM('IV-2 arsa'!L22)</f>
        <v>0</v>
      </c>
      <c r="P55" s="516">
        <f>SUM('ketv. 6 lent'!O54)</f>
        <v>0</v>
      </c>
      <c r="Q55" s="516">
        <f t="shared" si="56"/>
        <v>0</v>
      </c>
      <c r="R55" s="516">
        <f>SUM('IV-2 arsa'!M22)</f>
        <v>0</v>
      </c>
      <c r="S55" s="516">
        <f>SUM('ketv. 6 lent'!S54)</f>
        <v>0</v>
      </c>
      <c r="T55" s="516">
        <f t="shared" si="57"/>
        <v>0</v>
      </c>
      <c r="U55" s="516">
        <f>SUM('IV-2 arsa'!N22)</f>
        <v>613256</v>
      </c>
      <c r="V55" s="516">
        <f>SUM('ketv. 6 lent'!W54)</f>
        <v>613256</v>
      </c>
      <c r="W55" s="516">
        <f t="shared" si="58"/>
        <v>0</v>
      </c>
      <c r="X55" s="516">
        <f>SUM('IV-2 arsa'!O22)</f>
        <v>0</v>
      </c>
      <c r="Y55" s="516">
        <f>SUM('ketv. 6 lent'!AA54)</f>
        <v>0</v>
      </c>
      <c r="Z55" s="516">
        <f t="shared" si="59"/>
        <v>0</v>
      </c>
      <c r="AA55" s="516">
        <f>SUM('IV-2 arsa'!P22)</f>
        <v>867744</v>
      </c>
      <c r="AB55" s="468" t="str">
        <f>IF('ketv. 4 lent'!V55&gt;0,"Taip","Ne")</f>
        <v>Taip</v>
      </c>
      <c r="AC55" s="468">
        <f>SUM('ketv. 6 lent'!AE54)</f>
        <v>867744</v>
      </c>
      <c r="AD55" s="468">
        <f>IF(AC55&gt;0,AA55-AC55,0)</f>
        <v>0</v>
      </c>
      <c r="AE55" s="1113">
        <f>SUM('IV-2 arsa'!Q23)</f>
        <v>42451</v>
      </c>
      <c r="AF55" s="587">
        <f>SUM('IV-2 arsa'!R23)</f>
        <v>42551</v>
      </c>
      <c r="AG55" s="587">
        <f>SUM('IV-2 arsa'!S23)</f>
        <v>42919</v>
      </c>
      <c r="AH55" s="587">
        <f>SUM('IV-2 arsa'!T23)</f>
        <v>43039</v>
      </c>
      <c r="AI55" s="589">
        <f t="shared" si="60"/>
        <v>2017</v>
      </c>
      <c r="AJ55" s="1263">
        <f>SUM('IV-2 arsa'!U23)</f>
        <v>44196</v>
      </c>
      <c r="AK55" s="468">
        <f>IF(YEAR(AH55)=2016,AA55,0)</f>
        <v>0</v>
      </c>
      <c r="AL55" s="468">
        <f>IF(YEAR(AH55)=2017,AA55,0)</f>
        <v>867744</v>
      </c>
      <c r="AM55" s="468">
        <f>IF(YEAR(AH55)=2018,AA55,0)</f>
        <v>0</v>
      </c>
      <c r="AN55" s="468">
        <f>IF(YEAR(AH55)=2019,AA55,0)</f>
        <v>0</v>
      </c>
      <c r="AO55" s="1264">
        <f>IF(YEAR(AH55)=2020,AA55,0)</f>
        <v>0</v>
      </c>
      <c r="AP55" s="88"/>
      <c r="AQ55" s="88"/>
      <c r="AR55" s="88"/>
    </row>
    <row r="56" spans="1:44" ht="28.5" customHeight="1" thickBot="1" x14ac:dyDescent="0.3">
      <c r="A56" s="1280" t="s">
        <v>79</v>
      </c>
      <c r="B56" s="1607" t="s">
        <v>1778</v>
      </c>
      <c r="C56" s="1608"/>
      <c r="D56" s="1608"/>
      <c r="E56" s="1608"/>
      <c r="F56" s="1608"/>
      <c r="G56" s="1608"/>
      <c r="H56" s="1608"/>
      <c r="I56" s="1608"/>
      <c r="J56" s="1608"/>
      <c r="K56" s="1609"/>
      <c r="L56" s="1258">
        <f t="shared" ref="L56:AA56" si="62">SUM(L57:L57)</f>
        <v>3999404.09</v>
      </c>
      <c r="M56" s="1258">
        <f>SUM(M57)</f>
        <v>2809404.09</v>
      </c>
      <c r="N56" s="1258">
        <f>SUM(N57)</f>
        <v>1190000</v>
      </c>
      <c r="O56" s="1258">
        <f t="shared" si="62"/>
        <v>0</v>
      </c>
      <c r="P56" s="1258">
        <f>SUM(P57)</f>
        <v>0</v>
      </c>
      <c r="Q56" s="1258">
        <f>SUM(Q57)</f>
        <v>0</v>
      </c>
      <c r="R56" s="1258">
        <f t="shared" si="62"/>
        <v>0</v>
      </c>
      <c r="S56" s="1258">
        <f>SUM(S57)</f>
        <v>0</v>
      </c>
      <c r="T56" s="1258">
        <f>SUM(T57)</f>
        <v>0</v>
      </c>
      <c r="U56" s="1258">
        <f t="shared" si="62"/>
        <v>599910.61</v>
      </c>
      <c r="V56" s="1258">
        <f>SUM(V57)</f>
        <v>421410.60999999987</v>
      </c>
      <c r="W56" s="1258">
        <f>SUM(W57)</f>
        <v>178500.00000000012</v>
      </c>
      <c r="X56" s="1258">
        <f t="shared" si="62"/>
        <v>0</v>
      </c>
      <c r="Y56" s="1258">
        <f>SUM(Y57)</f>
        <v>0</v>
      </c>
      <c r="Z56" s="1258">
        <f>SUM(Z57)</f>
        <v>0</v>
      </c>
      <c r="AA56" s="1258">
        <f t="shared" si="62"/>
        <v>3399493.48</v>
      </c>
      <c r="AB56" s="1258"/>
      <c r="AC56" s="1258">
        <f>SUM(AC57)</f>
        <v>2387993.48</v>
      </c>
      <c r="AD56" s="1258">
        <f>SUM(AD57)</f>
        <v>1011500</v>
      </c>
      <c r="AE56" s="1258"/>
      <c r="AF56" s="1277"/>
      <c r="AG56" s="1277"/>
      <c r="AH56" s="1277"/>
      <c r="AI56" s="1278"/>
      <c r="AJ56" s="1279"/>
      <c r="AK56" s="468">
        <f>SUM(AK57)</f>
        <v>0</v>
      </c>
      <c r="AL56" s="468">
        <f t="shared" ref="AL56:AO56" si="63">SUM(AL57)</f>
        <v>3399493.48</v>
      </c>
      <c r="AM56" s="468">
        <f t="shared" si="63"/>
        <v>1011500</v>
      </c>
      <c r="AN56" s="468">
        <f t="shared" si="63"/>
        <v>0</v>
      </c>
      <c r="AO56" s="468">
        <f t="shared" si="63"/>
        <v>0</v>
      </c>
      <c r="AP56" s="88">
        <f>SUM('IV-2 amsa'!W17+'IV-2 arsa'!V24+'IV-2 dsa'!V21+'IV-2 lrsa'!W22+'IV-2 vrsa'!W27)</f>
        <v>2387993.48</v>
      </c>
      <c r="AQ56" s="88">
        <f>SUM(AP56*120/100)</f>
        <v>2865592.1760000004</v>
      </c>
      <c r="AR56" s="88">
        <f>SUM(AP56-AA56)</f>
        <v>-1011500</v>
      </c>
    </row>
    <row r="57" spans="1:44" ht="27" thickTop="1" thickBot="1" x14ac:dyDescent="0.3">
      <c r="A57" s="515" t="s">
        <v>80</v>
      </c>
      <c r="B57" s="515" t="s">
        <v>1588</v>
      </c>
      <c r="C57" s="1262" t="str">
        <f>CONCATENATE('ketv. 2lent'!B56)</f>
        <v>05.1.1-APVA-R-007-11-0001</v>
      </c>
      <c r="D57" s="515" t="str">
        <f>CONCATENATE('IV-2 amsa'!D18)</f>
        <v>Paviršinių nuotekų sistemų tvarkymas Alytaus mieste</v>
      </c>
      <c r="E57" s="515" t="str">
        <f>CONCATENATE('IV-2 amsa'!E18)</f>
        <v>UAB “Dzūkijos vandenys“</v>
      </c>
      <c r="F57" s="515" t="str">
        <f>CONCATENATE('IV-2 amsa'!F18)</f>
        <v>Lietuvos Respublikos aplinkos ministerija</v>
      </c>
      <c r="G57" s="515" t="str">
        <f>CONCATENATE('IV-2 amsa'!G18)</f>
        <v>Alytaus  miestas</v>
      </c>
      <c r="H57" s="518" t="str">
        <f>CONCATENATE('IV-2 amsa'!H18)</f>
        <v>05.1.1-APVA-R-007</v>
      </c>
      <c r="I57" s="518" t="str">
        <f>CONCATENATE('IV-2 amsa'!I18)</f>
        <v>R</v>
      </c>
      <c r="J57" s="518" t="str">
        <f>CONCATENATE('IV-2 amsa'!J18)</f>
        <v>-</v>
      </c>
      <c r="K57" s="518" t="str">
        <f>CONCATENATE('IV-2 amsa'!K18)</f>
        <v xml:space="preserve"> -</v>
      </c>
      <c r="L57" s="516">
        <f>SUM('IV-2 amsa'!L18)</f>
        <v>3999404.09</v>
      </c>
      <c r="M57" s="516">
        <f>SUM('ketv. 6 lent'!K56)</f>
        <v>2809404.09</v>
      </c>
      <c r="N57" s="516">
        <f>IF(M57&gt;0,L57-M57,0)</f>
        <v>1190000</v>
      </c>
      <c r="O57" s="516">
        <f>SUM('IV-2 amsa'!M18)</f>
        <v>0</v>
      </c>
      <c r="P57" s="516">
        <f>SUM('ketv. 6 lent'!O56)</f>
        <v>0</v>
      </c>
      <c r="Q57" s="516">
        <f>IF(P57&gt;0,O57-P57,0)</f>
        <v>0</v>
      </c>
      <c r="R57" s="516">
        <f>SUM('IV-2 amsa'!N18)</f>
        <v>0</v>
      </c>
      <c r="S57" s="516">
        <f>SUM('ketv. 6 lent'!S56)</f>
        <v>0</v>
      </c>
      <c r="T57" s="516">
        <f>IF(S57&gt;0,R57-S57,0)</f>
        <v>0</v>
      </c>
      <c r="U57" s="516">
        <f>SUM('IV-2 amsa'!O18)</f>
        <v>599910.61</v>
      </c>
      <c r="V57" s="516">
        <f>SUM('ketv. 6 lent'!W56)</f>
        <v>421410.60999999987</v>
      </c>
      <c r="W57" s="516">
        <f>IF(V57&gt;0,U57-V57,0)</f>
        <v>178500.00000000012</v>
      </c>
      <c r="X57" s="516">
        <f>SUM('IV-2 amsa'!P18)</f>
        <v>0</v>
      </c>
      <c r="Y57" s="516">
        <f>SUM('ketv. 6 lent'!AA56)</f>
        <v>0</v>
      </c>
      <c r="Z57" s="516">
        <f>IF(Y57&gt;0,X57-Y57,0)</f>
        <v>0</v>
      </c>
      <c r="AA57" s="516">
        <f>SUM('IV-2 amsa'!Q18)</f>
        <v>3399493.48</v>
      </c>
      <c r="AB57" s="468"/>
      <c r="AC57" s="468">
        <f>SUM('ketv. 6 lent'!AE56)</f>
        <v>2387993.48</v>
      </c>
      <c r="AD57" s="468">
        <f>IF(AC57&gt;0,AA57-AC57,0)</f>
        <v>1011500</v>
      </c>
      <c r="AE57" s="1113">
        <v>43130</v>
      </c>
      <c r="AF57" s="587">
        <f>SUM('IV-2 amsa'!S18)</f>
        <v>42551</v>
      </c>
      <c r="AG57" s="587">
        <f>SUM('IV-2 amsa'!T18)</f>
        <v>42726</v>
      </c>
      <c r="AH57" s="587">
        <f>SUM('IV-2 amsa'!U18)</f>
        <v>42825</v>
      </c>
      <c r="AI57" s="589">
        <f>IF(YEAR(AH57),YEAR(AH57))</f>
        <v>2017</v>
      </c>
      <c r="AJ57" s="1263">
        <f>SUM('IV-2 amsa'!V18)</f>
        <v>44196</v>
      </c>
      <c r="AK57" s="468">
        <f>IF(YEAR(AH57)=2016,AA57,0)</f>
        <v>0</v>
      </c>
      <c r="AL57" s="468">
        <f>IF(YEAR(AH57)=2017,AA57,0)</f>
        <v>3399493.48</v>
      </c>
      <c r="AM57" s="468">
        <v>1011500</v>
      </c>
      <c r="AN57" s="468">
        <f>IF(YEAR(AH57)=2019,AA57,0)</f>
        <v>0</v>
      </c>
      <c r="AO57" s="1264">
        <f>IF(YEAR(AH57)=2020,AA57,0)</f>
        <v>0</v>
      </c>
      <c r="AP57" s="88"/>
      <c r="AQ57" s="88"/>
      <c r="AR57" s="88"/>
    </row>
    <row r="58" spans="1:44" ht="30" customHeight="1" thickTop="1" thickBot="1" x14ac:dyDescent="0.3">
      <c r="A58" s="1280" t="s">
        <v>81</v>
      </c>
      <c r="B58" s="1280"/>
      <c r="C58" s="1239" t="str">
        <f>CONCATENATE('ketv. 2lent'!B57)</f>
        <v/>
      </c>
      <c r="D58" s="1612" t="str">
        <f>CONCATENATE('IV-2 amsa'!D19)</f>
        <v>Priemonė:
Savivaldybes jungiančių turizmo trasų ir turizmo maršrutų informacinės infrastruktūros plėtra</v>
      </c>
      <c r="E58" s="1613" t="str">
        <f>CONCATENATE('IV-2 amsa'!E19)</f>
        <v/>
      </c>
      <c r="F58" s="1613" t="str">
        <f>CONCATENATE('IV-2 amsa'!F19)</f>
        <v/>
      </c>
      <c r="G58" s="1613" t="str">
        <f>CONCATENATE('IV-2 amsa'!G19)</f>
        <v/>
      </c>
      <c r="H58" s="1613" t="str">
        <f>CONCATENATE('IV-2 amsa'!H19)</f>
        <v/>
      </c>
      <c r="I58" s="1613" t="str">
        <f>CONCATENATE('IV-2 amsa'!I19)</f>
        <v/>
      </c>
      <c r="J58" s="1613" t="str">
        <f>CONCATENATE('IV-2 amsa'!J19)</f>
        <v/>
      </c>
      <c r="K58" s="1614" t="str">
        <f>CONCATENATE('IV-2 amsa'!K19)</f>
        <v/>
      </c>
      <c r="L58" s="1258">
        <f t="shared" ref="L58:AA58" si="64">SUM(L59:L61)</f>
        <v>719317.64705882361</v>
      </c>
      <c r="M58" s="1258">
        <f>SUM(M59:M61)</f>
        <v>496329.53</v>
      </c>
      <c r="N58" s="1258">
        <f>SUM(N59:N61)</f>
        <v>-0.11823529406683519</v>
      </c>
      <c r="O58" s="1258">
        <f t="shared" si="64"/>
        <v>107897.64705882352</v>
      </c>
      <c r="P58" s="1258">
        <f>SUM(P59:P61)</f>
        <v>74449.429999999993</v>
      </c>
      <c r="Q58" s="1258">
        <f>SUM(Q59:Q61)</f>
        <v>-1.8235294111946132E-2</v>
      </c>
      <c r="R58" s="1258">
        <f t="shared" si="64"/>
        <v>0</v>
      </c>
      <c r="S58" s="1258">
        <f>SUM(S59:S61)</f>
        <v>0</v>
      </c>
      <c r="T58" s="1258">
        <f>SUM(T59:T61)</f>
        <v>0</v>
      </c>
      <c r="U58" s="1258">
        <f t="shared" si="64"/>
        <v>0</v>
      </c>
      <c r="V58" s="1258">
        <f>SUM(V59:V61)</f>
        <v>0</v>
      </c>
      <c r="W58" s="1258">
        <f>SUM(W59:W61)</f>
        <v>0</v>
      </c>
      <c r="X58" s="1258">
        <f t="shared" si="64"/>
        <v>0</v>
      </c>
      <c r="Y58" s="1258">
        <f>SUM(Y59:Y61)</f>
        <v>0</v>
      </c>
      <c r="Z58" s="1258">
        <f>SUM(Z59:Z61)</f>
        <v>0</v>
      </c>
      <c r="AA58" s="1258">
        <f t="shared" si="64"/>
        <v>611420</v>
      </c>
      <c r="AB58" s="1258"/>
      <c r="AC58" s="1258">
        <f>SUM(AC59:AC61)</f>
        <v>421880.1</v>
      </c>
      <c r="AD58" s="1258">
        <f>SUM(AD59:AD61)</f>
        <v>-0.10000000000582077</v>
      </c>
      <c r="AE58" s="1258"/>
      <c r="AF58" s="1277"/>
      <c r="AG58" s="1277"/>
      <c r="AH58" s="1277"/>
      <c r="AI58" s="1278"/>
      <c r="AJ58" s="1279"/>
      <c r="AK58" s="468">
        <f>SUM(AK59:AK61)</f>
        <v>0</v>
      </c>
      <c r="AL58" s="468">
        <f t="shared" ref="AL58:AO58" si="65">SUM(AL59:AL61)</f>
        <v>421880</v>
      </c>
      <c r="AM58" s="468">
        <f t="shared" si="65"/>
        <v>0</v>
      </c>
      <c r="AN58" s="468">
        <f t="shared" si="65"/>
        <v>189540</v>
      </c>
      <c r="AO58" s="468">
        <f t="shared" si="65"/>
        <v>0</v>
      </c>
      <c r="AP58" s="88">
        <f>SUM('IV-2 amsa'!W19+'IV-2 arsa'!V26+'IV-2 dsa'!V23+'IV-2 lrsa'!W24+'IV-2 vrsa'!W29)</f>
        <v>611420</v>
      </c>
      <c r="AQ58" s="88">
        <f>SUM(AP58*120/100)</f>
        <v>733704</v>
      </c>
      <c r="AR58" s="88">
        <f>SUM(AP58-AA58)</f>
        <v>0</v>
      </c>
    </row>
    <row r="59" spans="1:44" ht="39.75" thickTop="1" thickBot="1" x14ac:dyDescent="0.3">
      <c r="A59" s="515" t="s">
        <v>83</v>
      </c>
      <c r="B59" s="515" t="s">
        <v>1589</v>
      </c>
      <c r="C59" s="1262" t="str">
        <f>CONCATENATE('ketv. 2lent'!B58)</f>
        <v>05.4.1-LVPA-R-821-11-0002</v>
      </c>
      <c r="D59" s="515" t="str">
        <f>CONCATENATE('IV-2 amsa'!D20)</f>
        <v>Alytaus regiono turizmo informacinės infrastruktūros plėtra</v>
      </c>
      <c r="E59" s="515" t="str">
        <f>CONCATENATE('IV-2 amsa'!E20)</f>
        <v>Alytaus miesto savivaldybės administracija</v>
      </c>
      <c r="F59" s="515" t="str">
        <f>CONCATENATE('IV-2 amsa'!F20)</f>
        <v>Lietuvos Respublikos ūkio ministerija</v>
      </c>
      <c r="G59" s="515" t="str">
        <f>CONCATENATE('IV-2 amsa'!G20)</f>
        <v>Alytaus regionas</v>
      </c>
      <c r="H59" s="518" t="str">
        <f>CONCATENATE('IV-2 amsa'!H20)</f>
        <v>05.4.1-LVPA-R-821</v>
      </c>
      <c r="I59" s="518" t="str">
        <f>CONCATENATE('IV-2 amsa'!I20)</f>
        <v>R</v>
      </c>
      <c r="J59" s="518" t="str">
        <f>CONCATENATE('IV-2 amsa'!J20)</f>
        <v>-</v>
      </c>
      <c r="K59" s="518" t="str">
        <f>CONCATENATE('IV-2 amsa'!K20)</f>
        <v>-</v>
      </c>
      <c r="L59" s="516">
        <f>SUM('IV-2 amsa'!L20+'IV-2 arsa'!K27+'IV-2 dsa'!K24+'IV-2 lrsa'!L25+'IV-2 vrsa'!L30)</f>
        <v>208223.52941176473</v>
      </c>
      <c r="M59" s="516">
        <f>SUM('ketv. 6 lent'!K58)</f>
        <v>208223.53</v>
      </c>
      <c r="N59" s="516">
        <f>IF(M59&gt;0,L59-M59,0)</f>
        <v>-5.8823527069762349E-4</v>
      </c>
      <c r="O59" s="516">
        <f>SUM('IV-2 amsa'!M20+'IV-2 arsa'!L27+'IV-2 dsa'!L24+'IV-2 lrsa'!M25+'IV-2 vrsa'!M30)</f>
        <v>31233.529411764706</v>
      </c>
      <c r="P59" s="516">
        <f>SUM('ketv. 6 lent'!O58)</f>
        <v>31233.53</v>
      </c>
      <c r="Q59" s="516">
        <f>IF(P59&gt;0,O59-P59,0)</f>
        <v>-5.8823529252549633E-4</v>
      </c>
      <c r="R59" s="516">
        <f>SUM('IV-2 amsa'!N20+'IV-2 arsa'!M27+'IV-2 dsa'!M24+'IV-2 lrsa'!N25+'IV-2 vrsa'!N30)</f>
        <v>0</v>
      </c>
      <c r="S59" s="516">
        <f>SUM('ketv. 6 lent'!S58)</f>
        <v>0</v>
      </c>
      <c r="T59" s="516">
        <f>IF(S59&gt;0,R59-S59,0)</f>
        <v>0</v>
      </c>
      <c r="U59" s="516">
        <f>SUM('IV-2 amsa'!O20+'IV-2 arsa'!N27+'IV-2 dsa'!N24+'IV-2 lrsa'!O25+'IV-2 vrsa'!O30)</f>
        <v>0</v>
      </c>
      <c r="V59" s="516">
        <f>SUM('ketv. 6 lent'!W58)</f>
        <v>0</v>
      </c>
      <c r="W59" s="516">
        <f>IF(V59&gt;0,U59-V59,0)</f>
        <v>0</v>
      </c>
      <c r="X59" s="516">
        <f>SUM('IV-2 amsa'!P20+'IV-2 arsa'!O27+'IV-2 dsa'!O24+'IV-2 lrsa'!P25+'IV-2 vrsa'!P30)</f>
        <v>0</v>
      </c>
      <c r="Y59" s="516">
        <f>SUM('ketv. 6 lent'!AA58)</f>
        <v>0</v>
      </c>
      <c r="Z59" s="516">
        <f>IF(Y59&gt;0,X59-Y59,0)</f>
        <v>0</v>
      </c>
      <c r="AA59" s="516">
        <f>SUM('IV-2 amsa'!Q20+'IV-2 arsa'!P27+'IV-2 dsa'!P24+'IV-2 lrsa'!Q25+'IV-2 vrsa'!Q30)</f>
        <v>176990</v>
      </c>
      <c r="AB59" s="468" t="str">
        <f>IF('ketv. 4 lent'!V59&gt;0,"Taip","Ne")</f>
        <v>Taip</v>
      </c>
      <c r="AC59" s="468">
        <f>SUM('ketv. 6 lent'!AE58)</f>
        <v>176990</v>
      </c>
      <c r="AD59" s="468">
        <f>IF(AC59&gt;0,AA59-AC59,0)</f>
        <v>0</v>
      </c>
      <c r="AE59" s="1113">
        <f>SUM('IV-2 amsa'!R20)</f>
        <v>42604</v>
      </c>
      <c r="AF59" s="587">
        <f>SUM('IV-2 amsa'!S20)</f>
        <v>42635</v>
      </c>
      <c r="AG59" s="587">
        <f>SUM('IV-2 amsa'!T20)</f>
        <v>42755</v>
      </c>
      <c r="AH59" s="587">
        <f>SUM('IV-2 amsa'!U20)</f>
        <v>42855</v>
      </c>
      <c r="AI59" s="589">
        <f t="shared" ref="AI59:AI61" si="66">IF(YEAR(AH59),YEAR(AH59))</f>
        <v>2017</v>
      </c>
      <c r="AJ59" s="1263">
        <f>SUM('IV-2 amsa'!V20)</f>
        <v>43830</v>
      </c>
      <c r="AK59" s="468">
        <f>IF(YEAR(AH59)=2016,AA59,0)</f>
        <v>0</v>
      </c>
      <c r="AL59" s="468">
        <f>IF(YEAR(AH59)=2017,AA59,0)</f>
        <v>176990</v>
      </c>
      <c r="AM59" s="468">
        <f>IF(YEAR(AH59)=2018,AA59,0)</f>
        <v>0</v>
      </c>
      <c r="AN59" s="468">
        <f>IF(YEAR(AH59)=2019,AA59,0)</f>
        <v>0</v>
      </c>
      <c r="AO59" s="1264">
        <f>IF(YEAR(AH59)=2020,AA59,0)</f>
        <v>0</v>
      </c>
      <c r="AP59" s="88"/>
      <c r="AQ59" s="88"/>
      <c r="AR59" s="88"/>
    </row>
    <row r="60" spans="1:44" ht="52.5" thickTop="1" thickBot="1" x14ac:dyDescent="0.3">
      <c r="A60" s="515" t="s">
        <v>198</v>
      </c>
      <c r="B60" s="515" t="s">
        <v>1590</v>
      </c>
      <c r="C60" s="1262" t="str">
        <f>CONCATENATE('ketv. 2lent'!B59)</f>
        <v>05.4.1-LVPA-R-821-11-0001</v>
      </c>
      <c r="D60" s="515" t="str">
        <f>CONCATENATE('IV-2 lrsa'!D26)</f>
        <v>„Turizmo trasų ir maršrutų informacinės infrastruktūros plėtra  Lazdijų, Varėnos rajonų ir Druskininkų savivaldybėse“</v>
      </c>
      <c r="E60" s="515" t="str">
        <f>CONCATENATE('IV-2 lrsa'!E26)</f>
        <v>Lazdijų rajono savivaldybės administracija</v>
      </c>
      <c r="F60" s="515" t="str">
        <f>CONCATENATE('IV-2 lrsa'!F26)</f>
        <v>Lietuvos Respublikos ūkio ministerija</v>
      </c>
      <c r="G60" s="515" t="str">
        <f>CONCATENATE('IV-2 lrsa'!G26)</f>
        <v xml:space="preserve">Lazdijų, Varėnos rajonų ir Druskininkų savivaldybės </v>
      </c>
      <c r="H60" s="518" t="str">
        <f>CONCATENATE('IV-2 lrsa'!H26)</f>
        <v>05.4.1-LVPA-R-821</v>
      </c>
      <c r="I60" s="518" t="str">
        <f>CONCATENATE('IV-2 lrsa'!I26)</f>
        <v>R</v>
      </c>
      <c r="J60" s="518" t="str">
        <f>CONCATENATE('IV-2 lrsa'!J26)</f>
        <v>-</v>
      </c>
      <c r="K60" s="518" t="str">
        <f>CONCATENATE('IV-2 lrsa'!K26)</f>
        <v>-</v>
      </c>
      <c r="L60" s="516">
        <f>SUM('IV-2 dsa'!K25+'IV-2 lrsa'!L26+'IV-2 vrsa'!L31)</f>
        <v>288105.8823529412</v>
      </c>
      <c r="M60" s="516">
        <f>SUM('ketv. 6 lent'!K59)</f>
        <v>288106</v>
      </c>
      <c r="N60" s="516">
        <f t="shared" ref="N60" si="67">IF(M60&gt;0,L60-M60,0)</f>
        <v>-0.11764705879613757</v>
      </c>
      <c r="O60" s="516">
        <f>SUM('IV-2 dsa'!L25+'IV-2 lrsa'!M26+'IV-2 vrsa'!M31)</f>
        <v>43215.882352941175</v>
      </c>
      <c r="P60" s="516">
        <f>SUM('ketv. 6 lent'!O59)</f>
        <v>43215.899999999994</v>
      </c>
      <c r="Q60" s="516">
        <f>IF(P60&gt;0,O60-P60,0)</f>
        <v>-1.7647058819420636E-2</v>
      </c>
      <c r="R60" s="516">
        <f>SUM('IV-2 dsa'!M25+'IV-2 lrsa'!N26+'IV-2 vrsa'!N31)</f>
        <v>0</v>
      </c>
      <c r="S60" s="516">
        <f>SUM('ketv. 6 lent'!S59)</f>
        <v>0</v>
      </c>
      <c r="T60" s="516">
        <f t="shared" ref="T60:T61" si="68">IF(S60&gt;0,R60-S60,0)</f>
        <v>0</v>
      </c>
      <c r="U60" s="516">
        <f>SUM('IV-2 dsa'!N25+'IV-2 lrsa'!O26+'IV-2 vrsa'!O31)</f>
        <v>0</v>
      </c>
      <c r="V60" s="516">
        <f>SUM('ketv. 6 lent'!W59)</f>
        <v>0</v>
      </c>
      <c r="W60" s="516">
        <f t="shared" ref="W60:W61" si="69">IF(V60&gt;0,U60-V60,0)</f>
        <v>0</v>
      </c>
      <c r="X60" s="516">
        <f>SUM('IV-2 dsa'!O25+'IV-2 lrsa'!P26+'IV-2 vrsa'!P31)</f>
        <v>0</v>
      </c>
      <c r="Y60" s="516">
        <f>SUM('ketv. 6 lent'!AA59)</f>
        <v>0</v>
      </c>
      <c r="Z60" s="516">
        <f t="shared" ref="Z60:Z61" si="70">IF(Y60&gt;0,X60-Y60,0)</f>
        <v>0</v>
      </c>
      <c r="AA60" s="516">
        <f>SUM('IV-2 dsa'!P25+'IV-2 lrsa'!Q26+'IV-2 vrsa'!Q31)</f>
        <v>244890</v>
      </c>
      <c r="AB60" s="468" t="str">
        <f>IF('ketv. 4 lent'!V60&gt;0,"Taip","Ne")</f>
        <v>Taip</v>
      </c>
      <c r="AC60" s="468">
        <f>SUM('ketv. 6 lent'!AE59)</f>
        <v>244890.1</v>
      </c>
      <c r="AD60" s="468">
        <f>IF(AC60&gt;0,AA60-AC60,0)</f>
        <v>-0.10000000000582077</v>
      </c>
      <c r="AE60" s="1113">
        <f>SUM('IV-2 lrsa'!R26)</f>
        <v>42604</v>
      </c>
      <c r="AF60" s="587">
        <f>SUM('IV-2 lrsa'!S26)</f>
        <v>42635</v>
      </c>
      <c r="AG60" s="587">
        <f>SUM('IV-2 lrsa'!T26)</f>
        <v>42706</v>
      </c>
      <c r="AH60" s="587">
        <f>SUM('IV-2 lrsa'!U26)</f>
        <v>42825</v>
      </c>
      <c r="AI60" s="589">
        <f t="shared" si="66"/>
        <v>2017</v>
      </c>
      <c r="AJ60" s="1263">
        <f>SUM('IV-2 lrsa'!V26)</f>
        <v>43585</v>
      </c>
      <c r="AK60" s="468">
        <f>IF(YEAR(AH60)=2016,AA60,0)</f>
        <v>0</v>
      </c>
      <c r="AL60" s="468">
        <f>IF(YEAR(AH60)=2017,AA60,0)</f>
        <v>244890</v>
      </c>
      <c r="AM60" s="468">
        <f>IF(YEAR(AH60)=2018,AA60,0)</f>
        <v>0</v>
      </c>
      <c r="AN60" s="468">
        <f>IF(YEAR(AH60)=2019,AA60,0)</f>
        <v>0</v>
      </c>
      <c r="AO60" s="1264">
        <f>IF(YEAR(AH60)=2020,AA60,0)</f>
        <v>0</v>
      </c>
      <c r="AP60" s="592"/>
      <c r="AQ60" s="88"/>
      <c r="AR60" s="88"/>
    </row>
    <row r="61" spans="1:44" ht="52.5" thickTop="1" thickBot="1" x14ac:dyDescent="0.3">
      <c r="A61" s="515" t="s">
        <v>216</v>
      </c>
      <c r="B61" s="515" t="s">
        <v>1591</v>
      </c>
      <c r="C61" s="1262" t="str">
        <f>CONCATENATE('ketv. 2lent'!B60)</f>
        <v/>
      </c>
      <c r="D61" s="515" t="str">
        <f>CONCATENATE('IV-2 lrsa'!D27)</f>
        <v>„Turizmo trasų ir maršrutų informacinės infrastruktūros plėtra  Lazdijų, Varėnos rajonų ir Druskininkų savivaldybėse II etapas“</v>
      </c>
      <c r="E61" s="515" t="str">
        <f>CONCATENATE('IV-2 lrsa'!E27)</f>
        <v>Lazdijų rajono savivaldybės administracija</v>
      </c>
      <c r="F61" s="515" t="str">
        <f>CONCATENATE('IV-2 lrsa'!F27)</f>
        <v>Lietuvos Respublikos ūkio ministerija</v>
      </c>
      <c r="G61" s="515" t="str">
        <f>CONCATENATE('IV-2 lrsa'!G27)</f>
        <v xml:space="preserve">Lazdijų, Varėnos rajonų ir Druskininkų savivaldybės </v>
      </c>
      <c r="H61" s="518" t="str">
        <f>CONCATENATE('IV-2 lrsa'!H27)</f>
        <v>05.4.1-LVPA-R-821</v>
      </c>
      <c r="I61" s="518" t="str">
        <f>CONCATENATE('IV-2 lrsa'!I27)</f>
        <v>R</v>
      </c>
      <c r="J61" s="518" t="str">
        <f>CONCATENATE('IV-2 lrsa'!J27)</f>
        <v>-</v>
      </c>
      <c r="K61" s="518" t="str">
        <f>CONCATENATE('IV-2 lrsa'!K27)</f>
        <v>-</v>
      </c>
      <c r="L61" s="516">
        <f>SUM('IV-2 dsa'!K26+'IV-2 lrsa'!L27+'IV-2 vrsa'!L32)</f>
        <v>222988.23529411765</v>
      </c>
      <c r="M61" s="516">
        <f>SUM('ketv. 6 lent'!K60)</f>
        <v>0</v>
      </c>
      <c r="N61" s="516">
        <f>IF(M61&gt;0,L61-M61,0)</f>
        <v>0</v>
      </c>
      <c r="O61" s="516">
        <f>SUM('IV-2 dsa'!L26+'IV-2 lrsa'!M27+'IV-2 vrsa'!M32)</f>
        <v>33448.23529411765</v>
      </c>
      <c r="P61" s="516">
        <f>SUM('ketv. 6 lent'!O60)</f>
        <v>0</v>
      </c>
      <c r="Q61" s="516">
        <f>IF(P61&gt;0,O61-P61,0)</f>
        <v>0</v>
      </c>
      <c r="R61" s="516">
        <f>SUM('IV-2 dsa'!M26+'IV-2 lrsa'!N27+'IV-2 vrsa'!N32)</f>
        <v>0</v>
      </c>
      <c r="S61" s="516">
        <f>SUM('ketv. 6 lent'!S60)</f>
        <v>0</v>
      </c>
      <c r="T61" s="516">
        <f t="shared" si="68"/>
        <v>0</v>
      </c>
      <c r="U61" s="516">
        <f>SUM('IV-2 dsa'!N26+'IV-2 lrsa'!O27+'IV-2 vrsa'!O32)</f>
        <v>0</v>
      </c>
      <c r="V61" s="516">
        <f>SUM('ketv. 6 lent'!W60)</f>
        <v>0</v>
      </c>
      <c r="W61" s="516">
        <f t="shared" si="69"/>
        <v>0</v>
      </c>
      <c r="X61" s="516">
        <f>SUM('IV-2 dsa'!O26+'IV-2 lrsa'!P27+'IV-2 vrsa'!P32)</f>
        <v>0</v>
      </c>
      <c r="Y61" s="516">
        <f>SUM('ketv. 6 lent'!AA60)</f>
        <v>0</v>
      </c>
      <c r="Z61" s="516">
        <f t="shared" si="70"/>
        <v>0</v>
      </c>
      <c r="AA61" s="516">
        <f>SUM('IV-2 dsa'!P26+'IV-2 lrsa'!Q27+'IV-2 vrsa'!Q32)</f>
        <v>189540</v>
      </c>
      <c r="AB61" s="468" t="str">
        <f>IF('ketv. 4 lent'!V61&gt;0,"Taip","Ne")</f>
        <v>Ne</v>
      </c>
      <c r="AC61" s="468">
        <f>SUM('ketv. 6 lent'!AE60)</f>
        <v>0</v>
      </c>
      <c r="AD61" s="468">
        <f>IF(AC61&gt;0,AA61-AC61,0)</f>
        <v>0</v>
      </c>
      <c r="AE61" s="1113">
        <v>43189</v>
      </c>
      <c r="AF61" s="587">
        <f>SUM('IV-2 lrsa'!S27)</f>
        <v>43388</v>
      </c>
      <c r="AG61" s="587">
        <f>SUM('IV-2 lrsa'!T27)</f>
        <v>43496</v>
      </c>
      <c r="AH61" s="587">
        <f>SUM('IV-2 lrsa'!U27)</f>
        <v>43586</v>
      </c>
      <c r="AI61" s="589">
        <f t="shared" si="66"/>
        <v>2019</v>
      </c>
      <c r="AJ61" s="1263">
        <f>SUM('IV-2 lrsa'!V27)</f>
        <v>44176</v>
      </c>
      <c r="AK61" s="468">
        <f>IF(YEAR(AH61)=2016,AA61,0)</f>
        <v>0</v>
      </c>
      <c r="AL61" s="468">
        <f>IF(YEAR(AH61)=2017,AA61,0)</f>
        <v>0</v>
      </c>
      <c r="AM61" s="468">
        <f>IF(YEAR(AH61)=2018,AA61,0)</f>
        <v>0</v>
      </c>
      <c r="AN61" s="468">
        <f>IF(YEAR(AH61)=2019,AA61,0)</f>
        <v>189540</v>
      </c>
      <c r="AO61" s="1264">
        <f>IF(YEAR(AH61)=2020,AA61,0)</f>
        <v>0</v>
      </c>
      <c r="AP61" s="592"/>
      <c r="AQ61" s="88"/>
      <c r="AR61" s="88"/>
    </row>
    <row r="62" spans="1:44" ht="34.5" customHeight="1" thickBot="1" x14ac:dyDescent="0.3">
      <c r="A62" s="1280" t="s">
        <v>84</v>
      </c>
      <c r="B62" s="1607" t="s">
        <v>1779</v>
      </c>
      <c r="C62" s="1608"/>
      <c r="D62" s="1608"/>
      <c r="E62" s="1608"/>
      <c r="F62" s="1608"/>
      <c r="G62" s="1608"/>
      <c r="H62" s="1608"/>
      <c r="I62" s="1608"/>
      <c r="J62" s="1608"/>
      <c r="K62" s="1609"/>
      <c r="L62" s="1258">
        <f t="shared" ref="L62:AA62" si="71">SUM(L63:L66)</f>
        <v>1972835.5100000002</v>
      </c>
      <c r="M62" s="1258">
        <f>SUM(M63:M66)</f>
        <v>1488066.1600000001</v>
      </c>
      <c r="N62" s="1258">
        <f>SUM(N63:N66)</f>
        <v>0</v>
      </c>
      <c r="O62" s="1258">
        <f t="shared" si="71"/>
        <v>422270.99</v>
      </c>
      <c r="P62" s="1258">
        <f>SUM(P63:P66)</f>
        <v>237042.64000000007</v>
      </c>
      <c r="Q62" s="1258">
        <f>SUM(Q63:Q66)</f>
        <v>-7.2759576141834259E-11</v>
      </c>
      <c r="R62" s="1258">
        <f t="shared" si="71"/>
        <v>352400.82</v>
      </c>
      <c r="S62" s="1258">
        <f>SUM(S63:S66)</f>
        <v>352400.82</v>
      </c>
      <c r="T62" s="1258">
        <f>SUM(T63:T66)</f>
        <v>0</v>
      </c>
      <c r="U62" s="1258">
        <f t="shared" si="71"/>
        <v>0</v>
      </c>
      <c r="V62" s="1258">
        <f>SUM(V63:V66)</f>
        <v>0</v>
      </c>
      <c r="W62" s="1258">
        <f>SUM(W63:W66)</f>
        <v>0</v>
      </c>
      <c r="X62" s="1258">
        <f t="shared" si="71"/>
        <v>0</v>
      </c>
      <c r="Y62" s="1258">
        <f>SUM(Y63:Y66)</f>
        <v>0</v>
      </c>
      <c r="Z62" s="1258">
        <f>SUM(Z63:Z66)</f>
        <v>0</v>
      </c>
      <c r="AA62" s="1258">
        <f t="shared" si="71"/>
        <v>1198163.7</v>
      </c>
      <c r="AB62" s="1258"/>
      <c r="AC62" s="1258">
        <f>SUM(AC63:AC66)</f>
        <v>898622.7</v>
      </c>
      <c r="AD62" s="1258">
        <f>SUM(AD63:AD66)</f>
        <v>0</v>
      </c>
      <c r="AE62" s="1258"/>
      <c r="AF62" s="1277"/>
      <c r="AG62" s="1277"/>
      <c r="AH62" s="1277"/>
      <c r="AI62" s="1278"/>
      <c r="AJ62" s="1279"/>
      <c r="AK62" s="1281">
        <f>SUM(AK63:AK66)</f>
        <v>0</v>
      </c>
      <c r="AL62" s="1281">
        <f t="shared" ref="AL62:AO62" si="72">SUM(AL63:AL66)</f>
        <v>898622.7</v>
      </c>
      <c r="AM62" s="1281">
        <f t="shared" si="72"/>
        <v>299541</v>
      </c>
      <c r="AN62" s="1281">
        <f t="shared" si="72"/>
        <v>0</v>
      </c>
      <c r="AO62" s="1281">
        <f t="shared" si="72"/>
        <v>0</v>
      </c>
      <c r="AP62" s="88">
        <f>SUM('IV-2 amsa'!W22+'IV-2 arsa'!V28+'IV-2 dsa'!V27+'IV-2 lrsa'!W28+'IV-2 vrsa'!W33)</f>
        <v>1198165.51</v>
      </c>
      <c r="AQ62" s="88">
        <f>SUM(AP62*120/100)</f>
        <v>1437798.612</v>
      </c>
      <c r="AR62" s="88">
        <f>SUM(AP62-AA62)</f>
        <v>1.8100000000558794</v>
      </c>
    </row>
    <row r="63" spans="1:44" ht="39.75" thickTop="1" thickBot="1" x14ac:dyDescent="0.3">
      <c r="A63" s="515" t="s">
        <v>85</v>
      </c>
      <c r="B63" s="515" t="s">
        <v>1592</v>
      </c>
      <c r="C63" s="1262" t="str">
        <f>CONCATENATE('ketv. 2lent'!B62)</f>
        <v>07.1.1-CPVA-R-305-11-0001</v>
      </c>
      <c r="D63" s="515" t="str">
        <f>CONCATENATE('IV-2 vrsa'!D34)</f>
        <v>Kultūros įstaigų infrastruktūros modernizavimas Varėnos mieste</v>
      </c>
      <c r="E63" s="515" t="str">
        <f>CONCATENATE('IV-2 vrsa'!E34)</f>
        <v>Varėnos rajono savivaldybės administracija</v>
      </c>
      <c r="F63" s="515" t="str">
        <f>CONCATENATE('IV-2 vrsa'!F34)</f>
        <v>Lietuvos Respublikos kultūros ministerija</v>
      </c>
      <c r="G63" s="515" t="str">
        <f>CONCATENATE('IV-2 vrsa'!G34)</f>
        <v>Varėnos miestas</v>
      </c>
      <c r="H63" s="518" t="str">
        <f>CONCATENATE('IV-2 vrsa'!H34)</f>
        <v>07.1.1-CPVA-R-305</v>
      </c>
      <c r="I63" s="518" t="str">
        <f>CONCATENATE('IV-2 vrsa'!I34)</f>
        <v>R</v>
      </c>
      <c r="J63" s="518" t="str">
        <f>CONCATENATE('IV-2 vrsa'!J34)</f>
        <v>ITI</v>
      </c>
      <c r="K63" s="518" t="str">
        <f>CONCATENATE('IV-2 vrsa'!K34)</f>
        <v>-</v>
      </c>
      <c r="L63" s="516">
        <f>SUM('IV-2 vrsa'!L34)</f>
        <v>352401</v>
      </c>
      <c r="M63" s="516">
        <f>SUM('ketv. 6 lent'!K62)</f>
        <v>352401</v>
      </c>
      <c r="N63" s="516">
        <f t="shared" ref="N63:N66" si="73">IF(M63&gt;0,L63-M63,0)</f>
        <v>0</v>
      </c>
      <c r="O63" s="516">
        <f>SUM('IV-2 vrsa'!M34)</f>
        <v>52860.15</v>
      </c>
      <c r="P63" s="516">
        <f>SUM('ketv. 6 lent'!O62)</f>
        <v>52860.150000000023</v>
      </c>
      <c r="Q63" s="516">
        <f>IF(P63&gt;0,O63-P63,0)</f>
        <v>-2.1827872842550278E-11</v>
      </c>
      <c r="R63" s="516">
        <f>SUM('IV-2 vrsa'!N34)</f>
        <v>0</v>
      </c>
      <c r="S63" s="516">
        <f>SUM('ketv. 6 lent'!S62)</f>
        <v>0</v>
      </c>
      <c r="T63" s="516">
        <f t="shared" ref="T63:T66" si="74">IF(S63&gt;0,R63-S63,0)</f>
        <v>0</v>
      </c>
      <c r="U63" s="516">
        <f>SUM('IV-2 vrsa'!O34)</f>
        <v>0</v>
      </c>
      <c r="V63" s="516">
        <f>SUM('ketv. 6 lent'!W62)</f>
        <v>0</v>
      </c>
      <c r="W63" s="516">
        <f t="shared" ref="W63:W66" si="75">IF(V63&gt;0,U63-V63,0)</f>
        <v>0</v>
      </c>
      <c r="X63" s="516">
        <f>SUM('IV-2 vrsa'!P34)</f>
        <v>0</v>
      </c>
      <c r="Y63" s="516">
        <f>SUM('ketv. 6 lent'!AA62)</f>
        <v>0</v>
      </c>
      <c r="Z63" s="516">
        <f t="shared" ref="Z63:Z66" si="76">IF(Y63&gt;0,X63-Y63,0)</f>
        <v>0</v>
      </c>
      <c r="AA63" s="516">
        <f>SUM('IV-2 vrsa'!Q34)</f>
        <v>299540.84999999998</v>
      </c>
      <c r="AB63" s="468" t="str">
        <f>IF('ketv. 4 lent'!V63&gt;0,"Taip","Ne")</f>
        <v>Taip</v>
      </c>
      <c r="AC63" s="468">
        <f>SUM('ketv. 6 lent'!AE62)</f>
        <v>299540.84999999998</v>
      </c>
      <c r="AD63" s="468">
        <f>IF(AC63&gt;0,AA63-AC63,0)</f>
        <v>0</v>
      </c>
      <c r="AE63" s="1113">
        <f>SUM('IV-2 vrsa'!R34)</f>
        <v>42614</v>
      </c>
      <c r="AF63" s="587">
        <f>SUM('IV-2 vrsa'!S34)</f>
        <v>42632</v>
      </c>
      <c r="AG63" s="587">
        <f>SUM('IV-2 vrsa'!T34)</f>
        <v>42767</v>
      </c>
      <c r="AH63" s="587">
        <f>SUM('IV-2 vrsa'!U34)</f>
        <v>42855</v>
      </c>
      <c r="AI63" s="587">
        <f>SUM('IV-2 vrsa'!V34)</f>
        <v>43465</v>
      </c>
      <c r="AJ63" s="1263">
        <f>SUM('IV-2 vrsa'!V34)</f>
        <v>43465</v>
      </c>
      <c r="AK63" s="468">
        <f>IF(YEAR(AH63)=2016,AA63,0)</f>
        <v>0</v>
      </c>
      <c r="AL63" s="468">
        <f>IF(YEAR(AH63)=2017,AA63,0)</f>
        <v>299540.84999999998</v>
      </c>
      <c r="AM63" s="468">
        <f>IF(YEAR(AH63)=2018,AA63,0)</f>
        <v>0</v>
      </c>
      <c r="AN63" s="468">
        <f>IF(YEAR(AH63)=2019,AA63,0)</f>
        <v>0</v>
      </c>
      <c r="AO63" s="1264">
        <f>IF(YEAR(AH63)=2020,AA63,0)</f>
        <v>0</v>
      </c>
      <c r="AP63" s="88"/>
      <c r="AQ63" s="88"/>
      <c r="AR63" s="88"/>
    </row>
    <row r="64" spans="1:44" ht="39.75" thickTop="1" thickBot="1" x14ac:dyDescent="0.3">
      <c r="A64" s="515" t="s">
        <v>169</v>
      </c>
      <c r="B64" s="515" t="s">
        <v>1593</v>
      </c>
      <c r="C64" s="1262" t="str">
        <f>CONCATENATE('ketv. 2lent'!B63)</f>
        <v>07.1.1-CPVA-R-305-11-0002</v>
      </c>
      <c r="D64" s="515" t="str">
        <f>CONCATENATE('IV-2 amsa'!D23)</f>
        <v>VšĮ Alytaus kultūros ir komunikacijos centro pastato Alytuje, Pramonės g. 1B, rekonstravimas</v>
      </c>
      <c r="E64" s="515" t="str">
        <f>CONCATENATE('IV-2 amsa'!E23)</f>
        <v>Alytaus miesto savivaldybės administracija</v>
      </c>
      <c r="F64" s="515" t="str">
        <f>CONCATENATE('IV-2 amsa'!F23)</f>
        <v>Lietuvos Respublikos kultūros ministerija</v>
      </c>
      <c r="G64" s="515" t="str">
        <f>CONCATENATE('IV-2 amsa'!G23)</f>
        <v>Alytaus miestas</v>
      </c>
      <c r="H64" s="518" t="str">
        <f>CONCATENATE('IV-2 amsa'!H23)</f>
        <v>07.1.1-CPVA-R-305</v>
      </c>
      <c r="I64" s="518" t="str">
        <f>CONCATENATE('IV-2 amsa'!I23)</f>
        <v>R</v>
      </c>
      <c r="J64" s="518" t="str">
        <f>CONCATENATE('IV-2 amsa'!J23)</f>
        <v>ITI</v>
      </c>
      <c r="K64" s="518" t="str">
        <f>CONCATENATE('IV-2 amsa'!K23)</f>
        <v>-</v>
      </c>
      <c r="L64" s="516">
        <f>SUM('IV-2 amsa'!L23)</f>
        <v>783264.16</v>
      </c>
      <c r="M64" s="516">
        <f>SUM('ketv. 6 lent'!K63)</f>
        <v>783264.16</v>
      </c>
      <c r="N64" s="516">
        <f t="shared" si="73"/>
        <v>0</v>
      </c>
      <c r="O64" s="516">
        <f>SUM('IV-2 amsa'!M23)</f>
        <v>131322.34</v>
      </c>
      <c r="P64" s="516">
        <f>SUM('ketv. 6 lent'!O63)</f>
        <v>131322.34000000003</v>
      </c>
      <c r="Q64" s="516">
        <f>IF(P64&gt;0,O64-P64,0)</f>
        <v>-2.9103830456733704E-11</v>
      </c>
      <c r="R64" s="516">
        <f>SUM('IV-2 amsa'!N23)</f>
        <v>352400.82</v>
      </c>
      <c r="S64" s="516">
        <f>SUM('ketv. 6 lent'!S63)</f>
        <v>352400.82</v>
      </c>
      <c r="T64" s="516">
        <f t="shared" si="74"/>
        <v>0</v>
      </c>
      <c r="U64" s="516">
        <f>SUM('IV-2 amsa'!O23)</f>
        <v>0</v>
      </c>
      <c r="V64" s="516">
        <f>SUM('ketv. 6 lent'!W63)</f>
        <v>0</v>
      </c>
      <c r="W64" s="516">
        <f t="shared" si="75"/>
        <v>0</v>
      </c>
      <c r="X64" s="516">
        <f>SUM('IV-2 amsa'!P23)</f>
        <v>0</v>
      </c>
      <c r="Y64" s="516">
        <f>SUM('ketv. 6 lent'!AA63)</f>
        <v>0</v>
      </c>
      <c r="Z64" s="516">
        <f t="shared" si="76"/>
        <v>0</v>
      </c>
      <c r="AA64" s="516">
        <f>SUM('IV-2 amsa'!Q23)</f>
        <v>299541</v>
      </c>
      <c r="AB64" s="468" t="str">
        <f>IF('ketv. 4 lent'!V64&gt;0,"Taip","Ne")</f>
        <v>Taip</v>
      </c>
      <c r="AC64" s="468">
        <f>SUM('ketv. 6 lent'!AE63)</f>
        <v>299541</v>
      </c>
      <c r="AD64" s="468">
        <f>IF(AC64&gt;0,AA64-AC64,0)</f>
        <v>0</v>
      </c>
      <c r="AE64" s="1113">
        <f>SUM('IV-2 amsa'!R23)</f>
        <v>42614</v>
      </c>
      <c r="AF64" s="587">
        <f>SUM('IV-2 amsa'!S23)</f>
        <v>42703</v>
      </c>
      <c r="AG64" s="587">
        <f>SUM('IV-2 amsa'!T23)</f>
        <v>42762</v>
      </c>
      <c r="AH64" s="587">
        <f>SUM('IV-2 amsa'!U23)</f>
        <v>42855</v>
      </c>
      <c r="AI64" s="589">
        <f t="shared" ref="AI64:AI66" si="77">IF(YEAR(AH64),YEAR(AH64))</f>
        <v>2017</v>
      </c>
      <c r="AJ64" s="1263">
        <f>SUM('IV-2 amsa'!V23)</f>
        <v>43465</v>
      </c>
      <c r="AK64" s="468">
        <f>IF(YEAR(AH64)=2016,AA64,0)</f>
        <v>0</v>
      </c>
      <c r="AL64" s="468">
        <f>IF(YEAR(AH64)=2017,AA64,0)</f>
        <v>299541</v>
      </c>
      <c r="AM64" s="468">
        <f>IF(YEAR(AH64)=2018,AA64,0)</f>
        <v>0</v>
      </c>
      <c r="AN64" s="468">
        <f>IF(YEAR(AH64)=2019,AA64,0)</f>
        <v>0</v>
      </c>
      <c r="AO64" s="1264">
        <f>IF(YEAR(AH64)=2020,AA64,0)</f>
        <v>0</v>
      </c>
      <c r="AP64" s="88"/>
      <c r="AQ64" s="88"/>
      <c r="AR64" s="88"/>
    </row>
    <row r="65" spans="1:46" ht="39.75" thickTop="1" thickBot="1" x14ac:dyDescent="0.3">
      <c r="A65" s="515" t="s">
        <v>172</v>
      </c>
      <c r="B65" s="515" t="s">
        <v>1594</v>
      </c>
      <c r="C65" s="1262" t="str">
        <f>CONCATENATE('ketv. 2lent'!B64)</f>
        <v>07.1.1-CPVA-R-305-11-0003</v>
      </c>
      <c r="D65" s="515" t="str">
        <f>CONCATENATE('IV-2 dsa'!C28)</f>
        <v>Druskininkų kultūros centro lauko scenos, Vilniaus al. 24, Druskininkai, modernizavimas ir pritaikymas kultūros  poreikiams</v>
      </c>
      <c r="E65" s="515" t="str">
        <f>CONCATENATE('IV-2 dsa'!D28)</f>
        <v xml:space="preserve">Druskininkų savivaldybės administracija  </v>
      </c>
      <c r="F65" s="515" t="str">
        <f>CONCATENATE('IV-2 dsa'!E28)</f>
        <v>Lietuvos Respublikos kultūros ministerija</v>
      </c>
      <c r="G65" s="515" t="str">
        <f>CONCATENATE('IV-2 dsa'!F28)</f>
        <v>Druskininkų  miestas</v>
      </c>
      <c r="H65" s="518" t="str">
        <f>CONCATENATE('IV-2 dsa'!G28)</f>
        <v>07.1.1-CPVA-R-305</v>
      </c>
      <c r="I65" s="518" t="str">
        <f>CONCATENATE('IV-2 dsa'!H28)</f>
        <v>R</v>
      </c>
      <c r="J65" s="518" t="str">
        <f>CONCATENATE('IV-2 dsa'!I28)</f>
        <v>ITI</v>
      </c>
      <c r="K65" s="516" t="s">
        <v>66</v>
      </c>
      <c r="L65" s="516">
        <f>SUM('IV-2 dsa'!K28)</f>
        <v>352401</v>
      </c>
      <c r="M65" s="516">
        <f>SUM('ketv. 6 lent'!K64)</f>
        <v>352401</v>
      </c>
      <c r="N65" s="516">
        <f t="shared" si="73"/>
        <v>0</v>
      </c>
      <c r="O65" s="516">
        <f>SUM('IV-2 dsa'!L28)</f>
        <v>52860.15</v>
      </c>
      <c r="P65" s="516">
        <f>SUM('ketv. 6 lent'!O64)</f>
        <v>52860.150000000023</v>
      </c>
      <c r="Q65" s="516">
        <f>IF(P65&gt;0,O65-P65,0)</f>
        <v>-2.1827872842550278E-11</v>
      </c>
      <c r="R65" s="516">
        <f>SUM('IV-2 dsa'!M28)</f>
        <v>0</v>
      </c>
      <c r="S65" s="516">
        <f>SUM('ketv. 6 lent'!S64)</f>
        <v>0</v>
      </c>
      <c r="T65" s="516">
        <f t="shared" si="74"/>
        <v>0</v>
      </c>
      <c r="U65" s="516">
        <f>SUM('IV-2 dsa'!N28)</f>
        <v>0</v>
      </c>
      <c r="V65" s="516">
        <f>SUM('ketv. 6 lent'!W64)</f>
        <v>0</v>
      </c>
      <c r="W65" s="516">
        <f t="shared" si="75"/>
        <v>0</v>
      </c>
      <c r="X65" s="516">
        <f>SUM('IV-2 dsa'!O28)</f>
        <v>0</v>
      </c>
      <c r="Y65" s="516">
        <f>SUM('ketv. 6 lent'!AA64)</f>
        <v>0</v>
      </c>
      <c r="Z65" s="516">
        <f t="shared" si="76"/>
        <v>0</v>
      </c>
      <c r="AA65" s="516">
        <f>SUM('IV-2 dsa'!P28)</f>
        <v>299540.84999999998</v>
      </c>
      <c r="AB65" s="468" t="str">
        <f>IF('ketv. 4 lent'!V65&gt;0,"Taip","Ne")</f>
        <v>Taip</v>
      </c>
      <c r="AC65" s="468">
        <f>SUM('ketv. 6 lent'!AE64)</f>
        <v>299540.84999999998</v>
      </c>
      <c r="AD65" s="468">
        <f>IF(AC65&gt;0,AA65-AC65,0)</f>
        <v>0</v>
      </c>
      <c r="AE65" s="1113">
        <f>SUM('IV-2 dsa'!Q28)</f>
        <v>42614</v>
      </c>
      <c r="AF65" s="587">
        <f>SUM('IV-2 dsa'!R28)</f>
        <v>42703</v>
      </c>
      <c r="AG65" s="587">
        <f>SUM('IV-2 dsa'!S28)</f>
        <v>42767</v>
      </c>
      <c r="AH65" s="587">
        <f>SUM('IV-2 dsa'!T28)</f>
        <v>42886</v>
      </c>
      <c r="AI65" s="589">
        <f t="shared" si="77"/>
        <v>2017</v>
      </c>
      <c r="AJ65" s="1263">
        <f>SUM('IV-2 dsa'!U28)</f>
        <v>43465</v>
      </c>
      <c r="AK65" s="468">
        <f>IF(YEAR(AH65)=2016,AA65,0)</f>
        <v>0</v>
      </c>
      <c r="AL65" s="468">
        <f>IF(YEAR(AH65)=2017,AA65,0)</f>
        <v>299540.84999999998</v>
      </c>
      <c r="AM65" s="468">
        <f>IF(YEAR(AH65)=2018,AA65,0)</f>
        <v>0</v>
      </c>
      <c r="AN65" s="468">
        <f>IF(YEAR(AH65)=2019,AA65,0)</f>
        <v>0</v>
      </c>
      <c r="AO65" s="1264">
        <f>IF(YEAR(AH65)=2020,AA65,0)</f>
        <v>0</v>
      </c>
      <c r="AP65" s="88"/>
      <c r="AQ65" s="88"/>
      <c r="AR65" s="88"/>
    </row>
    <row r="66" spans="1:46" ht="39.75" thickTop="1" thickBot="1" x14ac:dyDescent="0.3">
      <c r="A66" s="515" t="s">
        <v>176</v>
      </c>
      <c r="B66" s="515" t="s">
        <v>1595</v>
      </c>
      <c r="C66" s="1262" t="str">
        <f>CONCATENATE('ketv. 2lent'!B65)</f>
        <v>07.1.1-CPVA-R-305-11-0004</v>
      </c>
      <c r="D66" s="515" t="str">
        <f>CONCATENATE('IV-2 lrsa'!D29)</f>
        <v>Pastato rekonstrukcija ir pritaikymas kultūrinėms, muziejinėms ir edukacinėms reikmėms</v>
      </c>
      <c r="E66" s="515" t="str">
        <f>CONCATENATE('IV-2 lrsa'!E29)</f>
        <v>Lazdijų rajono savivaldybės administracija</v>
      </c>
      <c r="F66" s="515" t="str">
        <f>CONCATENATE('IV-2 lrsa'!F29)</f>
        <v>Lietuvos Respublikos kultūros ministerija</v>
      </c>
      <c r="G66" s="515" t="str">
        <f>CONCATENATE('IV-2 lrsa'!G29)</f>
        <v>Lazdijų miestas</v>
      </c>
      <c r="H66" s="518" t="str">
        <f>CONCATENATE('IV-2 lrsa'!H29)</f>
        <v>07.1.1-CPVA-R-305</v>
      </c>
      <c r="I66" s="518" t="str">
        <f>CONCATENATE('IV-2 lrsa'!I29)</f>
        <v>R</v>
      </c>
      <c r="J66" s="518" t="str">
        <f>CONCATENATE('IV-2 lrsa'!J29)</f>
        <v>ITI</v>
      </c>
      <c r="K66" s="518" t="str">
        <f>CONCATENATE('IV-2 lrsa'!K29)</f>
        <v>-</v>
      </c>
      <c r="L66" s="516">
        <f>SUM('IV-2 lrsa'!L29)</f>
        <v>484769.35</v>
      </c>
      <c r="M66" s="516">
        <f>SUM('ketv. 6 lent'!K65)</f>
        <v>0</v>
      </c>
      <c r="N66" s="516">
        <f t="shared" si="73"/>
        <v>0</v>
      </c>
      <c r="O66" s="516">
        <f>SUM('IV-2 lrsa'!M29)</f>
        <v>185228.35</v>
      </c>
      <c r="P66" s="516">
        <f>SUM('ketv. 6 lent'!O65)</f>
        <v>0</v>
      </c>
      <c r="Q66" s="516">
        <f t="shared" ref="Q66" si="78">IF(P66&gt;0,O66-P66,0)</f>
        <v>0</v>
      </c>
      <c r="R66" s="516">
        <f>SUM('IV-2 lrsa'!N29)</f>
        <v>0</v>
      </c>
      <c r="S66" s="516">
        <f>SUM('ketv. 6 lent'!S65)</f>
        <v>0</v>
      </c>
      <c r="T66" s="516">
        <f t="shared" si="74"/>
        <v>0</v>
      </c>
      <c r="U66" s="516">
        <f>SUM('IV-2 lrsa'!O29)</f>
        <v>0</v>
      </c>
      <c r="V66" s="516">
        <f>SUM('ketv. 6 lent'!W65)</f>
        <v>0</v>
      </c>
      <c r="W66" s="516">
        <f t="shared" si="75"/>
        <v>0</v>
      </c>
      <c r="X66" s="516">
        <f>SUM('IV-2 lrsa'!P29)</f>
        <v>0</v>
      </c>
      <c r="Y66" s="516">
        <f>SUM('ketv. 6 lent'!AA65)</f>
        <v>0</v>
      </c>
      <c r="Z66" s="516">
        <f t="shared" si="76"/>
        <v>0</v>
      </c>
      <c r="AA66" s="516">
        <f>SUM('IV-2 lrsa'!Q29)</f>
        <v>299541</v>
      </c>
      <c r="AB66" s="468" t="str">
        <f>IF('ketv. 4 lent'!V66&gt;0,"Taip","Ne")</f>
        <v>Ne</v>
      </c>
      <c r="AC66" s="468">
        <f>SUM('ketv. 6 lent'!AE65)</f>
        <v>0</v>
      </c>
      <c r="AD66" s="468">
        <f>IF(AC66&gt;0,AA66-AC66,0)</f>
        <v>0</v>
      </c>
      <c r="AE66" s="1113">
        <f>SUM('IV-2 lrsa'!R29)</f>
        <v>42614</v>
      </c>
      <c r="AF66" s="587">
        <f>SUM('IV-2 lrsa'!S29)</f>
        <v>42703</v>
      </c>
      <c r="AG66" s="587">
        <f>SUM('IV-2 lrsa'!T29)</f>
        <v>43097</v>
      </c>
      <c r="AH66" s="587">
        <f>SUM('IV-2 lrsa'!U29)</f>
        <v>43190</v>
      </c>
      <c r="AI66" s="589">
        <f t="shared" si="77"/>
        <v>2018</v>
      </c>
      <c r="AJ66" s="1263">
        <f>SUM('IV-2 lrsa'!V29)</f>
        <v>44196</v>
      </c>
      <c r="AK66" s="468">
        <f>IF(YEAR(AH66)=2016,AA66,0)</f>
        <v>0</v>
      </c>
      <c r="AL66" s="468">
        <f>IF(YEAR(AH66)=2017,AA66,0)</f>
        <v>0</v>
      </c>
      <c r="AM66" s="468">
        <f>IF(YEAR(AH66)=2018,AA66,0)</f>
        <v>299541</v>
      </c>
      <c r="AN66" s="468">
        <f>IF(YEAR(AH66)=2019,AA66,0)</f>
        <v>0</v>
      </c>
      <c r="AO66" s="1264">
        <f>IF(YEAR(AH66)=2020,AA66,0)</f>
        <v>0</v>
      </c>
      <c r="AP66" s="88"/>
      <c r="AQ66" s="88"/>
      <c r="AR66" s="88"/>
    </row>
    <row r="67" spans="1:46" ht="25.5" customHeight="1" thickBot="1" x14ac:dyDescent="0.3">
      <c r="A67" s="1280" t="s">
        <v>86</v>
      </c>
      <c r="B67" s="1607" t="s">
        <v>1780</v>
      </c>
      <c r="C67" s="1608"/>
      <c r="D67" s="1608"/>
      <c r="E67" s="1608"/>
      <c r="F67" s="1608"/>
      <c r="G67" s="1608"/>
      <c r="H67" s="1608"/>
      <c r="I67" s="1608"/>
      <c r="J67" s="1608"/>
      <c r="K67" s="1609"/>
      <c r="L67" s="1258">
        <f t="shared" ref="L67:AA67" si="79">SUM(L68:L72)</f>
        <v>1212868</v>
      </c>
      <c r="M67" s="1258">
        <f>SUM(M68:M72)</f>
        <v>0</v>
      </c>
      <c r="N67" s="1258">
        <f>SUM(N68:N72)</f>
        <v>0</v>
      </c>
      <c r="O67" s="1258">
        <f t="shared" si="79"/>
        <v>182588</v>
      </c>
      <c r="P67" s="1258">
        <f>SUM(P68:P72)</f>
        <v>0</v>
      </c>
      <c r="Q67" s="1258">
        <f>SUM(Q68:Q72)</f>
        <v>0</v>
      </c>
      <c r="R67" s="1258">
        <f t="shared" si="79"/>
        <v>0</v>
      </c>
      <c r="S67" s="1258">
        <f>SUM(S68:S72)</f>
        <v>0</v>
      </c>
      <c r="T67" s="1258">
        <f>SUM(T68:T72)</f>
        <v>0</v>
      </c>
      <c r="U67" s="1258">
        <f t="shared" si="79"/>
        <v>0</v>
      </c>
      <c r="V67" s="1258">
        <f>SUM(V68:V72)</f>
        <v>0</v>
      </c>
      <c r="W67" s="1258">
        <f>SUM(W68:W72)</f>
        <v>0</v>
      </c>
      <c r="X67" s="1258">
        <f t="shared" si="79"/>
        <v>0</v>
      </c>
      <c r="Y67" s="1258">
        <f>SUM(Y68:Y72)</f>
        <v>0</v>
      </c>
      <c r="Z67" s="1258">
        <f>SUM(Z68:Z72)</f>
        <v>0</v>
      </c>
      <c r="AA67" s="1258">
        <f t="shared" si="79"/>
        <v>1030280</v>
      </c>
      <c r="AB67" s="1258"/>
      <c r="AC67" s="1258">
        <f>SUM(AC68:AC72)</f>
        <v>0</v>
      </c>
      <c r="AD67" s="1258">
        <f>SUM(AD68:AD72)</f>
        <v>0</v>
      </c>
      <c r="AE67" s="1258"/>
      <c r="AF67" s="1277"/>
      <c r="AG67" s="1277"/>
      <c r="AH67" s="1277"/>
      <c r="AI67" s="1278"/>
      <c r="AJ67" s="1279"/>
      <c r="AK67" s="1281">
        <f>SUM(AK68:AK72)</f>
        <v>0</v>
      </c>
      <c r="AL67" s="1281">
        <f t="shared" ref="AL67:AO67" si="80">SUM(AL68:AL72)</f>
        <v>0</v>
      </c>
      <c r="AM67" s="1281">
        <f t="shared" si="80"/>
        <v>1030280</v>
      </c>
      <c r="AN67" s="1281">
        <f t="shared" si="80"/>
        <v>0</v>
      </c>
      <c r="AO67" s="1281">
        <f t="shared" si="80"/>
        <v>0</v>
      </c>
      <c r="AP67" s="88">
        <f>SUM('IV-2 amsa'!W24+'IV-2 arsa'!V30+'IV-2 dsa'!V29+'IV-2 lrsa'!W30+'IV-2 vrsa'!W35)</f>
        <v>1030281.5620000002</v>
      </c>
      <c r="AQ67" s="88">
        <f>SUM(AP67*120/100)</f>
        <v>1236337.8744000001</v>
      </c>
      <c r="AR67" s="88">
        <f>SUM(AP67-AA67)</f>
        <v>1.5620000001508743</v>
      </c>
    </row>
    <row r="68" spans="1:46" ht="39.75" thickTop="1" thickBot="1" x14ac:dyDescent="0.3">
      <c r="A68" s="515" t="s">
        <v>87</v>
      </c>
      <c r="B68" s="515" t="s">
        <v>1596</v>
      </c>
      <c r="C68" s="1262" t="str">
        <f>CONCATENATE('ketv. 2lent'!B67)</f>
        <v/>
      </c>
      <c r="D68" s="515" t="str">
        <f>CONCATENATE('IV-2 amsa'!D25)</f>
        <v>Buvusios sinagogos pastato Kauno g. 9A Alytuje rekonstravimas ir aplinkinės teritorijos sutvarkymas</v>
      </c>
      <c r="E68" s="515" t="str">
        <f>CONCATENATE('IV-2 amsa'!E25)</f>
        <v>Alytaus miesto savivaldybės administracija</v>
      </c>
      <c r="F68" s="515" t="str">
        <f>CONCATENATE('IV-2 amsa'!F25)</f>
        <v>Lietuvos Respublikos kultūros ministerija</v>
      </c>
      <c r="G68" s="515" t="str">
        <f>CONCATENATE('IV-2 amsa'!G25)</f>
        <v>Alytaus  miestas</v>
      </c>
      <c r="H68" s="518" t="str">
        <f>CONCATENATE('IV-2 amsa'!H25)</f>
        <v>05.4.1-CPVA-R-302</v>
      </c>
      <c r="I68" s="518" t="str">
        <f>CONCATENATE('IV-2 amsa'!I25)</f>
        <v>R</v>
      </c>
      <c r="J68" s="518" t="str">
        <f>CONCATENATE('IV-2 amsa'!J25)</f>
        <v>ITI</v>
      </c>
      <c r="K68" s="518" t="str">
        <f>CONCATENATE('IV-2 amsa'!K25)</f>
        <v xml:space="preserve"> -</v>
      </c>
      <c r="L68" s="516">
        <f>SUM('IV-2 amsa'!L25)</f>
        <v>242419</v>
      </c>
      <c r="M68" s="516">
        <f>SUM('ketv. 6 lent'!K67)</f>
        <v>0</v>
      </c>
      <c r="N68" s="516">
        <f t="shared" ref="N68:N72" si="81">IF(M68&gt;0,L68-M68,0)</f>
        <v>0</v>
      </c>
      <c r="O68" s="516">
        <f>SUM('IV-2 amsa'!M25)</f>
        <v>36363</v>
      </c>
      <c r="P68" s="516">
        <f>SUM('ketv. 6 lent'!O67)</f>
        <v>0</v>
      </c>
      <c r="Q68" s="516">
        <f t="shared" ref="Q68:Q72" si="82">IF(P68&gt;0,O68-P68,0)</f>
        <v>0</v>
      </c>
      <c r="R68" s="516">
        <f>SUM('IV-2 amsa'!N25)</f>
        <v>0</v>
      </c>
      <c r="S68" s="516">
        <f>SUM('ketv. 6 lent'!S67)</f>
        <v>0</v>
      </c>
      <c r="T68" s="516">
        <f t="shared" ref="T68:T72" si="83">IF(S68&gt;0,R68-S68,0)</f>
        <v>0</v>
      </c>
      <c r="U68" s="516">
        <f>SUM('IV-2 amsa'!O25)</f>
        <v>0</v>
      </c>
      <c r="V68" s="516">
        <f>SUM('ketv. 6 lent'!W67)</f>
        <v>0</v>
      </c>
      <c r="W68" s="516">
        <f t="shared" ref="W68:W72" si="84">IF(V68&gt;0,U68-V68,0)</f>
        <v>0</v>
      </c>
      <c r="X68" s="516">
        <f>SUM('IV-2 amsa'!P25)</f>
        <v>0</v>
      </c>
      <c r="Y68" s="516">
        <f>SUM('ketv. 6 lent'!AA67)</f>
        <v>0</v>
      </c>
      <c r="Z68" s="516">
        <f t="shared" ref="Z68:Z72" si="85">IF(Y68&gt;0,X68-Y68,0)</f>
        <v>0</v>
      </c>
      <c r="AA68" s="516">
        <f>SUM('IV-2 amsa'!Q25)</f>
        <v>206056</v>
      </c>
      <c r="AB68" s="468" t="str">
        <f>IF('ketv. 4 lent'!V68&gt;0,"Taip","Ne")</f>
        <v>Ne</v>
      </c>
      <c r="AC68" s="468">
        <f>SUM('ketv. 6 lent'!AE67)</f>
        <v>0</v>
      </c>
      <c r="AD68" s="468">
        <f>IF(AC68&gt;0,AA68-AC68,0)</f>
        <v>0</v>
      </c>
      <c r="AE68" s="1113">
        <f>SUM('IV-2 amsa'!R25)</f>
        <v>42667</v>
      </c>
      <c r="AF68" s="587">
        <f>SUM('IV-2 amsa'!S25)</f>
        <v>42794</v>
      </c>
      <c r="AG68" s="587">
        <f>SUM('IV-2 amsa'!T25)</f>
        <v>43220</v>
      </c>
      <c r="AH68" s="587">
        <f>SUM('IV-2 amsa'!U25)</f>
        <v>43281</v>
      </c>
      <c r="AI68" s="589">
        <f t="shared" ref="AI68:AI72" si="86">IF(YEAR(AH68),YEAR(AH68))</f>
        <v>2018</v>
      </c>
      <c r="AJ68" s="1263">
        <f>SUM('IV-2 amsa'!V25)</f>
        <v>44196</v>
      </c>
      <c r="AK68" s="468">
        <f>IF(YEAR(AH68)=2016,AA68,0)</f>
        <v>0</v>
      </c>
      <c r="AL68" s="468">
        <f>IF(YEAR(AH68)=2017,AA68,0)</f>
        <v>0</v>
      </c>
      <c r="AM68" s="468">
        <f>IF(YEAR(AH68)=2018,AA68,0)</f>
        <v>206056</v>
      </c>
      <c r="AN68" s="468">
        <f>IF(YEAR(AH68)=2019,AA68,0)</f>
        <v>0</v>
      </c>
      <c r="AO68" s="1264">
        <f>IF(YEAR(AH68)=2020,AA68,0)</f>
        <v>0</v>
      </c>
      <c r="AP68" s="593"/>
      <c r="AQ68" s="88"/>
      <c r="AR68" s="88"/>
    </row>
    <row r="69" spans="1:46" ht="39.75" thickTop="1" thickBot="1" x14ac:dyDescent="0.3">
      <c r="A69" s="515" t="s">
        <v>177</v>
      </c>
      <c r="B69" s="515" t="s">
        <v>1597</v>
      </c>
      <c r="C69" s="1262" t="str">
        <f>CONCATENATE('ketv. 2lent'!B68)</f>
        <v/>
      </c>
      <c r="D69" s="515" t="str">
        <f>CONCATENATE('IV-2 dsa'!C30)</f>
        <v>Mažosios dailės galerijos, M.K.Čiurlionio g. 37, Druskininkai, modernizavimas ir pritaikymas kultūros poreikiams</v>
      </c>
      <c r="E69" s="515" t="str">
        <f>CONCATENATE('IV-2 dsa'!D30)</f>
        <v xml:space="preserve">Druskininkų savivaldybės administracija  </v>
      </c>
      <c r="F69" s="515" t="str">
        <f>CONCATENATE('IV-2 dsa'!E30)</f>
        <v>Lietuvos Respublikos kultūros ministerija</v>
      </c>
      <c r="G69" s="515" t="str">
        <f>CONCATENATE('IV-2 dsa'!F30)</f>
        <v>Druskininkų  miestas</v>
      </c>
      <c r="H69" s="518" t="str">
        <f>CONCATENATE('IV-2 dsa'!G30)</f>
        <v>05.4.1-CPVA-R-302</v>
      </c>
      <c r="I69" s="518" t="str">
        <f>CONCATENATE('IV-2 dsa'!H30)</f>
        <v>R</v>
      </c>
      <c r="J69" s="518" t="str">
        <f>CONCATENATE('IV-2 dsa'!I30)</f>
        <v>ITI</v>
      </c>
      <c r="K69" s="518" t="str">
        <f>CONCATENATE('IV-2 dsa'!J30)</f>
        <v/>
      </c>
      <c r="L69" s="516">
        <f>SUM('IV-2 dsa'!K30)</f>
        <v>242419</v>
      </c>
      <c r="M69" s="516">
        <f>SUM('ketv. 6 lent'!K68)</f>
        <v>0</v>
      </c>
      <c r="N69" s="516">
        <f t="shared" si="81"/>
        <v>0</v>
      </c>
      <c r="O69" s="516">
        <f>SUM('IV-2 dsa'!L30)</f>
        <v>36363</v>
      </c>
      <c r="P69" s="516">
        <f>SUM('ketv. 6 lent'!O68)</f>
        <v>0</v>
      </c>
      <c r="Q69" s="516">
        <f t="shared" si="82"/>
        <v>0</v>
      </c>
      <c r="R69" s="516">
        <f>SUM('IV-2 dsa'!M30)</f>
        <v>0</v>
      </c>
      <c r="S69" s="516">
        <f>SUM('ketv. 6 lent'!S68)</f>
        <v>0</v>
      </c>
      <c r="T69" s="516">
        <f t="shared" si="83"/>
        <v>0</v>
      </c>
      <c r="U69" s="516">
        <f>SUM('IV-2 dsa'!N30)</f>
        <v>0</v>
      </c>
      <c r="V69" s="516">
        <f>SUM('ketv. 6 lent'!W68)</f>
        <v>0</v>
      </c>
      <c r="W69" s="516">
        <f t="shared" si="84"/>
        <v>0</v>
      </c>
      <c r="X69" s="516">
        <f>SUM('IV-2 dsa'!O30)</f>
        <v>0</v>
      </c>
      <c r="Y69" s="516">
        <f>SUM('ketv. 6 lent'!AA68)</f>
        <v>0</v>
      </c>
      <c r="Z69" s="516">
        <f t="shared" si="85"/>
        <v>0</v>
      </c>
      <c r="AA69" s="516">
        <f>SUM('IV-2 dsa'!P30)</f>
        <v>206056</v>
      </c>
      <c r="AB69" s="468" t="str">
        <f>IF('ketv. 4 lent'!V69&gt;0,"Taip","Ne")</f>
        <v>Ne</v>
      </c>
      <c r="AC69" s="468">
        <f>SUM('ketv. 6 lent'!AE68)</f>
        <v>0</v>
      </c>
      <c r="AD69" s="468">
        <f>IF(AC69&gt;0,AA69-AC69,0)</f>
        <v>0</v>
      </c>
      <c r="AE69" s="1113">
        <f>SUM('IV-2 dsa'!Q30)</f>
        <v>42667</v>
      </c>
      <c r="AF69" s="587">
        <f>SUM('IV-2 dsa'!R30)</f>
        <v>42779</v>
      </c>
      <c r="AG69" s="587">
        <f>SUM('IV-2 dsa'!S30)</f>
        <v>43190</v>
      </c>
      <c r="AH69" s="587">
        <f>SUM('IV-2 dsa'!T30)</f>
        <v>43281</v>
      </c>
      <c r="AI69" s="589">
        <f t="shared" si="86"/>
        <v>2018</v>
      </c>
      <c r="AJ69" s="1263">
        <f>SUM('IV-2 dsa'!U30)</f>
        <v>43739</v>
      </c>
      <c r="AK69" s="468">
        <f>IF(YEAR(AH69)=2016,AA69,0)</f>
        <v>0</v>
      </c>
      <c r="AL69" s="468">
        <f>IF(YEAR(AH69)=2017,AA69,0)</f>
        <v>0</v>
      </c>
      <c r="AM69" s="468">
        <f>IF(YEAR(AH69)=2018,AA69,0)</f>
        <v>206056</v>
      </c>
      <c r="AN69" s="468">
        <f>IF(YEAR(AH69)=2019,AA69,0)</f>
        <v>0</v>
      </c>
      <c r="AO69" s="1264">
        <f>IF(YEAR(AH69)=2020,AA69,0)</f>
        <v>0</v>
      </c>
      <c r="AP69" s="593"/>
      <c r="AQ69" s="88"/>
      <c r="AR69" s="88"/>
    </row>
    <row r="70" spans="1:46" ht="39.75" thickTop="1" thickBot="1" x14ac:dyDescent="0.3">
      <c r="A70" s="515" t="s">
        <v>178</v>
      </c>
      <c r="B70" s="515" t="s">
        <v>1600</v>
      </c>
      <c r="C70" s="1262" t="str">
        <f>CONCATENATE('ketv. 2lent'!B69)</f>
        <v/>
      </c>
      <c r="D70" s="515" t="str">
        <f>CONCATENATE('IV-2 lrsa'!D31)</f>
        <v>Motiejaus  Gustaičio  memorialinio  namo  kompleksinis sutvarkymas</v>
      </c>
      <c r="E70" s="515" t="str">
        <f>CONCATENATE('IV-2 lrsa'!E31)</f>
        <v>Lazdijų rajono savivaldybės administracija</v>
      </c>
      <c r="F70" s="515" t="str">
        <f>CONCATENATE('IV-2 lrsa'!F31)</f>
        <v>Lietuvos Respublikos kultūros ministerija</v>
      </c>
      <c r="G70" s="515" t="str">
        <f>CONCATENATE('IV-2 lrsa'!G31)</f>
        <v>Lazdijų miestas</v>
      </c>
      <c r="H70" s="518" t="str">
        <f>CONCATENATE('IV-2 lrsa'!H31)</f>
        <v>05.4.1-CPVA-R-302</v>
      </c>
      <c r="I70" s="518" t="str">
        <f>CONCATENATE('IV-2 lrsa'!I31)</f>
        <v>R</v>
      </c>
      <c r="J70" s="518" t="str">
        <f>CONCATENATE('IV-2 lrsa'!J31)</f>
        <v>ITI</v>
      </c>
      <c r="K70" s="518" t="str">
        <f>CONCATENATE('IV-2 lrsa'!K31)</f>
        <v>-</v>
      </c>
      <c r="L70" s="516">
        <f>SUM('IV-2 lrsa'!L31)</f>
        <v>242419</v>
      </c>
      <c r="M70" s="516">
        <f>SUM('ketv. 6 lent'!K69)</f>
        <v>0</v>
      </c>
      <c r="N70" s="516">
        <f t="shared" si="81"/>
        <v>0</v>
      </c>
      <c r="O70" s="516">
        <f>SUM('IV-2 lrsa'!M31)</f>
        <v>36363</v>
      </c>
      <c r="P70" s="516">
        <f>SUM('ketv. 6 lent'!O69)</f>
        <v>0</v>
      </c>
      <c r="Q70" s="516">
        <f t="shared" si="82"/>
        <v>0</v>
      </c>
      <c r="R70" s="516">
        <f>SUM('IV-2 lrsa'!N31)</f>
        <v>0</v>
      </c>
      <c r="S70" s="516">
        <f>SUM('ketv. 6 lent'!S69)</f>
        <v>0</v>
      </c>
      <c r="T70" s="516">
        <f t="shared" si="83"/>
        <v>0</v>
      </c>
      <c r="U70" s="516">
        <f>SUM('IV-2 lrsa'!O31)</f>
        <v>0</v>
      </c>
      <c r="V70" s="516">
        <f>SUM('ketv. 6 lent'!W69)</f>
        <v>0</v>
      </c>
      <c r="W70" s="516">
        <f t="shared" si="84"/>
        <v>0</v>
      </c>
      <c r="X70" s="516">
        <f>SUM('IV-2 lrsa'!P31)</f>
        <v>0</v>
      </c>
      <c r="Y70" s="516">
        <f>SUM('ketv. 6 lent'!AA69)</f>
        <v>0</v>
      </c>
      <c r="Z70" s="516">
        <f t="shared" si="85"/>
        <v>0</v>
      </c>
      <c r="AA70" s="516">
        <f>SUM('IV-2 lrsa'!Q31)</f>
        <v>206056</v>
      </c>
      <c r="AB70" s="468" t="str">
        <f>IF('ketv. 4 lent'!V70&gt;0,"Taip","Ne")</f>
        <v>Ne</v>
      </c>
      <c r="AC70" s="468">
        <f>SUM('ketv. 6 lent'!AE69)</f>
        <v>0</v>
      </c>
      <c r="AD70" s="468">
        <f>IF(AC70&gt;0,AA70-AC70,0)</f>
        <v>0</v>
      </c>
      <c r="AE70" s="1113">
        <f>SUM('IV-2 lrsa'!R31)</f>
        <v>42667</v>
      </c>
      <c r="AF70" s="587">
        <f>SUM('IV-2 lrsa'!S31)</f>
        <v>42794</v>
      </c>
      <c r="AG70" s="587">
        <f>SUM('IV-2 lrsa'!T31)</f>
        <v>43179</v>
      </c>
      <c r="AH70" s="587">
        <f>SUM('IV-2 lrsa'!U31)</f>
        <v>43249</v>
      </c>
      <c r="AI70" s="589">
        <f t="shared" si="86"/>
        <v>2018</v>
      </c>
      <c r="AJ70" s="1263">
        <f>SUM('IV-2 lrsa'!V31)</f>
        <v>43830</v>
      </c>
      <c r="AK70" s="468">
        <f>IF(YEAR(AH70)=2016,AA70,0)</f>
        <v>0</v>
      </c>
      <c r="AL70" s="468">
        <f>IF(YEAR(AH70)=2017,AA70,0)</f>
        <v>0</v>
      </c>
      <c r="AM70" s="468">
        <f>IF(YEAR(AH70)=2018,AA70,0)</f>
        <v>206056</v>
      </c>
      <c r="AN70" s="468">
        <f>IF(YEAR(AH70)=2019,AA70,0)</f>
        <v>0</v>
      </c>
      <c r="AO70" s="1264">
        <f>IF(YEAR(AH70)=2020,AA70,0)</f>
        <v>0</v>
      </c>
      <c r="AP70" s="88"/>
      <c r="AQ70" s="88"/>
      <c r="AR70" s="88"/>
    </row>
    <row r="71" spans="1:46" ht="39.75" thickTop="1" thickBot="1" x14ac:dyDescent="0.3">
      <c r="A71" s="515" t="s">
        <v>199</v>
      </c>
      <c r="B71" s="515" t="s">
        <v>1598</v>
      </c>
      <c r="C71" s="1262" t="str">
        <f>CONCATENATE('ketv. 2lent'!B70)</f>
        <v/>
      </c>
      <c r="D71" s="515" t="str">
        <f>CONCATENATE('IV-2 arsa'!C31)</f>
        <v>Kurnėnų Lauryno Radziukyno mokyklos pritaikymas kultūrinėms ir turistinėms reikmėms</v>
      </c>
      <c r="E71" s="515" t="str">
        <f>CONCATENATE('IV-2 arsa'!D31)</f>
        <v>Alytaus rajono savivaldybės administracija</v>
      </c>
      <c r="F71" s="515" t="str">
        <f>CONCATENATE('IV-2 arsa'!E31)</f>
        <v>Lietuvos Respublikos kultūros ministerija</v>
      </c>
      <c r="G71" s="515" t="str">
        <f>CONCATENATE('IV-2 arsa'!F31)</f>
        <v>Alytaus  rajono savivaldybė</v>
      </c>
      <c r="H71" s="518" t="str">
        <f>CONCATENATE('IV-2 arsa'!G31)</f>
        <v>05.4.1-CPVA-R-302</v>
      </c>
      <c r="I71" s="518" t="str">
        <f>CONCATENATE('IV-2 arsa'!H31)</f>
        <v>R</v>
      </c>
      <c r="J71" s="518" t="str">
        <f>CONCATENATE('IV-2 arsa'!I31)</f>
        <v>-</v>
      </c>
      <c r="K71" s="518" t="str">
        <f>CONCATENATE('IV-2 arsa'!J31)</f>
        <v>-</v>
      </c>
      <c r="L71" s="516">
        <f>SUM('IV-2 arsa'!K31)</f>
        <v>243192</v>
      </c>
      <c r="M71" s="516">
        <f>SUM('ketv. 6 lent'!K70)</f>
        <v>0</v>
      </c>
      <c r="N71" s="516">
        <f t="shared" si="81"/>
        <v>0</v>
      </c>
      <c r="O71" s="516">
        <f>SUM('IV-2 arsa'!L31)</f>
        <v>37136</v>
      </c>
      <c r="P71" s="516">
        <f>SUM('ketv. 6 lent'!O70)</f>
        <v>0</v>
      </c>
      <c r="Q71" s="516">
        <f t="shared" si="82"/>
        <v>0</v>
      </c>
      <c r="R71" s="516">
        <f>SUM('IV-2 arsa'!M31)</f>
        <v>0</v>
      </c>
      <c r="S71" s="516">
        <f>SUM('ketv. 6 lent'!S70)</f>
        <v>0</v>
      </c>
      <c r="T71" s="516">
        <f t="shared" si="83"/>
        <v>0</v>
      </c>
      <c r="U71" s="516">
        <f>SUM('IV-2 arsa'!N31)</f>
        <v>0</v>
      </c>
      <c r="V71" s="516">
        <f>SUM('ketv. 6 lent'!W70)</f>
        <v>0</v>
      </c>
      <c r="W71" s="516">
        <f t="shared" si="84"/>
        <v>0</v>
      </c>
      <c r="X71" s="516">
        <f>SUM('IV-2 arsa'!O31)</f>
        <v>0</v>
      </c>
      <c r="Y71" s="516">
        <f>SUM('ketv. 6 lent'!AA70)</f>
        <v>0</v>
      </c>
      <c r="Z71" s="516">
        <f t="shared" si="85"/>
        <v>0</v>
      </c>
      <c r="AA71" s="516">
        <f>SUM('IV-2 arsa'!P31)</f>
        <v>206056</v>
      </c>
      <c r="AB71" s="468" t="str">
        <f>IF('ketv. 4 lent'!V71&gt;0,"Taip","Ne")</f>
        <v>Ne</v>
      </c>
      <c r="AC71" s="468">
        <f>SUM('ketv. 6 lent'!AE70)</f>
        <v>0</v>
      </c>
      <c r="AD71" s="468">
        <f>IF(AC71&gt;0,AA71-AC71,0)</f>
        <v>0</v>
      </c>
      <c r="AE71" s="1113">
        <f>SUM('IV-2 arsa'!Q31)</f>
        <v>42667</v>
      </c>
      <c r="AF71" s="587">
        <f>SUM('IV-2 arsa'!R31)</f>
        <v>42794</v>
      </c>
      <c r="AG71" s="587">
        <f>SUM('IV-2 arsa'!S31)</f>
        <v>43190</v>
      </c>
      <c r="AH71" s="587">
        <f>SUM('IV-2 arsa'!T31)</f>
        <v>43281</v>
      </c>
      <c r="AI71" s="589">
        <f t="shared" si="86"/>
        <v>2018</v>
      </c>
      <c r="AJ71" s="1263">
        <f>SUM('IV-2 arsa'!U31)</f>
        <v>44196</v>
      </c>
      <c r="AK71" s="468">
        <f>IF(YEAR(AH71)=2016,AA71,0)</f>
        <v>0</v>
      </c>
      <c r="AL71" s="468">
        <f>IF(YEAR(AH71)=2017,AA71,0)</f>
        <v>0</v>
      </c>
      <c r="AM71" s="468">
        <f>IF(YEAR(AH71)=2018,AA71,0)</f>
        <v>206056</v>
      </c>
      <c r="AN71" s="468">
        <f>IF(YEAR(AH71)=2019,AA71,0)</f>
        <v>0</v>
      </c>
      <c r="AO71" s="1264">
        <f>IF(YEAR(AH71)=2020,AA71,0)</f>
        <v>0</v>
      </c>
      <c r="AP71" s="592"/>
      <c r="AQ71" s="88"/>
      <c r="AR71" s="88"/>
    </row>
    <row r="72" spans="1:46" ht="39.75" thickTop="1" thickBot="1" x14ac:dyDescent="0.3">
      <c r="A72" s="515" t="s">
        <v>250</v>
      </c>
      <c r="B72" s="1490" t="s">
        <v>1599</v>
      </c>
      <c r="C72" s="1262" t="str">
        <f>CONCATENATE('ketv. 2lent'!B71)</f>
        <v/>
      </c>
      <c r="D72" s="1490" t="str">
        <f>CONCATENATE('IV-2 vrsa'!D36)</f>
        <v>Vinco Krėvės-Mickevičiaus memorialinio muziejaus atnaujinimas</v>
      </c>
      <c r="E72" s="1490" t="str">
        <f>CONCATENATE('IV-2 vrsa'!E36)</f>
        <v>Varėnos rajono savivaldybės administracija</v>
      </c>
      <c r="F72" s="1490" t="str">
        <f>CONCATENATE('IV-2 vrsa'!F36)</f>
        <v>Lietuvos Respublikos kultūros ministerija</v>
      </c>
      <c r="G72" s="1490" t="str">
        <f>CONCATENATE('IV-2 vrsa'!G36)</f>
        <v>Varėnos rajono savivaldybė</v>
      </c>
      <c r="H72" s="1491" t="str">
        <f>CONCATENATE('IV-2 vrsa'!H36)</f>
        <v>05.4.1-CPVA-R-302</v>
      </c>
      <c r="I72" s="1491" t="str">
        <f>CONCATENATE('IV-2 vrsa'!I36)</f>
        <v>R</v>
      </c>
      <c r="J72" s="1491" t="str">
        <f>CONCATENATE('IV-2 vrsa'!J36)</f>
        <v>-</v>
      </c>
      <c r="K72" s="1491" t="str">
        <f>CONCATENATE('IV-2 vrsa'!K36)</f>
        <v>-</v>
      </c>
      <c r="L72" s="516">
        <f>SUM('IV-2 vrsa'!L36)</f>
        <v>242419</v>
      </c>
      <c r="M72" s="516">
        <f>SUM('ketv. 6 lent'!K71)</f>
        <v>0</v>
      </c>
      <c r="N72" s="516">
        <f t="shared" si="81"/>
        <v>0</v>
      </c>
      <c r="O72" s="516">
        <f>SUM('IV-2 vrsa'!M36)</f>
        <v>36363</v>
      </c>
      <c r="P72" s="516">
        <f>SUM('ketv. 6 lent'!O71)</f>
        <v>0</v>
      </c>
      <c r="Q72" s="516">
        <f t="shared" si="82"/>
        <v>0</v>
      </c>
      <c r="R72" s="516">
        <f>SUM('IV-2 vrsa'!N36)</f>
        <v>0</v>
      </c>
      <c r="S72" s="516">
        <f>SUM('ketv. 6 lent'!S71)</f>
        <v>0</v>
      </c>
      <c r="T72" s="516">
        <f t="shared" si="83"/>
        <v>0</v>
      </c>
      <c r="U72" s="516">
        <f>SUM('IV-2 vrsa'!O36)</f>
        <v>0</v>
      </c>
      <c r="V72" s="516">
        <f>SUM('ketv. 6 lent'!W71)</f>
        <v>0</v>
      </c>
      <c r="W72" s="516">
        <f t="shared" si="84"/>
        <v>0</v>
      </c>
      <c r="X72" s="516">
        <f>SUM('IV-2 vrsa'!P36)</f>
        <v>0</v>
      </c>
      <c r="Y72" s="516">
        <f>SUM('ketv. 6 lent'!AA71)</f>
        <v>0</v>
      </c>
      <c r="Z72" s="516">
        <f t="shared" si="85"/>
        <v>0</v>
      </c>
      <c r="AA72" s="516">
        <f>SUM('IV-2 vrsa'!Q36)</f>
        <v>206056</v>
      </c>
      <c r="AB72" s="468" t="str">
        <f>IF('ketv. 4 lent'!V72&gt;0,"Taip","Ne")</f>
        <v>Ne</v>
      </c>
      <c r="AC72" s="468">
        <f>SUM('ketv. 6 lent'!AE71)</f>
        <v>0</v>
      </c>
      <c r="AD72" s="468">
        <f>IF(AC72&gt;0,AA72-AC72,0)</f>
        <v>0</v>
      </c>
      <c r="AE72" s="1113">
        <f>SUM('IV-2 vrsa'!R36)</f>
        <v>42667</v>
      </c>
      <c r="AF72" s="587">
        <f>SUM('IV-2 vrsa'!S36)</f>
        <v>42794</v>
      </c>
      <c r="AG72" s="587">
        <f>SUM('IV-2 vrsa'!T36)</f>
        <v>43241</v>
      </c>
      <c r="AH72" s="587">
        <f>SUM('IV-2 vrsa'!U36)</f>
        <v>43342</v>
      </c>
      <c r="AI72" s="589">
        <f t="shared" si="86"/>
        <v>2018</v>
      </c>
      <c r="AJ72" s="1263">
        <f>SUM('IV-2 vrsa'!V36)</f>
        <v>44196</v>
      </c>
      <c r="AK72" s="468">
        <f>IF(YEAR(AH72)=2016,AA72,0)</f>
        <v>0</v>
      </c>
      <c r="AL72" s="468">
        <f>IF(YEAR(AH72)=2017,AA72,0)</f>
        <v>0</v>
      </c>
      <c r="AM72" s="468">
        <f>IF(YEAR(AH72)=2018,AA72,0)</f>
        <v>206056</v>
      </c>
      <c r="AN72" s="468">
        <f>IF(YEAR(AH72)=2019,AA72,0)</f>
        <v>0</v>
      </c>
      <c r="AO72" s="1264">
        <f>IF(YEAR(AH72)=2020,AA72,0)</f>
        <v>0</v>
      </c>
      <c r="AP72" s="594"/>
      <c r="AQ72" s="88"/>
      <c r="AR72" s="88"/>
    </row>
    <row r="73" spans="1:46" ht="40.5" customHeight="1" thickBot="1" x14ac:dyDescent="0.3">
      <c r="A73" s="1489" t="s">
        <v>22</v>
      </c>
      <c r="B73" s="1615" t="s">
        <v>1781</v>
      </c>
      <c r="C73" s="1623"/>
      <c r="D73" s="1623"/>
      <c r="E73" s="1623"/>
      <c r="F73" s="1623"/>
      <c r="G73" s="1623"/>
      <c r="H73" s="1623"/>
      <c r="I73" s="1623"/>
      <c r="J73" s="1623"/>
      <c r="K73" s="1624"/>
      <c r="L73" s="203">
        <f>SUM(L74+L79+L86+L92)</f>
        <v>8662341.4482352957</v>
      </c>
      <c r="M73" s="203"/>
      <c r="N73" s="203"/>
      <c r="O73" s="203">
        <f>SUM(O74+O79+O86+O92)</f>
        <v>1834484.588235294</v>
      </c>
      <c r="P73" s="203"/>
      <c r="Q73" s="203"/>
      <c r="R73" s="203">
        <f>SUM(R74+R79+R86+R92)</f>
        <v>0</v>
      </c>
      <c r="S73" s="203"/>
      <c r="T73" s="203"/>
      <c r="U73" s="203">
        <f>SUM(U74+U79+U86+U92)</f>
        <v>422692</v>
      </c>
      <c r="V73" s="203"/>
      <c r="W73" s="203"/>
      <c r="X73" s="203">
        <f>SUM(X74+X79+X86+X92)</f>
        <v>62660</v>
      </c>
      <c r="Y73" s="203"/>
      <c r="Z73" s="203"/>
      <c r="AA73" s="203">
        <f>SUM(AA74+AA79+AA86+AA92)</f>
        <v>6342504.8599999994</v>
      </c>
      <c r="AB73" s="203"/>
      <c r="AC73" s="203"/>
      <c r="AD73" s="203"/>
      <c r="AE73" s="203"/>
      <c r="AF73" s="1282"/>
      <c r="AG73" s="1282"/>
      <c r="AH73" s="1282"/>
      <c r="AI73" s="590"/>
      <c r="AJ73" s="1251"/>
      <c r="AK73" s="468"/>
      <c r="AL73" s="1252"/>
      <c r="AM73" s="1252"/>
      <c r="AN73" s="1252"/>
      <c r="AO73" s="1252"/>
      <c r="AP73" s="88">
        <f>SUM(AP74+AP79+AP86+AP92)</f>
        <v>6111038.96</v>
      </c>
      <c r="AQ73" s="88">
        <f>SUM(AQ74+AQ79+AQ86+AQ92)</f>
        <v>7333246.7520000003</v>
      </c>
      <c r="AR73" s="88">
        <f>SUM(AR74+AR79+AR86+AR92)</f>
        <v>-188423.59999999998</v>
      </c>
    </row>
    <row r="74" spans="1:46" ht="33.75" customHeight="1" thickBot="1" x14ac:dyDescent="0.3">
      <c r="A74" s="1280" t="s">
        <v>88</v>
      </c>
      <c r="B74" s="1618" t="s">
        <v>1782</v>
      </c>
      <c r="C74" s="1625"/>
      <c r="D74" s="1625"/>
      <c r="E74" s="1625"/>
      <c r="F74" s="1625"/>
      <c r="G74" s="1625"/>
      <c r="H74" s="1625"/>
      <c r="I74" s="1625"/>
      <c r="J74" s="1625"/>
      <c r="K74" s="1626"/>
      <c r="L74" s="1258">
        <f t="shared" ref="L74:AD74" si="87">SUM(L75:L78)</f>
        <v>1835209.588235294</v>
      </c>
      <c r="M74" s="1258">
        <f t="shared" si="87"/>
        <v>0</v>
      </c>
      <c r="N74" s="1258">
        <f t="shared" si="87"/>
        <v>0</v>
      </c>
      <c r="O74" s="1258">
        <f t="shared" si="87"/>
        <v>149245.58823529413</v>
      </c>
      <c r="P74" s="1258">
        <f t="shared" si="87"/>
        <v>0</v>
      </c>
      <c r="Q74" s="1258">
        <f t="shared" si="87"/>
        <v>0</v>
      </c>
      <c r="R74" s="1258">
        <f t="shared" si="87"/>
        <v>0</v>
      </c>
      <c r="S74" s="1258">
        <f t="shared" si="87"/>
        <v>0</v>
      </c>
      <c r="T74" s="1258">
        <f t="shared" si="87"/>
        <v>0</v>
      </c>
      <c r="U74" s="1258">
        <f t="shared" si="87"/>
        <v>422692</v>
      </c>
      <c r="V74" s="1258">
        <f t="shared" si="87"/>
        <v>0</v>
      </c>
      <c r="W74" s="1258">
        <f t="shared" si="87"/>
        <v>0</v>
      </c>
      <c r="X74" s="1258">
        <f t="shared" si="87"/>
        <v>0</v>
      </c>
      <c r="Y74" s="1258">
        <f t="shared" si="87"/>
        <v>0</v>
      </c>
      <c r="Z74" s="1258">
        <f t="shared" si="87"/>
        <v>0</v>
      </c>
      <c r="AA74" s="1258">
        <f t="shared" si="87"/>
        <v>1263272</v>
      </c>
      <c r="AB74" s="1270"/>
      <c r="AC74" s="1270">
        <f t="shared" si="87"/>
        <v>0</v>
      </c>
      <c r="AD74" s="1270">
        <f t="shared" si="87"/>
        <v>0</v>
      </c>
      <c r="AE74" s="1270"/>
      <c r="AF74" s="1271"/>
      <c r="AG74" s="1271"/>
      <c r="AH74" s="1271"/>
      <c r="AI74" s="1272"/>
      <c r="AJ74" s="1273"/>
      <c r="AK74" s="1281">
        <f>SUM(AK75:AK78)</f>
        <v>0</v>
      </c>
      <c r="AL74" s="1281">
        <f>SUM(AL75:AL78)</f>
        <v>0</v>
      </c>
      <c r="AM74" s="1281">
        <f>SUM(AM75:AM78)</f>
        <v>640846</v>
      </c>
      <c r="AN74" s="1281">
        <f>SUM(AN75:AN78)</f>
        <v>622426</v>
      </c>
      <c r="AO74" s="1281">
        <f>SUM(AO75:AO78)</f>
        <v>0</v>
      </c>
      <c r="AP74" s="88">
        <f>SUM('IV-2 amsa'!W27+'IV-2 arsa'!V33+'IV-2 dsa'!V32+'IV-2 lrsa'!W33+'IV-2 vrsa'!W38)</f>
        <v>1263272</v>
      </c>
      <c r="AQ74" s="88">
        <f>SUM(AP74*120/100)</f>
        <v>1515926.4</v>
      </c>
      <c r="AR74" s="88">
        <f>SUM(AP74-AA74)</f>
        <v>0</v>
      </c>
    </row>
    <row r="75" spans="1:46" ht="39.75" thickTop="1" thickBot="1" x14ac:dyDescent="0.3">
      <c r="A75" s="515" t="s">
        <v>89</v>
      </c>
      <c r="B75" s="515" t="s">
        <v>1601</v>
      </c>
      <c r="C75" s="1262" t="str">
        <f>CONCATENATE('ketv. 2lent'!B74)</f>
        <v/>
      </c>
      <c r="D75" s="515" t="str">
        <f>CONCATENATE('IV-2 amsa'!D28)</f>
        <v xml:space="preserve">Nekenksmingų aplinkai viešojo transporto priemonių įsigijimas Alytaus mieste </v>
      </c>
      <c r="E75" s="515" t="str">
        <f>CONCATENATE('IV-2 amsa'!E28)</f>
        <v>Alytaus miesto savivaldybės administracija</v>
      </c>
      <c r="F75" s="515" t="str">
        <f>CONCATENATE('IV-2 amsa'!F28)</f>
        <v>Lietuvos Respublikos susisiekimo ministerija</v>
      </c>
      <c r="G75" s="515" t="str">
        <f>CONCATENATE('IV-2 amsa'!G28)</f>
        <v>Alytaus  miestas</v>
      </c>
      <c r="H75" s="518" t="str">
        <f>CONCATENATE('IV-2 amsa'!H28)</f>
        <v>04.5.1-TID-R-518</v>
      </c>
      <c r="I75" s="518" t="str">
        <f>CONCATENATE('IV-2 amsa'!I28)</f>
        <v>R</v>
      </c>
      <c r="J75" s="518" t="str">
        <f>CONCATENATE('IV-2 amsa'!J28)</f>
        <v>ITI</v>
      </c>
      <c r="K75" s="518" t="str">
        <f>CONCATENATE('IV-2 amsa'!K28)</f>
        <v>-</v>
      </c>
      <c r="L75" s="516">
        <f>SUM('IV-2 amsa'!L28)</f>
        <v>406090.5882352941</v>
      </c>
      <c r="M75" s="516">
        <f>SUM('ketv. 6 lent'!K75)</f>
        <v>0</v>
      </c>
      <c r="N75" s="516">
        <f t="shared" ref="N75:N78" si="88">IF(M75&gt;0,L75-M75,0)</f>
        <v>0</v>
      </c>
      <c r="O75" s="516">
        <f>SUM('IV-2 amsa'!M28)</f>
        <v>60913.588235294119</v>
      </c>
      <c r="P75" s="516">
        <f>SUM('ketv. 6 lent'!O75)</f>
        <v>0</v>
      </c>
      <c r="Q75" s="516">
        <f t="shared" ref="Q75:Q78" si="89">IF(P75&gt;0,O75-P75,0)</f>
        <v>0</v>
      </c>
      <c r="R75" s="516">
        <f>SUM('IV-2 amsa'!N28)</f>
        <v>0</v>
      </c>
      <c r="S75" s="516">
        <f>SUM('ketv. 6 lent'!S75)</f>
        <v>0</v>
      </c>
      <c r="T75" s="516">
        <f t="shared" ref="T75:T78" si="90">IF(S75&gt;0,R75-S75,0)</f>
        <v>0</v>
      </c>
      <c r="U75" s="516">
        <f>SUM('IV-2 amsa'!O28)</f>
        <v>0</v>
      </c>
      <c r="V75" s="516">
        <f>SUM('ketv. 6 lent'!W75)</f>
        <v>0</v>
      </c>
      <c r="W75" s="516">
        <f t="shared" ref="W75:W78" si="91">IF(V75&gt;0,U75-V75,0)</f>
        <v>0</v>
      </c>
      <c r="X75" s="516">
        <f>SUM('IV-2 amsa'!P28)</f>
        <v>0</v>
      </c>
      <c r="Y75" s="516">
        <f>SUM('ketv. 6 lent'!AA75)</f>
        <v>0</v>
      </c>
      <c r="Z75" s="516">
        <f t="shared" ref="Z75:Z78" si="92">IF(Y75&gt;0,X75-Y75,0)</f>
        <v>0</v>
      </c>
      <c r="AA75" s="516">
        <f>SUM('IV-2 amsa'!Q28)</f>
        <v>345177</v>
      </c>
      <c r="AB75" s="468" t="str">
        <f>IF('ketv. 4 lent'!V75&gt;0,"Taip","Ne")</f>
        <v>Ne</v>
      </c>
      <c r="AC75" s="468">
        <f>SUM('ketv. 6 lent'!AE75)</f>
        <v>0</v>
      </c>
      <c r="AD75" s="468">
        <f>IF(AC75&gt;0,AA75-AC75,0)</f>
        <v>0</v>
      </c>
      <c r="AE75" s="1113">
        <f>SUM('IV-2 amsa'!R28)</f>
        <v>42877</v>
      </c>
      <c r="AF75" s="1202">
        <f>SUM('IV-2 amsa'!S28)</f>
        <v>43281</v>
      </c>
      <c r="AG75" s="1202">
        <f>SUM('IV-2 amsa'!T28)</f>
        <v>43455</v>
      </c>
      <c r="AH75" s="1202">
        <f>SUM('IV-2 amsa'!U28)</f>
        <v>43554</v>
      </c>
      <c r="AI75" s="1203">
        <f t="shared" ref="AI75:AI78" si="93">IF(YEAR(AH75),YEAR(AH75))</f>
        <v>2019</v>
      </c>
      <c r="AJ75" s="1283">
        <f>SUM('IV-2 amsa'!V28)</f>
        <v>43920</v>
      </c>
      <c r="AK75" s="468">
        <f>IF(YEAR(AH75)=2016,AA75,0)</f>
        <v>0</v>
      </c>
      <c r="AL75" s="468">
        <f>IF(YEAR(AH75)=2017,AA75,0)</f>
        <v>0</v>
      </c>
      <c r="AM75" s="468">
        <f>IF(YEAR(AH75)=2018,AA75,0)</f>
        <v>0</v>
      </c>
      <c r="AN75" s="468">
        <f>IF(YEAR(AH75)=2019,AA75,0)</f>
        <v>345177</v>
      </c>
      <c r="AO75" s="1264">
        <f>IF(YEAR(AH75)=2020,AA75,0)</f>
        <v>0</v>
      </c>
      <c r="AP75" s="88"/>
      <c r="AQ75" s="88"/>
      <c r="AR75" s="88"/>
    </row>
    <row r="76" spans="1:46" ht="39.75" thickTop="1" thickBot="1" x14ac:dyDescent="0.3">
      <c r="A76" s="515" t="s">
        <v>170</v>
      </c>
      <c r="B76" s="515" t="s">
        <v>1602</v>
      </c>
      <c r="C76" s="1262" t="str">
        <f>CONCATENATE('ketv. 2lent'!B75)</f>
        <v/>
      </c>
      <c r="D76" s="515" t="str">
        <f>CONCATENATE('IV-2 arsa'!C34)</f>
        <v>Nekenksmingų aplinkai viešojo transporto priemonių įsigijimas Alytaus rajone</v>
      </c>
      <c r="E76" s="515" t="str">
        <f>CONCATENATE('IV-2 arsa'!D34)</f>
        <v>Alytaus rajono savivaldybės administracija</v>
      </c>
      <c r="F76" s="515" t="str">
        <f>CONCATENATE('IV-2 arsa'!E34)</f>
        <v>Lietuvos Respublikos susisiekimo ministerija</v>
      </c>
      <c r="G76" s="515" t="str">
        <f>CONCATENATE('IV-2 arsa'!F34)</f>
        <v>Alytaus  rajono savivaldybė</v>
      </c>
      <c r="H76" s="518" t="str">
        <f>CONCATENATE('IV-2 arsa'!G34)</f>
        <v>04.5.1-TID-R-518</v>
      </c>
      <c r="I76" s="518" t="str">
        <f>CONCATENATE('IV-2 arsa'!H34)</f>
        <v>R</v>
      </c>
      <c r="J76" s="518" t="str">
        <f>CONCATENATE('IV-2 arsa'!I34)</f>
        <v>-</v>
      </c>
      <c r="K76" s="518" t="str">
        <f>CONCATENATE('IV-2 arsa'!J34)</f>
        <v>-</v>
      </c>
      <c r="L76" s="516">
        <f>SUM('IV-2 arsa'!K34)</f>
        <v>326175</v>
      </c>
      <c r="M76" s="516">
        <f>SUM('ketv. 6 lent'!K76)</f>
        <v>0</v>
      </c>
      <c r="N76" s="516">
        <f t="shared" si="88"/>
        <v>0</v>
      </c>
      <c r="O76" s="516">
        <f>SUM('IV-2 arsa'!L34)</f>
        <v>48926</v>
      </c>
      <c r="P76" s="516">
        <f>SUM('ketv. 6 lent'!O76)</f>
        <v>0</v>
      </c>
      <c r="Q76" s="516">
        <f t="shared" si="89"/>
        <v>0</v>
      </c>
      <c r="R76" s="516">
        <f>SUM('IV-2 arsa'!M34)</f>
        <v>0</v>
      </c>
      <c r="S76" s="516">
        <f>SUM('ketv. 6 lent'!S76)</f>
        <v>0</v>
      </c>
      <c r="T76" s="516">
        <f t="shared" si="90"/>
        <v>0</v>
      </c>
      <c r="U76" s="516">
        <f>SUM('IV-2 arsa'!N34)</f>
        <v>0</v>
      </c>
      <c r="V76" s="516">
        <f>SUM('ketv. 6 lent'!W76)</f>
        <v>0</v>
      </c>
      <c r="W76" s="516">
        <f t="shared" si="91"/>
        <v>0</v>
      </c>
      <c r="X76" s="516">
        <f>SUM('IV-2 arsa'!O34)</f>
        <v>0</v>
      </c>
      <c r="Y76" s="516">
        <f>SUM('ketv. 6 lent'!AA76)</f>
        <v>0</v>
      </c>
      <c r="Z76" s="516">
        <f t="shared" si="92"/>
        <v>0</v>
      </c>
      <c r="AA76" s="516">
        <f>SUM('IV-2 arsa'!P34)</f>
        <v>277249</v>
      </c>
      <c r="AB76" s="468" t="str">
        <f>IF('ketv. 4 lent'!V76&gt;0,"Taip","Ne")</f>
        <v>Ne</v>
      </c>
      <c r="AC76" s="468">
        <f>SUM('ketv. 6 lent'!AE76)</f>
        <v>0</v>
      </c>
      <c r="AD76" s="468">
        <f>IF(AC76&gt;0,AA76-AC76,0)</f>
        <v>0</v>
      </c>
      <c r="AE76" s="1113">
        <f>SUM('IV-2 arsa'!Q34)</f>
        <v>42877</v>
      </c>
      <c r="AF76" s="1202">
        <f>SUM('IV-2 arsa'!R34)</f>
        <v>43281</v>
      </c>
      <c r="AG76" s="1202">
        <f>SUM('IV-2 arsa'!S34)</f>
        <v>43455</v>
      </c>
      <c r="AH76" s="1202">
        <f>SUM('IV-2 arsa'!T34)</f>
        <v>43554</v>
      </c>
      <c r="AI76" s="1203">
        <f t="shared" si="93"/>
        <v>2019</v>
      </c>
      <c r="AJ76" s="1283">
        <f>SUM('IV-2 arsa'!U34)</f>
        <v>43920</v>
      </c>
      <c r="AK76" s="468">
        <f>IF(YEAR(AH76)=2016,AA76,0)</f>
        <v>0</v>
      </c>
      <c r="AL76" s="468">
        <f>IF(YEAR(AH76)=2017,AA76,0)</f>
        <v>0</v>
      </c>
      <c r="AM76" s="468">
        <f>IF(YEAR(AH76)=2018,AA76,0)</f>
        <v>0</v>
      </c>
      <c r="AN76" s="468">
        <f>IF(YEAR(AH76)=2019,AA76,0)</f>
        <v>277249</v>
      </c>
      <c r="AO76" s="1264">
        <f>IF(YEAR(AH76)=2020,AA76,0)</f>
        <v>0</v>
      </c>
      <c r="AP76" s="592"/>
      <c r="AQ76" s="88"/>
      <c r="AR76" s="88"/>
    </row>
    <row r="77" spans="1:46" ht="39.75" thickTop="1" thickBot="1" x14ac:dyDescent="0.3">
      <c r="A77" s="515" t="s">
        <v>200</v>
      </c>
      <c r="B77" s="515" t="s">
        <v>1603</v>
      </c>
      <c r="C77" s="1262" t="str">
        <f>CONCATENATE('ketv. 2lent'!B76)</f>
        <v/>
      </c>
      <c r="D77" s="515" t="str">
        <f>CONCATENATE('IV-2 dsa'!C33)</f>
        <v>Ekologiškų transporto priemonių įsigijimas Druskininkų savivaldybėje</v>
      </c>
      <c r="E77" s="515" t="str">
        <f>CONCATENATE('IV-2 dsa'!D33)</f>
        <v xml:space="preserve">Druskininkų savivaldybės administracija  </v>
      </c>
      <c r="F77" s="515" t="str">
        <f>CONCATENATE('IV-2 dsa'!E33)</f>
        <v>Lietuvos Respublikos susisiekimo ministerija</v>
      </c>
      <c r="G77" s="515" t="str">
        <f>CONCATENATE('IV-2 dsa'!F33)</f>
        <v>Druskininkų  miestas</v>
      </c>
      <c r="H77" s="518" t="str">
        <f>CONCATENATE('IV-2 dsa'!G33)</f>
        <v>04.5.1-TID-R-518</v>
      </c>
      <c r="I77" s="518" t="str">
        <f>CONCATENATE('IV-2 dsa'!H33)</f>
        <v>R</v>
      </c>
      <c r="J77" s="518" t="str">
        <f>CONCATENATE('IV-2 dsa'!I33)</f>
        <v>-</v>
      </c>
      <c r="K77" s="518" t="str">
        <f>CONCATENATE('IV-2 dsa'!J33)</f>
        <v>-</v>
      </c>
      <c r="L77" s="516">
        <f>SUM('IV-2 dsa'!K33)</f>
        <v>840240</v>
      </c>
      <c r="M77" s="516">
        <f>SUM('ketv. 6 lent'!K77)</f>
        <v>0</v>
      </c>
      <c r="N77" s="516">
        <f t="shared" si="88"/>
        <v>0</v>
      </c>
      <c r="O77" s="516">
        <f>SUM('IV-2 dsa'!L33)</f>
        <v>0</v>
      </c>
      <c r="P77" s="516">
        <f>SUM('ketv. 6 lent'!O77)</f>
        <v>0</v>
      </c>
      <c r="Q77" s="516">
        <f t="shared" si="89"/>
        <v>0</v>
      </c>
      <c r="R77" s="516">
        <f>SUM('IV-2 dsa'!M33)</f>
        <v>0</v>
      </c>
      <c r="S77" s="516">
        <f>SUM('ketv. 6 lent'!S77)</f>
        <v>0</v>
      </c>
      <c r="T77" s="516">
        <f t="shared" si="90"/>
        <v>0</v>
      </c>
      <c r="U77" s="516">
        <f>SUM('IV-2 dsa'!N33)</f>
        <v>422692</v>
      </c>
      <c r="V77" s="516">
        <f>SUM('ketv. 6 lent'!W77)</f>
        <v>0</v>
      </c>
      <c r="W77" s="516">
        <f t="shared" si="91"/>
        <v>0</v>
      </c>
      <c r="X77" s="516">
        <f>SUM('IV-2 dsa'!O33)</f>
        <v>0</v>
      </c>
      <c r="Y77" s="516">
        <f>SUM('ketv. 6 lent'!AA77)</f>
        <v>0</v>
      </c>
      <c r="Z77" s="516">
        <f t="shared" si="92"/>
        <v>0</v>
      </c>
      <c r="AA77" s="516">
        <f>SUM('IV-2 dsa'!P33)</f>
        <v>417548</v>
      </c>
      <c r="AB77" s="468" t="str">
        <f>IF('ketv. 4 lent'!V77&gt;0,"Taip","Ne")</f>
        <v>Ne</v>
      </c>
      <c r="AC77" s="468">
        <f>SUM('ketv. 6 lent'!AE77)</f>
        <v>0</v>
      </c>
      <c r="AD77" s="468">
        <f>IF(AC77&gt;0,AA77-AC77,0)</f>
        <v>0</v>
      </c>
      <c r="AE77" s="1113">
        <f>SUM('IV-2 dsa'!Q33)</f>
        <v>42877</v>
      </c>
      <c r="AF77" s="587">
        <f>SUM('IV-2 dsa'!R33)</f>
        <v>42978</v>
      </c>
      <c r="AG77" s="587">
        <f>SUM('IV-2 dsa'!S33)</f>
        <v>43343</v>
      </c>
      <c r="AH77" s="587">
        <f>SUM('IV-2 dsa'!T33)</f>
        <v>43434</v>
      </c>
      <c r="AI77" s="589">
        <f t="shared" si="93"/>
        <v>2018</v>
      </c>
      <c r="AJ77" s="1263">
        <f>SUM('IV-2 dsa'!U33)</f>
        <v>43830</v>
      </c>
      <c r="AK77" s="468">
        <f>IF(YEAR(AH77)=2016,AA77,0)</f>
        <v>0</v>
      </c>
      <c r="AL77" s="468">
        <f>IF(YEAR(AH77)=2017,AA77,0)</f>
        <v>0</v>
      </c>
      <c r="AM77" s="468">
        <f>IF(YEAR(AH77)=2018,AA77,0)</f>
        <v>417548</v>
      </c>
      <c r="AN77" s="468">
        <f>IF(YEAR(AH77)=2019,AA77,0)</f>
        <v>0</v>
      </c>
      <c r="AO77" s="1264">
        <f>IF(YEAR(AH77)=2020,AA77,0)</f>
        <v>0</v>
      </c>
      <c r="AP77" s="592"/>
      <c r="AQ77" s="592"/>
      <c r="AR77" s="88"/>
    </row>
    <row r="78" spans="1:46" ht="39.75" thickTop="1" thickBot="1" x14ac:dyDescent="0.3">
      <c r="A78" s="515" t="s">
        <v>235</v>
      </c>
      <c r="B78" s="515" t="s">
        <v>1604</v>
      </c>
      <c r="C78" s="1262" t="str">
        <f>CONCATENATE('ketv. 2lent'!B77)</f>
        <v/>
      </c>
      <c r="D78" s="515" t="str">
        <f>CONCATENATE('IV-2 lrsa'!D34)</f>
        <v>Ekologiškų transporto priemonių įsigijimas  Lazdijų rajono savivaldybėje</v>
      </c>
      <c r="E78" s="515" t="str">
        <f>CONCATENATE('IV-2 lrsa'!E34)</f>
        <v>Lazdijų rajono savivaldybės administracija</v>
      </c>
      <c r="F78" s="515" t="str">
        <f>CONCATENATE('IV-2 lrsa'!F34)</f>
        <v>Lietuvos Respublikos susisiekimo ministerija</v>
      </c>
      <c r="G78" s="515" t="str">
        <f>CONCATENATE('IV-2 lrsa'!G34)</f>
        <v>Lazdijų rajono savivaldybė</v>
      </c>
      <c r="H78" s="518" t="str">
        <f>CONCATENATE('IV-2 lrsa'!H34)</f>
        <v>04.5.1-TID-R-518</v>
      </c>
      <c r="I78" s="518" t="str">
        <f>CONCATENATE('IV-2 lrsa'!I34)</f>
        <v>R</v>
      </c>
      <c r="J78" s="518" t="str">
        <f>CONCATENATE('IV-2 lrsa'!J34)</f>
        <v>-</v>
      </c>
      <c r="K78" s="518" t="str">
        <f>CONCATENATE('IV-2 lrsa'!K34)</f>
        <v>-</v>
      </c>
      <c r="L78" s="516">
        <f>SUM('IV-2 lrsa'!L34)</f>
        <v>262704</v>
      </c>
      <c r="M78" s="516">
        <f>SUM('ketv. 6 lent'!K78)</f>
        <v>0</v>
      </c>
      <c r="N78" s="516">
        <f t="shared" si="88"/>
        <v>0</v>
      </c>
      <c r="O78" s="516">
        <f>SUM('IV-2 lrsa'!M34)</f>
        <v>39406</v>
      </c>
      <c r="P78" s="516">
        <f>SUM('ketv. 6 lent'!O78)</f>
        <v>0</v>
      </c>
      <c r="Q78" s="516">
        <f t="shared" si="89"/>
        <v>0</v>
      </c>
      <c r="R78" s="516">
        <f>SUM('IV-2 lrsa'!N34)</f>
        <v>0</v>
      </c>
      <c r="S78" s="516">
        <f>SUM('ketv. 6 lent'!S78)</f>
        <v>0</v>
      </c>
      <c r="T78" s="516">
        <f t="shared" si="90"/>
        <v>0</v>
      </c>
      <c r="U78" s="516">
        <f>SUM('IV-2 lrsa'!O34)</f>
        <v>0</v>
      </c>
      <c r="V78" s="516">
        <f>SUM('ketv. 6 lent'!W78)</f>
        <v>0</v>
      </c>
      <c r="W78" s="516">
        <f t="shared" si="91"/>
        <v>0</v>
      </c>
      <c r="X78" s="516">
        <f>SUM('IV-2 lrsa'!P34)</f>
        <v>0</v>
      </c>
      <c r="Y78" s="516">
        <f>SUM('ketv. 6 lent'!AA78)</f>
        <v>0</v>
      </c>
      <c r="Z78" s="516">
        <f t="shared" si="92"/>
        <v>0</v>
      </c>
      <c r="AA78" s="516">
        <f>SUM('IV-2 lrsa'!Q34)</f>
        <v>223298</v>
      </c>
      <c r="AB78" s="468" t="str">
        <f>IF('ketv. 4 lent'!V78&gt;0,"Taip","Ne")</f>
        <v>Ne</v>
      </c>
      <c r="AC78" s="468">
        <f>SUM('ketv. 6 lent'!AE78)</f>
        <v>0</v>
      </c>
      <c r="AD78" s="468">
        <f>IF(AC78&gt;0,AA78-AC78,0)</f>
        <v>0</v>
      </c>
      <c r="AE78" s="1113">
        <f>SUM('IV-2 lrsa'!R34)</f>
        <v>42877</v>
      </c>
      <c r="AF78" s="587">
        <f>SUM('IV-2 lrsa'!S34)</f>
        <v>42978</v>
      </c>
      <c r="AG78" s="587">
        <f>SUM('IV-2 lrsa'!T34)</f>
        <v>43343</v>
      </c>
      <c r="AH78" s="587">
        <f>SUM('IV-2 lrsa'!U34)</f>
        <v>43434</v>
      </c>
      <c r="AI78" s="589">
        <f t="shared" si="93"/>
        <v>2018</v>
      </c>
      <c r="AJ78" s="1263">
        <f>SUM('IV-2 lrsa'!V34)</f>
        <v>44165</v>
      </c>
      <c r="AK78" s="468">
        <f>IF(YEAR(AH78)=2016,AA78,0)</f>
        <v>0</v>
      </c>
      <c r="AL78" s="468">
        <f>IF(YEAR(AH78)=2017,AA78,0)</f>
        <v>0</v>
      </c>
      <c r="AM78" s="468">
        <f>IF(YEAR(AH78)=2018,AA78,0)</f>
        <v>223298</v>
      </c>
      <c r="AN78" s="468">
        <f>IF(YEAR(AH78)=2019,AA78,0)</f>
        <v>0</v>
      </c>
      <c r="AO78" s="1264">
        <f>IF(YEAR(AH78)=2020,AA78,0)</f>
        <v>0</v>
      </c>
      <c r="AP78" s="88"/>
      <c r="AQ78" s="88"/>
      <c r="AR78" s="88"/>
    </row>
    <row r="79" spans="1:46" ht="27" customHeight="1" thickBot="1" x14ac:dyDescent="0.3">
      <c r="A79" s="1280" t="s">
        <v>90</v>
      </c>
      <c r="B79" s="1607" t="s">
        <v>1783</v>
      </c>
      <c r="C79" s="1610"/>
      <c r="D79" s="1610"/>
      <c r="E79" s="1610"/>
      <c r="F79" s="1610"/>
      <c r="G79" s="1610"/>
      <c r="H79" s="1610"/>
      <c r="I79" s="1610"/>
      <c r="J79" s="1610"/>
      <c r="K79" s="1611"/>
      <c r="L79" s="1258">
        <f t="shared" ref="L79:X79" si="94">SUM(L80:L85)</f>
        <v>1894943.89</v>
      </c>
      <c r="M79" s="1258">
        <f t="shared" si="94"/>
        <v>184308.07</v>
      </c>
      <c r="N79" s="1258">
        <f t="shared" si="94"/>
        <v>156329.93</v>
      </c>
      <c r="O79" s="1258">
        <f t="shared" si="94"/>
        <v>284241.59000000003</v>
      </c>
      <c r="P79" s="1258">
        <f t="shared" si="94"/>
        <v>27646.21000000001</v>
      </c>
      <c r="Q79" s="1258">
        <f t="shared" si="94"/>
        <v>23449.489999999991</v>
      </c>
      <c r="R79" s="1258">
        <f t="shared" si="94"/>
        <v>0</v>
      </c>
      <c r="S79" s="1258">
        <f t="shared" si="94"/>
        <v>0</v>
      </c>
      <c r="T79" s="1258">
        <f t="shared" si="94"/>
        <v>0</v>
      </c>
      <c r="U79" s="1258">
        <f t="shared" si="94"/>
        <v>0</v>
      </c>
      <c r="V79" s="1258">
        <f t="shared" si="94"/>
        <v>0</v>
      </c>
      <c r="W79" s="1258">
        <f t="shared" si="94"/>
        <v>0</v>
      </c>
      <c r="X79" s="1258">
        <f t="shared" si="94"/>
        <v>0</v>
      </c>
      <c r="Y79" s="1258">
        <f>SUM(Y80:Y83)</f>
        <v>0</v>
      </c>
      <c r="Z79" s="1258">
        <f>SUM(Z80:Z83)</f>
        <v>0</v>
      </c>
      <c r="AA79" s="1258">
        <f>SUM(AA80:AA85)</f>
        <v>1610702.3</v>
      </c>
      <c r="AB79" s="1258"/>
      <c r="AC79" s="1258">
        <f>SUM(AC80:AC83)</f>
        <v>43042.3</v>
      </c>
      <c r="AD79" s="1258">
        <f>SUM(AD80:AD83)</f>
        <v>0</v>
      </c>
      <c r="AE79" s="1258"/>
      <c r="AF79" s="1277"/>
      <c r="AG79" s="1277"/>
      <c r="AH79" s="1277"/>
      <c r="AI79" s="1278"/>
      <c r="AJ79" s="1279"/>
      <c r="AK79" s="1250"/>
      <c r="AL79" s="1250"/>
      <c r="AM79" s="1250"/>
      <c r="AN79" s="1250"/>
      <c r="AO79" s="1250"/>
      <c r="AP79" s="88">
        <f>SUM('IV-2 amsa'!W29+'IV-2 arsa'!V35+'IV-2 dsa'!V34+'IV-2 lrsa'!W35+'IV-2 vrsa'!W40)</f>
        <v>1378375</v>
      </c>
      <c r="AQ79" s="88">
        <f>SUM(AP79*120/100)</f>
        <v>1654050</v>
      </c>
      <c r="AR79" s="88">
        <f>SUM(AP79-(AA79-AA81-AA83))</f>
        <v>-189285</v>
      </c>
      <c r="AS79" s="1131"/>
      <c r="AT79" s="1131"/>
    </row>
    <row r="80" spans="1:46" ht="39.75" thickTop="1" thickBot="1" x14ac:dyDescent="0.3">
      <c r="A80" s="515" t="s">
        <v>91</v>
      </c>
      <c r="B80" s="515" t="s">
        <v>1704</v>
      </c>
      <c r="C80" s="1262" t="str">
        <f>CONCATENATE('ketv. 2lent'!B79)</f>
        <v/>
      </c>
      <c r="D80" s="515" t="str">
        <f>CONCATENATE('IV-2 amsa'!D30)</f>
        <v>Darnaus judumo priemonių diegimas Alytaus mieste</v>
      </c>
      <c r="E80" s="515" t="str">
        <f>CONCATENATE('IV-2 amsa'!E30)</f>
        <v>Alytaus miesto savivaldybės administracija</v>
      </c>
      <c r="F80" s="515" t="str">
        <f>CONCATENATE('IV-2 amsa'!F30)</f>
        <v>Lietuvos Respublikos susisiekimo ministerija</v>
      </c>
      <c r="G80" s="515" t="str">
        <f>CONCATENATE('IV-2 amsa'!G30)</f>
        <v>Alytaus  miestas</v>
      </c>
      <c r="H80" s="518" t="str">
        <f>CONCATENATE('IV-2 amsa'!H30)</f>
        <v>04.5.1.-TID-R-514</v>
      </c>
      <c r="I80" s="518" t="str">
        <f>CONCATENATE('IV-2 amsa'!I30)</f>
        <v>R</v>
      </c>
      <c r="J80" s="518" t="str">
        <f>CONCATENATE('IV-2 amsa'!J30)</f>
        <v>-</v>
      </c>
      <c r="K80" s="518" t="str">
        <f>CONCATENATE('IV-2 amsa'!K30)</f>
        <v>-</v>
      </c>
      <c r="L80" s="516">
        <f>SUM('IV-2 amsa'!L30)</f>
        <v>1143469.6499999999</v>
      </c>
      <c r="M80" s="516">
        <f>SUM('ketv. 6 lent'!K80)</f>
        <v>0</v>
      </c>
      <c r="N80" s="516">
        <f t="shared" ref="N80:N83" si="95">IF(M80&gt;0,L80-M80,0)</f>
        <v>0</v>
      </c>
      <c r="O80" s="516">
        <f>SUM('IV-2 amsa'!M30)</f>
        <v>171520.45</v>
      </c>
      <c r="P80" s="516">
        <f>SUM('ketv. 6 lent'!O80)</f>
        <v>0</v>
      </c>
      <c r="Q80" s="516">
        <f t="shared" ref="Q80:Q82" si="96">IF(P80&gt;0,O80-P80,0)</f>
        <v>0</v>
      </c>
      <c r="R80" s="516">
        <f>SUM('IV-2 amsa'!N30)</f>
        <v>0</v>
      </c>
      <c r="S80" s="516">
        <f>SUM('ketv. 6 lent'!S80)</f>
        <v>0</v>
      </c>
      <c r="T80" s="516">
        <f t="shared" ref="T80:T83" si="97">IF(S80&gt;0,R80-S80,0)</f>
        <v>0</v>
      </c>
      <c r="U80" s="516">
        <f>SUM('IV-2 amsa'!O30)</f>
        <v>0</v>
      </c>
      <c r="V80" s="516">
        <f>SUM('ketv. 6 lent'!W80)</f>
        <v>0</v>
      </c>
      <c r="W80" s="516">
        <f t="shared" ref="W80:W83" si="98">IF(V80&gt;0,U80-V80,0)</f>
        <v>0</v>
      </c>
      <c r="X80" s="516">
        <f>SUM('IV-2 amsa'!P30)</f>
        <v>0</v>
      </c>
      <c r="Y80" s="516">
        <f>SUM('ketv. 6 lent'!AA80)</f>
        <v>0</v>
      </c>
      <c r="Z80" s="516">
        <f t="shared" ref="Z80:Z83" si="99">IF(Y80&gt;0,X80-Y80,0)</f>
        <v>0</v>
      </c>
      <c r="AA80" s="516">
        <f>SUM('IV-2 amsa'!Q30)</f>
        <v>971949.2</v>
      </c>
      <c r="AB80" s="468" t="str">
        <f>IF('ketv. 4 lent'!V80&gt;0,"Taip","Ne")</f>
        <v>Ne</v>
      </c>
      <c r="AC80" s="468">
        <f>SUM('ketv. 6 lent'!AE80)</f>
        <v>0</v>
      </c>
      <c r="AD80" s="468">
        <f>IF(AC80&gt;0,AA80-AC80,0)</f>
        <v>0</v>
      </c>
      <c r="AE80" s="1113">
        <f>SUM('IV-2 amsa'!R30)</f>
        <v>43130</v>
      </c>
      <c r="AF80" s="587">
        <f>SUM('IV-2 amsa'!S30)</f>
        <v>43358</v>
      </c>
      <c r="AG80" s="587">
        <f>SUM('IV-2 amsa'!T30)</f>
        <v>43449</v>
      </c>
      <c r="AH80" s="587">
        <f>SUM('IV-2 amsa'!U30)</f>
        <v>43539</v>
      </c>
      <c r="AI80" s="589">
        <f t="shared" ref="AI80:AI83" si="100">IF(YEAR(AH80),YEAR(AH80))</f>
        <v>2019</v>
      </c>
      <c r="AJ80" s="1263">
        <f>SUM('IV-2 amsa'!V30)</f>
        <v>44195</v>
      </c>
      <c r="AK80" s="468">
        <f>IF(YEAR(AH80)=2016,AA80,0)</f>
        <v>0</v>
      </c>
      <c r="AL80" s="468">
        <f>IF(YEAR(AH80)=2017,AA80,0)</f>
        <v>0</v>
      </c>
      <c r="AM80" s="468">
        <f>IF(YEAR(AH80)=2018,AA80,0)</f>
        <v>0</v>
      </c>
      <c r="AN80" s="468">
        <f>IF(YEAR(AH80)=2019,AA80,0)</f>
        <v>971949.2</v>
      </c>
      <c r="AO80" s="1264">
        <f>IF(YEAR(AH80)=2020,AA80,0)</f>
        <v>0</v>
      </c>
      <c r="AP80" s="88"/>
      <c r="AQ80" s="88"/>
      <c r="AR80" s="88"/>
    </row>
    <row r="81" spans="1:45" ht="39.75" thickTop="1" thickBot="1" x14ac:dyDescent="0.3">
      <c r="A81" s="515" t="s">
        <v>164</v>
      </c>
      <c r="B81" s="515" t="s">
        <v>1605</v>
      </c>
      <c r="C81" s="1262" t="str">
        <f>CONCATENATE('ketv. 2lent'!B80)</f>
        <v>04.5.1-TID-V-513-01-0015</v>
      </c>
      <c r="D81" s="515" t="str">
        <f>CONCATENATE('IV-2 amsa'!D31)</f>
        <v>Alytaus miesto darnaus judumo plano parengimas</v>
      </c>
      <c r="E81" s="515" t="str">
        <f>CONCATENATE('IV-2 amsa'!E31)</f>
        <v>Alytaus miesto savivaldybės administracija</v>
      </c>
      <c r="F81" s="515" t="str">
        <f>CONCATENATE('IV-2 amsa'!F31)</f>
        <v>Lietuvos Respublikos susisiekimo ministerija</v>
      </c>
      <c r="G81" s="515" t="str">
        <f>CONCATENATE('IV-2 amsa'!G31)</f>
        <v>Alytaus  miestas</v>
      </c>
      <c r="H81" s="518" t="str">
        <f>CONCATENATE('IV-2 amsa'!H31)</f>
        <v>04.5.1-TID-V-513</v>
      </c>
      <c r="I81" s="518" t="str">
        <f>CONCATENATE('IV-2 amsa'!I31)</f>
        <v>V</v>
      </c>
      <c r="J81" s="518" t="str">
        <f>CONCATENATE('IV-2 amsa'!J31)</f>
        <v>ITI</v>
      </c>
      <c r="K81" s="518" t="str">
        <f>CONCATENATE('IV-2 amsa'!K31)</f>
        <v>-</v>
      </c>
      <c r="L81" s="516">
        <f>SUM('IV-2 amsa'!L31)</f>
        <v>33638</v>
      </c>
      <c r="M81" s="516">
        <f>SUM('ketv. 6 lent'!K81)</f>
        <v>33638</v>
      </c>
      <c r="N81" s="516">
        <f t="shared" si="95"/>
        <v>0</v>
      </c>
      <c r="O81" s="516">
        <f>SUM('IV-2 amsa'!M31)</f>
        <v>5045.7</v>
      </c>
      <c r="P81" s="516">
        <f>SUM('ketv. 6 lent'!O81)</f>
        <v>5045.7000000000007</v>
      </c>
      <c r="Q81" s="516">
        <f>IF(P81&gt;0,O81-P81,0)</f>
        <v>-9.0949470177292824E-13</v>
      </c>
      <c r="R81" s="516">
        <f>SUM('IV-2 amsa'!N31)</f>
        <v>0</v>
      </c>
      <c r="S81" s="516">
        <f>SUM('ketv. 6 lent'!S81)</f>
        <v>0</v>
      </c>
      <c r="T81" s="516">
        <f t="shared" si="97"/>
        <v>0</v>
      </c>
      <c r="U81" s="516">
        <f>SUM('IV-2 amsa'!O31)</f>
        <v>0</v>
      </c>
      <c r="V81" s="516">
        <f>SUM('ketv. 6 lent'!W81)</f>
        <v>0</v>
      </c>
      <c r="W81" s="516">
        <f t="shared" si="98"/>
        <v>0</v>
      </c>
      <c r="X81" s="516">
        <f>SUM('IV-2 amsa'!P31)</f>
        <v>0</v>
      </c>
      <c r="Y81" s="516">
        <f>SUM('ketv. 6 lent'!AA81)</f>
        <v>0</v>
      </c>
      <c r="Z81" s="516">
        <f t="shared" si="99"/>
        <v>0</v>
      </c>
      <c r="AA81" s="516">
        <f>SUM('IV-2 amsa'!Q31)</f>
        <v>28592.3</v>
      </c>
      <c r="AB81" s="468" t="str">
        <f>IF('ketv. 4 lent'!V81&gt;0,"Taip","Ne")</f>
        <v>Taip</v>
      </c>
      <c r="AC81" s="468">
        <f>SUM('ketv. 6 lent'!AE81)</f>
        <v>28592.3</v>
      </c>
      <c r="AD81" s="468">
        <f>IF(AC81&gt;0,AA81-AC81,0)</f>
        <v>0</v>
      </c>
      <c r="AE81" s="1113">
        <f>SUM('IV-2 amsa'!R31)</f>
        <v>42643</v>
      </c>
      <c r="AF81" s="587">
        <f>SUM('IV-2 amsa'!S31)</f>
        <v>42674</v>
      </c>
      <c r="AG81" s="587">
        <f>SUM('IV-2 amsa'!T31)</f>
        <v>42855</v>
      </c>
      <c r="AH81" s="587">
        <f>SUM('IV-2 amsa'!U31)</f>
        <v>42947</v>
      </c>
      <c r="AI81" s="589">
        <f t="shared" si="100"/>
        <v>2017</v>
      </c>
      <c r="AJ81" s="1263">
        <f>SUM('IV-2 amsa'!V31)</f>
        <v>43281</v>
      </c>
      <c r="AK81" s="468">
        <f>IF(YEAR(AH81)=2016,AA81,0)</f>
        <v>0</v>
      </c>
      <c r="AL81" s="468">
        <f>IF(YEAR(AH81)=2017,AA81,0)</f>
        <v>28592.3</v>
      </c>
      <c r="AM81" s="468">
        <f>IF(YEAR(AH81)=2018,AA81,0)</f>
        <v>0</v>
      </c>
      <c r="AN81" s="468">
        <f>IF(YEAR(AH81)=2019,AA81,0)</f>
        <v>0</v>
      </c>
      <c r="AO81" s="1264">
        <f>IF(YEAR(AH81)=2020,AA81,0)</f>
        <v>0</v>
      </c>
      <c r="AP81" s="88"/>
      <c r="AQ81" s="88"/>
      <c r="AR81" s="88"/>
    </row>
    <row r="82" spans="1:45" ht="39.75" thickTop="1" thickBot="1" x14ac:dyDescent="0.3">
      <c r="A82" s="515" t="s">
        <v>165</v>
      </c>
      <c r="B82" s="515" t="s">
        <v>1711</v>
      </c>
      <c r="C82" s="1262" t="str">
        <f>CONCATENATE('ketv. 2lent'!B81)</f>
        <v/>
      </c>
      <c r="D82" s="515" t="str">
        <f>CONCATENATE('IV-2 dsa'!C35)</f>
        <v>Intelektinių transporto sistemų diegimas Druskininkuose</v>
      </c>
      <c r="E82" s="515" t="str">
        <f>CONCATENATE('IV-2 dsa'!D35)</f>
        <v>Druskininkų savivaldybės administracija</v>
      </c>
      <c r="F82" s="515" t="str">
        <f>CONCATENATE('IV-2 dsa'!E35)</f>
        <v>Lietuvos Respublikos susisiekimo ministerija</v>
      </c>
      <c r="G82" s="515" t="str">
        <f>CONCATENATE('IV-2 dsa'!F35)</f>
        <v>Druskininkų  miestas</v>
      </c>
      <c r="H82" s="518" t="str">
        <f>CONCATENATE('IV-2 dsa'!G35)</f>
        <v>04.5.1.-TID-R-514</v>
      </c>
      <c r="I82" s="518" t="str">
        <f>CONCATENATE('IV-2 dsa'!H35)</f>
        <v>R</v>
      </c>
      <c r="J82" s="518" t="str">
        <f>CONCATENATE('IV-2 dsa'!I35)</f>
        <v>-</v>
      </c>
      <c r="K82" s="518" t="str">
        <f>CONCATENATE('IV-2 dsa'!J35)</f>
        <v>-</v>
      </c>
      <c r="L82" s="516">
        <f>SUM('IV-2 dsa'!K35)</f>
        <v>160836.24</v>
      </c>
      <c r="M82" s="516">
        <f>SUM('ketv. 6 lent'!K82)</f>
        <v>0</v>
      </c>
      <c r="N82" s="516">
        <f t="shared" si="95"/>
        <v>0</v>
      </c>
      <c r="O82" s="516">
        <f>SUM('IV-2 dsa'!L35)</f>
        <v>24125.439999999999</v>
      </c>
      <c r="P82" s="516">
        <f>SUM('ketv. 6 lent'!O82)</f>
        <v>0</v>
      </c>
      <c r="Q82" s="516">
        <f t="shared" si="96"/>
        <v>0</v>
      </c>
      <c r="R82" s="516">
        <f>SUM('IV-2 dsa'!M35)</f>
        <v>0</v>
      </c>
      <c r="S82" s="516">
        <f>SUM('ketv. 6 lent'!S82)</f>
        <v>0</v>
      </c>
      <c r="T82" s="516">
        <f t="shared" si="97"/>
        <v>0</v>
      </c>
      <c r="U82" s="516">
        <f>SUM('IV-2 dsa'!N35)</f>
        <v>0</v>
      </c>
      <c r="V82" s="516">
        <f>SUM('ketv. 6 lent'!W82)</f>
        <v>0</v>
      </c>
      <c r="W82" s="516">
        <f t="shared" si="98"/>
        <v>0</v>
      </c>
      <c r="X82" s="516">
        <f>SUM('IV-2 dsa'!O35)</f>
        <v>0</v>
      </c>
      <c r="Y82" s="516">
        <f>SUM('ketv. 6 lent'!AA82)</f>
        <v>0</v>
      </c>
      <c r="Z82" s="516">
        <f t="shared" si="99"/>
        <v>0</v>
      </c>
      <c r="AA82" s="516">
        <f>SUM('IV-2 dsa'!P35)</f>
        <v>136710.79999999999</v>
      </c>
      <c r="AB82" s="468" t="str">
        <f>IF('ketv. 4 lent'!V82&gt;0,"Taip","Ne")</f>
        <v>Ne</v>
      </c>
      <c r="AC82" s="468">
        <f>SUM('ketv. 6 lent'!AE82)</f>
        <v>0</v>
      </c>
      <c r="AD82" s="468">
        <f>IF(AC82&gt;0,AA82-AC82,0)</f>
        <v>0</v>
      </c>
      <c r="AE82" s="1113">
        <f>SUM('IV-2 dsa'!Q35)</f>
        <v>43130</v>
      </c>
      <c r="AF82" s="587">
        <f>SUM('IV-2 dsa'!R35)</f>
        <v>43343</v>
      </c>
      <c r="AG82" s="587">
        <f>SUM('IV-2 dsa'!S35)</f>
        <v>43524</v>
      </c>
      <c r="AH82" s="587">
        <f>SUM('IV-2 dsa'!T35)</f>
        <v>43611</v>
      </c>
      <c r="AI82" s="589">
        <f t="shared" si="100"/>
        <v>2019</v>
      </c>
      <c r="AJ82" s="1263">
        <f>SUM('IV-2 dsa'!U35)</f>
        <v>44136</v>
      </c>
      <c r="AK82" s="468">
        <f>IF(YEAR(AH82)=2016,AA82,0)</f>
        <v>0</v>
      </c>
      <c r="AL82" s="468">
        <f>IF(YEAR(AH82)=2017,AA82,0)</f>
        <v>0</v>
      </c>
      <c r="AM82" s="468">
        <f>IF(YEAR(AH82)=2018,AA82,0)</f>
        <v>0</v>
      </c>
      <c r="AN82" s="468">
        <f>IF(YEAR(AH82)=2019,AA82,0)</f>
        <v>136710.79999999999</v>
      </c>
      <c r="AO82" s="1264">
        <f>IF(YEAR(AH82)=2020,AA82,0)</f>
        <v>0</v>
      </c>
      <c r="AP82" s="88"/>
      <c r="AQ82" s="88"/>
      <c r="AR82" s="88"/>
    </row>
    <row r="83" spans="1:45" ht="39.75" thickTop="1" thickBot="1" x14ac:dyDescent="0.3">
      <c r="A83" s="515" t="s">
        <v>171</v>
      </c>
      <c r="B83" s="515" t="s">
        <v>1606</v>
      </c>
      <c r="C83" s="1262" t="str">
        <f>CONCATENATE('ketv. 2lent'!B82)</f>
        <v>04.5.1-TID-V-513-01-0006</v>
      </c>
      <c r="D83" s="515" t="str">
        <f>CONCATENATE('IV-2 dsa'!C36)</f>
        <v>Darnaus judumo plano Druskininkuose parengimas</v>
      </c>
      <c r="E83" s="515" t="str">
        <f>CONCATENATE('IV-2 dsa'!D36)</f>
        <v>Druskininkų savivaldybės administracija</v>
      </c>
      <c r="F83" s="515" t="str">
        <f>CONCATENATE('IV-2 dsa'!E36)</f>
        <v>Lietuvos Respublikos susisiekimo ministerija</v>
      </c>
      <c r="G83" s="515" t="str">
        <f>CONCATENATE('IV-2 dsa'!F36)</f>
        <v>Druskininkų  miestas</v>
      </c>
      <c r="H83" s="518" t="str">
        <f>CONCATENATE('IV-2 dsa'!G36)</f>
        <v>04.5.1-TID-V-513</v>
      </c>
      <c r="I83" s="518" t="str">
        <f>CONCATENATE('IV-2 dsa'!H36)</f>
        <v>V</v>
      </c>
      <c r="J83" s="518" t="str">
        <f>CONCATENATE('IV-2 dsa'!I36)</f>
        <v>ITI</v>
      </c>
      <c r="K83" s="518" t="str">
        <f>CONCATENATE('IV-2 dsa'!J36)</f>
        <v>-</v>
      </c>
      <c r="L83" s="516">
        <f>SUM('IV-2 dsa'!K36)</f>
        <v>17000</v>
      </c>
      <c r="M83" s="516">
        <f>SUM('ketv. 6 lent'!K83)</f>
        <v>17000</v>
      </c>
      <c r="N83" s="516">
        <f t="shared" si="95"/>
        <v>0</v>
      </c>
      <c r="O83" s="516">
        <f>SUM('IV-2 dsa'!L36)</f>
        <v>2550</v>
      </c>
      <c r="P83" s="516">
        <f>SUM('ketv. 6 lent'!O83)</f>
        <v>2550</v>
      </c>
      <c r="Q83" s="516">
        <f>IF(P83&gt;0,O83-P83,0)</f>
        <v>0</v>
      </c>
      <c r="R83" s="516">
        <f>SUM('IV-2 dsa'!M36)</f>
        <v>0</v>
      </c>
      <c r="S83" s="516">
        <f>SUM('ketv. 6 lent'!S83)</f>
        <v>0</v>
      </c>
      <c r="T83" s="516">
        <f t="shared" si="97"/>
        <v>0</v>
      </c>
      <c r="U83" s="516">
        <f>SUM('IV-2 dsa'!N36)</f>
        <v>0</v>
      </c>
      <c r="V83" s="516">
        <f>SUM('ketv. 6 lent'!W83)</f>
        <v>0</v>
      </c>
      <c r="W83" s="516">
        <f t="shared" si="98"/>
        <v>0</v>
      </c>
      <c r="X83" s="516">
        <f>SUM('IV-2 dsa'!O36)</f>
        <v>0</v>
      </c>
      <c r="Y83" s="516">
        <f>SUM('ketv. 6 lent'!AA83)</f>
        <v>0</v>
      </c>
      <c r="Z83" s="516">
        <f t="shared" si="99"/>
        <v>0</v>
      </c>
      <c r="AA83" s="516">
        <f>SUM('IV-2 dsa'!P36)</f>
        <v>14450</v>
      </c>
      <c r="AB83" s="468" t="str">
        <f>IF('ketv. 4 lent'!V83&gt;0,"Taip","Ne")</f>
        <v>Taip</v>
      </c>
      <c r="AC83" s="468">
        <f>SUM('ketv. 6 lent'!AE83)</f>
        <v>14450</v>
      </c>
      <c r="AD83" s="468">
        <f>IF(AC83&gt;0,AA83-AC83,0)</f>
        <v>0</v>
      </c>
      <c r="AE83" s="1113">
        <f>SUM('IV-2 dsa'!Q36)</f>
        <v>42643</v>
      </c>
      <c r="AF83" s="587">
        <f>SUM('IV-2 dsa'!R36)</f>
        <v>42674</v>
      </c>
      <c r="AG83" s="587">
        <f>SUM('IV-2 dsa'!S36)</f>
        <v>42735</v>
      </c>
      <c r="AH83" s="587">
        <f>SUM('IV-2 dsa'!T36)</f>
        <v>42825</v>
      </c>
      <c r="AI83" s="589">
        <f t="shared" si="100"/>
        <v>2017</v>
      </c>
      <c r="AJ83" s="1263">
        <f>SUM('IV-2 dsa'!U36)</f>
        <v>43100</v>
      </c>
      <c r="AK83" s="1425">
        <f>IF(YEAR(AH83)=2016,AA83,0)</f>
        <v>0</v>
      </c>
      <c r="AL83" s="1425">
        <f>IF(YEAR(AH83)=2017,AA83,0)</f>
        <v>14450</v>
      </c>
      <c r="AM83" s="1425">
        <f>IF(YEAR(AH83)=2018,AA83,0)</f>
        <v>0</v>
      </c>
      <c r="AN83" s="1425">
        <f>IF(YEAR(AH83)=2019,AA83,0)</f>
        <v>0</v>
      </c>
      <c r="AO83" s="1264">
        <f>IF(YEAR(AH83)=2020,AA83,0)</f>
        <v>0</v>
      </c>
      <c r="AP83" s="595"/>
      <c r="AQ83" s="88"/>
      <c r="AR83" s="88"/>
    </row>
    <row r="84" spans="1:45" ht="39.75" thickTop="1" thickBot="1" x14ac:dyDescent="0.3">
      <c r="A84" s="515" t="s">
        <v>1707</v>
      </c>
      <c r="B84" s="515" t="s">
        <v>1709</v>
      </c>
      <c r="C84" s="1262"/>
      <c r="D84" s="515" t="str">
        <f>CONCATENATE('IV-2 dsa'!C37)</f>
        <v>Viešojo transporto organizavimo tobulinimas rekonstruojant Druskininkų miesto gatvių infrastruktūrą</v>
      </c>
      <c r="E84" s="515" t="str">
        <f>CONCATENATE('IV-2 dsa'!D37)</f>
        <v>Druskininkų savivaldybės administracija</v>
      </c>
      <c r="F84" s="515" t="str">
        <f>CONCATENATE('IV-2 dsa'!E37)</f>
        <v>Lietuvos Respublikos susisiekimo ministerija</v>
      </c>
      <c r="G84" s="515" t="str">
        <f>CONCATENATE('IV-2 dsa'!F37)</f>
        <v>Druskininkų  miestas</v>
      </c>
      <c r="H84" s="518" t="str">
        <f>CONCATENATE('IV-2 dsa'!G37)</f>
        <v>04.5.1.-TID-R-514</v>
      </c>
      <c r="I84" s="518" t="str">
        <f>CONCATENATE('IV-2 dsa'!H37)</f>
        <v>R</v>
      </c>
      <c r="J84" s="518" t="str">
        <f>CONCATENATE('IV-2 dsa'!I37)</f>
        <v>-</v>
      </c>
      <c r="K84" s="518" t="str">
        <f>CONCATENATE('IV-2 dsa'!J37)</f>
        <v>-</v>
      </c>
      <c r="L84" s="516">
        <f>SUM('IV-2 dsa'!K37)</f>
        <v>290000</v>
      </c>
      <c r="M84" s="516">
        <f>SUM('ketv. 6 lent'!K86)</f>
        <v>133670.07</v>
      </c>
      <c r="N84" s="516">
        <f t="shared" ref="N84:N85" si="101">IF(M84&gt;0,L84-M84,0)</f>
        <v>156329.93</v>
      </c>
      <c r="O84" s="516">
        <f>SUM('IV-2 dsa'!L37)</f>
        <v>43500</v>
      </c>
      <c r="P84" s="516">
        <f>SUM('ketv. 6 lent'!O86)</f>
        <v>20050.510000000009</v>
      </c>
      <c r="Q84" s="516">
        <f t="shared" ref="Q84:Q85" si="102">IF(P84&gt;0,O84-P84,0)</f>
        <v>23449.489999999991</v>
      </c>
      <c r="R84" s="516">
        <f>SUM('IV-2 dsa'!M37)</f>
        <v>0</v>
      </c>
      <c r="S84" s="516">
        <f>SUM('ketv. 6 lent'!S86)</f>
        <v>0</v>
      </c>
      <c r="T84" s="516">
        <f t="shared" ref="T84:T85" si="103">IF(S84&gt;0,R84-S84,0)</f>
        <v>0</v>
      </c>
      <c r="U84" s="516">
        <f>SUM('IV-2 dsa'!N37)</f>
        <v>0</v>
      </c>
      <c r="V84" s="516">
        <f>SUM('ketv. 6 lent'!W86)</f>
        <v>0</v>
      </c>
      <c r="W84" s="516">
        <f t="shared" ref="W84:W85" si="104">IF(V84&gt;0,U84-V84,0)</f>
        <v>0</v>
      </c>
      <c r="X84" s="516">
        <f>SUM('IV-2 dsa'!O37)</f>
        <v>0</v>
      </c>
      <c r="Y84" s="516">
        <f>SUM('ketv. 6 lent'!AA86)</f>
        <v>0</v>
      </c>
      <c r="Z84" s="516">
        <f t="shared" ref="Z84:Z85" si="105">IF(Y84&gt;0,X84-Y84,0)</f>
        <v>0</v>
      </c>
      <c r="AA84" s="516">
        <f>SUM('IV-2 dsa'!P37)</f>
        <v>246500</v>
      </c>
      <c r="AB84" s="468" t="str">
        <f>IF('ketv. 4 lent'!V86&gt;0,"Taip","Ne")</f>
        <v>Ne</v>
      </c>
      <c r="AC84" s="468">
        <f>SUM('ketv. 6 lent'!AE86)</f>
        <v>113619.56</v>
      </c>
      <c r="AD84" s="468">
        <f t="shared" ref="AD84:AD85" si="106">IF(AC84&gt;0,AA84-AC84,0)</f>
        <v>132880.44</v>
      </c>
      <c r="AE84" s="1113">
        <f>SUM('IV-2 dsa'!Q37)</f>
        <v>0</v>
      </c>
      <c r="AF84" s="1202">
        <f>SUM('IV-2 dsa'!R37)</f>
        <v>43343</v>
      </c>
      <c r="AG84" s="1202">
        <f>SUM('IV-2 dsa'!S37)</f>
        <v>43449</v>
      </c>
      <c r="AH84" s="1202">
        <f>SUM('IV-2 dsa'!T37)</f>
        <v>43524</v>
      </c>
      <c r="AI84" s="1203">
        <f t="shared" ref="AI84:AI85" si="107">IF(YEAR(AH84),YEAR(AH84))</f>
        <v>2019</v>
      </c>
      <c r="AJ84" s="1546">
        <f>SUM('IV-2 dsa'!U37)</f>
        <v>43800</v>
      </c>
      <c r="AK84" s="1425">
        <f t="shared" ref="AK84:AK85" si="108">IF(YEAR(AH84)=2016,AA84,0)</f>
        <v>0</v>
      </c>
      <c r="AL84" s="1425">
        <f t="shared" ref="AL84:AL85" si="109">IF(YEAR(AH84)=2017,AA84,0)</f>
        <v>0</v>
      </c>
      <c r="AM84" s="1425">
        <f t="shared" ref="AM84:AM85" si="110">IF(YEAR(AH84)=2018,AA84,0)</f>
        <v>0</v>
      </c>
      <c r="AN84" s="1425">
        <f t="shared" ref="AN84:AN85" si="111">IF(YEAR(AH84)=2019,AA84,0)</f>
        <v>246500</v>
      </c>
      <c r="AO84" s="1264">
        <f t="shared" ref="AO84:AO85" si="112">IF(YEAR(AH84)=2020,AA84,0)</f>
        <v>0</v>
      </c>
      <c r="AP84" s="595"/>
      <c r="AQ84" s="88"/>
      <c r="AR84" s="88"/>
    </row>
    <row r="85" spans="1:45" ht="39.75" thickTop="1" thickBot="1" x14ac:dyDescent="0.3">
      <c r="A85" s="515" t="s">
        <v>1708</v>
      </c>
      <c r="B85" s="515" t="s">
        <v>1710</v>
      </c>
      <c r="C85" s="1262"/>
      <c r="D85" s="515" t="str">
        <f>CONCATENATE('IV-2 dsa'!C38)</f>
        <v>Vandens transporto infrastruktūros įrengimas skatinant kitų rūšių transportą</v>
      </c>
      <c r="E85" s="515" t="str">
        <f>CONCATENATE('IV-2 dsa'!D38)</f>
        <v>Druskininkų savivaldybės administracija</v>
      </c>
      <c r="F85" s="515" t="str">
        <f>CONCATENATE('IV-2 dsa'!E38)</f>
        <v>Lietuvos Respublikos susisiekimo ministerija</v>
      </c>
      <c r="G85" s="515" t="str">
        <f>CONCATENATE('IV-2 dsa'!F38)</f>
        <v>Druskininkų  miestas</v>
      </c>
      <c r="H85" s="518" t="str">
        <f>CONCATENATE('IV-2 dsa'!G38)</f>
        <v>04.5.1.-TID-R-514</v>
      </c>
      <c r="I85" s="518" t="str">
        <f>CONCATENATE('IV-2 dsa'!H38)</f>
        <v>R</v>
      </c>
      <c r="J85" s="518" t="str">
        <f>CONCATENATE('IV-2 dsa'!I38)</f>
        <v>-</v>
      </c>
      <c r="K85" s="518" t="str">
        <f>CONCATENATE('IV-2 dsa'!J38)</f>
        <v>-</v>
      </c>
      <c r="L85" s="516">
        <f>SUM('IV-2 dsa'!K38)</f>
        <v>250000</v>
      </c>
      <c r="M85" s="516">
        <f>SUM('ketv. 6 lent'!K87)</f>
        <v>0</v>
      </c>
      <c r="N85" s="516">
        <f t="shared" si="101"/>
        <v>0</v>
      </c>
      <c r="O85" s="516">
        <f>SUM('IV-2 dsa'!L38)</f>
        <v>37500</v>
      </c>
      <c r="P85" s="516">
        <f>SUM('ketv. 6 lent'!O87)</f>
        <v>0</v>
      </c>
      <c r="Q85" s="516">
        <f t="shared" si="102"/>
        <v>0</v>
      </c>
      <c r="R85" s="516">
        <f>SUM('IV-2 dsa'!M38)</f>
        <v>0</v>
      </c>
      <c r="S85" s="516">
        <f>SUM('ketv. 6 lent'!S87)</f>
        <v>0</v>
      </c>
      <c r="T85" s="516">
        <f t="shared" si="103"/>
        <v>0</v>
      </c>
      <c r="U85" s="516">
        <f>SUM('IV-2 dsa'!N38)</f>
        <v>0</v>
      </c>
      <c r="V85" s="516">
        <f>SUM('ketv. 6 lent'!W87)</f>
        <v>0</v>
      </c>
      <c r="W85" s="516">
        <f t="shared" si="104"/>
        <v>0</v>
      </c>
      <c r="X85" s="516">
        <f>SUM('IV-2 dsa'!O38)</f>
        <v>0</v>
      </c>
      <c r="Y85" s="516">
        <f>SUM('ketv. 6 lent'!AA87)</f>
        <v>0</v>
      </c>
      <c r="Z85" s="516">
        <f t="shared" si="105"/>
        <v>0</v>
      </c>
      <c r="AA85" s="516">
        <f>SUM('IV-2 dsa'!P38)</f>
        <v>212500</v>
      </c>
      <c r="AB85" s="468" t="str">
        <f>IF('ketv. 4 lent'!V87&gt;0,"Taip","Ne")</f>
        <v>Ne</v>
      </c>
      <c r="AC85" s="468">
        <f>SUM('ketv. 6 lent'!AE87)</f>
        <v>0</v>
      </c>
      <c r="AD85" s="468">
        <f t="shared" si="106"/>
        <v>0</v>
      </c>
      <c r="AE85" s="1113">
        <f>SUM('IV-2 dsa'!Q38)</f>
        <v>0</v>
      </c>
      <c r="AF85" s="1202">
        <f>SUM('IV-2 dsa'!R38)</f>
        <v>43343</v>
      </c>
      <c r="AG85" s="1202">
        <f>SUM('IV-2 dsa'!S38)</f>
        <v>43736</v>
      </c>
      <c r="AH85" s="1202">
        <f>SUM('IV-2 dsa'!T38)</f>
        <v>43797</v>
      </c>
      <c r="AI85" s="1203">
        <f t="shared" si="107"/>
        <v>2019</v>
      </c>
      <c r="AJ85" s="1546">
        <f>SUM('IV-2 dsa'!U38)</f>
        <v>44501</v>
      </c>
      <c r="AK85" s="1425">
        <f t="shared" si="108"/>
        <v>0</v>
      </c>
      <c r="AL85" s="1425">
        <f t="shared" si="109"/>
        <v>0</v>
      </c>
      <c r="AM85" s="1425">
        <f t="shared" si="110"/>
        <v>0</v>
      </c>
      <c r="AN85" s="1425">
        <f t="shared" si="111"/>
        <v>212500</v>
      </c>
      <c r="AO85" s="1264">
        <f t="shared" si="112"/>
        <v>0</v>
      </c>
      <c r="AP85" s="595"/>
      <c r="AQ85" s="88"/>
      <c r="AR85" s="88"/>
    </row>
    <row r="86" spans="1:45" ht="35.25" customHeight="1" thickBot="1" x14ac:dyDescent="0.3">
      <c r="A86" s="1280" t="s">
        <v>92</v>
      </c>
      <c r="B86" s="1607" t="s">
        <v>1784</v>
      </c>
      <c r="C86" s="1610"/>
      <c r="D86" s="1610"/>
      <c r="E86" s="1610"/>
      <c r="F86" s="1610"/>
      <c r="G86" s="1610"/>
      <c r="H86" s="1610"/>
      <c r="I86" s="1610"/>
      <c r="J86" s="1610"/>
      <c r="K86" s="1611"/>
      <c r="L86" s="1258">
        <f t="shared" ref="L86:AA86" si="113">SUM(L87:L91)</f>
        <v>510837.07</v>
      </c>
      <c r="M86" s="1258">
        <f>SUM(M87:M91)</f>
        <v>133670.07</v>
      </c>
      <c r="N86" s="1258">
        <f>SUM(N87:N91)</f>
        <v>0</v>
      </c>
      <c r="O86" s="1258">
        <f t="shared" si="113"/>
        <v>95113.51</v>
      </c>
      <c r="P86" s="1258">
        <f>SUM(P87:P91)</f>
        <v>20050.510000000009</v>
      </c>
      <c r="Q86" s="1258">
        <f>SUM(Q87:Q91)</f>
        <v>-1.0913936421275139E-11</v>
      </c>
      <c r="R86" s="1258">
        <f t="shared" si="113"/>
        <v>0</v>
      </c>
      <c r="S86" s="1258">
        <f>SUM(S87:S91)</f>
        <v>0</v>
      </c>
      <c r="T86" s="1258">
        <f>SUM(T87:T91)</f>
        <v>0</v>
      </c>
      <c r="U86" s="1258">
        <f t="shared" si="113"/>
        <v>0</v>
      </c>
      <c r="V86" s="1258">
        <f>SUM(V87:V91)</f>
        <v>0</v>
      </c>
      <c r="W86" s="1258">
        <f>SUM(W87:W91)</f>
        <v>0</v>
      </c>
      <c r="X86" s="1258">
        <f t="shared" si="113"/>
        <v>0</v>
      </c>
      <c r="Y86" s="1258">
        <f>SUM(Y87:Y91)</f>
        <v>0</v>
      </c>
      <c r="Z86" s="1258">
        <f>SUM(Z87:Z91)</f>
        <v>0</v>
      </c>
      <c r="AA86" s="1258">
        <f t="shared" si="113"/>
        <v>415723.56</v>
      </c>
      <c r="AB86" s="1258"/>
      <c r="AC86" s="1258">
        <f>SUM(AC87:AC91)</f>
        <v>113619.56</v>
      </c>
      <c r="AD86" s="1258">
        <f>SUM(AD87:AD91)</f>
        <v>0</v>
      </c>
      <c r="AE86" s="1258"/>
      <c r="AF86" s="1277"/>
      <c r="AG86" s="1277"/>
      <c r="AH86" s="1277"/>
      <c r="AI86" s="1278"/>
      <c r="AJ86" s="1524"/>
      <c r="AK86" s="588">
        <f>SUM(AK87:AK91)</f>
        <v>0</v>
      </c>
      <c r="AL86" s="588">
        <f t="shared" ref="AL86:AO86" si="114">SUM(AL87:AL91)</f>
        <v>187120.56</v>
      </c>
      <c r="AM86" s="588">
        <f t="shared" si="114"/>
        <v>228603</v>
      </c>
      <c r="AN86" s="588">
        <f t="shared" si="114"/>
        <v>0</v>
      </c>
      <c r="AO86" s="1526">
        <f t="shared" si="114"/>
        <v>0</v>
      </c>
      <c r="AP86" s="88">
        <f>SUM('IV-2 amsa'!W32+'IV-2 arsa'!V37+'IV-2 dsa'!V39+'IV-2 lrsa'!W37+'IV-2 vrsa'!W42)</f>
        <v>416584.96000000002</v>
      </c>
      <c r="AQ86" s="88">
        <f>SUM(AP86*120/100)</f>
        <v>499901.95200000005</v>
      </c>
      <c r="AR86" s="88">
        <f>SUM(AP86-AA86)</f>
        <v>861.40000000002328</v>
      </c>
    </row>
    <row r="87" spans="1:45" ht="39.75" thickTop="1" thickBot="1" x14ac:dyDescent="0.3">
      <c r="A87" s="515" t="s">
        <v>93</v>
      </c>
      <c r="B87" s="515" t="s">
        <v>1607</v>
      </c>
      <c r="C87" s="1262" t="str">
        <f>CONCATENATE('ketv. 2lent'!B86)</f>
        <v>04.5.1-TID-R-516-11-0004</v>
      </c>
      <c r="D87" s="515" t="str">
        <f>CONCATENATE('IV-2 vrsa'!D43)</f>
        <v>Dviračių ir pėsčiųjų takų įrengimas Varėnos miesto J. Basanavičiaus ir Žiedo gatvėse</v>
      </c>
      <c r="E87" s="515" t="str">
        <f>CONCATENATE('IV-2 vrsa'!E43)</f>
        <v>Varėnos rajono savivaldybės administracija</v>
      </c>
      <c r="F87" s="515" t="str">
        <f>CONCATENATE('IV-2 vrsa'!F43)</f>
        <v>Lietuvos Respublikos susisiekimo ministerija</v>
      </c>
      <c r="G87" s="515" t="str">
        <f>CONCATENATE('IV-2 vrsa'!G43)</f>
        <v>Varėnos miestas</v>
      </c>
      <c r="H87" s="518" t="str">
        <f>CONCATENATE('IV-2 vrsa'!H43)</f>
        <v>04.5.1-TID-R-516</v>
      </c>
      <c r="I87" s="518" t="str">
        <f>CONCATENATE('IV-2 vrsa'!I43)</f>
        <v>R</v>
      </c>
      <c r="J87" s="518" t="str">
        <f>CONCATENATE('IV-2 vrsa'!J43)</f>
        <v>ITI</v>
      </c>
      <c r="K87" s="518" t="str">
        <f>CONCATENATE('IV-2 vrsa'!K43)</f>
        <v>-</v>
      </c>
      <c r="L87" s="516">
        <f>SUM('IV-2 vrsa'!L43)</f>
        <v>95080</v>
      </c>
      <c r="M87" s="516">
        <f>SUM('ketv. 6 lent'!K87)</f>
        <v>0</v>
      </c>
      <c r="N87" s="516">
        <f t="shared" ref="N87:N91" si="115">IF(M87&gt;0,L87-M87,0)</f>
        <v>0</v>
      </c>
      <c r="O87" s="516">
        <f>SUM('IV-2 vrsa'!M43)</f>
        <v>14270</v>
      </c>
      <c r="P87" s="516">
        <f>SUM('ketv. 6 lent'!O87)</f>
        <v>0</v>
      </c>
      <c r="Q87" s="516">
        <f t="shared" ref="Q87:Q91" si="116">IF(P87&gt;0,O87-P87,0)</f>
        <v>0</v>
      </c>
      <c r="R87" s="516">
        <f>SUM('IV-2 vrsa'!N43)</f>
        <v>0</v>
      </c>
      <c r="S87" s="516">
        <f>SUM('ketv. 6 lent'!S87)</f>
        <v>0</v>
      </c>
      <c r="T87" s="516">
        <f t="shared" ref="T87:T91" si="117">IF(S87&gt;0,R87-S87,0)</f>
        <v>0</v>
      </c>
      <c r="U87" s="516">
        <f>SUM('IV-2 vrsa'!O43)</f>
        <v>0</v>
      </c>
      <c r="V87" s="516">
        <f>SUM('ketv. 6 lent'!W87)</f>
        <v>0</v>
      </c>
      <c r="W87" s="516">
        <f t="shared" ref="W87:W91" si="118">IF(V87&gt;0,U87-V87,0)</f>
        <v>0</v>
      </c>
      <c r="X87" s="516">
        <f>SUM('IV-2 vrsa'!P43)</f>
        <v>0</v>
      </c>
      <c r="Y87" s="516">
        <f>SUM('ketv. 6 lent'!AA87)</f>
        <v>0</v>
      </c>
      <c r="Z87" s="516">
        <f t="shared" ref="Z87:Z91" si="119">IF(Y87&gt;0,X87-Y87,0)</f>
        <v>0</v>
      </c>
      <c r="AA87" s="516">
        <f>SUM('IV-2 vrsa'!Q43)</f>
        <v>80810</v>
      </c>
      <c r="AB87" s="468" t="str">
        <f>IF('ketv. 4 lent'!V87&gt;0,"Taip","Ne")</f>
        <v>Ne</v>
      </c>
      <c r="AC87" s="468">
        <f>SUM('ketv. 6 lent'!AE87)</f>
        <v>0</v>
      </c>
      <c r="AD87" s="468">
        <f>IF(AC87&gt;0,AA87-AC87,0)</f>
        <v>0</v>
      </c>
      <c r="AE87" s="1113">
        <f>SUM('IV-2 vrsa'!R43)</f>
        <v>42660</v>
      </c>
      <c r="AF87" s="587">
        <f>SUM('IV-2 vrsa'!S43)</f>
        <v>42735</v>
      </c>
      <c r="AG87" s="587">
        <f>SUM('IV-2 vrsa'!T43)</f>
        <v>43100</v>
      </c>
      <c r="AH87" s="587">
        <f>SUM('IV-2 vrsa'!U43)</f>
        <v>43190</v>
      </c>
      <c r="AI87" s="589">
        <f t="shared" ref="AI87:AI91" si="120">IF(YEAR(AH87),YEAR(AH87))</f>
        <v>2018</v>
      </c>
      <c r="AJ87" s="1525">
        <f>SUM('IV-2 vrsa'!V43)</f>
        <v>43465</v>
      </c>
      <c r="AK87" s="588">
        <f>IF(YEAR(AH87)=2016,AA87,0)</f>
        <v>0</v>
      </c>
      <c r="AL87" s="588">
        <f>IF(YEAR(AH87)=2017,AA87,0)</f>
        <v>0</v>
      </c>
      <c r="AM87" s="588">
        <f>IF(YEAR(AH87)=2018,AA87,0)</f>
        <v>80810</v>
      </c>
      <c r="AN87" s="588">
        <f>IF(YEAR(AH87)=2019,AA87,0)</f>
        <v>0</v>
      </c>
      <c r="AO87" s="1264">
        <f>IF(YEAR(AH87)=2020,AA87,0)</f>
        <v>0</v>
      </c>
      <c r="AP87" s="88"/>
      <c r="AQ87" s="88"/>
      <c r="AR87" s="88"/>
    </row>
    <row r="88" spans="1:45" ht="39.75" thickTop="1" thickBot="1" x14ac:dyDescent="0.3">
      <c r="A88" s="515" t="s">
        <v>173</v>
      </c>
      <c r="B88" s="515" t="s">
        <v>1608</v>
      </c>
      <c r="C88" s="1262" t="str">
        <f>CONCATENATE('ketv. 2lent'!B87)</f>
        <v>04.5.1-TID-R-516-11-0001</v>
      </c>
      <c r="D88" s="515" t="str">
        <f>CONCATENATE('IV-2 amsa'!D33)</f>
        <v>Dviračių trasų infrastruktūros įrengimas nuo Putinų g. žiedo Pramonės gatvėje, Alytaus mieste</v>
      </c>
      <c r="E88" s="515" t="str">
        <f>CONCATENATE('IV-2 amsa'!E33)</f>
        <v>Alytaus miesto savivaldybės administracija</v>
      </c>
      <c r="F88" s="515" t="str">
        <f>CONCATENATE('IV-2 amsa'!F33)</f>
        <v>Lietuvos Respublikos susisiekimo ministerija</v>
      </c>
      <c r="G88" s="515" t="str">
        <f>CONCATENATE('IV-2 amsa'!G33)</f>
        <v>Alytaus  miestas</v>
      </c>
      <c r="H88" s="518" t="str">
        <f>CONCATENATE('IV-2 amsa'!H33)</f>
        <v>04.5.1-TID-R-516</v>
      </c>
      <c r="I88" s="518" t="str">
        <f>CONCATENATE('IV-2 amsa'!I33)</f>
        <v>R</v>
      </c>
      <c r="J88" s="518" t="str">
        <f>CONCATENATE('IV-2 amsa'!J33)</f>
        <v>ITI</v>
      </c>
      <c r="K88" s="518" t="str">
        <f>CONCATENATE('IV-2 amsa'!K33)</f>
        <v>-</v>
      </c>
      <c r="L88" s="516">
        <f>SUM('IV-2 amsa'!L33)</f>
        <v>133670.07</v>
      </c>
      <c r="M88" s="516">
        <f>SUM('ketv. 6 lent'!K88)</f>
        <v>133670.07</v>
      </c>
      <c r="N88" s="516">
        <f t="shared" si="115"/>
        <v>0</v>
      </c>
      <c r="O88" s="516">
        <f>SUM('IV-2 amsa'!M33)</f>
        <v>20050.509999999998</v>
      </c>
      <c r="P88" s="516">
        <f>SUM('ketv. 6 lent'!O88)</f>
        <v>20050.510000000009</v>
      </c>
      <c r="Q88" s="516">
        <f>IF(P88&gt;0,O88-P88,0)</f>
        <v>-1.0913936421275139E-11</v>
      </c>
      <c r="R88" s="516">
        <f>SUM('IV-2 amsa'!N33)</f>
        <v>0</v>
      </c>
      <c r="S88" s="516">
        <f>SUM('ketv. 6 lent'!S88)</f>
        <v>0</v>
      </c>
      <c r="T88" s="516">
        <f t="shared" si="117"/>
        <v>0</v>
      </c>
      <c r="U88" s="516">
        <f>SUM('IV-2 amsa'!O33)</f>
        <v>0</v>
      </c>
      <c r="V88" s="516">
        <f>SUM('ketv. 6 lent'!W88)</f>
        <v>0</v>
      </c>
      <c r="W88" s="516">
        <f t="shared" si="118"/>
        <v>0</v>
      </c>
      <c r="X88" s="516">
        <f>SUM('IV-2 amsa'!P33)</f>
        <v>0</v>
      </c>
      <c r="Y88" s="516">
        <f>SUM('ketv. 6 lent'!AA88)</f>
        <v>0</v>
      </c>
      <c r="Z88" s="516">
        <f t="shared" si="119"/>
        <v>0</v>
      </c>
      <c r="AA88" s="516">
        <f>SUM('IV-2 amsa'!Q33)</f>
        <v>113619.56</v>
      </c>
      <c r="AB88" s="468" t="str">
        <f>IF('ketv. 4 lent'!V88&gt;0,"Taip","Ne")</f>
        <v>Taip</v>
      </c>
      <c r="AC88" s="468">
        <f>SUM('ketv. 6 lent'!AE88)</f>
        <v>113619.56</v>
      </c>
      <c r="AD88" s="468">
        <f>IF(AC88&gt;0,AA88-AC88,0)</f>
        <v>0</v>
      </c>
      <c r="AE88" s="1113">
        <f>SUM('IV-2 amsa'!R33)</f>
        <v>42660</v>
      </c>
      <c r="AF88" s="587">
        <f>SUM('IV-2 amsa'!S33)</f>
        <v>42643</v>
      </c>
      <c r="AG88" s="587">
        <f>SUM('IV-2 amsa'!T33)</f>
        <v>42916</v>
      </c>
      <c r="AH88" s="587">
        <f>SUM('IV-2 amsa'!U33)</f>
        <v>42978</v>
      </c>
      <c r="AI88" s="589">
        <f t="shared" si="120"/>
        <v>2017</v>
      </c>
      <c r="AJ88" s="1263">
        <f>SUM('IV-2 amsa'!V33)</f>
        <v>43465</v>
      </c>
      <c r="AK88" s="468">
        <f>IF(YEAR(AH88)=2016,AA88,0)</f>
        <v>0</v>
      </c>
      <c r="AL88" s="468">
        <f>IF(YEAR(AH88)=2017,AA88,0)</f>
        <v>113619.56</v>
      </c>
      <c r="AM88" s="468">
        <f>IF(YEAR(AH88)=2018,AA88,0)</f>
        <v>0</v>
      </c>
      <c r="AN88" s="468">
        <f>IF(YEAR(AH88)=2019,AA88,0)</f>
        <v>0</v>
      </c>
      <c r="AO88" s="1264">
        <f>IF(YEAR(AH88)=2020,AA88,0)</f>
        <v>0</v>
      </c>
      <c r="AP88" s="88"/>
      <c r="AQ88" s="88"/>
      <c r="AR88" s="88"/>
    </row>
    <row r="89" spans="1:45" ht="39.75" thickTop="1" thickBot="1" x14ac:dyDescent="0.3">
      <c r="A89" s="515" t="s">
        <v>174</v>
      </c>
      <c r="B89" s="515" t="s">
        <v>1609</v>
      </c>
      <c r="C89" s="1262" t="str">
        <f>CONCATENATE('ketv. 2lent'!B88)</f>
        <v>04.5.1-TID-R-516-11-0002</v>
      </c>
      <c r="D89" s="515" t="str">
        <f>CONCATENATE('IV-2 lrsa'!D38)</f>
        <v>Dviračių ir pėsčiųjų takų plėtra Lazdijų miesto Turistų gatvėje iki sodų bendrijos „Baltasis“ Lazdijų seniūnijoje</v>
      </c>
      <c r="E89" s="515" t="str">
        <f>CONCATENATE('IV-2 lrsa'!E38)</f>
        <v>Lazdijų rajono savivaldybės administracija</v>
      </c>
      <c r="F89" s="515" t="str">
        <f>CONCATENATE('IV-2 lrsa'!F38)</f>
        <v>Lietuvos Respublikos susisiekimo ministerija</v>
      </c>
      <c r="G89" s="515" t="str">
        <f>CONCATENATE('IV-2 lrsa'!G38)</f>
        <v>Lazdijų miestas</v>
      </c>
      <c r="H89" s="518" t="str">
        <f>CONCATENATE('IV-2 lrsa'!H38)</f>
        <v>04.5.1-TID-R-516</v>
      </c>
      <c r="I89" s="518" t="str">
        <f>CONCATENATE('IV-2 lrsa'!I38)</f>
        <v>R</v>
      </c>
      <c r="J89" s="518" t="str">
        <f>CONCATENATE('IV-2 lrsa'!J38)</f>
        <v>ITI</v>
      </c>
      <c r="K89" s="518" t="str">
        <f>CONCATENATE('IV-2 lrsa'!K38)</f>
        <v>-</v>
      </c>
      <c r="L89" s="516">
        <f>SUM('IV-2 lrsa'!L38)</f>
        <v>100658</v>
      </c>
      <c r="M89" s="516">
        <f>SUM('ketv. 6 lent'!K89)</f>
        <v>0</v>
      </c>
      <c r="N89" s="516">
        <f t="shared" si="115"/>
        <v>0</v>
      </c>
      <c r="O89" s="516">
        <f>SUM('IV-2 lrsa'!M38)</f>
        <v>27157</v>
      </c>
      <c r="P89" s="516">
        <f>SUM('ketv. 6 lent'!O89)</f>
        <v>0</v>
      </c>
      <c r="Q89" s="516">
        <f t="shared" si="116"/>
        <v>0</v>
      </c>
      <c r="R89" s="516">
        <f>SUM('IV-2 lrsa'!N38)</f>
        <v>0</v>
      </c>
      <c r="S89" s="516">
        <f>SUM('ketv. 6 lent'!S89)</f>
        <v>0</v>
      </c>
      <c r="T89" s="516">
        <f t="shared" si="117"/>
        <v>0</v>
      </c>
      <c r="U89" s="516">
        <f>SUM('IV-2 lrsa'!O38)</f>
        <v>0</v>
      </c>
      <c r="V89" s="516">
        <f>SUM('ketv. 6 lent'!W89)</f>
        <v>0</v>
      </c>
      <c r="W89" s="516">
        <f t="shared" si="118"/>
        <v>0</v>
      </c>
      <c r="X89" s="516">
        <f>SUM('IV-2 lrsa'!P38)</f>
        <v>0</v>
      </c>
      <c r="Y89" s="516">
        <f>SUM('ketv. 6 lent'!AA89)</f>
        <v>0</v>
      </c>
      <c r="Z89" s="516">
        <f t="shared" si="119"/>
        <v>0</v>
      </c>
      <c r="AA89" s="516">
        <f>SUM('IV-2 lrsa'!Q38)</f>
        <v>73501</v>
      </c>
      <c r="AB89" s="468" t="str">
        <f>IF('ketv. 4 lent'!V89&gt;0,"Taip","Ne")</f>
        <v>Taip</v>
      </c>
      <c r="AC89" s="468">
        <f>SUM('ketv. 6 lent'!AE89)</f>
        <v>0</v>
      </c>
      <c r="AD89" s="468">
        <f>IF(AC89&gt;0,AA89-AC89,0)</f>
        <v>0</v>
      </c>
      <c r="AE89" s="1113">
        <f>SUM('IV-2 lrsa'!R38)</f>
        <v>42660</v>
      </c>
      <c r="AF89" s="587">
        <f>SUM('IV-2 lrsa'!S38)</f>
        <v>42735</v>
      </c>
      <c r="AG89" s="587">
        <f>SUM('IV-2 lrsa'!T38)</f>
        <v>43010</v>
      </c>
      <c r="AH89" s="587">
        <f>SUM('IV-2 lrsa'!U38)</f>
        <v>43100</v>
      </c>
      <c r="AI89" s="589">
        <f t="shared" si="120"/>
        <v>2017</v>
      </c>
      <c r="AJ89" s="1263">
        <f>SUM('IV-2 lrsa'!V38)</f>
        <v>43830</v>
      </c>
      <c r="AK89" s="468">
        <f>IF(YEAR(AH89)=2016,AA89,0)</f>
        <v>0</v>
      </c>
      <c r="AL89" s="468">
        <f>IF(YEAR(AH89)=2017,AA89,0)</f>
        <v>73501</v>
      </c>
      <c r="AM89" s="468">
        <f>IF(YEAR(AH89)=2018,AA89,0)</f>
        <v>0</v>
      </c>
      <c r="AN89" s="468">
        <f>IF(YEAR(AH89)=2019,AA89,0)</f>
        <v>0</v>
      </c>
      <c r="AO89" s="1264">
        <f>IF(YEAR(AH89)=2020,AA89,0)</f>
        <v>0</v>
      </c>
      <c r="AP89" s="88"/>
      <c r="AQ89" s="88"/>
      <c r="AR89" s="88"/>
    </row>
    <row r="90" spans="1:45" ht="39.75" thickTop="1" thickBot="1" x14ac:dyDescent="0.3">
      <c r="A90" s="515" t="s">
        <v>201</v>
      </c>
      <c r="B90" s="515" t="s">
        <v>1610</v>
      </c>
      <c r="C90" s="1262" t="str">
        <f>CONCATENATE('ketv. 2lent'!B89)</f>
        <v/>
      </c>
      <c r="D90" s="515" t="str">
        <f>CONCATENATE('IV-2 arsa'!C38)</f>
        <v>Pėsčiųjų ir dviračių takų plėtra Simno seniūnijoje</v>
      </c>
      <c r="E90" s="515" t="str">
        <f>CONCATENATE('IV-2 arsa'!D38)</f>
        <v>Alytaus rajono savivaldybės administracija</v>
      </c>
      <c r="F90" s="515" t="str">
        <f>CONCATENATE('IV-2 arsa'!E38)</f>
        <v>Lietuvos Respublikos susisiekimo ministerija</v>
      </c>
      <c r="G90" s="515" t="str">
        <f>CONCATENATE('IV-2 arsa'!F38)</f>
        <v>Alytaus rajonas</v>
      </c>
      <c r="H90" s="518" t="str">
        <f>CONCATENATE('IV-2 arsa'!G38)</f>
        <v>04.5.1-TID-R-516</v>
      </c>
      <c r="I90" s="518" t="str">
        <f>CONCATENATE('IV-2 arsa'!H38)</f>
        <v>R</v>
      </c>
      <c r="J90" s="518" t="str">
        <f>CONCATENATE('IV-2 arsa'!I38)</f>
        <v>-</v>
      </c>
      <c r="K90" s="518" t="str">
        <f>CONCATENATE('IV-2 arsa'!J38)</f>
        <v>-</v>
      </c>
      <c r="L90" s="516">
        <f>SUM('IV-2 arsa'!K38)</f>
        <v>110340</v>
      </c>
      <c r="M90" s="516">
        <f>SUM('ketv. 6 lent'!K90)</f>
        <v>0</v>
      </c>
      <c r="N90" s="516">
        <f t="shared" si="115"/>
        <v>0</v>
      </c>
      <c r="O90" s="516">
        <f>SUM('IV-2 arsa'!L38)</f>
        <v>19170</v>
      </c>
      <c r="P90" s="516">
        <f>SUM('ketv. 6 lent'!O90)</f>
        <v>0</v>
      </c>
      <c r="Q90" s="516">
        <f t="shared" si="116"/>
        <v>0</v>
      </c>
      <c r="R90" s="516">
        <f>SUM('IV-2 arsa'!M38)</f>
        <v>0</v>
      </c>
      <c r="S90" s="516">
        <f>SUM('ketv. 6 lent'!S90)</f>
        <v>0</v>
      </c>
      <c r="T90" s="516">
        <f t="shared" si="117"/>
        <v>0</v>
      </c>
      <c r="U90" s="516">
        <f>SUM('IV-2 arsa'!N38)</f>
        <v>0</v>
      </c>
      <c r="V90" s="516">
        <f>SUM('ketv. 6 lent'!W90)</f>
        <v>0</v>
      </c>
      <c r="W90" s="516">
        <f t="shared" si="118"/>
        <v>0</v>
      </c>
      <c r="X90" s="516">
        <f>SUM('IV-2 arsa'!O38)</f>
        <v>0</v>
      </c>
      <c r="Y90" s="516">
        <f>SUM('ketv. 6 lent'!AA90)</f>
        <v>0</v>
      </c>
      <c r="Z90" s="516">
        <f t="shared" si="119"/>
        <v>0</v>
      </c>
      <c r="AA90" s="516">
        <f>SUM('IV-2 arsa'!P38)</f>
        <v>91170</v>
      </c>
      <c r="AB90" s="468" t="str">
        <f>IF('ketv. 4 lent'!V90&gt;0,"Taip","Ne")</f>
        <v>Ne</v>
      </c>
      <c r="AC90" s="468">
        <f>SUM('ketv. 6 lent'!AE90)</f>
        <v>0</v>
      </c>
      <c r="AD90" s="468">
        <f>IF(AC90&gt;0,AA90-AC90,0)</f>
        <v>0</v>
      </c>
      <c r="AE90" s="1113">
        <f>SUM('IV-2 arsa'!Q38)</f>
        <v>42660</v>
      </c>
      <c r="AF90" s="587">
        <f>SUM('IV-2 arsa'!R38)</f>
        <v>42735</v>
      </c>
      <c r="AG90" s="587">
        <f>SUM('IV-2 arsa'!S38)</f>
        <v>43131</v>
      </c>
      <c r="AH90" s="587">
        <f>SUM('IV-2 arsa'!T38)</f>
        <v>43220</v>
      </c>
      <c r="AI90" s="589">
        <f t="shared" si="120"/>
        <v>2018</v>
      </c>
      <c r="AJ90" s="1263">
        <f>SUM('IV-2 arsa'!U38)</f>
        <v>43830</v>
      </c>
      <c r="AK90" s="468">
        <f>IF(YEAR(AH90)=2016,AA90,0)</f>
        <v>0</v>
      </c>
      <c r="AL90" s="468">
        <f>IF(YEAR(AH90)=2017,AA90,0)</f>
        <v>0</v>
      </c>
      <c r="AM90" s="468">
        <f>IF(YEAR(AH90)=2018,AA90,0)</f>
        <v>91170</v>
      </c>
      <c r="AN90" s="468">
        <f>IF(YEAR(AH90)=2019,AA90,0)</f>
        <v>0</v>
      </c>
      <c r="AO90" s="1264">
        <f>IF(YEAR(AH90)=2020,AA90,0)</f>
        <v>0</v>
      </c>
      <c r="AP90" s="592"/>
      <c r="AQ90" s="88"/>
      <c r="AR90" s="88"/>
    </row>
    <row r="91" spans="1:45" ht="39.75" thickTop="1" thickBot="1" x14ac:dyDescent="0.3">
      <c r="A91" s="515" t="s">
        <v>236</v>
      </c>
      <c r="B91" s="515" t="s">
        <v>1611</v>
      </c>
      <c r="C91" s="1262" t="str">
        <f>CONCATENATE('ketv. 2lent'!B90)</f>
        <v/>
      </c>
      <c r="D91" s="515" t="str">
        <f>CONCATENATE('IV-2 dsa'!C40)</f>
        <v>Dviračių ir pėsčiųjų tako, esančio šalia Ratnyčios upelio, Druskininkų mieste, rekonstrukcija</v>
      </c>
      <c r="E91" s="515" t="str">
        <f>CONCATENATE('IV-2 dsa'!D40)</f>
        <v xml:space="preserve">Druskininkų savivaldybės administracija  </v>
      </c>
      <c r="F91" s="515" t="str">
        <f>CONCATENATE('IV-2 dsa'!E40)</f>
        <v>Lietuvos Respublikos susisiekimo ministerija</v>
      </c>
      <c r="G91" s="515" t="str">
        <f>CONCATENATE('IV-2 dsa'!F40)</f>
        <v>Druskininkų miestas</v>
      </c>
      <c r="H91" s="518" t="str">
        <f>CONCATENATE('IV-2 dsa'!G40)</f>
        <v>04.5.1-TID-R-516</v>
      </c>
      <c r="I91" s="518" t="str">
        <f>CONCATENATE('IV-2 dsa'!H40)</f>
        <v>R</v>
      </c>
      <c r="J91" s="518" t="str">
        <f>CONCATENATE('IV-2 dsa'!I40)</f>
        <v>-</v>
      </c>
      <c r="K91" s="518" t="str">
        <f>CONCATENATE('IV-2 dsa'!J40)</f>
        <v>-</v>
      </c>
      <c r="L91" s="516">
        <f>SUM('IV-2 dsa'!K40)</f>
        <v>71089</v>
      </c>
      <c r="M91" s="516">
        <f>SUM('ketv. 6 lent'!K91)</f>
        <v>0</v>
      </c>
      <c r="N91" s="516">
        <f t="shared" si="115"/>
        <v>0</v>
      </c>
      <c r="O91" s="516">
        <f>SUM('IV-2 dsa'!L40)</f>
        <v>14466</v>
      </c>
      <c r="P91" s="516">
        <f>SUM('ketv. 6 lent'!O91)</f>
        <v>0</v>
      </c>
      <c r="Q91" s="516">
        <f t="shared" si="116"/>
        <v>0</v>
      </c>
      <c r="R91" s="516">
        <f>SUM('IV-2 dsa'!M40)</f>
        <v>0</v>
      </c>
      <c r="S91" s="516">
        <f>SUM('ketv. 6 lent'!S91)</f>
        <v>0</v>
      </c>
      <c r="T91" s="516">
        <f t="shared" si="117"/>
        <v>0</v>
      </c>
      <c r="U91" s="516">
        <f>SUM('IV-2 dsa'!N40)</f>
        <v>0</v>
      </c>
      <c r="V91" s="516">
        <f>SUM('ketv. 6 lent'!W91)</f>
        <v>0</v>
      </c>
      <c r="W91" s="516">
        <f t="shared" si="118"/>
        <v>0</v>
      </c>
      <c r="X91" s="516">
        <f>SUM('IV-2 dsa'!O40)</f>
        <v>0</v>
      </c>
      <c r="Y91" s="516">
        <f>SUM('ketv. 6 lent'!AA91)</f>
        <v>0</v>
      </c>
      <c r="Z91" s="516">
        <f t="shared" si="119"/>
        <v>0</v>
      </c>
      <c r="AA91" s="516">
        <f>SUM('IV-2 dsa'!P40)</f>
        <v>56623</v>
      </c>
      <c r="AB91" s="468" t="str">
        <f>IF('ketv. 4 lent'!V91&gt;0,"Taip","Ne")</f>
        <v>Ne</v>
      </c>
      <c r="AC91" s="468">
        <f>SUM('ketv. 6 lent'!AE91)</f>
        <v>0</v>
      </c>
      <c r="AD91" s="468">
        <f>IF(AC91&gt;0,AA91-AC91,0)</f>
        <v>0</v>
      </c>
      <c r="AE91" s="1113">
        <f>SUM('IV-2 dsa'!Q40)</f>
        <v>42660</v>
      </c>
      <c r="AF91" s="587">
        <f>SUM('IV-2 dsa'!R40)</f>
        <v>42735</v>
      </c>
      <c r="AG91" s="587">
        <f>SUM('IV-2 dsa'!S40)</f>
        <v>43357</v>
      </c>
      <c r="AH91" s="587">
        <f>SUM('IV-2 dsa'!T40)</f>
        <v>43418</v>
      </c>
      <c r="AI91" s="589">
        <f t="shared" si="120"/>
        <v>2018</v>
      </c>
      <c r="AJ91" s="1263">
        <f>SUM('IV-2 dsa'!U40)</f>
        <v>43830</v>
      </c>
      <c r="AK91" s="468">
        <f>IF(YEAR(AH91)=2016,AA91,0)</f>
        <v>0</v>
      </c>
      <c r="AL91" s="468">
        <f>IF(YEAR(AH91)=2017,AA91,0)</f>
        <v>0</v>
      </c>
      <c r="AM91" s="468">
        <f>IF(YEAR(AH91)=2018,AA91,0)</f>
        <v>56623</v>
      </c>
      <c r="AN91" s="468">
        <f>IF(YEAR(AH91)=2019,AA91,0)</f>
        <v>0</v>
      </c>
      <c r="AO91" s="1264">
        <f>IF(YEAR(AH91)=2020,AA91,0)</f>
        <v>0</v>
      </c>
      <c r="AP91" s="595"/>
      <c r="AQ91" s="88"/>
      <c r="AR91" s="88"/>
    </row>
    <row r="92" spans="1:45" ht="33" customHeight="1" thickBot="1" x14ac:dyDescent="0.3">
      <c r="A92" s="1280" t="s">
        <v>94</v>
      </c>
      <c r="B92" s="1607" t="s">
        <v>1785</v>
      </c>
      <c r="C92" s="1610"/>
      <c r="D92" s="1610"/>
      <c r="E92" s="1610"/>
      <c r="F92" s="1610"/>
      <c r="G92" s="1610"/>
      <c r="H92" s="1610"/>
      <c r="I92" s="1610"/>
      <c r="J92" s="1610"/>
      <c r="K92" s="1611"/>
      <c r="L92" s="1258">
        <f t="shared" ref="L92:X92" si="121">SUM(L93:L99)</f>
        <v>4421350.9000000004</v>
      </c>
      <c r="M92" s="1258">
        <f t="shared" si="121"/>
        <v>8591860.8399999999</v>
      </c>
      <c r="N92" s="1258">
        <f t="shared" si="121"/>
        <v>-6741117.7799999993</v>
      </c>
      <c r="O92" s="1258">
        <f t="shared" si="121"/>
        <v>1305883.8999999999</v>
      </c>
      <c r="P92" s="1258">
        <f t="shared" si="121"/>
        <v>1555268.7100000002</v>
      </c>
      <c r="Q92" s="1258">
        <f t="shared" si="121"/>
        <v>-1338256.6500000001</v>
      </c>
      <c r="R92" s="1258">
        <f t="shared" si="121"/>
        <v>0</v>
      </c>
      <c r="S92" s="1258">
        <f t="shared" si="121"/>
        <v>58787</v>
      </c>
      <c r="T92" s="1258">
        <f t="shared" si="121"/>
        <v>-58787</v>
      </c>
      <c r="U92" s="1258">
        <f t="shared" si="121"/>
        <v>0</v>
      </c>
      <c r="V92" s="1258">
        <f t="shared" si="121"/>
        <v>0</v>
      </c>
      <c r="W92" s="1258">
        <f t="shared" si="121"/>
        <v>0</v>
      </c>
      <c r="X92" s="1258">
        <f t="shared" si="121"/>
        <v>62660</v>
      </c>
      <c r="Y92" s="1258">
        <f>SUM(Y93:Y98)</f>
        <v>62660</v>
      </c>
      <c r="Z92" s="1258">
        <f>SUM(Z93:Z98)</f>
        <v>0</v>
      </c>
      <c r="AA92" s="1258">
        <f>SUM(AA93:AA99)</f>
        <v>3052807</v>
      </c>
      <c r="AB92" s="1270"/>
      <c r="AC92" s="1270">
        <f>SUM(AC93:AC98)</f>
        <v>1458082</v>
      </c>
      <c r="AD92" s="1270">
        <f>SUM(AD93:AD98)</f>
        <v>0</v>
      </c>
      <c r="AE92" s="1270"/>
      <c r="AF92" s="1271"/>
      <c r="AG92" s="1271"/>
      <c r="AH92" s="1271"/>
      <c r="AI92" s="1272"/>
      <c r="AJ92" s="1273"/>
      <c r="AK92" s="1250">
        <f>SUM(AK93:AK99)</f>
        <v>0</v>
      </c>
      <c r="AL92" s="1250">
        <f t="shared" ref="AL92:AO92" si="122">SUM(AL93:AL99)</f>
        <v>1458082</v>
      </c>
      <c r="AM92" s="1250">
        <f t="shared" si="122"/>
        <v>1481736</v>
      </c>
      <c r="AN92" s="1250">
        <f t="shared" si="122"/>
        <v>112989</v>
      </c>
      <c r="AO92" s="1250">
        <f t="shared" si="122"/>
        <v>0</v>
      </c>
      <c r="AP92" s="88">
        <f>SUM('IV-2 amsa'!W34+'IV-2 arsa'!V39+'IV-2 dsa'!V41+'IV-2 lrsa'!W39+'IV-2 vrsa'!W44)</f>
        <v>3052807</v>
      </c>
      <c r="AQ92" s="88">
        <f>SUM(AP92*120/100)</f>
        <v>3663368.4</v>
      </c>
      <c r="AR92" s="88">
        <f>SUM(AP92-AA92)</f>
        <v>0</v>
      </c>
      <c r="AS92" s="1284"/>
    </row>
    <row r="93" spans="1:45" ht="39.75" thickTop="1" thickBot="1" x14ac:dyDescent="0.3">
      <c r="A93" s="515" t="s">
        <v>95</v>
      </c>
      <c r="B93" s="515" t="s">
        <v>1612</v>
      </c>
      <c r="C93" s="1262" t="str">
        <f>CONCATENATE('ketv. 2lent'!B92)</f>
        <v>06.2.1-TID-R-511-11-0002</v>
      </c>
      <c r="D93" s="515" t="str">
        <f>CONCATENATE('IV-2 vrsa'!D45)</f>
        <v>Varėnos miesto J. Basanavičiaus, Savanorių ir M. K. Čiurlionio gatvių rekonstrukcija</v>
      </c>
      <c r="E93" s="515" t="str">
        <f>CONCATENATE('IV-2 vrsa'!E45)</f>
        <v>Varėnos rajono savivaldybės administracija</v>
      </c>
      <c r="F93" s="515" t="str">
        <f>CONCATENATE('IV-2 vrsa'!F45)</f>
        <v>Lietuvos Respublikos susisiekimo ministerija</v>
      </c>
      <c r="G93" s="515" t="str">
        <f>CONCATENATE('IV-2 vrsa'!G45)</f>
        <v>Varėnos miestas</v>
      </c>
      <c r="H93" s="518" t="str">
        <f>CONCATENATE('IV-2 vrsa'!H45)</f>
        <v>06.2.1-TID-R-511</v>
      </c>
      <c r="I93" s="518" t="str">
        <f>CONCATENATE('IV-2 vrsa'!I45)</f>
        <v>R</v>
      </c>
      <c r="J93" s="518" t="str">
        <f>CONCATENATE('IV-2 vrsa'!J45)</f>
        <v>ITI</v>
      </c>
      <c r="K93" s="518" t="str">
        <f>CONCATENATE('IV-2 vrsa'!K45)</f>
        <v>-</v>
      </c>
      <c r="L93" s="516">
        <f>SUM('IV-2 vrsa'!L45)</f>
        <v>835464</v>
      </c>
      <c r="M93" s="516">
        <f>SUM('ketv. 6 lent'!K93)</f>
        <v>835464</v>
      </c>
      <c r="N93" s="516">
        <f>IF(M93&gt;0,L93-M93,0)</f>
        <v>0</v>
      </c>
      <c r="O93" s="516">
        <f>SUM('IV-2 vrsa'!M45)</f>
        <v>62660</v>
      </c>
      <c r="P93" s="516">
        <f>SUM('ketv. 6 lent'!O93)</f>
        <v>62660</v>
      </c>
      <c r="Q93" s="516">
        <f t="shared" ref="Q93:Q98" si="123">IF(P93&gt;0,O93-P93,0)</f>
        <v>0</v>
      </c>
      <c r="R93" s="516">
        <f>SUM('IV-2 vrsa'!N45)</f>
        <v>0</v>
      </c>
      <c r="S93" s="516">
        <f>SUM('ketv. 6 lent'!S93)</f>
        <v>0</v>
      </c>
      <c r="T93" s="516">
        <f t="shared" ref="T93:T98" si="124">IF(S93&gt;0,R93-S93,0)</f>
        <v>0</v>
      </c>
      <c r="U93" s="516">
        <f>SUM('IV-2 vrsa'!O45)</f>
        <v>0</v>
      </c>
      <c r="V93" s="516">
        <f>SUM('ketv. 6 lent'!W93)</f>
        <v>0</v>
      </c>
      <c r="W93" s="516">
        <f t="shared" ref="W93:W98" si="125">IF(V93&gt;0,U93-V93,0)</f>
        <v>0</v>
      </c>
      <c r="X93" s="516">
        <f>SUM('IV-2 vrsa'!P45)</f>
        <v>62660</v>
      </c>
      <c r="Y93" s="516">
        <f>SUM('ketv. 6 lent'!AA93)</f>
        <v>62660</v>
      </c>
      <c r="Z93" s="516">
        <f t="shared" ref="Z93:Z98" si="126">IF(Y93&gt;0,X93-Y93,0)</f>
        <v>0</v>
      </c>
      <c r="AA93" s="516">
        <f>SUM('IV-2 vrsa'!Q45)</f>
        <v>710144</v>
      </c>
      <c r="AB93" s="468" t="str">
        <f>IF('ketv. 4 lent'!V93&gt;0,"Taip","Ne")</f>
        <v>Taip</v>
      </c>
      <c r="AC93" s="468">
        <f>SUM('ketv. 6 lent'!AE93)</f>
        <v>710144</v>
      </c>
      <c r="AD93" s="468">
        <f t="shared" ref="AD93:AD99" si="127">IF(AC93&gt;0,AA93-AC93,0)</f>
        <v>0</v>
      </c>
      <c r="AE93" s="1113">
        <f>SUM('IV-2 vrsa'!R45)</f>
        <v>42639</v>
      </c>
      <c r="AF93" s="587">
        <f>SUM('IV-2 vrsa'!S45)</f>
        <v>42732</v>
      </c>
      <c r="AG93" s="587">
        <f>SUM('IV-2 vrsa'!T45)</f>
        <v>42887</v>
      </c>
      <c r="AH93" s="587">
        <f>SUM('IV-2 vrsa'!U45)</f>
        <v>43008</v>
      </c>
      <c r="AI93" s="589">
        <f t="shared" ref="AI93:AI98" si="128">IF(YEAR(AH93),YEAR(AH93))</f>
        <v>2017</v>
      </c>
      <c r="AJ93" s="1263">
        <f>SUM('IV-2 vrsa'!V45)</f>
        <v>44196</v>
      </c>
      <c r="AK93" s="468">
        <f t="shared" ref="AK93:AK99" si="129">IF(YEAR(AH93)=2016,AA93,0)</f>
        <v>0</v>
      </c>
      <c r="AL93" s="468">
        <f t="shared" ref="AL93:AL99" si="130">IF(YEAR(AH93)=2017,AA93,0)</f>
        <v>710144</v>
      </c>
      <c r="AM93" s="468">
        <f t="shared" ref="AM93:AM99" si="131">IF(YEAR(AH93)=2018,AA93,0)</f>
        <v>0</v>
      </c>
      <c r="AN93" s="468">
        <f t="shared" ref="AN93:AN99" si="132">IF(YEAR(AH93)=2019,AA93,0)</f>
        <v>0</v>
      </c>
      <c r="AO93" s="1264">
        <f t="shared" ref="AO93:AO99" si="133">IF(YEAR(AH93)=2020,AA93,0)</f>
        <v>0</v>
      </c>
      <c r="AP93" s="593">
        <v>3052809</v>
      </c>
      <c r="AQ93" s="88"/>
      <c r="AR93" s="88"/>
    </row>
    <row r="94" spans="1:45" ht="39.75" thickTop="1" thickBot="1" x14ac:dyDescent="0.3">
      <c r="A94" s="515" t="s">
        <v>181</v>
      </c>
      <c r="B94" s="515" t="s">
        <v>1613</v>
      </c>
      <c r="C94" s="1262" t="str">
        <f>CONCATENATE('ketv. 2lent'!B93)</f>
        <v>06.2.1-TID-R-511-11-0001</v>
      </c>
      <c r="D94" s="515" t="str">
        <f>CONCATENATE('IV-2 amsa'!D35)</f>
        <v>Perspektyvinės gatvės nuo Pramonės  g. iki Naujosios g. Alytuje įrengimas</v>
      </c>
      <c r="E94" s="515" t="str">
        <f>CONCATENATE('IV-2 amsa'!E35)</f>
        <v>Alytaus miesto savivaldybės administracija</v>
      </c>
      <c r="F94" s="515" t="str">
        <f>CONCATENATE('IV-2 amsa'!F35)</f>
        <v>Lietuvos Respublikos susisiekimo ministerija</v>
      </c>
      <c r="G94" s="515" t="str">
        <f>CONCATENATE('IV-2 amsa'!G35)</f>
        <v>Alytaus  miestas</v>
      </c>
      <c r="H94" s="518" t="str">
        <f>CONCATENATE('IV-2 amsa'!H35)</f>
        <v>06.2.1-TID-R-511</v>
      </c>
      <c r="I94" s="518" t="str">
        <f>CONCATENATE('IV-2 amsa'!I35)</f>
        <v>R</v>
      </c>
      <c r="J94" s="518" t="str">
        <f>CONCATENATE('IV-2 amsa'!J35)</f>
        <v>ITI</v>
      </c>
      <c r="K94" s="518" t="str">
        <f>CONCATENATE('IV-2 amsa'!K35)</f>
        <v>-</v>
      </c>
      <c r="L94" s="516">
        <f>SUM('IV-2 amsa'!L35)</f>
        <v>879927.06</v>
      </c>
      <c r="M94" s="516">
        <f>SUM('ketv. 6 lent'!K94)</f>
        <v>879927.06</v>
      </c>
      <c r="N94" s="516">
        <f t="shared" ref="N94:N98" si="134">IF(M94&gt;0,L94-M94,0)</f>
        <v>0</v>
      </c>
      <c r="O94" s="516">
        <f>SUM('IV-2 amsa'!M35)</f>
        <v>131989.06</v>
      </c>
      <c r="P94" s="516">
        <f>SUM('ketv. 6 lent'!O94)</f>
        <v>131989.06000000006</v>
      </c>
      <c r="Q94" s="516">
        <f>IF(P94&gt;0,O94-P94,0)</f>
        <v>-5.8207660913467407E-11</v>
      </c>
      <c r="R94" s="516">
        <f>SUM('IV-2 amsa'!N35)</f>
        <v>0</v>
      </c>
      <c r="S94" s="516">
        <f>SUM('ketv. 6 lent'!S94)</f>
        <v>0</v>
      </c>
      <c r="T94" s="516">
        <f t="shared" si="124"/>
        <v>0</v>
      </c>
      <c r="U94" s="516">
        <f>SUM('IV-2 amsa'!O35)</f>
        <v>0</v>
      </c>
      <c r="V94" s="516">
        <f>SUM('ketv. 6 lent'!W94)</f>
        <v>0</v>
      </c>
      <c r="W94" s="516">
        <f t="shared" si="125"/>
        <v>0</v>
      </c>
      <c r="X94" s="516">
        <f>SUM('IV-2 amsa'!P35)</f>
        <v>0</v>
      </c>
      <c r="Y94" s="516">
        <f>SUM('ketv. 6 lent'!AA94)</f>
        <v>0</v>
      </c>
      <c r="Z94" s="516">
        <f t="shared" si="126"/>
        <v>0</v>
      </c>
      <c r="AA94" s="516">
        <f>SUM('IV-2 amsa'!Q35)</f>
        <v>747938</v>
      </c>
      <c r="AB94" s="468" t="str">
        <f>IF('ketv. 4 lent'!V94&gt;0,"Taip","Ne")</f>
        <v>Taip</v>
      </c>
      <c r="AC94" s="468">
        <f>SUM('ketv. 6 lent'!AE94)</f>
        <v>747938</v>
      </c>
      <c r="AD94" s="468">
        <f t="shared" si="127"/>
        <v>0</v>
      </c>
      <c r="AE94" s="1113">
        <f>SUM('IV-2 amsa'!R35)</f>
        <v>42639</v>
      </c>
      <c r="AF94" s="587">
        <f>SUM('IV-2 amsa'!S35)</f>
        <v>42732</v>
      </c>
      <c r="AG94" s="587">
        <f>SUM('IV-2 amsa'!T35)</f>
        <v>42855</v>
      </c>
      <c r="AH94" s="587">
        <f>SUM('IV-2 amsa'!U35)</f>
        <v>42947</v>
      </c>
      <c r="AI94" s="589">
        <f t="shared" si="128"/>
        <v>2017</v>
      </c>
      <c r="AJ94" s="1263">
        <f>SUM('IV-2 amsa'!V35)</f>
        <v>43465</v>
      </c>
      <c r="AK94" s="468">
        <f t="shared" si="129"/>
        <v>0</v>
      </c>
      <c r="AL94" s="468">
        <f t="shared" si="130"/>
        <v>747938</v>
      </c>
      <c r="AM94" s="468">
        <f t="shared" si="131"/>
        <v>0</v>
      </c>
      <c r="AN94" s="468">
        <f t="shared" si="132"/>
        <v>0</v>
      </c>
      <c r="AO94" s="1264">
        <f t="shared" si="133"/>
        <v>0</v>
      </c>
      <c r="AP94" s="593">
        <f>SUM(AP92-AP93)</f>
        <v>-2</v>
      </c>
      <c r="AQ94" s="88"/>
      <c r="AR94" s="88"/>
    </row>
    <row r="95" spans="1:45" ht="39.75" thickTop="1" thickBot="1" x14ac:dyDescent="0.3">
      <c r="A95" s="515" t="s">
        <v>217</v>
      </c>
      <c r="B95" s="515" t="s">
        <v>1614</v>
      </c>
      <c r="C95" s="1262" t="str">
        <f>CONCATENATE('ketv. 2lent'!B94)</f>
        <v/>
      </c>
      <c r="D95" s="515" t="str">
        <f>CONCATENATE('IV-2 amsa'!D36)</f>
        <v>Saugaus eismo priemonių diegimas, Alytuje</v>
      </c>
      <c r="E95" s="515" t="str">
        <f>CONCATENATE('IV-2 amsa'!E36)</f>
        <v>Alytaus miesto savivaldybės administracija</v>
      </c>
      <c r="F95" s="515" t="str">
        <f>CONCATENATE('IV-2 amsa'!F36)</f>
        <v>Lietuvos Respublikos susisiekimo ministerija</v>
      </c>
      <c r="G95" s="515" t="str">
        <f>CONCATENATE('IV-2 amsa'!G36)</f>
        <v>Alytaus  miestas</v>
      </c>
      <c r="H95" s="518" t="str">
        <f>CONCATENATE('IV-2 amsa'!H36)</f>
        <v>06.2.1-TID-R-511</v>
      </c>
      <c r="I95" s="518" t="str">
        <f>CONCATENATE('IV-2 amsa'!I36)</f>
        <v>R</v>
      </c>
      <c r="J95" s="518" t="str">
        <f>CONCATENATE('IV-2 amsa'!J36)</f>
        <v>-</v>
      </c>
      <c r="K95" s="518" t="str">
        <f>CONCATENATE('IV-2 amsa'!K36)</f>
        <v>-</v>
      </c>
      <c r="L95" s="516">
        <f>SUM('IV-2 amsa'!L36)</f>
        <v>315614.59999999998</v>
      </c>
      <c r="M95" s="516">
        <f>SUM('ketv. 6 lent'!K95)</f>
        <v>0</v>
      </c>
      <c r="N95" s="516">
        <f t="shared" si="134"/>
        <v>0</v>
      </c>
      <c r="O95" s="516">
        <f>SUM('IV-2 amsa'!M36)</f>
        <v>65315.6</v>
      </c>
      <c r="P95" s="516">
        <f>SUM('ketv. 6 lent'!O95)</f>
        <v>0</v>
      </c>
      <c r="Q95" s="516">
        <f t="shared" si="123"/>
        <v>0</v>
      </c>
      <c r="R95" s="516">
        <f>SUM('IV-2 amsa'!N36)</f>
        <v>0</v>
      </c>
      <c r="S95" s="516">
        <f>SUM('ketv. 6 lent'!S95)</f>
        <v>0</v>
      </c>
      <c r="T95" s="516">
        <f t="shared" si="124"/>
        <v>0</v>
      </c>
      <c r="U95" s="516">
        <f>SUM('IV-2 amsa'!O36)</f>
        <v>0</v>
      </c>
      <c r="V95" s="516">
        <f>SUM('ketv. 6 lent'!W95)</f>
        <v>0</v>
      </c>
      <c r="W95" s="516">
        <f t="shared" si="125"/>
        <v>0</v>
      </c>
      <c r="X95" s="516">
        <f>SUM('IV-2 amsa'!P36)</f>
        <v>0</v>
      </c>
      <c r="Y95" s="516">
        <f>SUM('ketv. 6 lent'!AA95)</f>
        <v>0</v>
      </c>
      <c r="Z95" s="516">
        <f t="shared" si="126"/>
        <v>0</v>
      </c>
      <c r="AA95" s="516">
        <f>SUM('IV-2 amsa'!Q36)</f>
        <v>250299</v>
      </c>
      <c r="AB95" s="468" t="str">
        <f>IF('ketv. 4 lent'!V95&gt;0,"Taip","Ne")</f>
        <v>Ne</v>
      </c>
      <c r="AC95" s="468">
        <f>SUM('ketv. 6 lent'!AE95)</f>
        <v>0</v>
      </c>
      <c r="AD95" s="468">
        <f t="shared" si="127"/>
        <v>0</v>
      </c>
      <c r="AE95" s="1113">
        <f>SUM('IV-2 amsa'!R36)</f>
        <v>42639</v>
      </c>
      <c r="AF95" s="587">
        <f>SUM('IV-2 amsa'!S36)</f>
        <v>42732</v>
      </c>
      <c r="AG95" s="587">
        <f>SUM('IV-2 amsa'!T36)</f>
        <v>43342</v>
      </c>
      <c r="AH95" s="587">
        <f>SUM('IV-2 amsa'!U36)</f>
        <v>43434</v>
      </c>
      <c r="AI95" s="589">
        <f t="shared" si="128"/>
        <v>2018</v>
      </c>
      <c r="AJ95" s="1263">
        <f>SUM('IV-2 amsa'!V36)</f>
        <v>43829</v>
      </c>
      <c r="AK95" s="468">
        <f t="shared" si="129"/>
        <v>0</v>
      </c>
      <c r="AL95" s="468">
        <f t="shared" si="130"/>
        <v>0</v>
      </c>
      <c r="AM95" s="468">
        <f t="shared" si="131"/>
        <v>250299</v>
      </c>
      <c r="AN95" s="468">
        <f t="shared" si="132"/>
        <v>0</v>
      </c>
      <c r="AO95" s="1264">
        <f t="shared" si="133"/>
        <v>0</v>
      </c>
      <c r="AP95" s="595"/>
      <c r="AQ95" s="592"/>
      <c r="AR95" s="88"/>
    </row>
    <row r="96" spans="1:45" ht="39.75" thickTop="1" thickBot="1" x14ac:dyDescent="0.3">
      <c r="A96" s="515" t="s">
        <v>218</v>
      </c>
      <c r="B96" s="515" t="s">
        <v>1615</v>
      </c>
      <c r="C96" s="1262" t="str">
        <f>CONCATENATE('ketv. 2lent'!B95)</f>
        <v/>
      </c>
      <c r="D96" s="515" t="str">
        <f>CONCATENATE('IV-2 arsa'!C40)</f>
        <v>Eismo saugos priemonių diegimas Alytaus rajone</v>
      </c>
      <c r="E96" s="515" t="str">
        <f>CONCATENATE('IV-2 arsa'!D40)</f>
        <v>Alytaus rajono savivaldybės administracija</v>
      </c>
      <c r="F96" s="515" t="str">
        <f>CONCATENATE('IV-2 arsa'!E40)</f>
        <v>Lietuvos Respublikos susisiekimo ministerija</v>
      </c>
      <c r="G96" s="515" t="str">
        <f>CONCATENATE('IV-2 arsa'!F40)</f>
        <v>Alytaus  rajono savivaldybė</v>
      </c>
      <c r="H96" s="518" t="str">
        <f>CONCATENATE('IV-2 arsa'!G40)</f>
        <v>06.2.1-TID-R-511</v>
      </c>
      <c r="I96" s="518" t="str">
        <f>CONCATENATE('IV-2 arsa'!H40)</f>
        <v>R</v>
      </c>
      <c r="J96" s="518" t="str">
        <f>CONCATENATE('IV-2 arsa'!I40)</f>
        <v>-</v>
      </c>
      <c r="K96" s="518" t="str">
        <f>CONCATENATE('IV-2 arsa'!J40)</f>
        <v>-</v>
      </c>
      <c r="L96" s="516">
        <f>SUM('IV-2 arsa'!K40)</f>
        <v>236915</v>
      </c>
      <c r="M96" s="516">
        <f>SUM('ketv. 6 lent'!K96)</f>
        <v>0</v>
      </c>
      <c r="N96" s="516">
        <f t="shared" si="134"/>
        <v>0</v>
      </c>
      <c r="O96" s="516">
        <f>SUM('IV-2 arsa'!L40)</f>
        <v>36071</v>
      </c>
      <c r="P96" s="516">
        <f>SUM('ketv. 6 lent'!O96)</f>
        <v>0</v>
      </c>
      <c r="Q96" s="516">
        <f t="shared" si="123"/>
        <v>0</v>
      </c>
      <c r="R96" s="516">
        <f>SUM('IV-2 arsa'!M40)</f>
        <v>0</v>
      </c>
      <c r="S96" s="516">
        <f>SUM('ketv. 6 lent'!S96)</f>
        <v>0</v>
      </c>
      <c r="T96" s="516">
        <f t="shared" si="124"/>
        <v>0</v>
      </c>
      <c r="U96" s="516">
        <f>SUM('IV-2 arsa'!N40)</f>
        <v>0</v>
      </c>
      <c r="V96" s="516">
        <f>SUM('ketv. 6 lent'!W96)</f>
        <v>0</v>
      </c>
      <c r="W96" s="516">
        <f t="shared" si="125"/>
        <v>0</v>
      </c>
      <c r="X96" s="516">
        <f>SUM('IV-2 arsa'!O40)</f>
        <v>0</v>
      </c>
      <c r="Y96" s="516">
        <f>SUM('ketv. 6 lent'!AA96)</f>
        <v>0</v>
      </c>
      <c r="Z96" s="516">
        <f t="shared" si="126"/>
        <v>0</v>
      </c>
      <c r="AA96" s="516">
        <f>SUM('IV-2 arsa'!P40)</f>
        <v>200844</v>
      </c>
      <c r="AB96" s="468" t="str">
        <f>IF('ketv. 4 lent'!V96&gt;0,"Taip","Ne")</f>
        <v>Ne</v>
      </c>
      <c r="AC96" s="468">
        <f>SUM('ketv. 6 lent'!AE96)</f>
        <v>0</v>
      </c>
      <c r="AD96" s="468">
        <f t="shared" si="127"/>
        <v>0</v>
      </c>
      <c r="AE96" s="1113">
        <f>SUM('IV-2 arsa'!Q40)</f>
        <v>42639</v>
      </c>
      <c r="AF96" s="587">
        <f>SUM('IV-2 arsa'!R40)</f>
        <v>42735</v>
      </c>
      <c r="AG96" s="587">
        <f>SUM('IV-2 arsa'!S40)</f>
        <v>43252</v>
      </c>
      <c r="AH96" s="587">
        <f>SUM('IV-2 arsa'!T40)</f>
        <v>43344</v>
      </c>
      <c r="AI96" s="589">
        <f t="shared" si="128"/>
        <v>2018</v>
      </c>
      <c r="AJ96" s="1263">
        <f>SUM('IV-2 arsa'!U40)</f>
        <v>43921</v>
      </c>
      <c r="AK96" s="468">
        <f t="shared" si="129"/>
        <v>0</v>
      </c>
      <c r="AL96" s="468">
        <f t="shared" si="130"/>
        <v>0</v>
      </c>
      <c r="AM96" s="468">
        <f t="shared" si="131"/>
        <v>200844</v>
      </c>
      <c r="AN96" s="468">
        <f t="shared" si="132"/>
        <v>0</v>
      </c>
      <c r="AO96" s="1264">
        <f t="shared" si="133"/>
        <v>0</v>
      </c>
      <c r="AP96" s="592"/>
      <c r="AQ96" s="88"/>
      <c r="AR96" s="88"/>
    </row>
    <row r="97" spans="1:44" ht="39.75" thickTop="1" thickBot="1" x14ac:dyDescent="0.3">
      <c r="A97" s="515" t="s">
        <v>251</v>
      </c>
      <c r="B97" s="515" t="s">
        <v>1616</v>
      </c>
      <c r="C97" s="1262" t="str">
        <f>CONCATENATE('ketv. 2lent'!B96)</f>
        <v/>
      </c>
      <c r="D97" s="515" t="str">
        <f>CONCATENATE('IV-2 dsa'!C42)</f>
        <v>M. K. Čiurlionio gatvės atkarpos Druskininkų m. rekonstrukcija</v>
      </c>
      <c r="E97" s="515" t="str">
        <f>CONCATENATE('IV-2 dsa'!D42)</f>
        <v xml:space="preserve">Druskininkų savivaldybės administracija  </v>
      </c>
      <c r="F97" s="515" t="str">
        <f>CONCATENATE('IV-2 dsa'!E42)</f>
        <v>Lietuvos Respublikos susisiekimo ministerija</v>
      </c>
      <c r="G97" s="515" t="str">
        <f>CONCATENATE('IV-2 dsa'!F42)</f>
        <v>Druskininkų miestas</v>
      </c>
      <c r="H97" s="518" t="str">
        <f>CONCATENATE('IV-2 dsa'!G42)</f>
        <v>06.2.1-TID-R-511</v>
      </c>
      <c r="I97" s="518" t="str">
        <f>CONCATENATE('IV-2 dsa'!H42)</f>
        <v>R</v>
      </c>
      <c r="J97" s="518" t="str">
        <f>CONCATENATE('IV-2 dsa'!I42)</f>
        <v>-</v>
      </c>
      <c r="K97" s="518" t="str">
        <f>CONCATENATE('IV-2 dsa'!J42)</f>
        <v>-</v>
      </c>
      <c r="L97" s="516">
        <f>SUM('IV-2 dsa'!K42)</f>
        <v>1258144.24</v>
      </c>
      <c r="M97" s="516">
        <f>SUM('ketv. 6 lent'!K97)</f>
        <v>0</v>
      </c>
      <c r="N97" s="516">
        <f t="shared" si="134"/>
        <v>0</v>
      </c>
      <c r="O97" s="516">
        <f>SUM('IV-2 dsa'!L42)</f>
        <v>873495.24</v>
      </c>
      <c r="P97" s="516">
        <f>SUM('ketv. 6 lent'!O97)</f>
        <v>0</v>
      </c>
      <c r="Q97" s="516">
        <f t="shared" si="123"/>
        <v>0</v>
      </c>
      <c r="R97" s="516">
        <f>SUM('IV-2 dsa'!M42)</f>
        <v>0</v>
      </c>
      <c r="S97" s="516">
        <f>SUM('ketv. 6 lent'!S97)</f>
        <v>0</v>
      </c>
      <c r="T97" s="516">
        <f t="shared" si="124"/>
        <v>0</v>
      </c>
      <c r="U97" s="516">
        <f>SUM('IV-2 dsa'!N42)</f>
        <v>0</v>
      </c>
      <c r="V97" s="516">
        <f>SUM('ketv. 6 lent'!W97)</f>
        <v>0</v>
      </c>
      <c r="W97" s="516">
        <f t="shared" si="125"/>
        <v>0</v>
      </c>
      <c r="X97" s="516">
        <f>SUM('IV-2 dsa'!O42)</f>
        <v>0</v>
      </c>
      <c r="Y97" s="516">
        <f>SUM('ketv. 6 lent'!AA97)</f>
        <v>0</v>
      </c>
      <c r="Z97" s="516">
        <f t="shared" si="126"/>
        <v>0</v>
      </c>
      <c r="AA97" s="516">
        <f>SUM('IV-2 dsa'!P42)</f>
        <v>384649</v>
      </c>
      <c r="AB97" s="468" t="str">
        <f>IF('ketv. 4 lent'!V97&gt;0,"Taip","Ne")</f>
        <v>Ne</v>
      </c>
      <c r="AC97" s="468">
        <f>SUM('ketv. 6 lent'!AE97)</f>
        <v>0</v>
      </c>
      <c r="AD97" s="468">
        <f t="shared" si="127"/>
        <v>0</v>
      </c>
      <c r="AE97" s="1113">
        <f>SUM('IV-2 dsa'!Q42)</f>
        <v>42639</v>
      </c>
      <c r="AF97" s="587">
        <f>SUM('IV-2 dsa'!R42)</f>
        <v>42732</v>
      </c>
      <c r="AG97" s="587">
        <f>SUM('IV-2 dsa'!S42)</f>
        <v>43326</v>
      </c>
      <c r="AH97" s="587">
        <f>SUM('IV-2 dsa'!T42)</f>
        <v>43419</v>
      </c>
      <c r="AI97" s="589">
        <f t="shared" si="128"/>
        <v>2018</v>
      </c>
      <c r="AJ97" s="1263">
        <f>SUM('IV-2 dsa'!U42)</f>
        <v>43830</v>
      </c>
      <c r="AK97" s="468">
        <f t="shared" si="129"/>
        <v>0</v>
      </c>
      <c r="AL97" s="468">
        <f t="shared" si="130"/>
        <v>0</v>
      </c>
      <c r="AM97" s="468">
        <f t="shared" si="131"/>
        <v>384649</v>
      </c>
      <c r="AN97" s="468">
        <f t="shared" si="132"/>
        <v>0</v>
      </c>
      <c r="AO97" s="1264">
        <f t="shared" si="133"/>
        <v>0</v>
      </c>
      <c r="AP97" s="592"/>
      <c r="AQ97" s="88"/>
      <c r="AR97" s="88"/>
    </row>
    <row r="98" spans="1:44" ht="39" thickBot="1" x14ac:dyDescent="0.3">
      <c r="A98" s="515" t="s">
        <v>252</v>
      </c>
      <c r="B98" s="515" t="s">
        <v>1617</v>
      </c>
      <c r="C98" s="518" t="str">
        <f>CONCATENATE('ketv. 2lent'!B97)</f>
        <v/>
      </c>
      <c r="D98" s="515" t="str">
        <f>CONCATENATE('IV-2 lrsa'!D40)</f>
        <v>Lazdijų miesto Seinų ir Lazdijos gatvių bei vietinės reikšmės kelio nuo Janonio gatvės iki Lazdijų hipodromo rekonstravimas</v>
      </c>
      <c r="E98" s="515" t="str">
        <f>CONCATENATE('IV-2 lrsa'!E40)</f>
        <v>Lazdijų rajono savivaldybės administracija</v>
      </c>
      <c r="F98" s="515" t="str">
        <f>CONCATENATE('IV-2 lrsa'!F40)</f>
        <v>Lietuvos Respublikos susisiekimo ministerija</v>
      </c>
      <c r="G98" s="515" t="str">
        <f>CONCATENATE('IV-2 lrsa'!G40)</f>
        <v>Lazdijų miestas</v>
      </c>
      <c r="H98" s="518" t="str">
        <f>CONCATENATE('IV-2 lrsa'!H40)</f>
        <v>06.2.1-TID-R-511</v>
      </c>
      <c r="I98" s="518" t="str">
        <f>CONCATENATE('IV-2 lrsa'!I40)</f>
        <v>R</v>
      </c>
      <c r="J98" s="518" t="str">
        <f>CONCATENATE('IV-2 lrsa'!J40)</f>
        <v>ITI</v>
      </c>
      <c r="K98" s="518" t="str">
        <f>CONCATENATE('IV-2 lrsa'!K40)</f>
        <v>-</v>
      </c>
      <c r="L98" s="516">
        <f>SUM('IV-2 lrsa'!L40)</f>
        <v>759934</v>
      </c>
      <c r="M98" s="516">
        <f>SUM('ketv. 6 lent'!K98)</f>
        <v>0</v>
      </c>
      <c r="N98" s="516">
        <f t="shared" si="134"/>
        <v>0</v>
      </c>
      <c r="O98" s="516">
        <f>SUM('IV-2 lrsa'!M40)</f>
        <v>113990</v>
      </c>
      <c r="P98" s="516">
        <f>SUM('ketv. 6 lent'!O98)</f>
        <v>0</v>
      </c>
      <c r="Q98" s="516">
        <f t="shared" si="123"/>
        <v>0</v>
      </c>
      <c r="R98" s="516">
        <f>SUM('IV-2 lrsa'!N40)</f>
        <v>0</v>
      </c>
      <c r="S98" s="516">
        <f>SUM('ketv. 6 lent'!S98)</f>
        <v>0</v>
      </c>
      <c r="T98" s="516">
        <f t="shared" si="124"/>
        <v>0</v>
      </c>
      <c r="U98" s="516">
        <f>SUM('IV-2 lrsa'!O40)</f>
        <v>0</v>
      </c>
      <c r="V98" s="516">
        <f>SUM('ketv. 6 lent'!W98)</f>
        <v>0</v>
      </c>
      <c r="W98" s="516">
        <f t="shared" si="125"/>
        <v>0</v>
      </c>
      <c r="X98" s="516">
        <f>SUM('IV-2 lrsa'!P40)</f>
        <v>0</v>
      </c>
      <c r="Y98" s="516">
        <f>SUM('ketv. 6 lent'!AA98)</f>
        <v>0</v>
      </c>
      <c r="Z98" s="516">
        <f t="shared" si="126"/>
        <v>0</v>
      </c>
      <c r="AA98" s="516">
        <f>SUM('IV-2 lrsa'!Q40)</f>
        <v>645944</v>
      </c>
      <c r="AB98" s="468" t="str">
        <f>IF('ketv. 4 lent'!V98&gt;0,"Taip","Ne")</f>
        <v>Ne</v>
      </c>
      <c r="AC98" s="468">
        <f>SUM('ketv. 6 lent'!AE98)</f>
        <v>0</v>
      </c>
      <c r="AD98" s="468">
        <f t="shared" si="127"/>
        <v>0</v>
      </c>
      <c r="AE98" s="1113">
        <f>SUM('IV-2 lrsa'!R40)</f>
        <v>42639</v>
      </c>
      <c r="AF98" s="587">
        <f>SUM('IV-2 lrsa'!S40)</f>
        <v>42732</v>
      </c>
      <c r="AG98" s="587">
        <f>SUM('IV-2 lrsa'!T40)</f>
        <v>43130</v>
      </c>
      <c r="AH98" s="587">
        <f>SUM('IV-2 lrsa'!U40)</f>
        <v>43217</v>
      </c>
      <c r="AI98" s="589">
        <f t="shared" si="128"/>
        <v>2018</v>
      </c>
      <c r="AJ98" s="1263">
        <f>SUM('IV-2 lrsa'!V40)</f>
        <v>43830</v>
      </c>
      <c r="AK98" s="468">
        <f t="shared" si="129"/>
        <v>0</v>
      </c>
      <c r="AL98" s="468">
        <f t="shared" si="130"/>
        <v>0</v>
      </c>
      <c r="AM98" s="468">
        <f t="shared" si="131"/>
        <v>645944</v>
      </c>
      <c r="AN98" s="468">
        <f t="shared" si="132"/>
        <v>0</v>
      </c>
      <c r="AO98" s="1264">
        <f t="shared" si="133"/>
        <v>0</v>
      </c>
      <c r="AP98" s="88"/>
      <c r="AQ98" s="88"/>
      <c r="AR98" s="88"/>
    </row>
    <row r="99" spans="1:44" ht="38.25" customHeight="1" thickBot="1" x14ac:dyDescent="0.3">
      <c r="A99" s="515" t="s">
        <v>1693</v>
      </c>
      <c r="B99" s="515" t="s">
        <v>1694</v>
      </c>
      <c r="C99" s="1285"/>
      <c r="D99" s="515" t="str">
        <f>CONCATENATE('IV-2 dsa'!C43)</f>
        <v>Eismo saugumo priemonių diegimas Druskininkų savivaldybėje</v>
      </c>
      <c r="E99" s="515" t="str">
        <f>CONCATENATE('IV-2 dsa'!D43)</f>
        <v xml:space="preserve">Druskininkų savivaldybės administracija  </v>
      </c>
      <c r="F99" s="515" t="str">
        <f>CONCATENATE('IV-2 dsa'!E43)</f>
        <v>Lietuvos Respublikos susisiekimo ministerija</v>
      </c>
      <c r="G99" s="515" t="str">
        <f>CONCATENATE('IV-2 dsa'!F43)</f>
        <v>Druskininkų miestas</v>
      </c>
      <c r="H99" s="518" t="str">
        <f>CONCATENATE('IV-2 dsa'!G43)</f>
        <v>06.2.1-TID-R-511</v>
      </c>
      <c r="I99" s="518" t="str">
        <f>CONCATENATE('IV-2 dsa'!H43)</f>
        <v>R</v>
      </c>
      <c r="J99" s="518" t="str">
        <f>CONCATENATE('IV-2 dsa'!I43)</f>
        <v>-</v>
      </c>
      <c r="K99" s="518" t="str">
        <f>CONCATENATE('IV-2 dsa'!J43)</f>
        <v>-</v>
      </c>
      <c r="L99" s="516">
        <f>SUM('IV-2 dsa'!K43)</f>
        <v>135352</v>
      </c>
      <c r="M99" s="516">
        <f>SUM('ketv. 6 lent'!K100)</f>
        <v>6876469.7799999993</v>
      </c>
      <c r="N99" s="516">
        <f t="shared" ref="N99" si="135">IF(M99&gt;0,L99-M99,0)</f>
        <v>-6741117.7799999993</v>
      </c>
      <c r="O99" s="516">
        <f>SUM('IV-2 dsa'!L43)</f>
        <v>22363</v>
      </c>
      <c r="P99" s="516">
        <f>SUM('ketv. 6 lent'!O100)</f>
        <v>1360619.6500000001</v>
      </c>
      <c r="Q99" s="516">
        <f t="shared" ref="Q99" si="136">IF(P99&gt;0,O99-P99,0)</f>
        <v>-1338256.6500000001</v>
      </c>
      <c r="R99" s="516">
        <f>SUM('IV-2 dsa'!M43)</f>
        <v>0</v>
      </c>
      <c r="S99" s="516">
        <f>SUM('ketv. 6 lent'!S100)</f>
        <v>58787</v>
      </c>
      <c r="T99" s="516">
        <f t="shared" ref="T99" si="137">IF(S99&gt;0,R99-S99,0)</f>
        <v>-58787</v>
      </c>
      <c r="U99" s="516">
        <f>SUM('IV-2 dsa'!N43)</f>
        <v>0</v>
      </c>
      <c r="V99" s="516">
        <f>SUM('ketv. 6 lent'!W100)</f>
        <v>0</v>
      </c>
      <c r="W99" s="516">
        <f t="shared" ref="W99" si="138">IF(V99&gt;0,U99-V99,0)</f>
        <v>0</v>
      </c>
      <c r="X99" s="516">
        <f>SUM('IV-2 dsa'!O43)</f>
        <v>0</v>
      </c>
      <c r="Y99" s="516">
        <f>SUM('ketv. 6 lent'!AA100)</f>
        <v>0</v>
      </c>
      <c r="Z99" s="516">
        <f t="shared" ref="Z99" si="139">IF(Y99&gt;0,X99-Y99,0)</f>
        <v>0</v>
      </c>
      <c r="AA99" s="516">
        <f>SUM('IV-2 dsa'!P43)</f>
        <v>112989</v>
      </c>
      <c r="AB99" s="468" t="str">
        <f>IF('ketv. 4 lent'!V99&gt;0,"Taip","Ne")</f>
        <v>Ne</v>
      </c>
      <c r="AC99" s="468">
        <f>SUM('ketv. 6 lent'!AE99)</f>
        <v>0</v>
      </c>
      <c r="AD99" s="468">
        <f t="shared" si="127"/>
        <v>0</v>
      </c>
      <c r="AE99" s="1113">
        <f>SUM('IV-2 dsa'!Q43)</f>
        <v>43404</v>
      </c>
      <c r="AF99" s="587">
        <f>SUM('IV-2 dsa'!R43)</f>
        <v>43404</v>
      </c>
      <c r="AG99" s="587">
        <f>SUM('IV-2 dsa'!S43)</f>
        <v>43496</v>
      </c>
      <c r="AH99" s="587">
        <f>SUM('IV-2 dsa'!T43)</f>
        <v>43585</v>
      </c>
      <c r="AI99" s="589">
        <f t="shared" ref="AI99" si="140">IF(YEAR(AH99),YEAR(AH99))</f>
        <v>2019</v>
      </c>
      <c r="AJ99" s="1263">
        <f>SUM('IV-2 dsa'!U43)</f>
        <v>43830</v>
      </c>
      <c r="AK99" s="468">
        <f t="shared" si="129"/>
        <v>0</v>
      </c>
      <c r="AL99" s="468">
        <f t="shared" si="130"/>
        <v>0</v>
      </c>
      <c r="AM99" s="468">
        <f t="shared" si="131"/>
        <v>0</v>
      </c>
      <c r="AN99" s="468">
        <f t="shared" si="132"/>
        <v>112989</v>
      </c>
      <c r="AO99" s="1264">
        <f t="shared" si="133"/>
        <v>0</v>
      </c>
      <c r="AP99" s="88"/>
      <c r="AQ99" s="88"/>
      <c r="AR99" s="88"/>
    </row>
    <row r="100" spans="1:44" ht="37.5" customHeight="1" thickBot="1" x14ac:dyDescent="0.3">
      <c r="A100" s="1286" t="s">
        <v>27</v>
      </c>
      <c r="B100" s="1628" t="s">
        <v>1786</v>
      </c>
      <c r="C100" s="1616"/>
      <c r="D100" s="1616"/>
      <c r="E100" s="1616"/>
      <c r="F100" s="1616"/>
      <c r="G100" s="1616"/>
      <c r="H100" s="1616"/>
      <c r="I100" s="1616"/>
      <c r="J100" s="1616"/>
      <c r="K100" s="1617"/>
      <c r="L100" s="1288">
        <f>SUM(L101+L120+L147+L160)</f>
        <v>12596754.809999999</v>
      </c>
      <c r="M100" s="1288"/>
      <c r="N100" s="1288"/>
      <c r="O100" s="1523">
        <f>SUM(O101+O120+O147+O160)</f>
        <v>1867021.34</v>
      </c>
      <c r="P100" s="1288"/>
      <c r="Q100" s="1288"/>
      <c r="R100" s="1288">
        <f>SUM(R101+R120+R147+R160)</f>
        <v>411330.16378378379</v>
      </c>
      <c r="S100" s="1288"/>
      <c r="T100" s="1288"/>
      <c r="U100" s="1523">
        <f>SUM(U101+U120+U147+U160)</f>
        <v>40158</v>
      </c>
      <c r="V100" s="1288"/>
      <c r="W100" s="1288"/>
      <c r="X100" s="1288">
        <f>SUM(X101+X120+X147+X160)</f>
        <v>0</v>
      </c>
      <c r="Y100" s="1288"/>
      <c r="Z100" s="1288"/>
      <c r="AA100" s="1288">
        <f>SUM(AA101+AA120+AA147+AA160)</f>
        <v>10278245.306216216</v>
      </c>
      <c r="AB100" s="1288"/>
      <c r="AC100" s="1288"/>
      <c r="AD100" s="1288"/>
      <c r="AE100" s="1288"/>
      <c r="AF100" s="1289"/>
      <c r="AG100" s="1289"/>
      <c r="AH100" s="1289"/>
      <c r="AI100" s="1290"/>
      <c r="AJ100" s="1291"/>
      <c r="AK100" s="468"/>
      <c r="AL100" s="1252"/>
      <c r="AM100" s="1252"/>
      <c r="AN100" s="1252"/>
      <c r="AO100" s="1252"/>
      <c r="AP100" s="88">
        <f>SUM(AP101+AP120+AP147+AP160)</f>
        <v>8124564.8915733965</v>
      </c>
      <c r="AQ100" s="88">
        <f>SUM(AQ101+AQ120+AQ147+AQ160)</f>
        <v>9749477.8698880747</v>
      </c>
      <c r="AR100" s="88">
        <f>SUM(AR101+AR120+AR147+AR160)</f>
        <v>1308486.1756259478</v>
      </c>
    </row>
    <row r="101" spans="1:44" ht="54" customHeight="1" thickBot="1" x14ac:dyDescent="0.3">
      <c r="A101" s="1489" t="s">
        <v>28</v>
      </c>
      <c r="B101" s="1615" t="s">
        <v>1787</v>
      </c>
      <c r="C101" s="1616"/>
      <c r="D101" s="1616"/>
      <c r="E101" s="1616"/>
      <c r="F101" s="1616"/>
      <c r="G101" s="1616"/>
      <c r="H101" s="1616"/>
      <c r="I101" s="1616"/>
      <c r="J101" s="1616"/>
      <c r="K101" s="1617"/>
      <c r="L101" s="203">
        <f t="shared" ref="L101:AA101" si="141">SUM(L102+L108+L114)</f>
        <v>4705665.1899999995</v>
      </c>
      <c r="M101" s="203"/>
      <c r="N101" s="203"/>
      <c r="O101" s="203">
        <f t="shared" si="141"/>
        <v>737430.77999999991</v>
      </c>
      <c r="P101" s="203"/>
      <c r="Q101" s="203"/>
      <c r="R101" s="203">
        <f t="shared" si="141"/>
        <v>201261.19378378382</v>
      </c>
      <c r="S101" s="203"/>
      <c r="T101" s="203"/>
      <c r="U101" s="203">
        <f t="shared" si="141"/>
        <v>0</v>
      </c>
      <c r="V101" s="203"/>
      <c r="W101" s="203"/>
      <c r="X101" s="203">
        <f t="shared" si="141"/>
        <v>0</v>
      </c>
      <c r="Y101" s="203"/>
      <c r="Z101" s="203"/>
      <c r="AA101" s="203">
        <f t="shared" si="141"/>
        <v>3766973.2162162159</v>
      </c>
      <c r="AB101" s="203"/>
      <c r="AC101" s="203"/>
      <c r="AD101" s="203"/>
      <c r="AE101" s="203"/>
      <c r="AF101" s="1292"/>
      <c r="AG101" s="1292"/>
      <c r="AH101" s="1292"/>
      <c r="AI101" s="1293"/>
      <c r="AJ101" s="1294"/>
      <c r="AK101" s="468"/>
      <c r="AL101" s="1252"/>
      <c r="AM101" s="1252"/>
      <c r="AN101" s="1252"/>
      <c r="AO101" s="1252"/>
      <c r="AP101" s="88">
        <f>SUM(AP102+AP108+AP114)</f>
        <v>3957161.2915733964</v>
      </c>
      <c r="AQ101" s="88">
        <f>SUM(AQ102+AQ108+AQ114)</f>
        <v>4748593.5498880753</v>
      </c>
      <c r="AR101" s="88">
        <f>SUM(AR102+AR108+AR114)</f>
        <v>190188.07535718032</v>
      </c>
    </row>
    <row r="102" spans="1:44" ht="29.25" customHeight="1" thickBot="1" x14ac:dyDescent="0.3">
      <c r="A102" s="1280" t="s">
        <v>96</v>
      </c>
      <c r="B102" s="1618" t="s">
        <v>1788</v>
      </c>
      <c r="C102" s="1619"/>
      <c r="D102" s="1619"/>
      <c r="E102" s="1619"/>
      <c r="F102" s="1619"/>
      <c r="G102" s="1619"/>
      <c r="H102" s="1619"/>
      <c r="I102" s="1619"/>
      <c r="J102" s="1619"/>
      <c r="K102" s="1620"/>
      <c r="L102" s="1258">
        <f>SUM(L103:L107)</f>
        <v>1343974.82</v>
      </c>
      <c r="M102" s="1258">
        <f>SUM(M103:M107)</f>
        <v>491175.41000000003</v>
      </c>
      <c r="N102" s="1258">
        <f>SUM(N103:N107)</f>
        <v>-0.58999999999650754</v>
      </c>
      <c r="O102" s="1258">
        <f t="shared" ref="O102" si="142">SUM(O103:O107)</f>
        <v>100799.41</v>
      </c>
      <c r="P102" s="1258">
        <f>SUM(P103:P107)</f>
        <v>36838.410000000003</v>
      </c>
      <c r="Q102" s="1258">
        <f>SUM(Q103:Q107)</f>
        <v>0</v>
      </c>
      <c r="R102" s="1258">
        <f t="shared" ref="R102" si="143">SUM(R103:R107)</f>
        <v>100798.41</v>
      </c>
      <c r="S102" s="1258">
        <f>SUM(S103:S107)</f>
        <v>36839</v>
      </c>
      <c r="T102" s="1258">
        <f>SUM(T103:T107)</f>
        <v>-0.59000000000014552</v>
      </c>
      <c r="U102" s="1258">
        <f t="shared" ref="U102" si="144">SUM(U103:U107)</f>
        <v>0</v>
      </c>
      <c r="V102" s="1258">
        <f>SUM(V103:V107)</f>
        <v>0</v>
      </c>
      <c r="W102" s="1258">
        <f>SUM(W103:W107)</f>
        <v>0</v>
      </c>
      <c r="X102" s="1258">
        <f t="shared" ref="X102" si="145">SUM(X103:X107)</f>
        <v>0</v>
      </c>
      <c r="Y102" s="1258">
        <f>SUM(Y103:Y107)</f>
        <v>0</v>
      </c>
      <c r="Z102" s="1258">
        <f>SUM(Z103:Z107)</f>
        <v>0</v>
      </c>
      <c r="AA102" s="1258">
        <f t="shared" ref="AA102" si="146">SUM(AA103:AA107)</f>
        <v>1142377</v>
      </c>
      <c r="AB102" s="1270"/>
      <c r="AC102" s="1270">
        <f>SUM(AC103:AC107)</f>
        <v>417498</v>
      </c>
      <c r="AD102" s="1270">
        <f>SUM(AD103:AD107)</f>
        <v>0</v>
      </c>
      <c r="AE102" s="1270"/>
      <c r="AF102" s="1271"/>
      <c r="AG102" s="1271"/>
      <c r="AH102" s="1271"/>
      <c r="AI102" s="1272"/>
      <c r="AJ102" s="1273"/>
      <c r="AK102" s="468">
        <f>SUM(AK103:AK107)</f>
        <v>0</v>
      </c>
      <c r="AL102" s="468">
        <f t="shared" ref="AL102:AO102" si="147">SUM(AL103:AL107)</f>
        <v>1142377</v>
      </c>
      <c r="AM102" s="468">
        <f t="shared" si="147"/>
        <v>0</v>
      </c>
      <c r="AN102" s="468">
        <f t="shared" si="147"/>
        <v>0</v>
      </c>
      <c r="AO102" s="468">
        <f t="shared" si="147"/>
        <v>0</v>
      </c>
      <c r="AP102" s="88">
        <f>SUM('IV-2 amsa'!W39+'IV-2 arsa'!V43+'IV-2 dsa'!V46+'IV-2 lrsa'!W43+'IV-2 vrsa'!W48)</f>
        <v>1142377</v>
      </c>
      <c r="AQ102" s="88">
        <f>SUM(AP102*120/100)</f>
        <v>1370852.4</v>
      </c>
      <c r="AR102" s="88">
        <f>SUM(AP102-AA102)</f>
        <v>0</v>
      </c>
    </row>
    <row r="103" spans="1:44" ht="39.75" thickTop="1" thickBot="1" x14ac:dyDescent="0.3">
      <c r="A103" s="515" t="s">
        <v>98</v>
      </c>
      <c r="B103" s="515" t="s">
        <v>1618</v>
      </c>
      <c r="C103" s="1262" t="str">
        <f>CONCATENATE('ketv. 2lent'!B102)</f>
        <v xml:space="preserve">09.1.3-CPVA-R-724-11-0003 </v>
      </c>
      <c r="D103" s="515" t="str">
        <f>CONCATENATE('IV-2 vrsa'!D49)</f>
        <v>Varėnos r. Merkinės Vinco Krėvės gimnazijos laisvų patalpų pritaikymas ikimokyklinio ir priešmokyklinio ugdymo grupėms įrengti</v>
      </c>
      <c r="E103" s="515" t="str">
        <f>CONCATENATE('IV-2 vrsa'!E49)</f>
        <v>Varėnos rajono savivaldybės administracija</v>
      </c>
      <c r="F103" s="515" t="str">
        <f>CONCATENATE('IV-2 vrsa'!F49)</f>
        <v>Lietuvos Respublikos švietimo ir mokslo ministerija</v>
      </c>
      <c r="G103" s="515" t="str">
        <f>CONCATENATE('IV-2 vrsa'!G49)</f>
        <v>Varėnos miestas</v>
      </c>
      <c r="H103" s="518" t="str">
        <f>CONCATENATE('IV-2 vrsa'!H49)</f>
        <v>09.1.3-CPVA-R-724</v>
      </c>
      <c r="I103" s="518" t="str">
        <f>CONCATENATE('IV-2 vrsa'!I49)</f>
        <v>R</v>
      </c>
      <c r="J103" s="518" t="str">
        <f>CONCATENATE('IV-2 vrsa'!J49)</f>
        <v>-</v>
      </c>
      <c r="K103" s="518" t="str">
        <f>CONCATENATE('IV-2 vrsa'!K49)</f>
        <v>-</v>
      </c>
      <c r="L103" s="516">
        <f>SUM('IV-2 vrsa'!L49)</f>
        <v>220453</v>
      </c>
      <c r="M103" s="516">
        <f>SUM('ketv. 6 lent'!K103)</f>
        <v>220453</v>
      </c>
      <c r="N103" s="516">
        <f t="shared" ref="N103:N107" si="148">IF(M103&gt;0,L103-M103,0)</f>
        <v>0</v>
      </c>
      <c r="O103" s="516">
        <f>SUM('IV-2 vrsa'!M49)</f>
        <v>16534</v>
      </c>
      <c r="P103" s="516">
        <f>SUM('ketv. 6 lent'!O103)</f>
        <v>16534</v>
      </c>
      <c r="Q103" s="516">
        <f t="shared" ref="Q103:Q107" si="149">IF(P103&gt;0,O103-P103,0)</f>
        <v>0</v>
      </c>
      <c r="R103" s="516">
        <f>SUM('IV-2 vrsa'!N49)</f>
        <v>16534</v>
      </c>
      <c r="S103" s="516">
        <f>SUM('ketv. 6 lent'!S103)</f>
        <v>16534</v>
      </c>
      <c r="T103" s="516">
        <f t="shared" ref="T103:T107" si="150">IF(S103&gt;0,R103-S103,0)</f>
        <v>0</v>
      </c>
      <c r="U103" s="516">
        <f>SUM('IV-2 vrsa'!O49)</f>
        <v>0</v>
      </c>
      <c r="V103" s="516">
        <f>SUM('ketv. 6 lent'!W103)</f>
        <v>0</v>
      </c>
      <c r="W103" s="516">
        <f t="shared" ref="W103:W107" si="151">IF(V103&gt;0,U103-V103,0)</f>
        <v>0</v>
      </c>
      <c r="X103" s="516">
        <f>SUM('IV-2 vrsa'!P49)</f>
        <v>0</v>
      </c>
      <c r="Y103" s="516">
        <f>SUM('ketv. 6 lent'!AA103)</f>
        <v>0</v>
      </c>
      <c r="Z103" s="516">
        <f t="shared" ref="Z103:Z107" si="152">IF(Y103&gt;0,X103-Y103,0)</f>
        <v>0</v>
      </c>
      <c r="AA103" s="516">
        <f>SUM('IV-2 vrsa'!Q49)</f>
        <v>187385</v>
      </c>
      <c r="AB103" s="468" t="str">
        <f>IF('ketv. 4 lent'!V103&gt;0,"Taip","Ne")</f>
        <v>Taip</v>
      </c>
      <c r="AC103" s="468">
        <f>SUM('ketv. 6 lent'!AE103)</f>
        <v>187385</v>
      </c>
      <c r="AD103" s="468">
        <f>IF(AC103&gt;0,AA103-AC103,0)</f>
        <v>0</v>
      </c>
      <c r="AE103" s="1113">
        <f>SUM('IV-2 vrsa'!R49)</f>
        <v>42863</v>
      </c>
      <c r="AF103" s="587">
        <f>SUM('IV-2 vrsa'!S49)</f>
        <v>42916</v>
      </c>
      <c r="AG103" s="587">
        <f>SUM('IV-2 vrsa'!T49)</f>
        <v>42993</v>
      </c>
      <c r="AH103" s="587">
        <f>SUM('IV-2 vrsa'!U49)</f>
        <v>43099</v>
      </c>
      <c r="AI103" s="589">
        <f t="shared" ref="AI103:AI107" si="153">IF(YEAR(AH103),YEAR(AH103))</f>
        <v>2017</v>
      </c>
      <c r="AJ103" s="1263">
        <f>SUM('IV-2 vrsa'!V49)</f>
        <v>43845</v>
      </c>
      <c r="AK103" s="468">
        <f>IF(YEAR(AH103)=2016,AA103,0)</f>
        <v>0</v>
      </c>
      <c r="AL103" s="468">
        <f>IF(YEAR(AH103)=2017,AA103,0)</f>
        <v>187385</v>
      </c>
      <c r="AM103" s="468">
        <f>IF(YEAR(AH103)=2018,AA103,0)</f>
        <v>0</v>
      </c>
      <c r="AN103" s="468">
        <f>IF(YEAR(AH103)=2019,AA103,0)</f>
        <v>0</v>
      </c>
      <c r="AO103" s="1264">
        <f>IF(YEAR(AH103)=2020,AA103,0)</f>
        <v>0</v>
      </c>
      <c r="AP103" s="88"/>
      <c r="AQ103" s="88"/>
      <c r="AR103" s="88"/>
    </row>
    <row r="104" spans="1:44" ht="39.75" thickTop="1" thickBot="1" x14ac:dyDescent="0.3">
      <c r="A104" s="515" t="s">
        <v>203</v>
      </c>
      <c r="B104" s="515" t="s">
        <v>1619</v>
      </c>
      <c r="C104" s="1262" t="str">
        <f>CONCATENATE('ketv. 2lent'!B103)</f>
        <v>09.1.3-CPVA-R-724-11-0005</v>
      </c>
      <c r="D104" s="515" t="str">
        <f>CONCATENATE('IV-2 arsa'!C44)</f>
        <v>Alytaus rajono bendrojo ugdymo įstaigų aprūpinimas gamtos, technologijų, menų ir kitų mokslų laboratorijų įranga</v>
      </c>
      <c r="E104" s="515" t="str">
        <f>CONCATENATE('IV-2 arsa'!D44)</f>
        <v>Alytaus rajono savivaldybės administracija</v>
      </c>
      <c r="F104" s="515" t="str">
        <f>CONCATENATE('IV-2 arsa'!E44)</f>
        <v>Lietuvos Respublikos švietimo ir mokslo ministerija</v>
      </c>
      <c r="G104" s="515" t="str">
        <f>CONCATENATE('IV-2 arsa'!F44)</f>
        <v>Alytaus  rajono savivaldybė</v>
      </c>
      <c r="H104" s="518" t="str">
        <f>CONCATENATE('IV-2 arsa'!G44)</f>
        <v>09.1.3-CPVA-R-724</v>
      </c>
      <c r="I104" s="518" t="str">
        <f>CONCATENATE('IV-2 arsa'!H44)</f>
        <v>R</v>
      </c>
      <c r="J104" s="518" t="str">
        <f>CONCATENATE('IV-2 arsa'!I44)</f>
        <v>-</v>
      </c>
      <c r="K104" s="518" t="str">
        <f>CONCATENATE('IV-2 arsa'!J44)</f>
        <v>-</v>
      </c>
      <c r="L104" s="516">
        <f>SUM('IV-2 arsa'!K44)</f>
        <v>106844.82</v>
      </c>
      <c r="M104" s="516">
        <f>SUM('ketv. 6 lent'!K104)</f>
        <v>106845.41</v>
      </c>
      <c r="N104" s="516">
        <f t="shared" si="148"/>
        <v>-0.58999999999650754</v>
      </c>
      <c r="O104" s="516">
        <f>SUM('IV-2 arsa'!L44)</f>
        <v>8013.41</v>
      </c>
      <c r="P104" s="516">
        <f>SUM('ketv. 6 lent'!O104)</f>
        <v>8013.41</v>
      </c>
      <c r="Q104" s="516">
        <f t="shared" si="149"/>
        <v>0</v>
      </c>
      <c r="R104" s="516">
        <f>SUM('IV-2 arsa'!M44)</f>
        <v>8013.41</v>
      </c>
      <c r="S104" s="516">
        <f>SUM('ketv. 6 lent'!S104)</f>
        <v>8014</v>
      </c>
      <c r="T104" s="516">
        <f t="shared" si="150"/>
        <v>-0.59000000000014552</v>
      </c>
      <c r="U104" s="516">
        <f>SUM('IV-2 arsa'!N44)</f>
        <v>0</v>
      </c>
      <c r="V104" s="516">
        <f>SUM('ketv. 6 lent'!W104)</f>
        <v>0</v>
      </c>
      <c r="W104" s="516">
        <f t="shared" si="151"/>
        <v>0</v>
      </c>
      <c r="X104" s="516">
        <f>SUM('IV-2 arsa'!O44)</f>
        <v>0</v>
      </c>
      <c r="Y104" s="516">
        <f>SUM('ketv. 6 lent'!AA104)</f>
        <v>0</v>
      </c>
      <c r="Z104" s="516">
        <f t="shared" si="152"/>
        <v>0</v>
      </c>
      <c r="AA104" s="516">
        <f>SUM('IV-2 arsa'!P44)</f>
        <v>90818</v>
      </c>
      <c r="AB104" s="468" t="str">
        <f>IF('ketv. 4 lent'!V104&gt;0,"Taip","Ne")</f>
        <v>Taip</v>
      </c>
      <c r="AC104" s="468">
        <f>SUM('ketv. 6 lent'!AE104)</f>
        <v>90818</v>
      </c>
      <c r="AD104" s="468">
        <f>IF(AC104&gt;0,AA104-AC104,0)</f>
        <v>0</v>
      </c>
      <c r="AE104" s="1113">
        <f>SUM('IV-2 arsa'!Q44)</f>
        <v>42863</v>
      </c>
      <c r="AF104" s="587">
        <f>SUM('IV-2 arsa'!R44)</f>
        <v>42916</v>
      </c>
      <c r="AG104" s="587">
        <f>SUM('IV-2 arsa'!S44)</f>
        <v>42993</v>
      </c>
      <c r="AH104" s="587">
        <f>SUM('IV-2 arsa'!T44)</f>
        <v>43100</v>
      </c>
      <c r="AI104" s="589">
        <f t="shared" si="153"/>
        <v>2017</v>
      </c>
      <c r="AJ104" s="1263">
        <f>SUM('IV-2 arsa'!U44)</f>
        <v>43526</v>
      </c>
      <c r="AK104" s="468">
        <f>IF(YEAR(AH104)=2016,AA104,0)</f>
        <v>0</v>
      </c>
      <c r="AL104" s="468">
        <f>IF(YEAR(AH104)=2017,AA104,0)</f>
        <v>90818</v>
      </c>
      <c r="AM104" s="468">
        <f>IF(YEAR(AH104)=2018,AA104,0)</f>
        <v>0</v>
      </c>
      <c r="AN104" s="468">
        <f>IF(YEAR(AH104)=2019,AA104,0)</f>
        <v>0</v>
      </c>
      <c r="AO104" s="1264">
        <f>IF(YEAR(AH104)=2020,AA104,0)</f>
        <v>0</v>
      </c>
      <c r="AP104" s="592"/>
      <c r="AQ104" s="88"/>
      <c r="AR104" s="88"/>
    </row>
    <row r="105" spans="1:44" ht="39.75" thickTop="1" thickBot="1" x14ac:dyDescent="0.3">
      <c r="A105" s="515" t="s">
        <v>227</v>
      </c>
      <c r="B105" s="515" t="s">
        <v>1620</v>
      </c>
      <c r="C105" s="1262" t="str">
        <f>CONCATENATE('ketv. 2lent'!B104)</f>
        <v xml:space="preserve">09.1.3-CPVA-R-724-11-0002 </v>
      </c>
      <c r="D105" s="515" t="str">
        <f>CONCATENATE('IV-2 amsa'!D40)</f>
        <v>Modernių ir saugių erdvių kūrimas Dzūkijos pagrindinėje mokykloje, Alytuje</v>
      </c>
      <c r="E105" s="515" t="str">
        <f>CONCATENATE('IV-2 amsa'!E40)</f>
        <v>Alytaus miesto savivaldybės administracija</v>
      </c>
      <c r="F105" s="515" t="str">
        <f>CONCATENATE('IV-2 amsa'!F40)</f>
        <v>Lietuvos Respublikos švietimo ir mokslo ministerija</v>
      </c>
      <c r="G105" s="515" t="str">
        <f>CONCATENATE('IV-2 amsa'!G40)</f>
        <v>Alytaus  miestas</v>
      </c>
      <c r="H105" s="518" t="str">
        <f>CONCATENATE('IV-2 amsa'!H40)</f>
        <v>09.1.3-CPVA-R-724</v>
      </c>
      <c r="I105" s="518" t="str">
        <f>CONCATENATE('IV-2 amsa'!I40)</f>
        <v>R</v>
      </c>
      <c r="J105" s="518" t="str">
        <f>CONCATENATE('IV-2 amsa'!J40)</f>
        <v>-</v>
      </c>
      <c r="K105" s="518" t="str">
        <f>CONCATENATE('IV-2 amsa'!K40)</f>
        <v>-</v>
      </c>
      <c r="L105" s="516">
        <f>SUM('IV-2 amsa'!L40)</f>
        <v>657021</v>
      </c>
      <c r="M105" s="516">
        <f>SUM('ketv. 6 lent'!K105)</f>
        <v>0</v>
      </c>
      <c r="N105" s="516">
        <f t="shared" si="148"/>
        <v>0</v>
      </c>
      <c r="O105" s="516">
        <f>SUM('IV-2 amsa'!M40)</f>
        <v>49277</v>
      </c>
      <c r="P105" s="516">
        <f>SUM('ketv. 6 lent'!O105)</f>
        <v>0</v>
      </c>
      <c r="Q105" s="516">
        <f t="shared" si="149"/>
        <v>0</v>
      </c>
      <c r="R105" s="516">
        <f>SUM('IV-2 amsa'!N40)</f>
        <v>49277</v>
      </c>
      <c r="S105" s="516">
        <f>SUM('ketv. 6 lent'!S105)</f>
        <v>0</v>
      </c>
      <c r="T105" s="516">
        <f t="shared" si="150"/>
        <v>0</v>
      </c>
      <c r="U105" s="516">
        <f>SUM('IV-2 amsa'!O40)</f>
        <v>0</v>
      </c>
      <c r="V105" s="516">
        <f>SUM('ketv. 6 lent'!W105)</f>
        <v>0</v>
      </c>
      <c r="W105" s="516">
        <f t="shared" si="151"/>
        <v>0</v>
      </c>
      <c r="X105" s="516">
        <f>SUM('IV-2 amsa'!P40)</f>
        <v>0</v>
      </c>
      <c r="Y105" s="516">
        <f>SUM('ketv. 6 lent'!AA105)</f>
        <v>0</v>
      </c>
      <c r="Z105" s="516">
        <f t="shared" si="152"/>
        <v>0</v>
      </c>
      <c r="AA105" s="516">
        <f>SUM('IV-2 amsa'!Q40)</f>
        <v>558467</v>
      </c>
      <c r="AB105" s="468" t="str">
        <f>IF('ketv. 4 lent'!V105&gt;0,"Taip","Ne")</f>
        <v>Ne</v>
      </c>
      <c r="AC105" s="468">
        <f>SUM('ketv. 6 lent'!AE105)</f>
        <v>0</v>
      </c>
      <c r="AD105" s="468">
        <f>IF(AC105&gt;0,AA105-AC105,0)</f>
        <v>0</v>
      </c>
      <c r="AE105" s="1113">
        <f>SUM('IV-2 amsa'!R40)</f>
        <v>42877</v>
      </c>
      <c r="AF105" s="587">
        <f>SUM('IV-2 amsa'!S40)</f>
        <v>42947</v>
      </c>
      <c r="AG105" s="587">
        <f>SUM('IV-2 amsa'!T40)</f>
        <v>42992</v>
      </c>
      <c r="AH105" s="587">
        <f>SUM('IV-2 amsa'!U40)</f>
        <v>43100</v>
      </c>
      <c r="AI105" s="589">
        <f t="shared" si="153"/>
        <v>2017</v>
      </c>
      <c r="AJ105" s="1263">
        <f>SUM('IV-2 amsa'!V40)</f>
        <v>44012</v>
      </c>
      <c r="AK105" s="468">
        <f>IF(YEAR(AH105)=2016,AA105,0)</f>
        <v>0</v>
      </c>
      <c r="AL105" s="468">
        <f>IF(YEAR(AH105)=2017,AA105,0)</f>
        <v>558467</v>
      </c>
      <c r="AM105" s="468">
        <f>IF(YEAR(AH105)=2018,AA105,0)</f>
        <v>0</v>
      </c>
      <c r="AN105" s="468">
        <f>IF(YEAR(AH105)=2019,AA105,0)</f>
        <v>0</v>
      </c>
      <c r="AO105" s="1264">
        <f>IF(YEAR(AH105)=2020,AA105,0)</f>
        <v>0</v>
      </c>
      <c r="AP105" s="592"/>
      <c r="AQ105" s="592"/>
      <c r="AR105" s="88"/>
    </row>
    <row r="106" spans="1:44" ht="39.75" thickTop="1" thickBot="1" x14ac:dyDescent="0.3">
      <c r="A106" s="515" t="s">
        <v>239</v>
      </c>
      <c r="B106" s="515" t="s">
        <v>1621</v>
      </c>
      <c r="C106" s="1262" t="str">
        <f>CONCATENATE('ketv. 2lent'!B105)</f>
        <v>09.1.3-CPVA-R-724-11-0004</v>
      </c>
      <c r="D106" s="515" t="str">
        <f>CONCATENATE('IV-2 dsa'!C47)</f>
        <v>Modernių ir saugių erdvių sukūrimas bendrojo ugdymo mokyklose Druskininkų sav.</v>
      </c>
      <c r="E106" s="515" t="str">
        <f>CONCATENATE('IV-2 dsa'!D47)</f>
        <v>Druskininkų savivaldybės administracija</v>
      </c>
      <c r="F106" s="515" t="str">
        <f>CONCATENATE('IV-2 dsa'!E47)</f>
        <v>Lietuvos Respublikos švietimo ir mokslo ministerija</v>
      </c>
      <c r="G106" s="515" t="str">
        <f>CONCATENATE('IV-2 dsa'!F47)</f>
        <v>Druskininkų savivaldybė</v>
      </c>
      <c r="H106" s="518" t="str">
        <f>CONCATENATE('IV-2 dsa'!G47)</f>
        <v>09.1.3-CPVA-R-724</v>
      </c>
      <c r="I106" s="518" t="str">
        <f>CONCATENATE('IV-2 dsa'!H47)</f>
        <v>R</v>
      </c>
      <c r="J106" s="518" t="str">
        <f>CONCATENATE('IV-2 dsa'!I47)</f>
        <v>-</v>
      </c>
      <c r="K106" s="518" t="str">
        <f>CONCATENATE('IV-2 dsa'!J47)</f>
        <v>-</v>
      </c>
      <c r="L106" s="516">
        <f>SUM('IV-2 dsa'!K47)</f>
        <v>163877</v>
      </c>
      <c r="M106" s="516">
        <f>SUM('ketv. 6 lent'!K106)</f>
        <v>163877</v>
      </c>
      <c r="N106" s="516">
        <f t="shared" si="148"/>
        <v>0</v>
      </c>
      <c r="O106" s="516">
        <f>SUM('IV-2 dsa'!L47)</f>
        <v>12291</v>
      </c>
      <c r="P106" s="516">
        <f>SUM('ketv. 6 lent'!O106)</f>
        <v>12291</v>
      </c>
      <c r="Q106" s="516">
        <f t="shared" si="149"/>
        <v>0</v>
      </c>
      <c r="R106" s="516">
        <f>SUM('IV-2 dsa'!M47)</f>
        <v>12291</v>
      </c>
      <c r="S106" s="516">
        <f>SUM('ketv. 6 lent'!S106)</f>
        <v>12291</v>
      </c>
      <c r="T106" s="516">
        <f t="shared" si="150"/>
        <v>0</v>
      </c>
      <c r="U106" s="516">
        <f>SUM('IV-2 dsa'!N47)</f>
        <v>0</v>
      </c>
      <c r="V106" s="516">
        <f>SUM('ketv. 6 lent'!W106)</f>
        <v>0</v>
      </c>
      <c r="W106" s="516">
        <f t="shared" si="151"/>
        <v>0</v>
      </c>
      <c r="X106" s="516">
        <f>SUM('IV-2 dsa'!O47)</f>
        <v>0</v>
      </c>
      <c r="Y106" s="516">
        <f>SUM('ketv. 6 lent'!AA106)</f>
        <v>0</v>
      </c>
      <c r="Z106" s="516">
        <f t="shared" si="152"/>
        <v>0</v>
      </c>
      <c r="AA106" s="516">
        <f>SUM('IV-2 dsa'!P47)</f>
        <v>139295</v>
      </c>
      <c r="AB106" s="468" t="str">
        <f>IF('ketv. 4 lent'!V106&gt;0,"Taip","Ne")</f>
        <v>Taip</v>
      </c>
      <c r="AC106" s="468">
        <f>SUM('ketv. 6 lent'!AE106)</f>
        <v>139295</v>
      </c>
      <c r="AD106" s="468">
        <f>IF(AC106&gt;0,AA106-AC106,0)</f>
        <v>0</v>
      </c>
      <c r="AE106" s="1113">
        <f>SUM('IV-2 dsa'!Q47)</f>
        <v>42863</v>
      </c>
      <c r="AF106" s="587">
        <f>SUM('IV-2 dsa'!R47)</f>
        <v>42916</v>
      </c>
      <c r="AG106" s="587">
        <f>SUM('IV-2 dsa'!S47)</f>
        <v>42993</v>
      </c>
      <c r="AH106" s="587">
        <f>SUM('IV-2 dsa'!T47)</f>
        <v>43100</v>
      </c>
      <c r="AI106" s="589">
        <f t="shared" si="153"/>
        <v>2017</v>
      </c>
      <c r="AJ106" s="1263">
        <f>SUM('IV-2 dsa'!U47)</f>
        <v>43692.333333333336</v>
      </c>
      <c r="AK106" s="468">
        <f>IF(YEAR(AH106)=2016,AA106,0)</f>
        <v>0</v>
      </c>
      <c r="AL106" s="468">
        <f>IF(YEAR(AH106)=2017,AA106,0)</f>
        <v>139295</v>
      </c>
      <c r="AM106" s="468">
        <f>IF(YEAR(AH106)=2018,AA106,0)</f>
        <v>0</v>
      </c>
      <c r="AN106" s="468">
        <f>IF(YEAR(AH106)=2019,AA106,0)</f>
        <v>0</v>
      </c>
      <c r="AO106" s="1264">
        <f>IF(YEAR(AH106)=2020,AA106,0)</f>
        <v>0</v>
      </c>
      <c r="AP106" s="592"/>
      <c r="AQ106" s="592"/>
      <c r="AR106" s="88"/>
    </row>
    <row r="107" spans="1:44" ht="39.75" thickTop="1" thickBot="1" x14ac:dyDescent="0.3">
      <c r="A107" s="515" t="s">
        <v>295</v>
      </c>
      <c r="B107" s="515" t="s">
        <v>1622</v>
      </c>
      <c r="C107" s="1262" t="str">
        <f>CONCATENATE('ketv. 2lent'!B106)</f>
        <v xml:space="preserve">09.1.3-CPVA-R-724-11-0001 </v>
      </c>
      <c r="D107" s="515" t="str">
        <f>CONCATENATE('IV-2 lrsa'!D44)</f>
        <v>Modernių ir saugių erdvių sukūrimas bendrojo ugdymo įstaigose Lazdijų rajono savivaldybėje</v>
      </c>
      <c r="E107" s="515" t="str">
        <f>CONCATENATE('IV-2 lrsa'!E44)</f>
        <v>Lazdijų rajono savivaldybės administracija</v>
      </c>
      <c r="F107" s="515" t="str">
        <f>CONCATENATE('IV-2 lrsa'!F44)</f>
        <v>Lietuvos Respublikos švietimo ir mokslo ministerija</v>
      </c>
      <c r="G107" s="515" t="str">
        <f>CONCATENATE('IV-2 lrsa'!G44)</f>
        <v>Lazdijų rajono savivaldybė</v>
      </c>
      <c r="H107" s="518" t="str">
        <f>CONCATENATE('IV-2 lrsa'!H44)</f>
        <v>09.1.3-CPVA-R-724</v>
      </c>
      <c r="I107" s="518" t="str">
        <f>CONCATENATE('IV-2 lrsa'!I44)</f>
        <v>R</v>
      </c>
      <c r="J107" s="518" t="str">
        <f>CONCATENATE('IV-2 lrsa'!J44)</f>
        <v>-</v>
      </c>
      <c r="K107" s="518" t="str">
        <f>CONCATENATE('IV-2 lrsa'!K44)</f>
        <v>-</v>
      </c>
      <c r="L107" s="516">
        <f>SUM('IV-2 lrsa'!L44)</f>
        <v>195779</v>
      </c>
      <c r="M107" s="516">
        <f>SUM('ketv. 6 lent'!K107)</f>
        <v>0</v>
      </c>
      <c r="N107" s="516">
        <f t="shared" si="148"/>
        <v>0</v>
      </c>
      <c r="O107" s="516">
        <f>SUM('IV-2 lrsa'!M44)</f>
        <v>14684</v>
      </c>
      <c r="P107" s="516">
        <f>SUM('ketv. 6 lent'!O107)</f>
        <v>0</v>
      </c>
      <c r="Q107" s="516">
        <f t="shared" si="149"/>
        <v>0</v>
      </c>
      <c r="R107" s="516">
        <f>SUM('IV-2 lrsa'!N44)</f>
        <v>14683</v>
      </c>
      <c r="S107" s="516">
        <f>SUM('ketv. 6 lent'!S107)</f>
        <v>0</v>
      </c>
      <c r="T107" s="516">
        <f t="shared" si="150"/>
        <v>0</v>
      </c>
      <c r="U107" s="516">
        <f>SUM('IV-2 lrsa'!O44)</f>
        <v>0</v>
      </c>
      <c r="V107" s="516">
        <f>SUM('ketv. 6 lent'!W107)</f>
        <v>0</v>
      </c>
      <c r="W107" s="516">
        <f t="shared" si="151"/>
        <v>0</v>
      </c>
      <c r="X107" s="516">
        <f>SUM('IV-2 lrsa'!P44)</f>
        <v>0</v>
      </c>
      <c r="Y107" s="516">
        <f>SUM('ketv. 6 lent'!AA107)</f>
        <v>0</v>
      </c>
      <c r="Z107" s="516">
        <f t="shared" si="152"/>
        <v>0</v>
      </c>
      <c r="AA107" s="516">
        <f>SUM('IV-2 lrsa'!Q44)</f>
        <v>166412</v>
      </c>
      <c r="AB107" s="468" t="str">
        <f>IF('ketv. 4 lent'!V107&gt;0,"Taip","Ne")</f>
        <v>Ne</v>
      </c>
      <c r="AC107" s="468">
        <f>SUM('ketv. 6 lent'!AE107)</f>
        <v>0</v>
      </c>
      <c r="AD107" s="468">
        <f>IF(AC107&gt;0,AA107-AC107,0)</f>
        <v>0</v>
      </c>
      <c r="AE107" s="1113">
        <f>SUM('IV-2 lrsa'!R44)</f>
        <v>42863</v>
      </c>
      <c r="AF107" s="587">
        <f>SUM('IV-2 lrsa'!S44)</f>
        <v>42916</v>
      </c>
      <c r="AG107" s="587">
        <f>SUM('IV-2 lrsa'!T44)</f>
        <v>42993</v>
      </c>
      <c r="AH107" s="587">
        <f>SUM('IV-2 lrsa'!U44)</f>
        <v>43100</v>
      </c>
      <c r="AI107" s="589">
        <f t="shared" si="153"/>
        <v>2017</v>
      </c>
      <c r="AJ107" s="1263">
        <f>SUM('IV-2 lrsa'!V44)</f>
        <v>43709</v>
      </c>
      <c r="AK107" s="468">
        <f>IF(YEAR(AH107)=2016,AA107,0)</f>
        <v>0</v>
      </c>
      <c r="AL107" s="468">
        <f>IF(YEAR(AH107)=2017,AA107,0)</f>
        <v>166412</v>
      </c>
      <c r="AM107" s="468">
        <f>IF(YEAR(AH107)=2018,AA107,0)</f>
        <v>0</v>
      </c>
      <c r="AN107" s="468">
        <f>IF(YEAR(AH107)=2019,AA107,0)</f>
        <v>0</v>
      </c>
      <c r="AO107" s="1264">
        <f>IF(YEAR(AH107)=2020,AA107,0)</f>
        <v>0</v>
      </c>
      <c r="AP107" s="88"/>
      <c r="AQ107" s="88"/>
      <c r="AR107" s="88"/>
    </row>
    <row r="108" spans="1:44" ht="33.75" customHeight="1" thickBot="1" x14ac:dyDescent="0.3">
      <c r="A108" s="1280" t="s">
        <v>99</v>
      </c>
      <c r="B108" s="1607" t="s">
        <v>1789</v>
      </c>
      <c r="C108" s="1610"/>
      <c r="D108" s="1610"/>
      <c r="E108" s="1610"/>
      <c r="F108" s="1610"/>
      <c r="G108" s="1610"/>
      <c r="H108" s="1610"/>
      <c r="I108" s="1610"/>
      <c r="J108" s="1610"/>
      <c r="K108" s="1611"/>
      <c r="L108" s="1258">
        <f t="shared" ref="L108:AA108" si="154">SUM(L109:L113)</f>
        <v>1973901.3</v>
      </c>
      <c r="M108" s="1258">
        <f>SUM(M109:M113)</f>
        <v>1973870.18</v>
      </c>
      <c r="N108" s="1258">
        <f>SUM(N109:N113)</f>
        <v>31.119999999995343</v>
      </c>
      <c r="O108" s="1258">
        <f t="shared" si="154"/>
        <v>487893.3</v>
      </c>
      <c r="P108" s="1258">
        <f>SUM(P109:P113)</f>
        <v>487863.18</v>
      </c>
      <c r="Q108" s="1258">
        <f>SUM(Q109:Q113)</f>
        <v>30.119999999995343</v>
      </c>
      <c r="R108" s="1258">
        <f t="shared" si="154"/>
        <v>0</v>
      </c>
      <c r="S108" s="1258">
        <f>SUM(S109:S113)</f>
        <v>0</v>
      </c>
      <c r="T108" s="1258">
        <f>SUM(T109:T113)</f>
        <v>0</v>
      </c>
      <c r="U108" s="1258">
        <f t="shared" si="154"/>
        <v>0</v>
      </c>
      <c r="V108" s="1258">
        <f>SUM(V109:V113)</f>
        <v>0</v>
      </c>
      <c r="W108" s="1258">
        <f>SUM(W109:W113)</f>
        <v>0</v>
      </c>
      <c r="X108" s="1258">
        <f t="shared" si="154"/>
        <v>0</v>
      </c>
      <c r="Y108" s="1258">
        <f>SUM(Y109:Y113)</f>
        <v>0</v>
      </c>
      <c r="Z108" s="1258">
        <f>SUM(Z109:Z113)</f>
        <v>0</v>
      </c>
      <c r="AA108" s="1258">
        <f t="shared" si="154"/>
        <v>1486008</v>
      </c>
      <c r="AB108" s="1258"/>
      <c r="AC108" s="1258">
        <f>SUM(AC109:AC113)</f>
        <v>1486007</v>
      </c>
      <c r="AD108" s="1258">
        <f>SUM(AD109:AD113)</f>
        <v>1</v>
      </c>
      <c r="AE108" s="1258"/>
      <c r="AF108" s="1277"/>
      <c r="AG108" s="1277"/>
      <c r="AH108" s="1277"/>
      <c r="AI108" s="1278"/>
      <c r="AJ108" s="1279"/>
      <c r="AK108" s="468">
        <f>SUM(AK109:AK113)</f>
        <v>0</v>
      </c>
      <c r="AL108" s="468">
        <f>SUM(AL109:AL113)</f>
        <v>1486008</v>
      </c>
      <c r="AM108" s="468">
        <f>SUM(AM109:AM113)</f>
        <v>0</v>
      </c>
      <c r="AN108" s="468">
        <f>SUM(AN109:AN113)</f>
        <v>0</v>
      </c>
      <c r="AO108" s="468">
        <f>SUM(AO109:AO113)</f>
        <v>0</v>
      </c>
      <c r="AP108" s="88">
        <f>SUM('IV-2 amsa'!W41+'IV-2 arsa'!V45+'IV-2 dsa'!V48+'IV-2 lrsa'!W45+'IV-2 vrsa'!W50)</f>
        <v>1486008.4570765519</v>
      </c>
      <c r="AQ108" s="88">
        <f>SUM(AP108*120/100)</f>
        <v>1783210.1484918622</v>
      </c>
      <c r="AR108" s="88">
        <f>SUM(AP108-AA108)</f>
        <v>0.45707655185833573</v>
      </c>
    </row>
    <row r="109" spans="1:44" ht="39.75" thickTop="1" thickBot="1" x14ac:dyDescent="0.3">
      <c r="A109" s="515" t="s">
        <v>100</v>
      </c>
      <c r="B109" s="515" t="s">
        <v>1623</v>
      </c>
      <c r="C109" s="1262" t="str">
        <f>CONCATENATE('ketv. 2lent'!B108)</f>
        <v>09.1.3-CPVA-R-725-11-0003</v>
      </c>
      <c r="D109" s="515" t="str">
        <f>CONCATENATE('IV-2 vrsa'!D51)</f>
        <v>Varėnos moksleivių kūrybos centro pastato J. Basanavičiaus g. 38, Varėnoje, modernizavimas</v>
      </c>
      <c r="E109" s="515" t="str">
        <f>CONCATENATE('IV-2 vrsa'!E51)</f>
        <v>Varėnos rajono savivaldybės administracija</v>
      </c>
      <c r="F109" s="515" t="str">
        <f>CONCATENATE('IV-2 vrsa'!F51)</f>
        <v>Lietuvos Respublikos švietimo ir mokslo ministerija</v>
      </c>
      <c r="G109" s="515" t="str">
        <f>CONCATENATE('IV-2 vrsa'!G51)</f>
        <v>Varėnos miestas</v>
      </c>
      <c r="H109" s="518" t="str">
        <f>CONCATENATE('IV-2 vrsa'!H51)</f>
        <v>09.13.CPVA-R-725</v>
      </c>
      <c r="I109" s="518" t="str">
        <f>CONCATENATE('IV-2 vrsa'!I51)</f>
        <v>R</v>
      </c>
      <c r="J109" s="518" t="str">
        <f>CONCATENATE('IV-2 vrsa'!J51)</f>
        <v>-</v>
      </c>
      <c r="K109" s="516" t="s">
        <v>66</v>
      </c>
      <c r="L109" s="516">
        <f>SUM('IV-2 vrsa'!L51)</f>
        <v>437551</v>
      </c>
      <c r="M109" s="516">
        <f>SUM('ketv. 6 lent'!K109)</f>
        <v>437551</v>
      </c>
      <c r="N109" s="516">
        <f t="shared" ref="N109:N113" si="155">IF(M109&gt;0,L109-M109,0)</f>
        <v>0</v>
      </c>
      <c r="O109" s="516">
        <f>SUM('IV-2 vrsa'!M51)</f>
        <v>65633</v>
      </c>
      <c r="P109" s="516">
        <f>SUM('ketv. 6 lent'!O109)</f>
        <v>65633</v>
      </c>
      <c r="Q109" s="516">
        <f t="shared" ref="Q109:Q113" si="156">IF(P109&gt;0,O109-P109,0)</f>
        <v>0</v>
      </c>
      <c r="R109" s="516">
        <f>SUM('IV-2 vrsa'!N51)</f>
        <v>0</v>
      </c>
      <c r="S109" s="516">
        <f>SUM('ketv. 6 lent'!S109)</f>
        <v>0</v>
      </c>
      <c r="T109" s="516">
        <f t="shared" ref="T109:T113" si="157">IF(S109&gt;0,R109-S109,0)</f>
        <v>0</v>
      </c>
      <c r="U109" s="516">
        <f>SUM('IV-2 vrsa'!O51)</f>
        <v>0</v>
      </c>
      <c r="V109" s="516">
        <f>SUM('ketv. 6 lent'!W109)</f>
        <v>0</v>
      </c>
      <c r="W109" s="516">
        <f t="shared" ref="W109:W113" si="158">IF(V109&gt;0,U109-V109,0)</f>
        <v>0</v>
      </c>
      <c r="X109" s="516">
        <f>SUM('IV-2 vrsa'!P51)</f>
        <v>0</v>
      </c>
      <c r="Y109" s="516">
        <f>SUM('ketv. 6 lent'!AA109)</f>
        <v>0</v>
      </c>
      <c r="Z109" s="516">
        <f t="shared" ref="Z109:Z113" si="159">IF(Y109&gt;0,X109-Y109,0)</f>
        <v>0</v>
      </c>
      <c r="AA109" s="516">
        <f>SUM('IV-2 vrsa'!Q51)</f>
        <v>371918</v>
      </c>
      <c r="AB109" s="468" t="str">
        <f>IF('ketv. 4 lent'!V109&gt;0,"Taip","Ne")</f>
        <v>Taip</v>
      </c>
      <c r="AC109" s="468">
        <f>SUM('ketv. 6 lent'!AE109)</f>
        <v>371918</v>
      </c>
      <c r="AD109" s="468">
        <f>IF(AC109&gt;0,AA109-AC109,0)</f>
        <v>0</v>
      </c>
      <c r="AE109" s="1113">
        <f>SUM('IV-2 vrsa'!R51)</f>
        <v>42870</v>
      </c>
      <c r="AF109" s="587">
        <f>SUM('IV-2 vrsa'!S51)</f>
        <v>42916</v>
      </c>
      <c r="AG109" s="587">
        <f>SUM('IV-2 vrsa'!T51)</f>
        <v>43007</v>
      </c>
      <c r="AH109" s="587">
        <f>SUM('IV-2 vrsa'!U51)</f>
        <v>43100</v>
      </c>
      <c r="AI109" s="589">
        <f t="shared" ref="AI109:AI113" si="160">IF(YEAR(AH109),YEAR(AH109))</f>
        <v>2017</v>
      </c>
      <c r="AJ109" s="1263">
        <f>SUM('IV-2 vrsa'!V51)</f>
        <v>43845</v>
      </c>
      <c r="AK109" s="468">
        <f>IF(YEAR(AH109)=2016,AA109,0)</f>
        <v>0</v>
      </c>
      <c r="AL109" s="468">
        <f>IF(YEAR(AH109)=2017,AA109,0)</f>
        <v>371918</v>
      </c>
      <c r="AM109" s="468">
        <f>IF(YEAR(AH109)=2018,AA109,0)</f>
        <v>0</v>
      </c>
      <c r="AN109" s="468">
        <f>IF(YEAR(AH109)=2019,AA109,0)</f>
        <v>0</v>
      </c>
      <c r="AO109" s="1264">
        <f>IF(YEAR(AH109)=2020,AA109,0)</f>
        <v>0</v>
      </c>
      <c r="AP109" s="88"/>
      <c r="AQ109" s="88"/>
      <c r="AR109" s="88"/>
    </row>
    <row r="110" spans="1:44" ht="39.75" thickTop="1" thickBot="1" x14ac:dyDescent="0.3">
      <c r="A110" s="515" t="s">
        <v>137</v>
      </c>
      <c r="B110" s="515" t="s">
        <v>1624</v>
      </c>
      <c r="C110" s="1262" t="str">
        <f>CONCATENATE('ketv. 2lent'!B109)</f>
        <v>09.1.3-CPVA-R-725-11-0005</v>
      </c>
      <c r="D110" s="515" t="str">
        <f>CONCATENATE('IV-2 arsa'!C46)</f>
        <v>Alytaus r. meno ir sporto mokyklos edukacinių erdvių įkūrimas ir atnaujinimas</v>
      </c>
      <c r="E110" s="515" t="str">
        <f>CONCATENATE('IV-2 arsa'!D46)</f>
        <v>Alytaus rajono savivaldybės administracija</v>
      </c>
      <c r="F110" s="515" t="str">
        <f>CONCATENATE('IV-2 arsa'!E46)</f>
        <v>Lietuvos Respublikos švietimo ir mokslo ministerija</v>
      </c>
      <c r="G110" s="515" t="str">
        <f>CONCATENATE('IV-2 arsa'!F46)</f>
        <v>Alytaus  rajono savivaldybė</v>
      </c>
      <c r="H110" s="518" t="str">
        <f>CONCATENATE('IV-2 arsa'!G46)</f>
        <v>09.13.CPVA-R-725</v>
      </c>
      <c r="I110" s="518" t="str">
        <f>CONCATENATE('IV-2 arsa'!H46)</f>
        <v>R</v>
      </c>
      <c r="J110" s="518" t="str">
        <f>CONCATENATE('IV-2 arsa'!I46)</f>
        <v>-</v>
      </c>
      <c r="K110" s="516" t="s">
        <v>66</v>
      </c>
      <c r="L110" s="516">
        <f>SUM('IV-2 arsa'!K46)</f>
        <v>856456</v>
      </c>
      <c r="M110" s="516">
        <f>SUM('ketv. 6 lent'!K110)</f>
        <v>856424.88</v>
      </c>
      <c r="N110" s="516">
        <f t="shared" si="155"/>
        <v>31.119999999995343</v>
      </c>
      <c r="O110" s="516">
        <f>SUM('IV-2 arsa'!L46)</f>
        <v>319845</v>
      </c>
      <c r="P110" s="516">
        <f>SUM('ketv. 6 lent'!O110)</f>
        <v>319813.88</v>
      </c>
      <c r="Q110" s="516">
        <f t="shared" si="156"/>
        <v>31.119999999995343</v>
      </c>
      <c r="R110" s="516">
        <f>SUM('IV-2 arsa'!M46)</f>
        <v>0</v>
      </c>
      <c r="S110" s="516">
        <f>SUM('ketv. 6 lent'!S110)</f>
        <v>0</v>
      </c>
      <c r="T110" s="516">
        <f t="shared" si="157"/>
        <v>0</v>
      </c>
      <c r="U110" s="516">
        <f>SUM('IV-2 arsa'!N46)</f>
        <v>0</v>
      </c>
      <c r="V110" s="516">
        <f>SUM('ketv. 6 lent'!W110)</f>
        <v>0</v>
      </c>
      <c r="W110" s="516">
        <f t="shared" si="158"/>
        <v>0</v>
      </c>
      <c r="X110" s="516">
        <f>SUM('IV-2 arsa'!O46)</f>
        <v>0</v>
      </c>
      <c r="Y110" s="516">
        <f>SUM('ketv. 6 lent'!AA110)</f>
        <v>0</v>
      </c>
      <c r="Z110" s="516">
        <f t="shared" si="159"/>
        <v>0</v>
      </c>
      <c r="AA110" s="516">
        <f>SUM('IV-2 arsa'!P46)</f>
        <v>536611</v>
      </c>
      <c r="AB110" s="468" t="str">
        <f>IF('ketv. 4 lent'!V110&gt;0,"Taip","Ne")</f>
        <v>Taip</v>
      </c>
      <c r="AC110" s="468">
        <f>SUM('ketv. 6 lent'!AE110)</f>
        <v>536611</v>
      </c>
      <c r="AD110" s="468">
        <f>IF(AC110&gt;0,AA110-AC110,0)</f>
        <v>0</v>
      </c>
      <c r="AE110" s="1113">
        <f>SUM('IV-2 arsa'!Q46)</f>
        <v>42870</v>
      </c>
      <c r="AF110" s="587">
        <f>SUM('IV-2 arsa'!R46)</f>
        <v>42916</v>
      </c>
      <c r="AG110" s="587">
        <f>SUM('IV-2 arsa'!S46)</f>
        <v>43008</v>
      </c>
      <c r="AH110" s="587">
        <f>SUM('IV-2 arsa'!T46)</f>
        <v>43100</v>
      </c>
      <c r="AI110" s="589">
        <f t="shared" si="160"/>
        <v>2017</v>
      </c>
      <c r="AJ110" s="1263">
        <f>SUM('IV-2 arsa'!U46)</f>
        <v>43832</v>
      </c>
      <c r="AK110" s="468">
        <f>IF(YEAR(AH110)=2016,AA110,0)</f>
        <v>0</v>
      </c>
      <c r="AL110" s="468">
        <f>IF(YEAR(AH110)=2017,AA110,0)</f>
        <v>536611</v>
      </c>
      <c r="AM110" s="468">
        <f>IF(YEAR(AH110)=2018,AA110,0)</f>
        <v>0</v>
      </c>
      <c r="AN110" s="468">
        <f>IF(YEAR(AH110)=2019,AA110,0)</f>
        <v>0</v>
      </c>
      <c r="AO110" s="1264">
        <f>IF(YEAR(AH110)=2020,AA110,0)</f>
        <v>0</v>
      </c>
      <c r="AP110" s="592"/>
      <c r="AQ110" s="88"/>
      <c r="AR110" s="88"/>
    </row>
    <row r="111" spans="1:44" ht="39.75" thickTop="1" thickBot="1" x14ac:dyDescent="0.3">
      <c r="A111" s="515" t="s">
        <v>202</v>
      </c>
      <c r="B111" s="515" t="s">
        <v>1625</v>
      </c>
      <c r="C111" s="1262" t="str">
        <f>CONCATENATE('ketv. 2lent'!B110)</f>
        <v>09.1.3-CPVA-R-725-11-0004</v>
      </c>
      <c r="D111" s="515" t="str">
        <f>CONCATENATE('IV-2 amsa'!D42)</f>
        <v>Alytaus muzikos mokyklos pastato modernizavimas ir ugdymo aplinkos gerinimas</v>
      </c>
      <c r="E111" s="515" t="str">
        <f>CONCATENATE('IV-2 amsa'!E42)</f>
        <v>Alytaus miesto savivaldybės administracija</v>
      </c>
      <c r="F111" s="515" t="str">
        <f>CONCATENATE('IV-2 amsa'!F42)</f>
        <v>Lietuvos Respublikos švietimo ir mokslo ministerija</v>
      </c>
      <c r="G111" s="515" t="str">
        <f>CONCATENATE('IV-2 amsa'!G42)</f>
        <v>Alytaus  miestas</v>
      </c>
      <c r="H111" s="518" t="str">
        <f>CONCATENATE('IV-2 amsa'!H42)</f>
        <v>09.13.CPVA-R-725</v>
      </c>
      <c r="I111" s="518" t="str">
        <f>CONCATENATE('IV-2 amsa'!I42)</f>
        <v>R</v>
      </c>
      <c r="J111" s="518" t="str">
        <f>CONCATENATE('IV-2 amsa'!J42)</f>
        <v>-</v>
      </c>
      <c r="K111" s="516" t="s">
        <v>66</v>
      </c>
      <c r="L111" s="516">
        <f>SUM('IV-2 amsa'!L42)</f>
        <v>397378</v>
      </c>
      <c r="M111" s="516">
        <f>SUM('ketv. 6 lent'!K111)</f>
        <v>397378</v>
      </c>
      <c r="N111" s="516">
        <f t="shared" si="155"/>
        <v>0</v>
      </c>
      <c r="O111" s="516">
        <f>SUM('IV-2 amsa'!M42)</f>
        <v>59607</v>
      </c>
      <c r="P111" s="516">
        <f>SUM('ketv. 6 lent'!O111)</f>
        <v>59607</v>
      </c>
      <c r="Q111" s="516">
        <f t="shared" si="156"/>
        <v>0</v>
      </c>
      <c r="R111" s="516">
        <f>SUM('IV-2 amsa'!N42)</f>
        <v>0</v>
      </c>
      <c r="S111" s="516">
        <f>SUM('ketv. 6 lent'!S111)</f>
        <v>0</v>
      </c>
      <c r="T111" s="516">
        <f t="shared" si="157"/>
        <v>0</v>
      </c>
      <c r="U111" s="516">
        <f>SUM('IV-2 amsa'!O42)</f>
        <v>0</v>
      </c>
      <c r="V111" s="516">
        <f>SUM('ketv. 6 lent'!W111)</f>
        <v>0</v>
      </c>
      <c r="W111" s="516">
        <f t="shared" si="158"/>
        <v>0</v>
      </c>
      <c r="X111" s="516">
        <f>SUM('IV-2 amsa'!P42)</f>
        <v>0</v>
      </c>
      <c r="Y111" s="516">
        <f>SUM('ketv. 6 lent'!AA111)</f>
        <v>0</v>
      </c>
      <c r="Z111" s="516">
        <f t="shared" si="159"/>
        <v>0</v>
      </c>
      <c r="AA111" s="516">
        <f>SUM('IV-2 amsa'!Q42)</f>
        <v>337771</v>
      </c>
      <c r="AB111" s="468" t="str">
        <f>IF('ketv. 4 lent'!V111&gt;0,"Taip","Ne")</f>
        <v>Taip</v>
      </c>
      <c r="AC111" s="468">
        <f>SUM('ketv. 6 lent'!AE111)</f>
        <v>337771</v>
      </c>
      <c r="AD111" s="468">
        <f>IF(AC111&gt;0,AA111-AC111,0)</f>
        <v>0</v>
      </c>
      <c r="AE111" s="1113">
        <f>SUM('IV-2 amsa'!R42)</f>
        <v>42870</v>
      </c>
      <c r="AF111" s="587">
        <f>SUM('IV-2 amsa'!S42)</f>
        <v>42916</v>
      </c>
      <c r="AG111" s="587">
        <f>SUM('IV-2 amsa'!T42)</f>
        <v>43007</v>
      </c>
      <c r="AH111" s="587">
        <f>SUM('IV-2 amsa'!U42)</f>
        <v>43100</v>
      </c>
      <c r="AI111" s="589">
        <f t="shared" si="160"/>
        <v>2017</v>
      </c>
      <c r="AJ111" s="1263">
        <f>SUM('IV-2 amsa'!V42)</f>
        <v>43832</v>
      </c>
      <c r="AK111" s="468">
        <f>IF(YEAR(AH111)=2016,AA111,0)</f>
        <v>0</v>
      </c>
      <c r="AL111" s="468">
        <f>IF(YEAR(AH111)=2017,AA111,0)</f>
        <v>337771</v>
      </c>
      <c r="AM111" s="468">
        <f>IF(YEAR(AH111)=2018,AA111,0)</f>
        <v>0</v>
      </c>
      <c r="AN111" s="468">
        <f>IF(YEAR(AH111)=2019,AA111,0)</f>
        <v>0</v>
      </c>
      <c r="AO111" s="1264">
        <f>IF(YEAR(AH111)=2020,AA111,0)</f>
        <v>0</v>
      </c>
      <c r="AP111" s="88"/>
      <c r="AQ111" s="88"/>
      <c r="AR111" s="88"/>
    </row>
    <row r="112" spans="1:44" ht="39.75" thickTop="1" thickBot="1" x14ac:dyDescent="0.3">
      <c r="A112" s="515" t="s">
        <v>204</v>
      </c>
      <c r="B112" s="515" t="s">
        <v>1626</v>
      </c>
      <c r="C112" s="1262" t="str">
        <f>CONCATENATE('ketv. 2lent'!B111)</f>
        <v>09.1.3-CPVA-R-725-11-0002</v>
      </c>
      <c r="D112" s="515" t="str">
        <f>CONCATENATE('IV-2 dsa'!C49)</f>
        <v>Druskininkų M. K. Čiurlionio meno mokyklos infrastruktūros tobulinimas</v>
      </c>
      <c r="E112" s="515" t="str">
        <f>CONCATENATE('IV-2 dsa'!D49)</f>
        <v xml:space="preserve">Druskininkų savivaldybės administracija  </v>
      </c>
      <c r="F112" s="515" t="str">
        <f>CONCATENATE('IV-2 dsa'!E49)</f>
        <v>Lietuvos Respublikos švietimo ir mokslo ministerija</v>
      </c>
      <c r="G112" s="515" t="str">
        <f>CONCATENATE('IV-2 dsa'!F49)</f>
        <v>Druskininkų miestas</v>
      </c>
      <c r="H112" s="518" t="str">
        <f>CONCATENATE('IV-2 dsa'!G49)</f>
        <v>09.13.CPVA-R-725</v>
      </c>
      <c r="I112" s="518" t="str">
        <f>CONCATENATE('IV-2 dsa'!H49)</f>
        <v>R</v>
      </c>
      <c r="J112" s="518" t="str">
        <f>CONCATENATE('IV-2 dsa'!I49)</f>
        <v>-</v>
      </c>
      <c r="K112" s="516" t="s">
        <v>66</v>
      </c>
      <c r="L112" s="516">
        <f>SUM('IV-2 dsa'!K49)</f>
        <v>146702.29999999999</v>
      </c>
      <c r="M112" s="516">
        <f>SUM('ketv. 6 lent'!K112)</f>
        <v>146702.29999999999</v>
      </c>
      <c r="N112" s="516">
        <f t="shared" si="155"/>
        <v>0</v>
      </c>
      <c r="O112" s="516">
        <f>SUM('IV-2 dsa'!L49)</f>
        <v>22436.3</v>
      </c>
      <c r="P112" s="516">
        <f>SUM('ketv. 6 lent'!O112)</f>
        <v>22436.3</v>
      </c>
      <c r="Q112" s="516">
        <f t="shared" si="156"/>
        <v>0</v>
      </c>
      <c r="R112" s="516">
        <f>SUM('IV-2 dsa'!M49)</f>
        <v>0</v>
      </c>
      <c r="S112" s="516">
        <f>SUM('ketv. 6 lent'!S112)</f>
        <v>0</v>
      </c>
      <c r="T112" s="516">
        <f t="shared" si="157"/>
        <v>0</v>
      </c>
      <c r="U112" s="516">
        <f>SUM('IV-2 dsa'!N49)</f>
        <v>0</v>
      </c>
      <c r="V112" s="516">
        <f>SUM('ketv. 6 lent'!W112)</f>
        <v>0</v>
      </c>
      <c r="W112" s="516">
        <f t="shared" si="158"/>
        <v>0</v>
      </c>
      <c r="X112" s="516">
        <f>SUM('IV-2 dsa'!O49)</f>
        <v>0</v>
      </c>
      <c r="Y112" s="516">
        <f>SUM('ketv. 6 lent'!AA112)</f>
        <v>0</v>
      </c>
      <c r="Z112" s="516">
        <f t="shared" si="159"/>
        <v>0</v>
      </c>
      <c r="AA112" s="516">
        <f>SUM('IV-2 dsa'!P49)</f>
        <v>124266</v>
      </c>
      <c r="AB112" s="468" t="str">
        <f>IF('ketv. 4 lent'!V112&gt;0,"Taip","Ne")</f>
        <v>Taip</v>
      </c>
      <c r="AC112" s="468">
        <f>SUM('ketv. 6 lent'!AE112)</f>
        <v>124266</v>
      </c>
      <c r="AD112" s="468">
        <f>IF(AC112&gt;0,AA112-AC112,0)</f>
        <v>0</v>
      </c>
      <c r="AE112" s="1113">
        <f>SUM('IV-2 dsa'!Q49)</f>
        <v>42828</v>
      </c>
      <c r="AF112" s="587">
        <f>SUM('IV-2 dsa'!R49)</f>
        <v>42916</v>
      </c>
      <c r="AG112" s="587">
        <f>SUM('IV-2 dsa'!S49)</f>
        <v>42993</v>
      </c>
      <c r="AH112" s="587">
        <f>SUM('IV-2 dsa'!T49)</f>
        <v>43100</v>
      </c>
      <c r="AI112" s="589">
        <f t="shared" si="160"/>
        <v>2017</v>
      </c>
      <c r="AJ112" s="1263">
        <f>SUM('IV-2 dsa'!U49)</f>
        <v>43449</v>
      </c>
      <c r="AK112" s="468">
        <f>IF(YEAR(AH112)=2016,AA112,0)</f>
        <v>0</v>
      </c>
      <c r="AL112" s="468">
        <f>IF(YEAR(AH112)=2017,AA112,0)</f>
        <v>124266</v>
      </c>
      <c r="AM112" s="468">
        <f>IF(YEAR(AH112)=2018,AA112,0)</f>
        <v>0</v>
      </c>
      <c r="AN112" s="468">
        <f>IF(YEAR(AH112)=2019,AA112,0)</f>
        <v>0</v>
      </c>
      <c r="AO112" s="1264">
        <f>IF(YEAR(AH112)=2020,AA112,0)</f>
        <v>0</v>
      </c>
      <c r="AP112" s="592"/>
      <c r="AQ112" s="88"/>
      <c r="AR112" s="88"/>
    </row>
    <row r="113" spans="1:44" ht="39.75" thickTop="1" thickBot="1" x14ac:dyDescent="0.3">
      <c r="A113" s="515" t="s">
        <v>228</v>
      </c>
      <c r="B113" s="515" t="s">
        <v>1627</v>
      </c>
      <c r="C113" s="1262" t="str">
        <f>CONCATENATE('ketv. 2lent'!B112)</f>
        <v>09.1.3-CPVA-R-725-11-0001</v>
      </c>
      <c r="D113" s="515" t="str">
        <f>CONCATENATE('IV-2 lrsa'!D46)</f>
        <v>Neformaliojo švietimo įstaigų Lazdijų rajono savivaldybėje infrastruktūros tobulinimas</v>
      </c>
      <c r="E113" s="515" t="str">
        <f>CONCATENATE('IV-2 lrsa'!E46)</f>
        <v>VšĮ „Lazdijų sporto centras“</v>
      </c>
      <c r="F113" s="515" t="str">
        <f>CONCATENATE('IV-2 lrsa'!F46)</f>
        <v>Lietuvos Respublikos švietimo ir mokslo ministerija</v>
      </c>
      <c r="G113" s="515" t="str">
        <f>CONCATENATE('IV-2 lrsa'!G46)</f>
        <v>Lazdijų rajono savivaldybė</v>
      </c>
      <c r="H113" s="518" t="str">
        <f>CONCATENATE('IV-2 lrsa'!H46)</f>
        <v>09.13.CPVA-R-725</v>
      </c>
      <c r="I113" s="518" t="str">
        <f>CONCATENATE('IV-2 lrsa'!I46)</f>
        <v>R</v>
      </c>
      <c r="J113" s="518" t="str">
        <f>CONCATENATE('IV-2 lrsa'!J46)</f>
        <v>-</v>
      </c>
      <c r="K113" s="516" t="s">
        <v>66</v>
      </c>
      <c r="L113" s="516">
        <f>SUM('IV-2 lrsa'!L46)</f>
        <v>135814</v>
      </c>
      <c r="M113" s="516">
        <f>SUM('ketv. 6 lent'!K113)</f>
        <v>135814</v>
      </c>
      <c r="N113" s="516">
        <f t="shared" si="155"/>
        <v>0</v>
      </c>
      <c r="O113" s="516">
        <f>SUM('IV-2 lrsa'!M46)</f>
        <v>20372</v>
      </c>
      <c r="P113" s="516">
        <f>SUM('ketv. 6 lent'!O113)</f>
        <v>20373</v>
      </c>
      <c r="Q113" s="516">
        <f t="shared" si="156"/>
        <v>-1</v>
      </c>
      <c r="R113" s="516">
        <f>SUM('IV-2 lrsa'!N46)</f>
        <v>0</v>
      </c>
      <c r="S113" s="516">
        <f>SUM('ketv. 6 lent'!S113)</f>
        <v>0</v>
      </c>
      <c r="T113" s="516">
        <f t="shared" si="157"/>
        <v>0</v>
      </c>
      <c r="U113" s="516">
        <f>SUM('IV-2 lrsa'!O46)</f>
        <v>0</v>
      </c>
      <c r="V113" s="516">
        <f>SUM('ketv. 6 lent'!W113)</f>
        <v>0</v>
      </c>
      <c r="W113" s="516">
        <f t="shared" si="158"/>
        <v>0</v>
      </c>
      <c r="X113" s="516">
        <f>SUM('IV-2 lrsa'!P46)</f>
        <v>0</v>
      </c>
      <c r="Y113" s="516">
        <f>SUM('ketv. 6 lent'!AA113)</f>
        <v>0</v>
      </c>
      <c r="Z113" s="516">
        <f t="shared" si="159"/>
        <v>0</v>
      </c>
      <c r="AA113" s="516">
        <f>SUM('IV-2 lrsa'!Q46)</f>
        <v>115442</v>
      </c>
      <c r="AB113" s="468" t="str">
        <f>IF('ketv. 4 lent'!V113&gt;0,"Taip","Ne")</f>
        <v>Taip</v>
      </c>
      <c r="AC113" s="468">
        <f>SUM('ketv. 6 lent'!AE113)</f>
        <v>115441</v>
      </c>
      <c r="AD113" s="468">
        <f>IF(AC113&gt;0,AA113-AC113,0)</f>
        <v>1</v>
      </c>
      <c r="AE113" s="1113">
        <f>SUM('IV-2 lrsa'!R46)</f>
        <v>42828</v>
      </c>
      <c r="AF113" s="587">
        <f>SUM('IV-2 lrsa'!S46)</f>
        <v>42866</v>
      </c>
      <c r="AG113" s="587">
        <f>SUM('IV-2 lrsa'!T46)</f>
        <v>42916</v>
      </c>
      <c r="AH113" s="587">
        <f>SUM('IV-2 lrsa'!U46)</f>
        <v>43100</v>
      </c>
      <c r="AI113" s="589">
        <f t="shared" si="160"/>
        <v>2017</v>
      </c>
      <c r="AJ113" s="1263">
        <f>SUM('IV-2 lrsa'!V46)</f>
        <v>43465.25</v>
      </c>
      <c r="AK113" s="468">
        <f>IF(YEAR(AH113)=2016,AA113,0)</f>
        <v>0</v>
      </c>
      <c r="AL113" s="468">
        <f>IF(YEAR(AH113)=2017,AA113,0)</f>
        <v>115442</v>
      </c>
      <c r="AM113" s="468">
        <f>IF(YEAR(AH113)=2018,AA113,0)</f>
        <v>0</v>
      </c>
      <c r="AN113" s="468">
        <f>IF(YEAR(AH113)=2019,AA113,0)</f>
        <v>0</v>
      </c>
      <c r="AO113" s="1264">
        <f>IF(YEAR(AH113)=2020,AA113,0)</f>
        <v>0</v>
      </c>
      <c r="AP113" s="592"/>
      <c r="AQ113" s="88"/>
      <c r="AR113" s="88"/>
    </row>
    <row r="114" spans="1:44" ht="37.5" customHeight="1" thickBot="1" x14ac:dyDescent="0.3">
      <c r="A114" s="1280" t="s">
        <v>101</v>
      </c>
      <c r="B114" s="1607" t="s">
        <v>1772</v>
      </c>
      <c r="C114" s="1610"/>
      <c r="D114" s="1610"/>
      <c r="E114" s="1610"/>
      <c r="F114" s="1610"/>
      <c r="G114" s="1610"/>
      <c r="H114" s="1610"/>
      <c r="I114" s="1610"/>
      <c r="J114" s="1610"/>
      <c r="K114" s="1611"/>
      <c r="L114" s="1258">
        <f>SUM(L115:L119)</f>
        <v>1387789.0699999996</v>
      </c>
      <c r="M114" s="1258">
        <f>SUM(M115:M119)</f>
        <v>0</v>
      </c>
      <c r="N114" s="1258">
        <f>SUM(N115:N119)</f>
        <v>0</v>
      </c>
      <c r="O114" s="1258">
        <f t="shared" ref="O114" si="161">SUM(O115:O119)</f>
        <v>148738.06999999998</v>
      </c>
      <c r="P114" s="1258">
        <f>SUM(P115:P119)</f>
        <v>0</v>
      </c>
      <c r="Q114" s="1258">
        <f>SUM(Q115:Q119)</f>
        <v>0</v>
      </c>
      <c r="R114" s="1258">
        <f t="shared" ref="R114" si="162">SUM(R115:R119)</f>
        <v>100462.7837837838</v>
      </c>
      <c r="S114" s="1258">
        <f>SUM(S115:S119)</f>
        <v>0</v>
      </c>
      <c r="T114" s="1258">
        <f>SUM(T115:T119)</f>
        <v>0</v>
      </c>
      <c r="U114" s="1258">
        <f t="shared" ref="U114" si="163">SUM(U115:U119)</f>
        <v>0</v>
      </c>
      <c r="V114" s="1258">
        <f>SUM(V115:V119)</f>
        <v>0</v>
      </c>
      <c r="W114" s="1258">
        <f>SUM(W115:W119)</f>
        <v>0</v>
      </c>
      <c r="X114" s="1258">
        <f t="shared" ref="X114" si="164">SUM(X115:X119)</f>
        <v>0</v>
      </c>
      <c r="Y114" s="1258">
        <f>SUM(Y115:Y119)</f>
        <v>0</v>
      </c>
      <c r="Z114" s="1258">
        <f>SUM(Z115:Z119)</f>
        <v>0</v>
      </c>
      <c r="AA114" s="1258">
        <f t="shared" ref="AA114" si="165">SUM(AA115:AA119)</f>
        <v>1138588.2162162161</v>
      </c>
      <c r="AB114" s="1258"/>
      <c r="AC114" s="1258">
        <f>SUM(AC115:AC119)</f>
        <v>0</v>
      </c>
      <c r="AD114" s="1258">
        <f>SUM(AD115:AD119)</f>
        <v>0</v>
      </c>
      <c r="AE114" s="1258"/>
      <c r="AF114" s="1277"/>
      <c r="AG114" s="1277"/>
      <c r="AH114" s="1277"/>
      <c r="AI114" s="1278"/>
      <c r="AJ114" s="1279"/>
      <c r="AK114" s="1252">
        <f t="shared" ref="AK114:AL114" si="166">SUM(AK115:AK119)</f>
        <v>0</v>
      </c>
      <c r="AL114" s="1252">
        <f t="shared" si="166"/>
        <v>0</v>
      </c>
      <c r="AM114" s="1252">
        <f>SUM(AM115:AM119)</f>
        <v>1138588.2162162161</v>
      </c>
      <c r="AN114" s="1252">
        <f t="shared" ref="AN114:AO114" si="167">SUM(AN115:AN119)</f>
        <v>0</v>
      </c>
      <c r="AO114" s="1252">
        <f t="shared" si="167"/>
        <v>0</v>
      </c>
      <c r="AP114" s="88">
        <f>SUM('IV-2 amsa'!W43+'IV-2 arsa'!V47+'IV-2 dsa'!V50+'IV-2 lrsa'!W47+'IV-2 vrsa'!W52)</f>
        <v>1328775.8344968446</v>
      </c>
      <c r="AQ114" s="88">
        <f>SUM(AP114*120/100)</f>
        <v>1594531.0013962134</v>
      </c>
      <c r="AR114" s="88">
        <f>SUM(AP114-AA114)</f>
        <v>190187.61828062846</v>
      </c>
    </row>
    <row r="115" spans="1:44" ht="39.75" thickTop="1" thickBot="1" x14ac:dyDescent="0.3">
      <c r="A115" s="515" t="s">
        <v>102</v>
      </c>
      <c r="B115" s="515" t="s">
        <v>1628</v>
      </c>
      <c r="C115" s="1449" t="str">
        <f>CONCATENATE('ketv. 2lent'!B114)</f>
        <v>09.1.3-CPVA-R-705-11-0003</v>
      </c>
      <c r="D115" s="515" t="str">
        <f>CONCATENATE('IV-2 vrsa'!D53)</f>
        <v>Varėnos "Pasakos" vaikų lopšelio-darželio pastato modernizavimas</v>
      </c>
      <c r="E115" s="515" t="str">
        <f>CONCATENATE('IV-2 vrsa'!E53)</f>
        <v>Varėnos rajono savivaldybės administracija</v>
      </c>
      <c r="F115" s="515" t="str">
        <f>CONCATENATE('IV-2 vrsa'!F53)</f>
        <v>Lietuvos Respublikos švietimo ir mokslo ministerija</v>
      </c>
      <c r="G115" s="515" t="str">
        <f>CONCATENATE('IV-2 vrsa'!G53)</f>
        <v>Varėnos miestas</v>
      </c>
      <c r="H115" s="518" t="str">
        <f>CONCATENATE('IV-2 vrsa'!H53)</f>
        <v>09.1.3-CPVA-R-705</v>
      </c>
      <c r="I115" s="518" t="str">
        <f>CONCATENATE('IV-2 vrsa'!I53)</f>
        <v>R</v>
      </c>
      <c r="J115" s="518" t="str">
        <f>CONCATENATE('IV-2 vrsa'!J53)</f>
        <v>-</v>
      </c>
      <c r="K115" s="518" t="str">
        <f>CONCATENATE('IV-2 vrsa'!K53)</f>
        <v>-</v>
      </c>
      <c r="L115" s="516">
        <f>SUM('IV-2 vrsa'!L53)</f>
        <v>370000</v>
      </c>
      <c r="M115" s="516">
        <f>SUM('ketv. 6 lent'!K115)</f>
        <v>0</v>
      </c>
      <c r="N115" s="516">
        <f t="shared" ref="N115:N119" si="168">IF(M115&gt;0,L115-M115,0)</f>
        <v>0</v>
      </c>
      <c r="O115" s="516">
        <f>SUM('IV-2 vrsa'!M53)</f>
        <v>57342</v>
      </c>
      <c r="P115" s="516">
        <f>SUM('ketv. 6 lent'!O115)</f>
        <v>0</v>
      </c>
      <c r="Q115" s="516">
        <f t="shared" ref="Q115:Q119" si="169">IF(P115&gt;0,O115-P115,0)</f>
        <v>0</v>
      </c>
      <c r="R115" s="516">
        <f>SUM('IV-2 vrsa'!N53)</f>
        <v>25351</v>
      </c>
      <c r="S115" s="516">
        <f>SUM('ketv. 6 lent'!S115)</f>
        <v>0</v>
      </c>
      <c r="T115" s="516">
        <f t="shared" ref="T115:T119" si="170">IF(S115&gt;0,R115-S115,0)</f>
        <v>0</v>
      </c>
      <c r="U115" s="516">
        <f>SUM('IV-2 vrsa'!O53)</f>
        <v>0</v>
      </c>
      <c r="V115" s="516">
        <f>SUM('ketv. 6 lent'!W115)</f>
        <v>0</v>
      </c>
      <c r="W115" s="516">
        <f t="shared" ref="W115:W119" si="171">IF(V115&gt;0,U115-V115,0)</f>
        <v>0</v>
      </c>
      <c r="X115" s="516">
        <f>SUM('IV-2 vrsa'!P53)</f>
        <v>0</v>
      </c>
      <c r="Y115" s="516">
        <f>SUM('ketv. 6 lent'!AA115)</f>
        <v>0</v>
      </c>
      <c r="Z115" s="516">
        <f t="shared" ref="Z115:Z119" si="172">IF(Y115&gt;0,X115-Y115,0)</f>
        <v>0</v>
      </c>
      <c r="AA115" s="516">
        <f>SUM('IV-2 vrsa'!Q53)</f>
        <v>287307</v>
      </c>
      <c r="AB115" s="468" t="str">
        <f>IF('ketv. 4 lent'!V115&gt;0,"Taip","Ne")</f>
        <v>Ne</v>
      </c>
      <c r="AC115" s="468">
        <f>SUM('ketv. 6 lent'!AE115)</f>
        <v>0</v>
      </c>
      <c r="AD115" s="468">
        <f>IF(AC115&gt;0,AA115-AC115,0)</f>
        <v>0</v>
      </c>
      <c r="AE115" s="1113">
        <f>SUM('IV-2 vrsa'!R53)</f>
        <v>42968</v>
      </c>
      <c r="AF115" s="587">
        <f>SUM('IV-2 vrsa'!S53)</f>
        <v>43039</v>
      </c>
      <c r="AG115" s="587">
        <f>SUM('IV-2 vrsa'!T53)</f>
        <v>43080</v>
      </c>
      <c r="AH115" s="587">
        <f>SUM('IV-2 vrsa'!U53)</f>
        <v>43159</v>
      </c>
      <c r="AI115" s="589">
        <f t="shared" ref="AI115:AI119" si="173">IF(YEAR(AH115),YEAR(AH115))</f>
        <v>2018</v>
      </c>
      <c r="AJ115" s="1263">
        <f>SUM('IV-2 vrsa'!V53)</f>
        <v>43679.5</v>
      </c>
      <c r="AK115" s="468">
        <f>IF(YEAR(AH115)=2016,AA115,0)</f>
        <v>0</v>
      </c>
      <c r="AL115" s="468">
        <f>IF(YEAR(AH115)=2017,AA115,0)</f>
        <v>0</v>
      </c>
      <c r="AM115" s="468">
        <f>IF(YEAR(AH115)=2018,AA115,0)</f>
        <v>287307</v>
      </c>
      <c r="AN115" s="468">
        <f>IF(YEAR(AH115)=2019,AA115,0)</f>
        <v>0</v>
      </c>
      <c r="AO115" s="1264">
        <f>IF(YEAR(AH115)=2020,AA115,0)</f>
        <v>0</v>
      </c>
      <c r="AP115" s="88"/>
      <c r="AQ115" s="88"/>
      <c r="AR115" s="88"/>
    </row>
    <row r="116" spans="1:44" ht="62.25" customHeight="1" thickTop="1" thickBot="1" x14ac:dyDescent="0.3">
      <c r="A116" s="515" t="s">
        <v>205</v>
      </c>
      <c r="B116" s="515" t="s">
        <v>1629</v>
      </c>
      <c r="C116" s="1449" t="str">
        <f>CONCATENATE('ketv. 2lent'!B115)</f>
        <v>09.1.3-CPVA-R-705-11-0004</v>
      </c>
      <c r="D116" s="515" t="str">
        <f>CONCATENATE('IV-2 arsa'!C48)</f>
        <v>Alytaus r. ikimokyklinio ir priešmokyklinio ugdymo prieinamumo didinimas įkuriant ir atnaujinant edukacines erdves</v>
      </c>
      <c r="E116" s="515" t="str">
        <f>CONCATENATE('IV-2 arsa'!D48)</f>
        <v>Alytaus rajono savivaldybės administracija</v>
      </c>
      <c r="F116" s="515" t="str">
        <f>CONCATENATE('IV-2 arsa'!E48)</f>
        <v>Lietuvos Respublikos švietimo ir mokslo ministerija</v>
      </c>
      <c r="G116" s="515" t="str">
        <f>CONCATENATE('IV-2 arsa'!F48)</f>
        <v>Alytaus  rajono savivaldybė</v>
      </c>
      <c r="H116" s="518" t="str">
        <f>CONCATENATE('IV-2 arsa'!G48)</f>
        <v>09.1.3-CPVA-R-705</v>
      </c>
      <c r="I116" s="518" t="str">
        <f>CONCATENATE('IV-2 arsa'!H48)</f>
        <v>R</v>
      </c>
      <c r="J116" s="518" t="str">
        <f>CONCATENATE('IV-2 arsa'!I48)</f>
        <v/>
      </c>
      <c r="K116" s="518" t="str">
        <f>CONCATENATE('IV-2 arsa'!J48)</f>
        <v/>
      </c>
      <c r="L116" s="516">
        <f>SUM('IV-2 arsa'!K48)</f>
        <v>597456.86</v>
      </c>
      <c r="M116" s="516">
        <f>SUM('ketv. 6 lent'!K116)</f>
        <v>0</v>
      </c>
      <c r="N116" s="516">
        <f t="shared" si="168"/>
        <v>0</v>
      </c>
      <c r="O116" s="516">
        <f>SUM('IV-2 arsa'!L48)</f>
        <v>59861.86</v>
      </c>
      <c r="P116" s="516">
        <f>SUM('ketv. 6 lent'!O116)</f>
        <v>0</v>
      </c>
      <c r="Q116" s="516">
        <f t="shared" si="169"/>
        <v>0</v>
      </c>
      <c r="R116" s="516">
        <f>SUM('IV-2 arsa'!M48)</f>
        <v>43588</v>
      </c>
      <c r="S116" s="516">
        <f>SUM('ketv. 6 lent'!S116)</f>
        <v>0</v>
      </c>
      <c r="T116" s="516">
        <f t="shared" si="170"/>
        <v>0</v>
      </c>
      <c r="U116" s="516">
        <f>SUM('IV-2 arsa'!N48)</f>
        <v>0</v>
      </c>
      <c r="V116" s="516">
        <f>SUM('ketv. 6 lent'!W116)</f>
        <v>0</v>
      </c>
      <c r="W116" s="516">
        <f t="shared" si="171"/>
        <v>0</v>
      </c>
      <c r="X116" s="516">
        <f>SUM('IV-2 arsa'!O48)</f>
        <v>0</v>
      </c>
      <c r="Y116" s="516">
        <f>SUM('ketv. 6 lent'!AA116)</f>
        <v>0</v>
      </c>
      <c r="Z116" s="516">
        <f t="shared" si="172"/>
        <v>0</v>
      </c>
      <c r="AA116" s="516">
        <f>SUM('IV-2 arsa'!P48)</f>
        <v>494007</v>
      </c>
      <c r="AB116" s="468" t="str">
        <f>IF('ketv. 4 lent'!V116&gt;0,"Taip","Ne")</f>
        <v>Ne</v>
      </c>
      <c r="AC116" s="468">
        <f>SUM('ketv. 6 lent'!AE116)</f>
        <v>0</v>
      </c>
      <c r="AD116" s="468">
        <f>IF(AC116&gt;0,AA116-AC116,0)</f>
        <v>0</v>
      </c>
      <c r="AE116" s="1113">
        <f>SUM('IV-2 arsa'!Q48)</f>
        <v>42968</v>
      </c>
      <c r="AF116" s="587">
        <f>SUM('IV-2 arsa'!R48)</f>
        <v>43039</v>
      </c>
      <c r="AG116" s="587">
        <f>SUM('IV-2 arsa'!S48)</f>
        <v>43080</v>
      </c>
      <c r="AH116" s="587">
        <f>SUM('IV-2 arsa'!T48)</f>
        <v>43159</v>
      </c>
      <c r="AI116" s="589">
        <f t="shared" si="173"/>
        <v>2018</v>
      </c>
      <c r="AJ116" s="1263">
        <f>SUM('IV-2 arsa'!U48)</f>
        <v>43845</v>
      </c>
      <c r="AK116" s="468">
        <f>IF(YEAR(AH116)=2016,AA116,0)</f>
        <v>0</v>
      </c>
      <c r="AL116" s="468">
        <f>IF(YEAR(AH116)=2017,AA116,0)</f>
        <v>0</v>
      </c>
      <c r="AM116" s="468">
        <f>IF(YEAR(AH116)=2018,AA116,0)</f>
        <v>494007</v>
      </c>
      <c r="AN116" s="468">
        <f>IF(YEAR(AH116)=2019,AA116,0)</f>
        <v>0</v>
      </c>
      <c r="AO116" s="1264">
        <f>IF(YEAR(AH116)=2020,AA116,0)</f>
        <v>0</v>
      </c>
      <c r="AP116" s="592"/>
      <c r="AQ116" s="88"/>
      <c r="AR116" s="88"/>
    </row>
    <row r="117" spans="1:44" ht="54.75" customHeight="1" thickTop="1" thickBot="1" x14ac:dyDescent="0.3">
      <c r="A117" s="515" t="s">
        <v>229</v>
      </c>
      <c r="B117" s="515" t="s">
        <v>1630</v>
      </c>
      <c r="C117" s="1449" t="str">
        <f>CONCATENATE('ketv. 2lent'!B116)</f>
        <v>09.1.3-CPVA-R-705-11-0001</v>
      </c>
      <c r="D117" s="515" t="str">
        <f>CONCATENATE('IV-2 amsa'!D44)</f>
        <v>Alytaus lopšelio-darželio " Girinukas" ugdymo aplinkos modernizavimas</v>
      </c>
      <c r="E117" s="515" t="str">
        <f>CONCATENATE('IV-2 amsa'!E44)</f>
        <v>Alytaus miesto savivaldybės administracija</v>
      </c>
      <c r="F117" s="515" t="str">
        <f>CONCATENATE('IV-2 amsa'!F44)</f>
        <v>Lietuvos Respublikos švietimo ir mokslo ministerija</v>
      </c>
      <c r="G117" s="515" t="str">
        <f>CONCATENATE('IV-2 amsa'!G44)</f>
        <v>Alytaus  miestas</v>
      </c>
      <c r="H117" s="518" t="str">
        <f>CONCATENATE('IV-2 amsa'!H44)</f>
        <v>09.1.3-CPVA-R-705</v>
      </c>
      <c r="I117" s="518" t="str">
        <f>CONCATENATE('IV-2 amsa'!I44)</f>
        <v>R</v>
      </c>
      <c r="J117" s="518" t="str">
        <f>CONCATENATE('IV-2 amsa'!J44)</f>
        <v>-</v>
      </c>
      <c r="K117" s="518" t="str">
        <f>CONCATENATE('IV-2 amsa'!K44)</f>
        <v>-</v>
      </c>
      <c r="L117" s="516">
        <f>SUM('IV-2 amsa'!L44)</f>
        <v>181986</v>
      </c>
      <c r="M117" s="516">
        <f>SUM('ketv. 6 lent'!K117)</f>
        <v>0</v>
      </c>
      <c r="N117" s="516">
        <f t="shared" si="168"/>
        <v>0</v>
      </c>
      <c r="O117" s="516">
        <f>SUM('IV-2 amsa'!M44)</f>
        <v>13649</v>
      </c>
      <c r="P117" s="516">
        <f>SUM('ketv. 6 lent'!O117)</f>
        <v>0</v>
      </c>
      <c r="Q117" s="516">
        <f t="shared" si="169"/>
        <v>0</v>
      </c>
      <c r="R117" s="516">
        <f>SUM('IV-2 amsa'!N44)</f>
        <v>13649</v>
      </c>
      <c r="S117" s="516">
        <f>SUM('ketv. 6 lent'!S117)</f>
        <v>0</v>
      </c>
      <c r="T117" s="516">
        <f t="shared" si="170"/>
        <v>0</v>
      </c>
      <c r="U117" s="516">
        <f>SUM('IV-2 amsa'!O44)</f>
        <v>0</v>
      </c>
      <c r="V117" s="516">
        <f>SUM('ketv. 6 lent'!W117)</f>
        <v>0</v>
      </c>
      <c r="W117" s="516">
        <f t="shared" si="171"/>
        <v>0</v>
      </c>
      <c r="X117" s="516">
        <f>SUM('IV-2 amsa'!P44)</f>
        <v>0</v>
      </c>
      <c r="Y117" s="516">
        <f>SUM('ketv. 6 lent'!AA117)</f>
        <v>0</v>
      </c>
      <c r="Z117" s="516">
        <f t="shared" si="172"/>
        <v>0</v>
      </c>
      <c r="AA117" s="516">
        <f>SUM('IV-2 amsa'!Q44)</f>
        <v>154688</v>
      </c>
      <c r="AB117" s="468" t="str">
        <f>IF('ketv. 4 lent'!V117&gt;0,"Taip","Ne")</f>
        <v>Ne</v>
      </c>
      <c r="AC117" s="468">
        <f>SUM('ketv. 6 lent'!AE117)</f>
        <v>0</v>
      </c>
      <c r="AD117" s="468">
        <f>IF(AC117&gt;0,AA117-AC117,0)</f>
        <v>0</v>
      </c>
      <c r="AE117" s="1113">
        <f>SUM('IV-2 amsa'!R44)</f>
        <v>42966</v>
      </c>
      <c r="AF117" s="587">
        <f>SUM('IV-2 amsa'!S44)</f>
        <v>43039</v>
      </c>
      <c r="AG117" s="587">
        <f>SUM('IV-2 amsa'!T44)</f>
        <v>43080</v>
      </c>
      <c r="AH117" s="587">
        <f>SUM('IV-2 amsa'!U44)</f>
        <v>43159</v>
      </c>
      <c r="AI117" s="589">
        <f t="shared" si="173"/>
        <v>2018</v>
      </c>
      <c r="AJ117" s="1263">
        <f>SUM('IV-2 amsa'!V44)</f>
        <v>43739.5</v>
      </c>
      <c r="AK117" s="468">
        <f>IF(YEAR(AH117)=2016,AA117,0)</f>
        <v>0</v>
      </c>
      <c r="AL117" s="468">
        <f>IF(YEAR(AH117)=2017,AA117,0)</f>
        <v>0</v>
      </c>
      <c r="AM117" s="468">
        <f>IF(YEAR(AH117)=2018,AA117,0)</f>
        <v>154688</v>
      </c>
      <c r="AN117" s="468">
        <f>IF(YEAR(AH117)=2019,AA117,0)</f>
        <v>0</v>
      </c>
      <c r="AO117" s="1264">
        <f>IF(YEAR(AH117)=2020,AA117,0)</f>
        <v>0</v>
      </c>
      <c r="AP117" s="592"/>
      <c r="AQ117" s="88"/>
      <c r="AR117" s="88"/>
    </row>
    <row r="118" spans="1:44" ht="39.75" thickTop="1" thickBot="1" x14ac:dyDescent="0.3">
      <c r="A118" s="515" t="s">
        <v>253</v>
      </c>
      <c r="B118" s="515" t="s">
        <v>1631</v>
      </c>
      <c r="C118" s="1449" t="str">
        <f>CONCATENATE('ketv. 2lent'!B117)</f>
        <v>09.1.3-CPVA-R-705-11-0005</v>
      </c>
      <c r="D118" s="515" t="str">
        <f>CONCATENATE('IV-2 dsa'!C51)</f>
        <v>Druskininkų sav. Viečiūnų progimnazijos ikimokyklinio ugdymo skyriaus „Linelis“ ugdymo prieinamumo didinimas</v>
      </c>
      <c r="E118" s="515" t="str">
        <f>CONCATENATE('IV-2 dsa'!D51)</f>
        <v xml:space="preserve">Druskininkų savivaldybės administracija  </v>
      </c>
      <c r="F118" s="515" t="str">
        <f>CONCATENATE('IV-2 dsa'!E51)</f>
        <v>Lietuvos Respublikos švietimo ir mokslo ministerija</v>
      </c>
      <c r="G118" s="515" t="str">
        <f>CONCATENATE('IV-2 dsa'!F51)</f>
        <v>Druskininkų savivaldybė</v>
      </c>
      <c r="H118" s="518" t="str">
        <f>CONCATENATE('IV-2 dsa'!G51)</f>
        <v>09.1.3-CPVA-R-705</v>
      </c>
      <c r="I118" s="518" t="str">
        <f>CONCATENATE('IV-2 dsa'!H51)</f>
        <v>R</v>
      </c>
      <c r="J118" s="518" t="str">
        <f>CONCATENATE('IV-2 dsa'!I51)</f>
        <v>-</v>
      </c>
      <c r="K118" s="518" t="str">
        <f>CONCATENATE('IV-2 dsa'!J51)</f>
        <v>-</v>
      </c>
      <c r="L118" s="516">
        <f>SUM('IV-2 dsa'!K51)</f>
        <v>104792</v>
      </c>
      <c r="M118" s="516">
        <f>SUM('ketv. 6 lent'!K118)</f>
        <v>0</v>
      </c>
      <c r="N118" s="516">
        <f t="shared" si="168"/>
        <v>0</v>
      </c>
      <c r="O118" s="516">
        <f>SUM('IV-2 dsa'!L51)</f>
        <v>7859</v>
      </c>
      <c r="P118" s="516">
        <f>SUM('ketv. 6 lent'!O118)</f>
        <v>0</v>
      </c>
      <c r="Q118" s="516">
        <f t="shared" si="169"/>
        <v>0</v>
      </c>
      <c r="R118" s="516">
        <f>SUM('IV-2 dsa'!M51)</f>
        <v>7859</v>
      </c>
      <c r="S118" s="516">
        <f>SUM('ketv. 6 lent'!S118)</f>
        <v>0</v>
      </c>
      <c r="T118" s="516">
        <f t="shared" si="170"/>
        <v>0</v>
      </c>
      <c r="U118" s="516">
        <f>SUM('IV-2 dsa'!N51)</f>
        <v>0</v>
      </c>
      <c r="V118" s="516">
        <f>SUM('ketv. 6 lent'!W118)</f>
        <v>0</v>
      </c>
      <c r="W118" s="516">
        <f t="shared" si="171"/>
        <v>0</v>
      </c>
      <c r="X118" s="516">
        <f>SUM('IV-2 dsa'!O51)</f>
        <v>0</v>
      </c>
      <c r="Y118" s="516">
        <f>SUM('ketv. 6 lent'!AA118)</f>
        <v>0</v>
      </c>
      <c r="Z118" s="516">
        <f t="shared" si="172"/>
        <v>0</v>
      </c>
      <c r="AA118" s="516">
        <f>SUM('IV-2 dsa'!P51)</f>
        <v>89074</v>
      </c>
      <c r="AB118" s="468" t="str">
        <f>IF('ketv. 4 lent'!V118&gt;0,"Taip","Ne")</f>
        <v>Ne</v>
      </c>
      <c r="AC118" s="468">
        <f>SUM('ketv. 6 lent'!AE118)</f>
        <v>0</v>
      </c>
      <c r="AD118" s="468">
        <f>IF(AC118&gt;0,AA118-AC118,0)</f>
        <v>0</v>
      </c>
      <c r="AE118" s="1113">
        <f>SUM('IV-2 dsa'!Q51)</f>
        <v>42966</v>
      </c>
      <c r="AF118" s="587">
        <f>SUM('IV-2 dsa'!R51)</f>
        <v>43008</v>
      </c>
      <c r="AG118" s="587">
        <f>SUM('IV-2 dsa'!S51)</f>
        <v>43160</v>
      </c>
      <c r="AH118" s="587">
        <f>SUM('IV-2 dsa'!T51)</f>
        <v>43252</v>
      </c>
      <c r="AI118" s="589">
        <f t="shared" si="173"/>
        <v>2018</v>
      </c>
      <c r="AJ118" s="1263">
        <f>SUM('IV-2 dsa'!U51)</f>
        <v>43707</v>
      </c>
      <c r="AK118" s="468">
        <f>IF(YEAR(AH118)=2016,AA118,0)</f>
        <v>0</v>
      </c>
      <c r="AL118" s="468">
        <f>IF(YEAR(AH118)=2017,AA118,0)</f>
        <v>0</v>
      </c>
      <c r="AM118" s="468">
        <f>IF(YEAR(AH118)=2018,AA118,0)</f>
        <v>89074</v>
      </c>
      <c r="AN118" s="468">
        <f>IF(YEAR(AH118)=2019,AA118,0)</f>
        <v>0</v>
      </c>
      <c r="AO118" s="1264">
        <f>IF(YEAR(AH118)=2020,AA118,0)</f>
        <v>0</v>
      </c>
      <c r="AP118" s="592"/>
      <c r="AQ118" s="88"/>
      <c r="AR118" s="88"/>
    </row>
    <row r="119" spans="1:44" ht="39.75" thickTop="1" thickBot="1" x14ac:dyDescent="0.3">
      <c r="A119" s="515" t="s">
        <v>296</v>
      </c>
      <c r="B119" s="1490" t="s">
        <v>1632</v>
      </c>
      <c r="C119" s="1449" t="str">
        <f>CONCATENATE('ketv. 2lent'!B118)</f>
        <v>09.1.3-CPVA-R-705-11-0002</v>
      </c>
      <c r="D119" s="1490" t="str">
        <f>CONCATENATE('IV-2 lrsa'!D48)</f>
        <v>Ikimokyklinio ir priešmokyklinio ugdymo įstaigų Lazdijų rajono savivaldybėje modernizavimas</v>
      </c>
      <c r="E119" s="1490" t="str">
        <f>CONCATENATE('IV-2 lrsa'!E48)</f>
        <v>Lazdijų rajono savivaldybės administracija</v>
      </c>
      <c r="F119" s="1490" t="str">
        <f>CONCATENATE('IV-2 lrsa'!F48)</f>
        <v>Lietuvos Respublikos švietimo ir mokslo ministerija</v>
      </c>
      <c r="G119" s="1490" t="str">
        <f>CONCATENATE('IV-2 lrsa'!G48)</f>
        <v>Lazdijų rajono savivaldybė</v>
      </c>
      <c r="H119" s="1491" t="str">
        <f>CONCATENATE('IV-2 lrsa'!H48)</f>
        <v>09.1.3-CPVA-R-705</v>
      </c>
      <c r="I119" s="1491" t="str">
        <f>CONCATENATE('IV-2 lrsa'!I48)</f>
        <v>R</v>
      </c>
      <c r="J119" s="1491" t="str">
        <f>CONCATENATE('IV-2 lrsa'!J48)</f>
        <v>-</v>
      </c>
      <c r="K119" s="1491" t="str">
        <f>CONCATENATE('IV-2 lrsa'!K48)</f>
        <v>-</v>
      </c>
      <c r="L119" s="516">
        <f>SUM('IV-2 lrsa'!L48)</f>
        <v>133554.20999999979</v>
      </c>
      <c r="M119" s="516">
        <f>SUM('ketv. 6 lent'!K119)</f>
        <v>0</v>
      </c>
      <c r="N119" s="516">
        <f t="shared" si="168"/>
        <v>0</v>
      </c>
      <c r="O119" s="516">
        <f>SUM('IV-2 lrsa'!M48)</f>
        <v>10026.209999999999</v>
      </c>
      <c r="P119" s="516">
        <f>SUM('ketv. 6 lent'!O119)</f>
        <v>0</v>
      </c>
      <c r="Q119" s="516">
        <f t="shared" si="169"/>
        <v>0</v>
      </c>
      <c r="R119" s="516">
        <f>SUM('IV-2 lrsa'!N48)</f>
        <v>10015.7837837838</v>
      </c>
      <c r="S119" s="516">
        <f>SUM('ketv. 6 lent'!S119)</f>
        <v>0</v>
      </c>
      <c r="T119" s="516">
        <f t="shared" si="170"/>
        <v>0</v>
      </c>
      <c r="U119" s="516">
        <f>SUM('IV-2 lrsa'!O48)</f>
        <v>0</v>
      </c>
      <c r="V119" s="516">
        <f>SUM('ketv. 6 lent'!W119)</f>
        <v>0</v>
      </c>
      <c r="W119" s="516">
        <f t="shared" si="171"/>
        <v>0</v>
      </c>
      <c r="X119" s="516">
        <f>SUM('IV-2 lrsa'!P48)</f>
        <v>0</v>
      </c>
      <c r="Y119" s="1454">
        <f>SUM('ketv. 6 lent'!AA119)</f>
        <v>0</v>
      </c>
      <c r="Z119" s="1454">
        <f t="shared" si="172"/>
        <v>0</v>
      </c>
      <c r="AA119" s="516">
        <f>SUM('IV-2 lrsa'!Q48)</f>
        <v>113512.21621621599</v>
      </c>
      <c r="AB119" s="468" t="str">
        <f>IF('ketv. 4 lent'!V119&gt;0,"Taip","Ne")</f>
        <v>Ne</v>
      </c>
      <c r="AC119" s="468">
        <f>SUM('ketv. 6 lent'!AE119)</f>
        <v>0</v>
      </c>
      <c r="AD119" s="468">
        <f>IF(AC119&gt;0,AA119-AC119,0)</f>
        <v>0</v>
      </c>
      <c r="AE119" s="1113">
        <f>SUM('IV-2 lrsa'!R48)</f>
        <v>42966</v>
      </c>
      <c r="AF119" s="587">
        <f>SUM('IV-2 lrsa'!S48)</f>
        <v>43039</v>
      </c>
      <c r="AG119" s="587">
        <f>SUM('IV-2 lrsa'!T48)</f>
        <v>43080</v>
      </c>
      <c r="AH119" s="587">
        <f>SUM('IV-2 lrsa'!U48)</f>
        <v>43159</v>
      </c>
      <c r="AI119" s="589">
        <f t="shared" si="173"/>
        <v>2018</v>
      </c>
      <c r="AJ119" s="1263">
        <f>SUM('IV-2 lrsa'!V48)</f>
        <v>43739.5</v>
      </c>
      <c r="AK119" s="468">
        <f>IF(YEAR(AH119)=2016,AA119,0)</f>
        <v>0</v>
      </c>
      <c r="AL119" s="468">
        <f>IF(YEAR(AH119)=2017,AA119,0)</f>
        <v>0</v>
      </c>
      <c r="AM119" s="468">
        <f>IF(YEAR(AH119)=2018,AA119,0)</f>
        <v>113512.21621621599</v>
      </c>
      <c r="AN119" s="468">
        <f>IF(YEAR(AH119)=2019,AA119,0)</f>
        <v>0</v>
      </c>
      <c r="AO119" s="1264">
        <f>IF(YEAR(AH119)=2020,AA119,0)</f>
        <v>0</v>
      </c>
      <c r="AP119" s="88"/>
      <c r="AQ119" s="88"/>
      <c r="AR119" s="88"/>
    </row>
    <row r="120" spans="1:44" ht="57.75" customHeight="1" thickBot="1" x14ac:dyDescent="0.3">
      <c r="A120" s="1489" t="s">
        <v>32</v>
      </c>
      <c r="B120" s="1615" t="s">
        <v>1745</v>
      </c>
      <c r="C120" s="1616"/>
      <c r="D120" s="1616"/>
      <c r="E120" s="1616"/>
      <c r="F120" s="1616"/>
      <c r="G120" s="1616"/>
      <c r="H120" s="1616"/>
      <c r="I120" s="1616"/>
      <c r="J120" s="1616"/>
      <c r="K120" s="1617"/>
      <c r="L120" s="203">
        <f>SUM(L121+L135+L141)</f>
        <v>2508264.5499999998</v>
      </c>
      <c r="M120" s="1471"/>
      <c r="N120" s="1471"/>
      <c r="O120" s="1471">
        <f t="shared" ref="O120:AA120" si="174">SUM(O121+O135+O141)</f>
        <v>147962.98000000001</v>
      </c>
      <c r="P120" s="1471">
        <f t="shared" si="174"/>
        <v>0</v>
      </c>
      <c r="Q120" s="1471">
        <f t="shared" si="174"/>
        <v>0</v>
      </c>
      <c r="R120" s="203">
        <f t="shared" si="174"/>
        <v>188120.97</v>
      </c>
      <c r="S120" s="1471">
        <f t="shared" si="174"/>
        <v>0</v>
      </c>
      <c r="T120" s="1471">
        <f t="shared" si="174"/>
        <v>0</v>
      </c>
      <c r="U120" s="1471">
        <f t="shared" si="174"/>
        <v>40158</v>
      </c>
      <c r="V120" s="1471">
        <f t="shared" si="174"/>
        <v>0</v>
      </c>
      <c r="W120" s="1471">
        <f t="shared" si="174"/>
        <v>0</v>
      </c>
      <c r="X120" s="203">
        <f t="shared" si="174"/>
        <v>0</v>
      </c>
      <c r="Y120" s="1471">
        <f t="shared" si="174"/>
        <v>0</v>
      </c>
      <c r="Z120" s="1471">
        <f t="shared" si="174"/>
        <v>0</v>
      </c>
      <c r="AA120" s="203">
        <f t="shared" si="174"/>
        <v>2132022.6</v>
      </c>
      <c r="AB120" s="203"/>
      <c r="AC120" s="203"/>
      <c r="AD120" s="203"/>
      <c r="AE120" s="203"/>
      <c r="AF120" s="1282"/>
      <c r="AG120" s="1282"/>
      <c r="AH120" s="1282"/>
      <c r="AI120" s="590"/>
      <c r="AJ120" s="1251"/>
      <c r="AK120" s="468"/>
      <c r="AL120" s="1252"/>
      <c r="AM120" s="1252"/>
      <c r="AN120" s="1252"/>
      <c r="AO120" s="1252"/>
      <c r="AP120" s="88">
        <f>SUM(AP121+AP135)</f>
        <v>3184642.6</v>
      </c>
      <c r="AQ120" s="88">
        <f>SUM(AQ121+AQ135)</f>
        <v>3821571.12</v>
      </c>
      <c r="AR120" s="88">
        <f>SUM(AR121+AR135)</f>
        <v>1108050.6000000001</v>
      </c>
    </row>
    <row r="121" spans="1:44" ht="35.25" customHeight="1" thickBot="1" x14ac:dyDescent="0.3">
      <c r="A121" s="1257" t="s">
        <v>33</v>
      </c>
      <c r="B121" s="1621" t="s">
        <v>1746</v>
      </c>
      <c r="C121" s="1619"/>
      <c r="D121" s="1619"/>
      <c r="E121" s="1619"/>
      <c r="F121" s="1619"/>
      <c r="G121" s="1619"/>
      <c r="H121" s="1619"/>
      <c r="I121" s="1619"/>
      <c r="J121" s="1619"/>
      <c r="K121" s="1620"/>
      <c r="L121" s="1258">
        <f t="shared" ref="L121:X121" si="175">SUM(L122:L134)</f>
        <v>1448066</v>
      </c>
      <c r="M121" s="1443">
        <f t="shared" si="175"/>
        <v>0</v>
      </c>
      <c r="N121" s="1443">
        <f t="shared" si="175"/>
        <v>0</v>
      </c>
      <c r="O121" s="1443">
        <f t="shared" si="175"/>
        <v>68448</v>
      </c>
      <c r="P121" s="1443">
        <f t="shared" si="175"/>
        <v>0</v>
      </c>
      <c r="Q121" s="1443">
        <f t="shared" si="175"/>
        <v>0</v>
      </c>
      <c r="R121" s="1258">
        <f t="shared" si="175"/>
        <v>108606</v>
      </c>
      <c r="S121" s="1443">
        <f t="shared" si="175"/>
        <v>0</v>
      </c>
      <c r="T121" s="1443">
        <f t="shared" si="175"/>
        <v>0</v>
      </c>
      <c r="U121" s="1443">
        <f t="shared" si="175"/>
        <v>40158</v>
      </c>
      <c r="V121" s="1443">
        <f t="shared" si="175"/>
        <v>0</v>
      </c>
      <c r="W121" s="1443">
        <f t="shared" si="175"/>
        <v>0</v>
      </c>
      <c r="X121" s="1258">
        <f t="shared" si="175"/>
        <v>0</v>
      </c>
      <c r="Y121" s="1443">
        <f t="shared" ref="Y121:AD121" si="176">SUM(Y122:Y133)</f>
        <v>0</v>
      </c>
      <c r="Z121" s="1443">
        <f t="shared" si="176"/>
        <v>0</v>
      </c>
      <c r="AA121" s="1258">
        <f>SUM(AA122:AA134)</f>
        <v>1230854</v>
      </c>
      <c r="AB121" s="1270">
        <f t="shared" si="176"/>
        <v>0</v>
      </c>
      <c r="AC121" s="1270">
        <f t="shared" si="176"/>
        <v>0</v>
      </c>
      <c r="AD121" s="1270">
        <f t="shared" si="176"/>
        <v>0</v>
      </c>
      <c r="AE121" s="1270"/>
      <c r="AF121" s="1271"/>
      <c r="AG121" s="1271"/>
      <c r="AH121" s="1271"/>
      <c r="AI121" s="1272"/>
      <c r="AJ121" s="1273"/>
      <c r="AK121" s="1270">
        <f>SUM(AK122:AK133)</f>
        <v>0</v>
      </c>
      <c r="AL121" s="1270">
        <f t="shared" ref="AL121:AO121" si="177">SUM(AL122:AL133)</f>
        <v>0</v>
      </c>
      <c r="AM121" s="1270">
        <f>SUM(AM122:AM134)</f>
        <v>701375</v>
      </c>
      <c r="AN121" s="1270">
        <f>SUM(AN122:AN134)</f>
        <v>529479</v>
      </c>
      <c r="AO121" s="1270">
        <f t="shared" si="177"/>
        <v>0</v>
      </c>
      <c r="AP121" s="88">
        <f>SUM('IV-2 amsa'!W46+'IV-2 arsa'!V50+'IV-2 dsa'!V53+'IV-2 lrsa'!W50+'IV-2 vrsa'!W55)</f>
        <v>2329495</v>
      </c>
      <c r="AQ121" s="88">
        <f>SUM(AP121*120/100)</f>
        <v>2795394</v>
      </c>
      <c r="AR121" s="88">
        <f>SUM(AP121-AA121)</f>
        <v>1098641</v>
      </c>
    </row>
    <row r="122" spans="1:44" ht="39.75" thickTop="1" thickBot="1" x14ac:dyDescent="0.3">
      <c r="A122" s="515" t="s">
        <v>104</v>
      </c>
      <c r="B122" s="515" t="s">
        <v>1761</v>
      </c>
      <c r="C122" s="1449"/>
      <c r="D122" s="515" t="str">
        <f>CONCATENATE('IV-2 amsa'!D47)</f>
        <v xml:space="preserve">Alytaus poliklinikos teikiamų pirminės sveikatos priežiūros paslaugų prieinamumo didinimas ir kokybės gerinimas </v>
      </c>
      <c r="E122" s="515" t="str">
        <f>CONCATENATE('IV-2 amsa'!E47)</f>
        <v>VšĮ Alytaus poliklinika</v>
      </c>
      <c r="F122" s="515" t="str">
        <f>CONCATENATE('IV-2 amsa'!F47)</f>
        <v>Lietuvos Respublikos Sveikatos apsaugos ministerija</v>
      </c>
      <c r="G122" s="515" t="str">
        <f>CONCATENATE('IV-2 amsa'!G47)</f>
        <v>Alytaus  miestas</v>
      </c>
      <c r="H122" s="515" t="str">
        <f>CONCATENATE('IV-2 amsa'!H47)</f>
        <v>08.1.3-CPVA-R-609</v>
      </c>
      <c r="I122" s="515" t="str">
        <f>CONCATENATE('IV-2 amsa'!I47)</f>
        <v>R</v>
      </c>
      <c r="J122" s="515" t="str">
        <f>CONCATENATE('IV-2 amsa'!J47)</f>
        <v>-</v>
      </c>
      <c r="K122" s="515" t="str">
        <f>CONCATENATE('IV-2 amsa'!K47)</f>
        <v>-</v>
      </c>
      <c r="L122" s="516">
        <f>SUM('IV-2 amsa'!L47)</f>
        <v>458183</v>
      </c>
      <c r="M122" s="1454">
        <f>SUM('ketv. 6 lent'!K122)</f>
        <v>0</v>
      </c>
      <c r="N122" s="1454">
        <f t="shared" ref="N122:N125" si="178">IF(M122&gt;0,L122-M122,0)</f>
        <v>0</v>
      </c>
      <c r="O122" s="516">
        <f>SUM('IV-2 amsa'!M47)</f>
        <v>34364</v>
      </c>
      <c r="P122" s="1454">
        <f>SUM('ketv. 6 lent'!O122)</f>
        <v>0</v>
      </c>
      <c r="Q122" s="1454">
        <f t="shared" ref="Q122:Q125" si="179">IF(P122&gt;0,O122-P122,0)</f>
        <v>0</v>
      </c>
      <c r="R122" s="516">
        <f>SUM('IV-2 amsa'!N47)</f>
        <v>34363</v>
      </c>
      <c r="S122" s="1454">
        <f>SUM('ketv. 6 lent'!S122)</f>
        <v>0</v>
      </c>
      <c r="T122" s="1454">
        <f t="shared" ref="T122:T133" si="180">IF(S122&gt;0,R122-S122,0)</f>
        <v>0</v>
      </c>
      <c r="U122" s="516">
        <f>SUM('IV-2 amsa'!O47)</f>
        <v>0</v>
      </c>
      <c r="V122" s="1454">
        <f>SUM('ketv. 6 lent'!W122)</f>
        <v>0</v>
      </c>
      <c r="W122" s="1454">
        <f t="shared" ref="W122:W133" si="181">IF(V122&gt;0,U122-V122,0)</f>
        <v>0</v>
      </c>
      <c r="X122" s="516">
        <f>SUM('IV-2 amsa'!P47)</f>
        <v>0</v>
      </c>
      <c r="Y122" s="1454">
        <f>SUM('ketv. 6 lent'!AA122)</f>
        <v>0</v>
      </c>
      <c r="Z122" s="1454">
        <f t="shared" ref="Z122:Z133" si="182">IF(Y122&gt;0,X122-Y122,0)</f>
        <v>0</v>
      </c>
      <c r="AA122" s="516">
        <f>SUM('IV-2 amsa'!Q47)</f>
        <v>389456</v>
      </c>
      <c r="AB122" s="1455" t="str">
        <f>IF('ketv. 4 lent'!V122&gt;0,"Taip","Ne")</f>
        <v>Ne</v>
      </c>
      <c r="AC122" s="1455">
        <f>SUM('ketv. 6 lent'!AE122)</f>
        <v>0</v>
      </c>
      <c r="AD122" s="1455">
        <f t="shared" ref="AD122:AD133" si="183">IF(AC122&gt;0,AA122-AC122,0)</f>
        <v>0</v>
      </c>
      <c r="AE122" s="1544">
        <v>43261</v>
      </c>
      <c r="AF122" s="1202">
        <f>SUM('IV-2 amsa'!S47)</f>
        <v>43312</v>
      </c>
      <c r="AG122" s="1202">
        <f>SUM('IV-2 amsa'!T47)</f>
        <v>43363</v>
      </c>
      <c r="AH122" s="1202">
        <f>SUM('IV-2 amsa'!U47)</f>
        <v>43464</v>
      </c>
      <c r="AI122" s="1545">
        <f t="shared" ref="AI122:AI135" si="184">IF(YEAR(AH122),YEAR(AH122))</f>
        <v>2018</v>
      </c>
      <c r="AJ122" s="1283">
        <f>SUM('IV-2 amsa'!V47)</f>
        <v>44367</v>
      </c>
      <c r="AK122" s="1455">
        <f t="shared" ref="AK122:AK133" si="185">IF(YEAR(AH122)=2016,AA122,0)</f>
        <v>0</v>
      </c>
      <c r="AL122" s="1455">
        <f t="shared" ref="AL122:AL133" si="186">IF(YEAR(AH122)=2017,AA122,0)</f>
        <v>0</v>
      </c>
      <c r="AM122" s="1455">
        <f t="shared" ref="AM122:AM133" si="187">IF(YEAR(AH122)=2018,AA122,0)</f>
        <v>389456</v>
      </c>
      <c r="AN122" s="1455">
        <f t="shared" ref="AN122:AN133" si="188">IF(YEAR(AH122)=2019,AA122,0)</f>
        <v>0</v>
      </c>
      <c r="AO122" s="1457">
        <f t="shared" ref="AO122:AO133" si="189">IF(YEAR(AH122)=2020,AA122,0)</f>
        <v>0</v>
      </c>
      <c r="AP122" s="88"/>
      <c r="AQ122" s="88"/>
      <c r="AR122" s="88"/>
    </row>
    <row r="123" spans="1:44" ht="52.5" thickTop="1" thickBot="1" x14ac:dyDescent="0.3">
      <c r="A123" s="515" t="s">
        <v>105</v>
      </c>
      <c r="B123" s="515" t="s">
        <v>1762</v>
      </c>
      <c r="C123" s="1449"/>
      <c r="D123" s="515" t="str">
        <f>CONCATENATE('IV-2 amsa'!D48)</f>
        <v>Sveikatos priežiūros paslaugų modernizavimas bei optimizavimas pirminės sveikatos priežiūros centre</v>
      </c>
      <c r="E123" s="515" t="str">
        <f>CONCATENATE('IV-2 amsa'!E48)</f>
        <v xml:space="preserve">VšĮ Alytaus miesto savivaldybės pirminės sveikatos priežiūros centras </v>
      </c>
      <c r="F123" s="515" t="str">
        <f>CONCATENATE('IV-2 amsa'!F48)</f>
        <v>Lietuvos Respublikos Sveikatos apsaugos ministerija</v>
      </c>
      <c r="G123" s="515" t="str">
        <f>CONCATENATE('IV-2 amsa'!G48)</f>
        <v>Alytaus  miestas</v>
      </c>
      <c r="H123" s="515" t="str">
        <f>CONCATENATE('IV-2 amsa'!H48)</f>
        <v>08.1.3-CPVA-R-609</v>
      </c>
      <c r="I123" s="515" t="str">
        <f>CONCATENATE('IV-2 amsa'!I48)</f>
        <v>R</v>
      </c>
      <c r="J123" s="515" t="str">
        <f>CONCATENATE('IV-2 amsa'!J48)</f>
        <v>-</v>
      </c>
      <c r="K123" s="515" t="str">
        <f>CONCATENATE('IV-2 amsa'!K48)</f>
        <v>-</v>
      </c>
      <c r="L123" s="516">
        <f>SUM('IV-2 amsa'!L48)</f>
        <v>50356</v>
      </c>
      <c r="M123" s="1454">
        <f>SUM('ketv. 6 lent'!K123)</f>
        <v>0</v>
      </c>
      <c r="N123" s="1454">
        <f t="shared" si="178"/>
        <v>0</v>
      </c>
      <c r="O123" s="516">
        <f>SUM('IV-2 amsa'!M48)</f>
        <v>3777</v>
      </c>
      <c r="P123" s="1454">
        <f>SUM('ketv. 6 lent'!O123)</f>
        <v>0</v>
      </c>
      <c r="Q123" s="1454">
        <f t="shared" si="179"/>
        <v>0</v>
      </c>
      <c r="R123" s="516">
        <f>SUM('IV-2 amsa'!N48)</f>
        <v>3777</v>
      </c>
      <c r="S123" s="1454">
        <f>SUM('ketv. 6 lent'!S123)</f>
        <v>0</v>
      </c>
      <c r="T123" s="1454">
        <f t="shared" si="180"/>
        <v>0</v>
      </c>
      <c r="U123" s="516">
        <f>SUM('IV-2 amsa'!O48)</f>
        <v>0</v>
      </c>
      <c r="V123" s="1454">
        <f>SUM('ketv. 6 lent'!W123)</f>
        <v>0</v>
      </c>
      <c r="W123" s="1454">
        <f t="shared" si="181"/>
        <v>0</v>
      </c>
      <c r="X123" s="516">
        <f>SUM('IV-2 amsa'!P48)</f>
        <v>0</v>
      </c>
      <c r="Y123" s="1454">
        <f>SUM('ketv. 6 lent'!AA123)</f>
        <v>0</v>
      </c>
      <c r="Z123" s="1454">
        <f t="shared" si="182"/>
        <v>0</v>
      </c>
      <c r="AA123" s="516">
        <f>SUM('IV-2 amsa'!Q48)</f>
        <v>42802</v>
      </c>
      <c r="AB123" s="1455" t="str">
        <f>IF('ketv. 4 lent'!V123&gt;0,"Taip","Ne")</f>
        <v>Ne</v>
      </c>
      <c r="AC123" s="1455">
        <f>SUM('ketv. 6 lent'!AE123)</f>
        <v>0</v>
      </c>
      <c r="AD123" s="1455">
        <f t="shared" si="183"/>
        <v>0</v>
      </c>
      <c r="AE123" s="1544">
        <v>43227</v>
      </c>
      <c r="AF123" s="1202">
        <f>SUM('IV-2 amsa'!S48)</f>
        <v>43312</v>
      </c>
      <c r="AG123" s="1202">
        <f>SUM('IV-2 amsa'!T48)</f>
        <v>43373</v>
      </c>
      <c r="AH123" s="1202">
        <f>SUM('IV-2 amsa'!U48)</f>
        <v>43465</v>
      </c>
      <c r="AI123" s="1545">
        <f t="shared" si="184"/>
        <v>2018</v>
      </c>
      <c r="AJ123" s="1283">
        <f>SUM('IV-2 amsa'!V48)</f>
        <v>44196</v>
      </c>
      <c r="AK123" s="1455">
        <f t="shared" si="185"/>
        <v>0</v>
      </c>
      <c r="AL123" s="1455">
        <f t="shared" si="186"/>
        <v>0</v>
      </c>
      <c r="AM123" s="1455">
        <f t="shared" si="187"/>
        <v>42802</v>
      </c>
      <c r="AN123" s="1455">
        <f t="shared" si="188"/>
        <v>0</v>
      </c>
      <c r="AO123" s="1457">
        <f t="shared" si="189"/>
        <v>0</v>
      </c>
      <c r="AP123" s="88"/>
      <c r="AQ123" s="88"/>
      <c r="AR123" s="88"/>
    </row>
    <row r="124" spans="1:44" ht="39.75" thickTop="1" thickBot="1" x14ac:dyDescent="0.3">
      <c r="A124" s="515" t="s">
        <v>206</v>
      </c>
      <c r="B124" s="515" t="s">
        <v>1760</v>
      </c>
      <c r="C124" s="1449"/>
      <c r="D124" s="515" t="str">
        <f>CONCATENATE('IV-2 amsa'!D49)</f>
        <v>UAB „MediCA klinika“ teikiamų pirminės asmens sveikatos priežiūros paslaugų efektyvumo didinimas Alytaus miesto savivaldybėje</v>
      </c>
      <c r="E124" s="515" t="str">
        <f>CONCATENATE('IV-2 amsa'!E49)</f>
        <v>UAB „MediCA klinika“</v>
      </c>
      <c r="F124" s="515" t="str">
        <f>CONCATENATE('IV-2 amsa'!F49)</f>
        <v>Lietuvos Respublikos Sveikatos apsaugos ministerija</v>
      </c>
      <c r="G124" s="515" t="str">
        <f>CONCATENATE('IV-2 amsa'!G49)</f>
        <v>Alytaus  miestas</v>
      </c>
      <c r="H124" s="515" t="str">
        <f>CONCATENATE('IV-2 amsa'!H49)</f>
        <v>08.1.3-CPVA-R-609</v>
      </c>
      <c r="I124" s="515" t="str">
        <f>CONCATENATE('IV-2 amsa'!I49)</f>
        <v>R</v>
      </c>
      <c r="J124" s="515" t="str">
        <f>CONCATENATE('IV-2 amsa'!J49)</f>
        <v>-</v>
      </c>
      <c r="K124" s="515" t="str">
        <f>CONCATENATE('IV-2 amsa'!K49)</f>
        <v>-</v>
      </c>
      <c r="L124" s="516">
        <f>SUM('IV-2 amsa'!L49)</f>
        <v>83468</v>
      </c>
      <c r="M124" s="1454">
        <f>SUM('ketv. 6 lent'!K124)</f>
        <v>0</v>
      </c>
      <c r="N124" s="1454">
        <f t="shared" si="178"/>
        <v>0</v>
      </c>
      <c r="O124" s="516">
        <f>SUM('IV-2 amsa'!M49)</f>
        <v>0</v>
      </c>
      <c r="P124" s="1454">
        <f>SUM('ketv. 6 lent'!O124)</f>
        <v>0</v>
      </c>
      <c r="Q124" s="1454">
        <f t="shared" si="179"/>
        <v>0</v>
      </c>
      <c r="R124" s="516">
        <f>SUM('IV-2 amsa'!N49)</f>
        <v>6260</v>
      </c>
      <c r="S124" s="1454">
        <f>SUM('ketv. 6 lent'!S124)</f>
        <v>0</v>
      </c>
      <c r="T124" s="1454">
        <f t="shared" si="180"/>
        <v>0</v>
      </c>
      <c r="U124" s="516">
        <f>SUM('IV-2 amsa'!O49)</f>
        <v>6260</v>
      </c>
      <c r="V124" s="1454">
        <f>SUM('ketv. 6 lent'!W124)</f>
        <v>0</v>
      </c>
      <c r="W124" s="1454">
        <f t="shared" si="181"/>
        <v>0</v>
      </c>
      <c r="X124" s="516">
        <f>SUM('IV-2 amsa'!P49)</f>
        <v>0</v>
      </c>
      <c r="Y124" s="1454">
        <f>SUM('ketv. 6 lent'!AA124)</f>
        <v>0</v>
      </c>
      <c r="Z124" s="1454">
        <f t="shared" si="182"/>
        <v>0</v>
      </c>
      <c r="AA124" s="516">
        <f>SUM('IV-2 amsa'!Q49)</f>
        <v>70948</v>
      </c>
      <c r="AB124" s="1455" t="str">
        <f>IF('ketv. 4 lent'!V124&gt;0,"Taip","Ne")</f>
        <v>Ne</v>
      </c>
      <c r="AC124" s="1455">
        <f>SUM('ketv. 6 lent'!AE124)</f>
        <v>0</v>
      </c>
      <c r="AD124" s="1455">
        <f t="shared" si="183"/>
        <v>0</v>
      </c>
      <c r="AE124" s="1544">
        <v>43227</v>
      </c>
      <c r="AF124" s="1202">
        <f>SUM('IV-2 amsa'!S49)</f>
        <v>43312</v>
      </c>
      <c r="AG124" s="1202">
        <f>SUM('IV-2 amsa'!T49)</f>
        <v>43373</v>
      </c>
      <c r="AH124" s="1202">
        <f>SUM('IV-2 amsa'!U49)</f>
        <v>43465</v>
      </c>
      <c r="AI124" s="1545">
        <f t="shared" si="184"/>
        <v>2018</v>
      </c>
      <c r="AJ124" s="1283">
        <f>SUM('IV-2 amsa'!V49)</f>
        <v>44196</v>
      </c>
      <c r="AK124" s="1455">
        <f t="shared" si="185"/>
        <v>0</v>
      </c>
      <c r="AL124" s="1455">
        <f t="shared" si="186"/>
        <v>0</v>
      </c>
      <c r="AM124" s="1455">
        <f t="shared" si="187"/>
        <v>70948</v>
      </c>
      <c r="AN124" s="1455">
        <f t="shared" si="188"/>
        <v>0</v>
      </c>
      <c r="AO124" s="1457">
        <f t="shared" si="189"/>
        <v>0</v>
      </c>
      <c r="AP124" s="592"/>
      <c r="AQ124" s="88"/>
      <c r="AR124" s="88"/>
    </row>
    <row r="125" spans="1:44" ht="39.75" thickTop="1" thickBot="1" x14ac:dyDescent="0.3">
      <c r="A125" s="515" t="s">
        <v>207</v>
      </c>
      <c r="B125" s="515" t="s">
        <v>1763</v>
      </c>
      <c r="C125" s="1449"/>
      <c r="D125" s="515" t="str">
        <f>CONCATENATE('IV-2 amsa'!D50)</f>
        <v>UAB "Pagalba ligoniui" teikiamų paslaugų efektyvumo didinimas</v>
      </c>
      <c r="E125" s="515" t="str">
        <f>CONCATENATE('IV-2 amsa'!E50)</f>
        <v>UAB „Pagalba ligoniui“, Alytaus filialas</v>
      </c>
      <c r="F125" s="515" t="str">
        <f>CONCATENATE('IV-2 amsa'!F50)</f>
        <v>Lietuvos Respublikos Sveikatos apsaugos ministerija</v>
      </c>
      <c r="G125" s="515" t="str">
        <f>CONCATENATE('IV-2 amsa'!G50)</f>
        <v>Alytaus  miestas</v>
      </c>
      <c r="H125" s="515" t="str">
        <f>CONCATENATE('IV-2 amsa'!H50)</f>
        <v>08.1.3-CPVA-R-609</v>
      </c>
      <c r="I125" s="515" t="str">
        <f>CONCATENATE('IV-2 amsa'!I50)</f>
        <v>R</v>
      </c>
      <c r="J125" s="515" t="str">
        <f>CONCATENATE('IV-2 amsa'!J50)</f>
        <v>-</v>
      </c>
      <c r="K125" s="515" t="str">
        <f>CONCATENATE('IV-2 amsa'!K50)</f>
        <v>-</v>
      </c>
      <c r="L125" s="516">
        <f>SUM('IV-2 amsa'!L50)</f>
        <v>44091</v>
      </c>
      <c r="M125" s="1454">
        <f>SUM('ketv. 6 lent'!K125)</f>
        <v>0</v>
      </c>
      <c r="N125" s="1454">
        <f t="shared" si="178"/>
        <v>0</v>
      </c>
      <c r="O125" s="516">
        <f>SUM('IV-2 amsa'!M50)</f>
        <v>0</v>
      </c>
      <c r="P125" s="1454">
        <f>SUM('ketv. 6 lent'!O125)</f>
        <v>0</v>
      </c>
      <c r="Q125" s="1454">
        <f t="shared" si="179"/>
        <v>0</v>
      </c>
      <c r="R125" s="516">
        <f>SUM('IV-2 amsa'!N50)</f>
        <v>3307</v>
      </c>
      <c r="S125" s="1454">
        <f>SUM('ketv. 6 lent'!S125)</f>
        <v>0</v>
      </c>
      <c r="T125" s="1454">
        <f t="shared" si="180"/>
        <v>0</v>
      </c>
      <c r="U125" s="516">
        <f>SUM('IV-2 amsa'!O50)</f>
        <v>3306</v>
      </c>
      <c r="V125" s="1454">
        <f>SUM('ketv. 6 lent'!W125)</f>
        <v>0</v>
      </c>
      <c r="W125" s="1454">
        <f t="shared" si="181"/>
        <v>0</v>
      </c>
      <c r="X125" s="516">
        <f>SUM('IV-2 amsa'!P50)</f>
        <v>0</v>
      </c>
      <c r="Y125" s="1454">
        <f>SUM('ketv. 6 lent'!AA125)</f>
        <v>0</v>
      </c>
      <c r="Z125" s="1454">
        <f t="shared" si="182"/>
        <v>0</v>
      </c>
      <c r="AA125" s="516">
        <f>SUM('IV-2 amsa'!Q50)</f>
        <v>37478</v>
      </c>
      <c r="AB125" s="1455" t="str">
        <f>IF('ketv. 4 lent'!V125&gt;0,"Taip","Ne")</f>
        <v>Ne</v>
      </c>
      <c r="AC125" s="1455">
        <f>SUM('ketv. 6 lent'!AE125)</f>
        <v>0</v>
      </c>
      <c r="AD125" s="1455">
        <f t="shared" si="183"/>
        <v>0</v>
      </c>
      <c r="AE125" s="1544">
        <v>43227</v>
      </c>
      <c r="AF125" s="1202">
        <f>SUM('IV-2 amsa'!S50)</f>
        <v>43312</v>
      </c>
      <c r="AG125" s="1202">
        <f>SUM('IV-2 amsa'!T50)</f>
        <v>43373</v>
      </c>
      <c r="AH125" s="1202">
        <f>SUM('IV-2 amsa'!U50)</f>
        <v>43465</v>
      </c>
      <c r="AI125" s="1545">
        <f t="shared" si="184"/>
        <v>2018</v>
      </c>
      <c r="AJ125" s="1283">
        <f>SUM('IV-2 amsa'!V50)</f>
        <v>44561</v>
      </c>
      <c r="AK125" s="1455">
        <f t="shared" si="185"/>
        <v>0</v>
      </c>
      <c r="AL125" s="1455">
        <f t="shared" si="186"/>
        <v>0</v>
      </c>
      <c r="AM125" s="1455">
        <f t="shared" si="187"/>
        <v>37478</v>
      </c>
      <c r="AN125" s="1455">
        <f t="shared" si="188"/>
        <v>0</v>
      </c>
      <c r="AO125" s="1457">
        <f t="shared" si="189"/>
        <v>0</v>
      </c>
      <c r="AP125" s="592"/>
      <c r="AQ125" s="88"/>
      <c r="AR125" s="88"/>
    </row>
    <row r="126" spans="1:44" ht="52.5" thickTop="1" thickBot="1" x14ac:dyDescent="0.3">
      <c r="A126" s="515" t="s">
        <v>208</v>
      </c>
      <c r="B126" s="515" t="s">
        <v>1764</v>
      </c>
      <c r="C126" s="1449"/>
      <c r="D126" s="515" t="str">
        <f>CONCATENATE('IV-2 arsa'!C51)</f>
        <v>Pirminės asmens sveikatos priežiūros veiklos efektyvumo didinimas Alytaus rajono savivaldybėje</v>
      </c>
      <c r="E126" s="515" t="str">
        <f>CONCATENATE('IV-2 arsa'!D51)</f>
        <v>VšĮ Alytaus rajono savivaldybės pirminės sveikatos priežiūros centras</v>
      </c>
      <c r="F126" s="515" t="str">
        <f>CONCATENATE('IV-2 arsa'!E51)</f>
        <v>Lietuvos Respublikos Sveikatos apsaugos ministerija</v>
      </c>
      <c r="G126" s="515" t="str">
        <f>CONCATENATE('IV-2 arsa'!F51)</f>
        <v>Alytaus rajonas</v>
      </c>
      <c r="H126" s="515" t="str">
        <f>CONCATENATE('IV-2 arsa'!G51)</f>
        <v>08.1.3-CPVA-R-609</v>
      </c>
      <c r="I126" s="515" t="str">
        <f>CONCATENATE('IV-2 arsa'!H51)</f>
        <v>R</v>
      </c>
      <c r="J126" s="515" t="str">
        <f>CONCATENATE('IV-2 arsa'!I51)</f>
        <v>-</v>
      </c>
      <c r="K126" s="515" t="str">
        <f>CONCATENATE('IV-2 arsa'!J51)</f>
        <v>-</v>
      </c>
      <c r="L126" s="516">
        <f>SUM('IV-2 arsa'!K51)</f>
        <v>171636</v>
      </c>
      <c r="M126" s="516"/>
      <c r="N126" s="516"/>
      <c r="O126" s="516">
        <f>SUM('IV-2 arsa'!L51)</f>
        <v>12873</v>
      </c>
      <c r="P126" s="1454">
        <f>SUM('ketv. 6 lent'!O126)</f>
        <v>0</v>
      </c>
      <c r="Q126" s="1454">
        <f t="shared" ref="Q126:Q133" si="190">IF(P126&gt;0,O126-P126,0)</f>
        <v>0</v>
      </c>
      <c r="R126" s="516">
        <f>SUM('IV-2 arsa'!M51)</f>
        <v>12873</v>
      </c>
      <c r="S126" s="1454">
        <f>SUM('ketv. 6 lent'!S126)</f>
        <v>0</v>
      </c>
      <c r="T126" s="1454">
        <f t="shared" si="180"/>
        <v>0</v>
      </c>
      <c r="U126" s="516">
        <f>SUM('IV-2 arsa'!N51)</f>
        <v>0</v>
      </c>
      <c r="V126" s="1454">
        <f>SUM('ketv. 6 lent'!W126)</f>
        <v>0</v>
      </c>
      <c r="W126" s="1454">
        <f t="shared" si="181"/>
        <v>0</v>
      </c>
      <c r="X126" s="516">
        <f>SUM('IV-2 arsa'!O51)</f>
        <v>0</v>
      </c>
      <c r="Y126" s="1454">
        <f>SUM('ketv. 6 lent'!AA126)</f>
        <v>0</v>
      </c>
      <c r="Z126" s="1454">
        <f t="shared" si="182"/>
        <v>0</v>
      </c>
      <c r="AA126" s="516">
        <f>SUM('IV-2 arsa'!P51)</f>
        <v>145890</v>
      </c>
      <c r="AB126" s="1455" t="str">
        <f>IF('ketv. 4 lent'!V126&gt;0,"Taip","Ne")</f>
        <v>Ne</v>
      </c>
      <c r="AC126" s="1455">
        <f>SUM('ketv. 6 lent'!AE126)</f>
        <v>0</v>
      </c>
      <c r="AD126" s="1455">
        <f t="shared" si="183"/>
        <v>0</v>
      </c>
      <c r="AE126" s="1544">
        <v>43227</v>
      </c>
      <c r="AF126" s="1202">
        <f>SUM('IV-2 arsa'!R51)</f>
        <v>43312</v>
      </c>
      <c r="AG126" s="1202">
        <f>SUM('IV-2 arsa'!S51)</f>
        <v>43403</v>
      </c>
      <c r="AH126" s="1202">
        <f>SUM('IV-2 arsa'!T51)</f>
        <v>43496</v>
      </c>
      <c r="AI126" s="1545">
        <f t="shared" si="184"/>
        <v>2019</v>
      </c>
      <c r="AJ126" s="1283">
        <f>SUM('IV-2 arsa'!U51)</f>
        <v>44134</v>
      </c>
      <c r="AK126" s="1455">
        <f t="shared" si="185"/>
        <v>0</v>
      </c>
      <c r="AL126" s="1455">
        <f t="shared" si="186"/>
        <v>0</v>
      </c>
      <c r="AM126" s="1455">
        <f t="shared" si="187"/>
        <v>0</v>
      </c>
      <c r="AN126" s="1455">
        <f t="shared" si="188"/>
        <v>145890</v>
      </c>
      <c r="AO126" s="1457">
        <f t="shared" si="189"/>
        <v>0</v>
      </c>
      <c r="AP126" s="594"/>
      <c r="AQ126" s="88"/>
      <c r="AR126" s="88"/>
    </row>
    <row r="127" spans="1:44" ht="39.75" thickTop="1" thickBot="1" x14ac:dyDescent="0.3">
      <c r="A127" s="515" t="s">
        <v>209</v>
      </c>
      <c r="B127" s="515" t="s">
        <v>1765</v>
      </c>
      <c r="C127" s="1449"/>
      <c r="D127" s="515" t="str">
        <f>CONCATENATE('IV-2 arsa'!C52)</f>
        <v>Sveikatos priežiūros paslaugų gerinimas "UAB "Disolis"</v>
      </c>
      <c r="E127" s="515" t="str">
        <f>CONCATENATE('IV-2 arsa'!D52)</f>
        <v>UAB „Disolis“</v>
      </c>
      <c r="F127" s="515" t="str">
        <f>CONCATENATE('IV-2 arsa'!E52)</f>
        <v>Lietuvos Respublikos Sveikatos apsaugos ministerija</v>
      </c>
      <c r="G127" s="515" t="str">
        <f>CONCATENATE('IV-2 arsa'!F52)</f>
        <v>Alytaus rajonas</v>
      </c>
      <c r="H127" s="515" t="str">
        <f>CONCATENATE('IV-2 arsa'!G52)</f>
        <v>08.1.3-CPVA-R-609</v>
      </c>
      <c r="I127" s="515" t="str">
        <f>CONCATENATE('IV-2 arsa'!H52)</f>
        <v>R</v>
      </c>
      <c r="J127" s="515" t="str">
        <f>CONCATENATE('IV-2 arsa'!I52)</f>
        <v>-</v>
      </c>
      <c r="K127" s="515" t="str">
        <f>CONCATENATE('IV-2 arsa'!J52)</f>
        <v>-</v>
      </c>
      <c r="L127" s="516">
        <f>SUM('IV-2 arsa'!K52)</f>
        <v>17386</v>
      </c>
      <c r="M127" s="516"/>
      <c r="N127" s="516"/>
      <c r="O127" s="516">
        <f>SUM('IV-2 arsa'!L52)</f>
        <v>0</v>
      </c>
      <c r="P127" s="1454">
        <f>SUM('ketv. 6 lent'!O127)</f>
        <v>0</v>
      </c>
      <c r="Q127" s="1454">
        <f t="shared" si="190"/>
        <v>0</v>
      </c>
      <c r="R127" s="516">
        <f>SUM('IV-2 arsa'!M52)</f>
        <v>1304</v>
      </c>
      <c r="S127" s="1454">
        <f>SUM('ketv. 6 lent'!S127)</f>
        <v>0</v>
      </c>
      <c r="T127" s="1454">
        <f t="shared" si="180"/>
        <v>0</v>
      </c>
      <c r="U127" s="516">
        <f>SUM('IV-2 arsa'!N52)</f>
        <v>1304</v>
      </c>
      <c r="V127" s="1454">
        <f>SUM('ketv. 6 lent'!W127)</f>
        <v>0</v>
      </c>
      <c r="W127" s="1454">
        <f t="shared" si="181"/>
        <v>0</v>
      </c>
      <c r="X127" s="516">
        <f>SUM('IV-2 arsa'!O52)</f>
        <v>0</v>
      </c>
      <c r="Y127" s="1454">
        <f>SUM('ketv. 6 lent'!AA127)</f>
        <v>0</v>
      </c>
      <c r="Z127" s="1454">
        <f t="shared" si="182"/>
        <v>0</v>
      </c>
      <c r="AA127" s="516">
        <f>SUM('IV-2 arsa'!P52)</f>
        <v>14778</v>
      </c>
      <c r="AB127" s="1455" t="str">
        <f>IF('ketv. 4 lent'!V127&gt;0,"Taip","Ne")</f>
        <v>Ne</v>
      </c>
      <c r="AC127" s="1455">
        <f>SUM('ketv. 6 lent'!AE127)</f>
        <v>0</v>
      </c>
      <c r="AD127" s="1455">
        <f t="shared" si="183"/>
        <v>0</v>
      </c>
      <c r="AE127" s="1544">
        <v>43227</v>
      </c>
      <c r="AF127" s="1202">
        <f>SUM('IV-2 arsa'!R52)</f>
        <v>43312</v>
      </c>
      <c r="AG127" s="1202">
        <f>SUM('IV-2 arsa'!S52)</f>
        <v>43403</v>
      </c>
      <c r="AH127" s="1202">
        <f>SUM('IV-2 arsa'!T52)</f>
        <v>43495</v>
      </c>
      <c r="AI127" s="1545">
        <f t="shared" si="184"/>
        <v>2019</v>
      </c>
      <c r="AJ127" s="1283">
        <f>SUM('IV-2 arsa'!U52)</f>
        <v>43830</v>
      </c>
      <c r="AK127" s="1455">
        <f t="shared" si="185"/>
        <v>0</v>
      </c>
      <c r="AL127" s="1455">
        <f t="shared" si="186"/>
        <v>0</v>
      </c>
      <c r="AM127" s="1455">
        <f t="shared" si="187"/>
        <v>0</v>
      </c>
      <c r="AN127" s="1455">
        <f t="shared" si="188"/>
        <v>14778</v>
      </c>
      <c r="AO127" s="1457">
        <f t="shared" si="189"/>
        <v>0</v>
      </c>
      <c r="AP127" s="594"/>
      <c r="AQ127" s="88"/>
      <c r="AR127" s="88"/>
    </row>
    <row r="128" spans="1:44" ht="39.75" thickTop="1" thickBot="1" x14ac:dyDescent="0.3">
      <c r="A128" s="515" t="s">
        <v>210</v>
      </c>
      <c r="B128" s="515" t="s">
        <v>1803</v>
      </c>
      <c r="C128" s="1449"/>
      <c r="D128" s="515" t="str">
        <f>CONCATENATE('IV-2 dsa'!C54)</f>
        <v>Pirminės asmens sveikatos priežiūros kokybės ir prieinamumo gerinimas Druskininkų savivaldybėje</v>
      </c>
      <c r="E128" s="515" t="str">
        <f>CONCATENATE('IV-2 dsa'!D54)</f>
        <v>VšĮ Druskininkų pirminės sveikatos priežiūros centras</v>
      </c>
      <c r="F128" s="515" t="str">
        <f>CONCATENATE('IV-2 dsa'!E54)</f>
        <v>Lietuvos Respublikos Sveikatos apsaugos ministerija</v>
      </c>
      <c r="G128" s="515" t="str">
        <f>CONCATENATE('IV-2 dsa'!F54)</f>
        <v>Druskininkų sav.</v>
      </c>
      <c r="H128" s="515" t="str">
        <f>CONCATENATE('IV-2 dsa'!G54)</f>
        <v>08.1.3-CPVA-R-609</v>
      </c>
      <c r="I128" s="515" t="str">
        <f>CONCATENATE('IV-2 dsa'!H54)</f>
        <v>R</v>
      </c>
      <c r="J128" s="515" t="str">
        <f>CONCATENATE('IV-2 dsa'!I54)</f>
        <v>-</v>
      </c>
      <c r="K128" s="515" t="str">
        <f>CONCATENATE('IV-2 dsa'!J54)</f>
        <v>-</v>
      </c>
      <c r="L128" s="516">
        <f>SUM('IV-2 dsa'!K54)</f>
        <v>163532</v>
      </c>
      <c r="M128" s="516"/>
      <c r="N128" s="516"/>
      <c r="O128" s="516">
        <f>SUM('IV-2 dsa'!L54)</f>
        <v>0</v>
      </c>
      <c r="P128" s="1454">
        <f>SUM('ketv. 6 lent'!O128)</f>
        <v>0</v>
      </c>
      <c r="Q128" s="1454">
        <f t="shared" si="190"/>
        <v>0</v>
      </c>
      <c r="R128" s="516">
        <f>SUM('IV-2 dsa'!M54)</f>
        <v>12265</v>
      </c>
      <c r="S128" s="1454">
        <f>SUM('ketv. 6 lent'!S128)</f>
        <v>0</v>
      </c>
      <c r="T128" s="1454">
        <f t="shared" si="180"/>
        <v>0</v>
      </c>
      <c r="U128" s="516">
        <f>SUM('IV-2 dsa'!N54)</f>
        <v>12265</v>
      </c>
      <c r="V128" s="1454">
        <f>SUM('ketv. 6 lent'!W128)</f>
        <v>0</v>
      </c>
      <c r="W128" s="1454">
        <f t="shared" si="181"/>
        <v>0</v>
      </c>
      <c r="X128" s="516">
        <f>SUM('IV-2 dsa'!O54)</f>
        <v>0</v>
      </c>
      <c r="Y128" s="1454">
        <f>SUM('ketv. 6 lent'!AA128)</f>
        <v>0</v>
      </c>
      <c r="Z128" s="1454">
        <f t="shared" si="182"/>
        <v>0</v>
      </c>
      <c r="AA128" s="516">
        <f>SUM('IV-2 dsa'!P54)</f>
        <v>139002</v>
      </c>
      <c r="AB128" s="1455" t="str">
        <f>IF('ketv. 4 lent'!V128&gt;0,"Taip","Ne")</f>
        <v>Ne</v>
      </c>
      <c r="AC128" s="1455">
        <f>SUM('ketv. 6 lent'!AE128)</f>
        <v>0</v>
      </c>
      <c r="AD128" s="1455">
        <f t="shared" si="183"/>
        <v>0</v>
      </c>
      <c r="AE128" s="1544">
        <v>43227</v>
      </c>
      <c r="AF128" s="1202">
        <f>SUM('IV-2 dsa'!R54)</f>
        <v>43312</v>
      </c>
      <c r="AG128" s="1202">
        <f>SUM('IV-2 dsa'!S54)</f>
        <v>43403</v>
      </c>
      <c r="AH128" s="1202">
        <f>SUM('IV-2 dsa'!T54)</f>
        <v>43465</v>
      </c>
      <c r="AI128" s="1545">
        <f t="shared" si="184"/>
        <v>2018</v>
      </c>
      <c r="AJ128" s="1283">
        <f>SUM('IV-2 dsa'!U54)</f>
        <v>44196</v>
      </c>
      <c r="AK128" s="1455">
        <f t="shared" si="185"/>
        <v>0</v>
      </c>
      <c r="AL128" s="1455">
        <f t="shared" si="186"/>
        <v>0</v>
      </c>
      <c r="AM128" s="1455">
        <f t="shared" si="187"/>
        <v>139002</v>
      </c>
      <c r="AN128" s="1455">
        <f t="shared" si="188"/>
        <v>0</v>
      </c>
      <c r="AO128" s="1457">
        <f t="shared" si="189"/>
        <v>0</v>
      </c>
      <c r="AP128" s="592"/>
      <c r="AQ128" s="88"/>
      <c r="AR128" s="88"/>
    </row>
    <row r="129" spans="1:44" ht="39.75" thickTop="1" thickBot="1" x14ac:dyDescent="0.3">
      <c r="A129" s="515" t="s">
        <v>220</v>
      </c>
      <c r="B129" s="515" t="s">
        <v>1758</v>
      </c>
      <c r="C129" s="1449"/>
      <c r="D129" s="515" t="str">
        <f>CONCATENATE('IV-2 dsa'!C55)</f>
        <v>UAB "Druskininkų šeimos klinika" asmens sveikatos priežiūros paslaugų prieinamumo ir efektyvumo didinimas</v>
      </c>
      <c r="E129" s="515" t="str">
        <f>CONCATENATE('IV-2 dsa'!D55)</f>
        <v>UAB „Druskininkų šeimos klinika“</v>
      </c>
      <c r="F129" s="515" t="str">
        <f>CONCATENATE('IV-2 dsa'!E55)</f>
        <v>Lietuvos Respublikos Sveikatos apsaugos ministerija</v>
      </c>
      <c r="G129" s="515" t="str">
        <f>CONCATENATE('IV-2 dsa'!F55)</f>
        <v>Druskininkų sav.</v>
      </c>
      <c r="H129" s="515" t="str">
        <f>CONCATENATE('IV-2 dsa'!G55)</f>
        <v>08.1.3-CPVA-R-609</v>
      </c>
      <c r="I129" s="515" t="str">
        <f>CONCATENATE('IV-2 dsa'!H55)</f>
        <v>R</v>
      </c>
      <c r="J129" s="515" t="str">
        <f>CONCATENATE('IV-2 dsa'!I55)</f>
        <v>-</v>
      </c>
      <c r="K129" s="515" t="str">
        <f>CONCATENATE('IV-2 dsa'!J55)</f>
        <v>-</v>
      </c>
      <c r="L129" s="516">
        <f>SUM('IV-2 dsa'!K55)</f>
        <v>12289</v>
      </c>
      <c r="M129" s="516"/>
      <c r="N129" s="516"/>
      <c r="O129" s="516">
        <f>SUM('IV-2 dsa'!L55)</f>
        <v>0</v>
      </c>
      <c r="P129" s="1454">
        <f>SUM('ketv. 6 lent'!O129)</f>
        <v>0</v>
      </c>
      <c r="Q129" s="1454">
        <f t="shared" si="190"/>
        <v>0</v>
      </c>
      <c r="R129" s="516">
        <f>SUM('IV-2 dsa'!M55)</f>
        <v>922</v>
      </c>
      <c r="S129" s="1454">
        <f>SUM('ketv. 6 lent'!S129)</f>
        <v>0</v>
      </c>
      <c r="T129" s="1454">
        <f t="shared" si="180"/>
        <v>0</v>
      </c>
      <c r="U129" s="516">
        <f>SUM('IV-2 dsa'!N55)</f>
        <v>922</v>
      </c>
      <c r="V129" s="1454">
        <f>SUM('ketv. 6 lent'!W129)</f>
        <v>0</v>
      </c>
      <c r="W129" s="1454">
        <f t="shared" si="181"/>
        <v>0</v>
      </c>
      <c r="X129" s="516">
        <f>SUM('IV-2 dsa'!O55)</f>
        <v>0</v>
      </c>
      <c r="Y129" s="1454">
        <f>SUM('ketv. 6 lent'!AA129)</f>
        <v>0</v>
      </c>
      <c r="Z129" s="1454">
        <f t="shared" si="182"/>
        <v>0</v>
      </c>
      <c r="AA129" s="516">
        <f>SUM('IV-2 dsa'!P55)</f>
        <v>10445</v>
      </c>
      <c r="AB129" s="1455" t="str">
        <f>IF('ketv. 4 lent'!V129&gt;0,"Taip","Ne")</f>
        <v>Ne</v>
      </c>
      <c r="AC129" s="1455">
        <f>SUM('ketv. 6 lent'!AE129)</f>
        <v>0</v>
      </c>
      <c r="AD129" s="1455">
        <f t="shared" si="183"/>
        <v>0</v>
      </c>
      <c r="AE129" s="1544">
        <v>43227</v>
      </c>
      <c r="AF129" s="1202">
        <f>SUM('IV-2 dsa'!R55)</f>
        <v>43312</v>
      </c>
      <c r="AG129" s="1202">
        <f>SUM('IV-2 dsa'!S55)</f>
        <v>43403</v>
      </c>
      <c r="AH129" s="1202">
        <f>SUM('IV-2 dsa'!T55)</f>
        <v>43495</v>
      </c>
      <c r="AI129" s="1545">
        <f t="shared" si="184"/>
        <v>2019</v>
      </c>
      <c r="AJ129" s="1283">
        <f>SUM('IV-2 dsa'!U55)</f>
        <v>43922</v>
      </c>
      <c r="AK129" s="1455">
        <f t="shared" si="185"/>
        <v>0</v>
      </c>
      <c r="AL129" s="1455">
        <f t="shared" si="186"/>
        <v>0</v>
      </c>
      <c r="AM129" s="1455">
        <f t="shared" si="187"/>
        <v>0</v>
      </c>
      <c r="AN129" s="1455">
        <f t="shared" si="188"/>
        <v>10445</v>
      </c>
      <c r="AO129" s="1457">
        <f t="shared" si="189"/>
        <v>0</v>
      </c>
      <c r="AP129" s="88"/>
      <c r="AQ129" s="88"/>
      <c r="AR129" s="88"/>
    </row>
    <row r="130" spans="1:44" ht="39.75" thickTop="1" thickBot="1" x14ac:dyDescent="0.3">
      <c r="A130" s="515" t="s">
        <v>1725</v>
      </c>
      <c r="B130" s="515" t="s">
        <v>1756</v>
      </c>
      <c r="C130" s="1449"/>
      <c r="D130" s="515" t="str">
        <f>CONCATENATE('IV-2 dsa'!C56)</f>
        <v>I. S. Kavaliauskienės įmonės teikiamų pirminės ambulatorinės asmens sveikatos priežiūros paslaugų kokybės ir prieinamumo gerinimas.</v>
      </c>
      <c r="E130" s="515" t="str">
        <f>CONCATENATE('IV-2 dsa'!D56)</f>
        <v>Irenos Stanislavos Kavaliauskienės įmonė</v>
      </c>
      <c r="F130" s="515" t="str">
        <f>CONCATENATE('IV-2 dsa'!E56)</f>
        <v>Lietuvos Respublikos Sveikatos apsaugos ministerija</v>
      </c>
      <c r="G130" s="515" t="str">
        <f>CONCATENATE('IV-2 dsa'!F56)</f>
        <v>Druskininkų sav.</v>
      </c>
      <c r="H130" s="515" t="str">
        <f>CONCATENATE('IV-2 dsa'!G56)</f>
        <v>08.1.3-CPVA-R-609</v>
      </c>
      <c r="I130" s="515" t="str">
        <f>CONCATENATE('IV-2 dsa'!H56)</f>
        <v>R</v>
      </c>
      <c r="J130" s="515" t="str">
        <f>CONCATENATE('IV-2 dsa'!I56)</f>
        <v>-</v>
      </c>
      <c r="K130" s="515" t="str">
        <f>CONCATENATE('IV-2 dsa'!J56)</f>
        <v>-</v>
      </c>
      <c r="L130" s="516">
        <f>SUM('IV-2 dsa'!K56)</f>
        <v>25517</v>
      </c>
      <c r="M130" s="516"/>
      <c r="N130" s="516"/>
      <c r="O130" s="516">
        <f>SUM('IV-2 dsa'!L56)</f>
        <v>0</v>
      </c>
      <c r="P130" s="1454">
        <f>SUM('ketv. 6 lent'!O134)</f>
        <v>0</v>
      </c>
      <c r="Q130" s="1454">
        <f t="shared" si="190"/>
        <v>0</v>
      </c>
      <c r="R130" s="516">
        <f>SUM('IV-2 dsa'!M56)</f>
        <v>1914</v>
      </c>
      <c r="S130" s="1454">
        <f>SUM('ketv. 6 lent'!S134)</f>
        <v>0</v>
      </c>
      <c r="T130" s="1454">
        <f t="shared" si="180"/>
        <v>0</v>
      </c>
      <c r="U130" s="516">
        <f>SUM('IV-2 dsa'!N56)</f>
        <v>1914</v>
      </c>
      <c r="V130" s="1454">
        <f>SUM('ketv. 6 lent'!W134)</f>
        <v>0</v>
      </c>
      <c r="W130" s="1454">
        <f t="shared" si="181"/>
        <v>0</v>
      </c>
      <c r="X130" s="516">
        <f>SUM('IV-2 dsa'!O56)</f>
        <v>0</v>
      </c>
      <c r="Y130" s="1454">
        <f>SUM('ketv. 6 lent'!AA134)</f>
        <v>0</v>
      </c>
      <c r="Z130" s="1454">
        <f t="shared" si="182"/>
        <v>0</v>
      </c>
      <c r="AA130" s="516">
        <f>SUM('IV-2 dsa'!P56)</f>
        <v>21689</v>
      </c>
      <c r="AB130" s="1455" t="str">
        <f>IF('ketv. 4 lent'!V134&gt;0,"Taip","Ne")</f>
        <v>Ne</v>
      </c>
      <c r="AC130" s="1455">
        <f>SUM('ketv. 6 lent'!AE134)</f>
        <v>0</v>
      </c>
      <c r="AD130" s="1455">
        <f t="shared" si="183"/>
        <v>0</v>
      </c>
      <c r="AE130" s="1544">
        <v>43227</v>
      </c>
      <c r="AF130" s="1202">
        <f>SUM('IV-2 dsa'!R56)</f>
        <v>43312</v>
      </c>
      <c r="AG130" s="1202">
        <f>SUM('IV-2 dsa'!S56)</f>
        <v>43373</v>
      </c>
      <c r="AH130" s="1202">
        <f>SUM('IV-2 dsa'!T56)</f>
        <v>43464</v>
      </c>
      <c r="AI130" s="1545">
        <f t="shared" si="184"/>
        <v>2018</v>
      </c>
      <c r="AJ130" s="1283">
        <f>SUM('IV-2 dsa'!U56)</f>
        <v>43830</v>
      </c>
      <c r="AK130" s="1455">
        <f t="shared" si="185"/>
        <v>0</v>
      </c>
      <c r="AL130" s="1455">
        <f t="shared" si="186"/>
        <v>0</v>
      </c>
      <c r="AM130" s="1455">
        <f t="shared" si="187"/>
        <v>21689</v>
      </c>
      <c r="AN130" s="1455">
        <f t="shared" si="188"/>
        <v>0</v>
      </c>
      <c r="AO130" s="1457">
        <f t="shared" si="189"/>
        <v>0</v>
      </c>
      <c r="AP130" s="88"/>
      <c r="AQ130" s="88"/>
      <c r="AR130" s="88"/>
    </row>
    <row r="131" spans="1:44" ht="39.75" thickTop="1" thickBot="1" x14ac:dyDescent="0.3">
      <c r="A131" s="515" t="s">
        <v>1726</v>
      </c>
      <c r="B131" s="515" t="s">
        <v>1755</v>
      </c>
      <c r="C131" s="1449"/>
      <c r="D131" s="515" t="str">
        <f>CONCATENATE('IV-2 dsa'!C57)</f>
        <v>Pirminės ambulatorinės asmens sveikatos priežiūros efektyvumo didinimas R.Ambrazaitienės ir L. Puzinovienės šeimos gydytojų kabinetuose</v>
      </c>
      <c r="E131" s="515" t="str">
        <f>CONCATENATE('IV-2 dsa'!D57)</f>
        <v>UAB „Rasos Ambrazaitienės šeimos gydytojo kabinetas“</v>
      </c>
      <c r="F131" s="515" t="str">
        <f>CONCATENATE('IV-2 dsa'!E57)</f>
        <v>Lietuvos Respublikos Sveikatos apsaugos ministerija</v>
      </c>
      <c r="G131" s="515" t="str">
        <f>CONCATENATE('IV-2 dsa'!F57)</f>
        <v>Druskininkų sav.</v>
      </c>
      <c r="H131" s="515" t="str">
        <f>CONCATENATE('IV-2 dsa'!G57)</f>
        <v>08.1.3-CPVA-R-609</v>
      </c>
      <c r="I131" s="515" t="str">
        <f>CONCATENATE('IV-2 dsa'!H57)</f>
        <v>R</v>
      </c>
      <c r="J131" s="515" t="str">
        <f>CONCATENATE('IV-2 dsa'!I57)</f>
        <v>-</v>
      </c>
      <c r="K131" s="515" t="str">
        <f>CONCATENATE('IV-2 dsa'!J57)</f>
        <v>-</v>
      </c>
      <c r="L131" s="516">
        <f>SUM('IV-2 dsa'!K57)</f>
        <v>27906</v>
      </c>
      <c r="M131" s="516"/>
      <c r="N131" s="516"/>
      <c r="O131" s="516">
        <f>SUM('IV-2 dsa'!L57)</f>
        <v>0</v>
      </c>
      <c r="P131" s="1454">
        <f>SUM('ketv. 6 lent'!O135)</f>
        <v>0</v>
      </c>
      <c r="Q131" s="1454">
        <f t="shared" si="190"/>
        <v>0</v>
      </c>
      <c r="R131" s="516">
        <f>SUM('IV-2 dsa'!M57)</f>
        <v>2093</v>
      </c>
      <c r="S131" s="1454">
        <f>SUM('ketv. 6 lent'!S135)</f>
        <v>0</v>
      </c>
      <c r="T131" s="1454">
        <f t="shared" si="180"/>
        <v>0</v>
      </c>
      <c r="U131" s="516">
        <f>SUM('IV-2 dsa'!N57)</f>
        <v>2093</v>
      </c>
      <c r="V131" s="1454">
        <f>SUM('ketv. 6 lent'!W135)</f>
        <v>0</v>
      </c>
      <c r="W131" s="1454">
        <f t="shared" si="181"/>
        <v>0</v>
      </c>
      <c r="X131" s="516">
        <f>SUM('IV-2 dsa'!O57)</f>
        <v>0</v>
      </c>
      <c r="Y131" s="1454">
        <f>SUM('ketv. 6 lent'!AA135)</f>
        <v>0</v>
      </c>
      <c r="Z131" s="1454">
        <f t="shared" si="182"/>
        <v>0</v>
      </c>
      <c r="AA131" s="516">
        <f>SUM('IV-2 dsa'!P57)</f>
        <v>23720</v>
      </c>
      <c r="AB131" s="1455" t="str">
        <f>IF('ketv. 4 lent'!V135&gt;0,"Taip","Ne")</f>
        <v>Ne</v>
      </c>
      <c r="AC131" s="1455">
        <f>SUM('ketv. 6 lent'!AE135)</f>
        <v>0</v>
      </c>
      <c r="AD131" s="1455">
        <f t="shared" si="183"/>
        <v>0</v>
      </c>
      <c r="AE131" s="1544">
        <v>43227</v>
      </c>
      <c r="AF131" s="1202">
        <f>SUM('IV-2 dsa'!R57)</f>
        <v>43312</v>
      </c>
      <c r="AG131" s="1202">
        <f>SUM('IV-2 dsa'!S57)</f>
        <v>43403</v>
      </c>
      <c r="AH131" s="1202">
        <f>SUM('IV-2 dsa'!T57)</f>
        <v>43495</v>
      </c>
      <c r="AI131" s="1545">
        <f t="shared" si="184"/>
        <v>2019</v>
      </c>
      <c r="AJ131" s="1283">
        <f>SUM('IV-2 dsa'!U57)</f>
        <v>44196</v>
      </c>
      <c r="AK131" s="1455">
        <f t="shared" si="185"/>
        <v>0</v>
      </c>
      <c r="AL131" s="1455">
        <f t="shared" si="186"/>
        <v>0</v>
      </c>
      <c r="AM131" s="1455">
        <f t="shared" si="187"/>
        <v>0</v>
      </c>
      <c r="AN131" s="1455">
        <f t="shared" si="188"/>
        <v>23720</v>
      </c>
      <c r="AO131" s="1457">
        <f t="shared" si="189"/>
        <v>0</v>
      </c>
      <c r="AP131" s="88"/>
      <c r="AQ131" s="88"/>
      <c r="AR131" s="88"/>
    </row>
    <row r="132" spans="1:44" ht="39.75" thickTop="1" thickBot="1" x14ac:dyDescent="0.3">
      <c r="A132" s="515" t="s">
        <v>1727</v>
      </c>
      <c r="B132" s="515" t="s">
        <v>1759</v>
      </c>
      <c r="C132" s="1449"/>
      <c r="D132" s="515" t="str">
        <f>CONCATENATE('IV-2 lrsa'!D51)</f>
        <v xml:space="preserve">Pirminės asmens sveikatos priežiūros veiklos efektyvumo didinimas Lazdijų rajono savivaldybėje </v>
      </c>
      <c r="E132" s="515" t="str">
        <f>CONCATENATE('IV-2 lrsa'!E51)</f>
        <v>Lazdijų rajono savivaldybės administracija</v>
      </c>
      <c r="F132" s="515" t="str">
        <f>CONCATENATE('IV-2 lrsa'!F51)</f>
        <v>Lietuvos Respublikos Sveikatos apsaugos ministerija</v>
      </c>
      <c r="G132" s="515" t="str">
        <f>CONCATENATE('IV-2 lrsa'!G51)</f>
        <v>Lazdijai</v>
      </c>
      <c r="H132" s="515" t="str">
        <f>CONCATENATE('IV-2 lrsa'!H51)</f>
        <v>08.1.3-CPVA-R-609</v>
      </c>
      <c r="I132" s="515" t="str">
        <f>CONCATENATE('IV-2 lrsa'!I51)</f>
        <v>R</v>
      </c>
      <c r="J132" s="515" t="str">
        <f>CONCATENATE('IV-2 lrsa'!J51)</f>
        <v>-</v>
      </c>
      <c r="K132" s="515" t="str">
        <f>CONCATENATE('IV-2 lrsa'!K51)</f>
        <v>-</v>
      </c>
      <c r="L132" s="516">
        <f>SUM('IV-2 lrsa'!L51)</f>
        <v>192719</v>
      </c>
      <c r="M132" s="516"/>
      <c r="N132" s="516"/>
      <c r="O132" s="516">
        <f>SUM('IV-2 lrsa'!M51)</f>
        <v>2983</v>
      </c>
      <c r="P132" s="1454">
        <f>SUM('ketv. 6 lent'!O136)</f>
        <v>0</v>
      </c>
      <c r="Q132" s="1454">
        <f t="shared" si="190"/>
        <v>0</v>
      </c>
      <c r="R132" s="516">
        <f>SUM('IV-2 lrsa'!N51)</f>
        <v>14454</v>
      </c>
      <c r="S132" s="1454">
        <f>SUM('ketv. 6 lent'!S136)</f>
        <v>0</v>
      </c>
      <c r="T132" s="1454">
        <f t="shared" si="180"/>
        <v>0</v>
      </c>
      <c r="U132" s="516">
        <f>SUM('IV-2 lrsa'!O51)</f>
        <v>11471</v>
      </c>
      <c r="V132" s="1454">
        <f>SUM('ketv. 6 lent'!W136)</f>
        <v>0</v>
      </c>
      <c r="W132" s="1454">
        <f t="shared" si="181"/>
        <v>0</v>
      </c>
      <c r="X132" s="516">
        <f>SUM('IV-2 lrsa'!P51)</f>
        <v>0</v>
      </c>
      <c r="Y132" s="1454">
        <f>SUM('ketv. 6 lent'!AA136)</f>
        <v>0</v>
      </c>
      <c r="Z132" s="1454">
        <f t="shared" si="182"/>
        <v>0</v>
      </c>
      <c r="AA132" s="516">
        <f>SUM('IV-2 lrsa'!Q51)</f>
        <v>163811</v>
      </c>
      <c r="AB132" s="1455" t="str">
        <f>IF('ketv. 4 lent'!V136&gt;0,"Taip","Ne")</f>
        <v>Ne</v>
      </c>
      <c r="AC132" s="1455">
        <f>SUM('ketv. 6 lent'!AE136)</f>
        <v>0</v>
      </c>
      <c r="AD132" s="1455">
        <f t="shared" si="183"/>
        <v>0</v>
      </c>
      <c r="AE132" s="1544">
        <v>43227</v>
      </c>
      <c r="AF132" s="1202">
        <f>SUM('IV-2 lrsa'!S51)</f>
        <v>43312</v>
      </c>
      <c r="AG132" s="1202">
        <f>SUM('IV-2 lrsa'!T51)</f>
        <v>43404</v>
      </c>
      <c r="AH132" s="1202">
        <f>SUM('IV-2 lrsa'!U51)</f>
        <v>43496</v>
      </c>
      <c r="AI132" s="1545">
        <f t="shared" si="184"/>
        <v>2019</v>
      </c>
      <c r="AJ132" s="1283">
        <f>SUM('IV-2 lrsa'!V51)</f>
        <v>44531</v>
      </c>
      <c r="AK132" s="1455">
        <f t="shared" si="185"/>
        <v>0</v>
      </c>
      <c r="AL132" s="1455">
        <f t="shared" si="186"/>
        <v>0</v>
      </c>
      <c r="AM132" s="1455">
        <f t="shared" si="187"/>
        <v>0</v>
      </c>
      <c r="AN132" s="1455">
        <f t="shared" si="188"/>
        <v>163811</v>
      </c>
      <c r="AO132" s="1457">
        <f t="shared" si="189"/>
        <v>0</v>
      </c>
      <c r="AP132" s="88"/>
      <c r="AQ132" s="88"/>
      <c r="AR132" s="88"/>
    </row>
    <row r="133" spans="1:44" ht="39.75" thickTop="1" thickBot="1" x14ac:dyDescent="0.3">
      <c r="A133" s="515" t="s">
        <v>1728</v>
      </c>
      <c r="B133" s="515" t="s">
        <v>1766</v>
      </c>
      <c r="C133" s="1449"/>
      <c r="D133" s="515" t="str">
        <f>CONCATENATE('IV-2 vrsa'!D56)</f>
        <v>Pirminės asmens sveikatos priežiūros veiklos efektyvumo didinimas Varėnos rajono savivaldybėje</v>
      </c>
      <c r="E133" s="515" t="str">
        <f>CONCATENATE('IV-2 vrsa'!E56)</f>
        <v>VšĮ Varėnos pirminės sveikatos priežiūros centras</v>
      </c>
      <c r="F133" s="515" t="str">
        <f>CONCATENATE('IV-2 vrsa'!F56)</f>
        <v>Lietuvos Respublikos Sveikatos apsaugos ministerija</v>
      </c>
      <c r="G133" s="515" t="str">
        <f>CONCATENATE('IV-2 vrsa'!G56)</f>
        <v>Varėnos r. sav.</v>
      </c>
      <c r="H133" s="515" t="str">
        <f>CONCATENATE('IV-2 vrsa'!H56)</f>
        <v>08.1.3-CPVA-R-609</v>
      </c>
      <c r="I133" s="515" t="str">
        <f>CONCATENATE('IV-2 vrsa'!I56)</f>
        <v>R</v>
      </c>
      <c r="J133" s="515" t="str">
        <f>CONCATENATE('IV-2 vrsa'!J56)</f>
        <v>-</v>
      </c>
      <c r="K133" s="515" t="str">
        <f>CONCATENATE('IV-2 vrsa'!K56)</f>
        <v>-</v>
      </c>
      <c r="L133" s="1427">
        <f>SUM('IV-2 vrsa'!L56)</f>
        <v>192678</v>
      </c>
      <c r="M133" s="1427"/>
      <c r="N133" s="1427"/>
      <c r="O133" s="1427">
        <f>SUM('IV-2 vrsa'!M56)</f>
        <v>14451</v>
      </c>
      <c r="P133" s="1452">
        <f>SUM('ketv. 6 lent'!O137)</f>
        <v>0</v>
      </c>
      <c r="Q133" s="1452">
        <f t="shared" si="190"/>
        <v>0</v>
      </c>
      <c r="R133" s="1427">
        <f>SUM('IV-2 vrsa'!N56)</f>
        <v>14451</v>
      </c>
      <c r="S133" s="1452">
        <f>SUM('ketv. 6 lent'!S137)</f>
        <v>0</v>
      </c>
      <c r="T133" s="1452">
        <f t="shared" si="180"/>
        <v>0</v>
      </c>
      <c r="U133" s="1427">
        <f>SUM('IV-2 vrsa'!O56)</f>
        <v>0</v>
      </c>
      <c r="V133" s="1454">
        <f>SUM('ketv. 6 lent'!W137)</f>
        <v>0</v>
      </c>
      <c r="W133" s="1454">
        <f t="shared" si="181"/>
        <v>0</v>
      </c>
      <c r="X133" s="1427">
        <f>SUM('IV-2 vrsa'!P56)</f>
        <v>0</v>
      </c>
      <c r="Y133" s="1454">
        <f>SUM('ketv. 6 lent'!AA137)</f>
        <v>0</v>
      </c>
      <c r="Z133" s="1454">
        <f t="shared" si="182"/>
        <v>0</v>
      </c>
      <c r="AA133" s="1427">
        <f>SUM('IV-2 vrsa'!Q56)</f>
        <v>163776</v>
      </c>
      <c r="AB133" s="1455" t="str">
        <f>IF('ketv. 4 lent'!V137&gt;0,"Taip","Ne")</f>
        <v>Ne</v>
      </c>
      <c r="AC133" s="1455">
        <f>SUM('ketv. 6 lent'!AE137)</f>
        <v>0</v>
      </c>
      <c r="AD133" s="1455">
        <f t="shared" si="183"/>
        <v>0</v>
      </c>
      <c r="AE133" s="1458">
        <v>43227</v>
      </c>
      <c r="AF133" s="1202">
        <f>SUM('IV-2 vrsa'!S56)</f>
        <v>43312</v>
      </c>
      <c r="AG133" s="1202">
        <f>SUM('IV-2 vrsa'!T56)</f>
        <v>43434</v>
      </c>
      <c r="AH133" s="1202">
        <f>SUM('IV-2 vrsa'!U56)</f>
        <v>43496</v>
      </c>
      <c r="AI133" s="1545">
        <f t="shared" si="184"/>
        <v>2019</v>
      </c>
      <c r="AJ133" s="1283">
        <f>SUM('IV-2 vrsa'!V56)</f>
        <v>44227</v>
      </c>
      <c r="AK133" s="1455">
        <f t="shared" si="185"/>
        <v>0</v>
      </c>
      <c r="AL133" s="1455">
        <f t="shared" si="186"/>
        <v>0</v>
      </c>
      <c r="AM133" s="1455">
        <f t="shared" si="187"/>
        <v>0</v>
      </c>
      <c r="AN133" s="1455">
        <f t="shared" si="188"/>
        <v>163776</v>
      </c>
      <c r="AO133" s="1457">
        <f t="shared" si="189"/>
        <v>0</v>
      </c>
      <c r="AP133" s="88"/>
      <c r="AQ133" s="88"/>
      <c r="AR133" s="88"/>
    </row>
    <row r="134" spans="1:44" ht="39.75" thickTop="1" thickBot="1" x14ac:dyDescent="0.3">
      <c r="A134" s="1539" t="s">
        <v>1768</v>
      </c>
      <c r="B134" s="1539" t="s">
        <v>1802</v>
      </c>
      <c r="C134" s="1450"/>
      <c r="D134" s="1426" t="str">
        <f>CONCATENATE('IV-2 vrsa'!D57)</f>
        <v>Pirminės asmens sveikatos priežiūros veiklos efektyvumo didinimas N. Jarašienės personalinėje įmonėje</v>
      </c>
      <c r="E134" s="1426" t="str">
        <f>CONCATENATE('IV-2 vrsa'!E57)</f>
        <v>N. Jarašienės personalinė įmonė</v>
      </c>
      <c r="F134" s="1426" t="str">
        <f>CONCATENATE('IV-2 vrsa'!F57)</f>
        <v>Lietuvos Respublikos Sveikatos apsaugos ministerija</v>
      </c>
      <c r="G134" s="1426" t="str">
        <f>CONCATENATE('IV-2 vrsa'!G57)</f>
        <v>Varėnos r. sav.</v>
      </c>
      <c r="H134" s="1426" t="str">
        <f>CONCATENATE('IV-2 vrsa'!H57)</f>
        <v>08.1.3-CPVA-R-609</v>
      </c>
      <c r="I134" s="1426" t="str">
        <f>CONCATENATE('IV-2 vrsa'!I57)</f>
        <v>R</v>
      </c>
      <c r="J134" s="1426" t="str">
        <f>CONCATENATE('IV-2 vrsa'!J57)</f>
        <v>-</v>
      </c>
      <c r="K134" s="1540" t="str">
        <f>CONCATENATE('IV-2 vrsa'!K57)</f>
        <v>-</v>
      </c>
      <c r="L134" s="1427">
        <f>SUM('IV-2 vrsa'!L57)</f>
        <v>8305</v>
      </c>
      <c r="M134" s="1427"/>
      <c r="N134" s="1427"/>
      <c r="O134" s="1427">
        <f>SUM('IV-2 vrsa'!M57)</f>
        <v>0</v>
      </c>
      <c r="P134" s="1452">
        <f>SUM('ketv. 6 lent'!O138)</f>
        <v>0</v>
      </c>
      <c r="Q134" s="1452">
        <f t="shared" ref="Q134" si="191">IF(P134&gt;0,O134-P134,0)</f>
        <v>0</v>
      </c>
      <c r="R134" s="1427">
        <f>SUM('IV-2 vrsa'!N57)</f>
        <v>623</v>
      </c>
      <c r="S134" s="1452">
        <f>SUM('ketv. 6 lent'!S138)</f>
        <v>0</v>
      </c>
      <c r="T134" s="1452">
        <f t="shared" ref="T134" si="192">IF(S134&gt;0,R134-S134,0)</f>
        <v>0</v>
      </c>
      <c r="U134" s="1427">
        <f>SUM('IV-2 vrsa'!O57)</f>
        <v>623</v>
      </c>
      <c r="V134" s="1454">
        <f>SUM('ketv. 6 lent'!W138)</f>
        <v>0</v>
      </c>
      <c r="W134" s="1454">
        <f t="shared" ref="W134" si="193">IF(V134&gt;0,U134-V134,0)</f>
        <v>0</v>
      </c>
      <c r="X134" s="1427">
        <f>SUM('IV-2 vrsa'!P57)</f>
        <v>0</v>
      </c>
      <c r="Y134" s="1454">
        <f>SUM('ketv. 6 lent'!AA138)</f>
        <v>0</v>
      </c>
      <c r="Z134" s="1454">
        <f t="shared" ref="Z134" si="194">IF(Y134&gt;0,X134-Y134,0)</f>
        <v>0</v>
      </c>
      <c r="AA134" s="1427">
        <f>SUM('IV-2 vrsa'!Q57)</f>
        <v>7059</v>
      </c>
      <c r="AB134" s="1455" t="str">
        <f>IF('ketv. 4 lent'!V138&gt;0,"Taip","Ne")</f>
        <v>Ne</v>
      </c>
      <c r="AC134" s="1455">
        <f>SUM('ketv. 6 lent'!AE138)</f>
        <v>0</v>
      </c>
      <c r="AD134" s="1455">
        <f t="shared" ref="AD134" si="195">IF(AC134&gt;0,AA134-AC134,0)</f>
        <v>0</v>
      </c>
      <c r="AE134" s="1458">
        <v>43227</v>
      </c>
      <c r="AF134" s="1541">
        <f>SUM('IV-2 vrsa'!S57)</f>
        <v>43311</v>
      </c>
      <c r="AG134" s="1541">
        <f>SUM('IV-2 vrsa'!T57)</f>
        <v>43404</v>
      </c>
      <c r="AH134" s="1541">
        <f>SUM('IV-2 vrsa'!U57)</f>
        <v>43496</v>
      </c>
      <c r="AI134" s="1456">
        <f t="shared" ref="AI134" si="196">IF(YEAR(AH134),YEAR(AH134))</f>
        <v>2019</v>
      </c>
      <c r="AJ134" s="1542">
        <f>SUM('IV-2 vrsa'!V57)</f>
        <v>43830</v>
      </c>
      <c r="AK134" s="1455">
        <f t="shared" ref="AK134" si="197">IF(YEAR(AH134)=2016,AA134,0)</f>
        <v>0</v>
      </c>
      <c r="AL134" s="1455">
        <f t="shared" ref="AL134" si="198">IF(YEAR(AH134)=2017,AA134,0)</f>
        <v>0</v>
      </c>
      <c r="AM134" s="1455">
        <f t="shared" ref="AM134" si="199">IF(YEAR(AH134)=2018,AA134,0)</f>
        <v>0</v>
      </c>
      <c r="AN134" s="1455">
        <f t="shared" ref="AN134" si="200">IF(YEAR(AH134)=2019,AA134,0)</f>
        <v>7059</v>
      </c>
      <c r="AO134" s="1457">
        <f t="shared" ref="AO134" si="201">IF(YEAR(AH134)=2020,AA134,0)</f>
        <v>0</v>
      </c>
      <c r="AP134" s="88"/>
      <c r="AQ134" s="88"/>
      <c r="AR134" s="88"/>
    </row>
    <row r="135" spans="1:44" ht="26.25" customHeight="1" thickBot="1" x14ac:dyDescent="0.3">
      <c r="A135" s="1278" t="s">
        <v>34</v>
      </c>
      <c r="B135" s="1641" t="s">
        <v>1790</v>
      </c>
      <c r="C135" s="1610"/>
      <c r="D135" s="1610"/>
      <c r="E135" s="1610"/>
      <c r="F135" s="1610"/>
      <c r="G135" s="1610"/>
      <c r="H135" s="1610"/>
      <c r="I135" s="1610"/>
      <c r="J135" s="1610"/>
      <c r="K135" s="1611"/>
      <c r="L135" s="1258">
        <f t="shared" ref="L135:AD135" si="202">SUM(L136:L140)</f>
        <v>994985.89999999991</v>
      </c>
      <c r="M135" s="1258">
        <f t="shared" si="202"/>
        <v>0</v>
      </c>
      <c r="N135" s="1258">
        <f t="shared" si="202"/>
        <v>0</v>
      </c>
      <c r="O135" s="1258">
        <f t="shared" si="202"/>
        <v>74623.950000000012</v>
      </c>
      <c r="P135" s="1258">
        <f t="shared" si="202"/>
        <v>0</v>
      </c>
      <c r="Q135" s="1258">
        <f t="shared" si="202"/>
        <v>0</v>
      </c>
      <c r="R135" s="1258">
        <f t="shared" si="202"/>
        <v>74623.950000000012</v>
      </c>
      <c r="S135" s="1258">
        <f t="shared" si="202"/>
        <v>0</v>
      </c>
      <c r="T135" s="1258">
        <f t="shared" si="202"/>
        <v>0</v>
      </c>
      <c r="U135" s="1258">
        <f t="shared" si="202"/>
        <v>0</v>
      </c>
      <c r="V135" s="1258">
        <f t="shared" si="202"/>
        <v>0</v>
      </c>
      <c r="W135" s="1258">
        <f t="shared" si="202"/>
        <v>0</v>
      </c>
      <c r="X135" s="1258">
        <f t="shared" si="202"/>
        <v>0</v>
      </c>
      <c r="Y135" s="1258">
        <f t="shared" si="202"/>
        <v>0</v>
      </c>
      <c r="Z135" s="1258">
        <f t="shared" si="202"/>
        <v>0</v>
      </c>
      <c r="AA135" s="1258">
        <f t="shared" si="202"/>
        <v>845738</v>
      </c>
      <c r="AB135" s="1270"/>
      <c r="AC135" s="1270">
        <f t="shared" si="202"/>
        <v>0</v>
      </c>
      <c r="AD135" s="1270">
        <f t="shared" si="202"/>
        <v>0</v>
      </c>
      <c r="AE135" s="1270"/>
      <c r="AF135" s="1271"/>
      <c r="AG135" s="1271"/>
      <c r="AH135" s="1271"/>
      <c r="AI135" s="1456">
        <f t="shared" si="184"/>
        <v>1900</v>
      </c>
      <c r="AJ135" s="1273"/>
      <c r="AK135" s="468">
        <f>SUM(AK136:AK140)</f>
        <v>0</v>
      </c>
      <c r="AL135" s="468">
        <f t="shared" ref="AL135:AO135" si="203">SUM(AL136:AL140)</f>
        <v>0</v>
      </c>
      <c r="AM135" s="468">
        <f t="shared" si="203"/>
        <v>845738</v>
      </c>
      <c r="AN135" s="468">
        <f t="shared" si="203"/>
        <v>0</v>
      </c>
      <c r="AO135" s="468">
        <f t="shared" si="203"/>
        <v>0</v>
      </c>
      <c r="AP135" s="88">
        <f>SUM('IV-2 amsa'!W51+'IV-2 arsa'!V53+'IV-2 dsa'!V58+'IV-2 lrsa'!W52+'IV-2 vrsa'!W58)</f>
        <v>855147.6</v>
      </c>
      <c r="AQ135" s="88">
        <f>SUM(AP135*120/100)</f>
        <v>1026177.12</v>
      </c>
      <c r="AR135" s="88">
        <f>SUM(AP135-AA135)</f>
        <v>9409.5999999999767</v>
      </c>
    </row>
    <row r="136" spans="1:44" ht="52.5" thickTop="1" thickBot="1" x14ac:dyDescent="0.3">
      <c r="A136" s="515" t="s">
        <v>149</v>
      </c>
      <c r="B136" s="515" t="s">
        <v>1633</v>
      </c>
      <c r="C136" s="1262" t="str">
        <f>CONCATENATE('ketv. 2lent'!B134)</f>
        <v/>
      </c>
      <c r="D136" s="515" t="str">
        <f>CONCATENATE('IV-2 arsa'!C54)</f>
        <v>Sveikos gyvensenos skatinimas Alytaus rajone</v>
      </c>
      <c r="E136" s="515" t="str">
        <f>CONCATENATE('IV-2 arsa'!D54)</f>
        <v>Alytaus rajono savivaldybės visuomenės sveikatos biuras</v>
      </c>
      <c r="F136" s="515" t="str">
        <f>CONCATENATE('IV-2 arsa'!E54)</f>
        <v>Lietuvos Respublikos Sveikatos apsaugos ministerija</v>
      </c>
      <c r="G136" s="515" t="str">
        <f>CONCATENATE('IV-2 arsa'!F54)</f>
        <v>Alytaus rajono savivaldybė</v>
      </c>
      <c r="H136" s="518" t="str">
        <f>CONCATENATE('IV-2 arsa'!G54)</f>
        <v>08.4.2-ESFA-R-630</v>
      </c>
      <c r="I136" s="518" t="str">
        <f>CONCATENATE('IV-2 arsa'!H54)</f>
        <v>R</v>
      </c>
      <c r="J136" s="518" t="str">
        <f>CONCATENATE('IV-2 arsa'!I54)</f>
        <v>-</v>
      </c>
      <c r="K136" s="518" t="str">
        <f>CONCATENATE('IV-2 arsa'!J54)</f>
        <v>-</v>
      </c>
      <c r="L136" s="516">
        <f>SUM('IV-2 arsa'!K54)</f>
        <v>198997.18</v>
      </c>
      <c r="M136" s="516">
        <f>SUM('ketv. 6 lent'!K135)</f>
        <v>0</v>
      </c>
      <c r="N136" s="516">
        <f t="shared" ref="N136:N138" si="204">IF(M136&gt;0,L136-M136,0)</f>
        <v>0</v>
      </c>
      <c r="O136" s="516">
        <f>SUM('IV-2 arsa'!L54)</f>
        <v>14924.79</v>
      </c>
      <c r="P136" s="516">
        <f>SUM('ketv. 6 lent'!O135)</f>
        <v>0</v>
      </c>
      <c r="Q136" s="516">
        <f t="shared" ref="Q136:Q138" si="205">IF(P136&gt;0,O136-P136,0)</f>
        <v>0</v>
      </c>
      <c r="R136" s="516">
        <f>SUM('IV-2 arsa'!M54)</f>
        <v>14924.79</v>
      </c>
      <c r="S136" s="516">
        <f>SUM('ketv. 6 lent'!S135)</f>
        <v>0</v>
      </c>
      <c r="T136" s="516">
        <f t="shared" ref="T136:T138" si="206">IF(S136&gt;0,R136-S136,0)</f>
        <v>0</v>
      </c>
      <c r="U136" s="516">
        <f>SUM('IV-2 arsa'!N54)</f>
        <v>0</v>
      </c>
      <c r="V136" s="516">
        <f>SUM('ketv. 6 lent'!W135)</f>
        <v>0</v>
      </c>
      <c r="W136" s="516">
        <f t="shared" ref="W136:W138" si="207">IF(V136&gt;0,U136-V136,0)</f>
        <v>0</v>
      </c>
      <c r="X136" s="516">
        <f>SUM('IV-2 arsa'!O54)</f>
        <v>0</v>
      </c>
      <c r="Y136" s="516">
        <f>SUM('ketv. 6 lent'!AA135)</f>
        <v>0</v>
      </c>
      <c r="Z136" s="516">
        <f t="shared" ref="Z136:Z138" si="208">IF(Y136&gt;0,X136-Y136,0)</f>
        <v>0</v>
      </c>
      <c r="AA136" s="516">
        <f>SUM('IV-2 arsa'!P54)</f>
        <v>169147.6</v>
      </c>
      <c r="AB136" s="468" t="str">
        <f>IF('ketv. 4 lent'!V135&gt;0,"Taip","Ne")</f>
        <v>Ne</v>
      </c>
      <c r="AC136" s="468">
        <f>SUM('ketv. 6 lent'!AE135)</f>
        <v>0</v>
      </c>
      <c r="AD136" s="468">
        <f>IF(AC136&gt;0,AA136-AC136,0)</f>
        <v>0</v>
      </c>
      <c r="AE136" s="1113">
        <v>43108</v>
      </c>
      <c r="AF136" s="587">
        <f>SUM('IV-2 arsa'!R54)</f>
        <v>43159</v>
      </c>
      <c r="AG136" s="587">
        <f>SUM('IV-2 arsa'!S54)</f>
        <v>43220</v>
      </c>
      <c r="AH136" s="587">
        <f>SUM('IV-2 arsa'!T54)</f>
        <v>43312</v>
      </c>
      <c r="AI136" s="589">
        <f t="shared" ref="AI136:AI138" si="209">IF(YEAR(AH136),YEAR(AH136))</f>
        <v>2018</v>
      </c>
      <c r="AJ136" s="1263">
        <f>SUM('IV-2 arsa'!U54)</f>
        <v>44196</v>
      </c>
      <c r="AK136" s="468">
        <f>IF(YEAR(AH136)=2016,AA136,0)</f>
        <v>0</v>
      </c>
      <c r="AL136" s="468">
        <f>IF(YEAR(AH136)=2017,AA136,0)</f>
        <v>0</v>
      </c>
      <c r="AM136" s="468">
        <f>IF(YEAR(AH136)=2018,AA136,0)</f>
        <v>169147.6</v>
      </c>
      <c r="AN136" s="468">
        <f>IF(YEAR(AH136)=2019,AA136,0)</f>
        <v>0</v>
      </c>
      <c r="AO136" s="1264">
        <f>IF(YEAR(AH136)=2020,AA136,0)</f>
        <v>0</v>
      </c>
      <c r="AP136" s="88"/>
      <c r="AQ136" s="88"/>
      <c r="AR136" s="88"/>
    </row>
    <row r="137" spans="1:44" ht="39.75" thickTop="1" thickBot="1" x14ac:dyDescent="0.3">
      <c r="A137" s="515" t="s">
        <v>152</v>
      </c>
      <c r="B137" s="515" t="s">
        <v>1634</v>
      </c>
      <c r="C137" s="1262" t="str">
        <f>CONCATENATE('ketv. 2lent'!B135)</f>
        <v/>
      </c>
      <c r="D137" s="515" t="str">
        <f>CONCATENATE('IV-2 amsa'!D52)</f>
        <v>Mažais žingsneliais – sveikos gyvensenos link</v>
      </c>
      <c r="E137" s="515" t="str">
        <f>CONCATENATE('IV-2 amsa'!E52)</f>
        <v>Alytaus miesto savivaldybės administracija</v>
      </c>
      <c r="F137" s="515" t="str">
        <f>CONCATENATE('IV-2 amsa'!F52)</f>
        <v>Lietuvos Respublikos Sveikatos apsaugos ministerija</v>
      </c>
      <c r="G137" s="518" t="str">
        <f>CONCATENATE('IV-2 amsa'!G52)</f>
        <v>Alytaus  miestas</v>
      </c>
      <c r="H137" s="518" t="str">
        <f>CONCATENATE('IV-2 amsa'!H52)</f>
        <v>08.4.2-ESFA-R-630</v>
      </c>
      <c r="I137" s="518" t="str">
        <f>CONCATENATE('IV-2 amsa'!I52)</f>
        <v>R</v>
      </c>
      <c r="J137" s="518" t="str">
        <f>CONCATENATE('IV-2 amsa'!J52)</f>
        <v>-</v>
      </c>
      <c r="K137" s="518" t="str">
        <f>CONCATENATE('IV-2 amsa'!K52)</f>
        <v>-</v>
      </c>
      <c r="L137" s="516">
        <f>SUM('IV-2 amsa'!L52)</f>
        <v>198997.18</v>
      </c>
      <c r="M137" s="516">
        <f>SUM('ketv. 6 lent'!K136)</f>
        <v>0</v>
      </c>
      <c r="N137" s="516">
        <f t="shared" si="204"/>
        <v>0</v>
      </c>
      <c r="O137" s="516">
        <f>SUM('IV-2 amsa'!M52)</f>
        <v>14924.79</v>
      </c>
      <c r="P137" s="516">
        <f>SUM('ketv. 6 lent'!O136)</f>
        <v>0</v>
      </c>
      <c r="Q137" s="516">
        <f t="shared" si="205"/>
        <v>0</v>
      </c>
      <c r="R137" s="516">
        <f>SUM('IV-2 amsa'!N52)</f>
        <v>14924.79</v>
      </c>
      <c r="S137" s="516">
        <f>SUM('ketv. 6 lent'!S136)</f>
        <v>0</v>
      </c>
      <c r="T137" s="516">
        <f t="shared" si="206"/>
        <v>0</v>
      </c>
      <c r="U137" s="516">
        <f>SUM('IV-2 amsa'!O52)</f>
        <v>0</v>
      </c>
      <c r="V137" s="516">
        <f>SUM('ketv. 6 lent'!W136)</f>
        <v>0</v>
      </c>
      <c r="W137" s="516">
        <f t="shared" si="207"/>
        <v>0</v>
      </c>
      <c r="X137" s="516">
        <f>SUM('IV-2 amsa'!P52)</f>
        <v>0</v>
      </c>
      <c r="Y137" s="516">
        <f>SUM('ketv. 6 lent'!AA136)</f>
        <v>0</v>
      </c>
      <c r="Z137" s="516">
        <f t="shared" si="208"/>
        <v>0</v>
      </c>
      <c r="AA137" s="516">
        <f>SUM('IV-2 amsa'!Q52)</f>
        <v>169147.6</v>
      </c>
      <c r="AB137" s="468" t="str">
        <f>IF('ketv. 4 lent'!V136&gt;0,"Taip","Ne")</f>
        <v>Ne</v>
      </c>
      <c r="AC137" s="468">
        <f>SUM('ketv. 6 lent'!AE136)</f>
        <v>0</v>
      </c>
      <c r="AD137" s="468">
        <f>IF(AC137&gt;0,AA137-AC137,0)</f>
        <v>0</v>
      </c>
      <c r="AE137" s="1113">
        <v>43108</v>
      </c>
      <c r="AF137" s="587">
        <f>SUM('IV-2 amsa'!S52)</f>
        <v>43189</v>
      </c>
      <c r="AG137" s="587">
        <f>SUM('IV-2 amsa'!T52)</f>
        <v>43251</v>
      </c>
      <c r="AH137" s="587">
        <f>SUM('IV-2 amsa'!U52)</f>
        <v>43343</v>
      </c>
      <c r="AI137" s="589">
        <f t="shared" si="209"/>
        <v>2018</v>
      </c>
      <c r="AJ137" s="1263">
        <f>SUM('IV-2 amsa'!V52)</f>
        <v>44196</v>
      </c>
      <c r="AK137" s="468">
        <f>IF(YEAR(AH137)=2016,AA137,0)</f>
        <v>0</v>
      </c>
      <c r="AL137" s="468">
        <f>IF(YEAR(AH137)=2017,AA137,0)</f>
        <v>0</v>
      </c>
      <c r="AM137" s="468">
        <f>IF(YEAR(AH137)=2018,AA137,0)</f>
        <v>169147.6</v>
      </c>
      <c r="AN137" s="468">
        <f>IF(YEAR(AH137)=2019,AA137,0)</f>
        <v>0</v>
      </c>
      <c r="AO137" s="1264">
        <f>IF(YEAR(AH137)=2020,AA137,0)</f>
        <v>0</v>
      </c>
      <c r="AP137" s="88"/>
      <c r="AQ137" s="88"/>
      <c r="AR137" s="88"/>
    </row>
    <row r="138" spans="1:44" ht="52.5" thickTop="1" thickBot="1" x14ac:dyDescent="0.3">
      <c r="A138" s="515" t="s">
        <v>211</v>
      </c>
      <c r="B138" s="515" t="s">
        <v>1635</v>
      </c>
      <c r="C138" s="1262" t="str">
        <f>CONCATENATE('ketv. 2lent'!B136)</f>
        <v/>
      </c>
      <c r="D138" s="515" t="str">
        <f>CONCATENATE('IV-2 vrsa'!D59)</f>
        <v>Sveikos gyvensenos skatinimas Varėnos rajono savivaldybėje</v>
      </c>
      <c r="E138" s="515" t="str">
        <f>CONCATENATE('IV-2 vrsa'!E59)</f>
        <v>Varėnos rajono savivaldybės visuomenės sveikatos biuras</v>
      </c>
      <c r="F138" s="515" t="str">
        <f>CONCATENATE('IV-2 vrsa'!F59)</f>
        <v>Lietuvos Respublikos Sveikatos apsaugos ministerija</v>
      </c>
      <c r="G138" s="515" t="str">
        <f>CONCATENATE('IV-2 vrsa'!G59)</f>
        <v>Varėnos rajono savivaldybė</v>
      </c>
      <c r="H138" s="518" t="str">
        <f>CONCATENATE('IV-2 vrsa'!H59)</f>
        <v>08.4.2-ESFA-R-630</v>
      </c>
      <c r="I138" s="518" t="str">
        <f>CONCATENATE('IV-2 vrsa'!I59)</f>
        <v>R</v>
      </c>
      <c r="J138" s="518" t="str">
        <f>CONCATENATE('IV-2 vrsa'!J59)</f>
        <v>-</v>
      </c>
      <c r="K138" s="518" t="str">
        <f>CONCATENATE('IV-2 vrsa'!K59)</f>
        <v>-</v>
      </c>
      <c r="L138" s="516">
        <f>SUM('IV-2 vrsa'!L59)</f>
        <v>198997.18</v>
      </c>
      <c r="M138" s="516">
        <f>SUM('ketv. 6 lent'!K137)</f>
        <v>0</v>
      </c>
      <c r="N138" s="516">
        <f t="shared" si="204"/>
        <v>0</v>
      </c>
      <c r="O138" s="516">
        <f>SUM('IV-2 vrsa'!M59)</f>
        <v>14924.79</v>
      </c>
      <c r="P138" s="516">
        <f>SUM('ketv. 6 lent'!O137)</f>
        <v>0</v>
      </c>
      <c r="Q138" s="516">
        <f t="shared" si="205"/>
        <v>0</v>
      </c>
      <c r="R138" s="516">
        <f>SUM('IV-2 vrsa'!N59)</f>
        <v>14924.79</v>
      </c>
      <c r="S138" s="516">
        <f>SUM('ketv. 6 lent'!S137)</f>
        <v>0</v>
      </c>
      <c r="T138" s="516">
        <f t="shared" si="206"/>
        <v>0</v>
      </c>
      <c r="U138" s="516">
        <f>SUM('IV-2 vrsa'!O59)</f>
        <v>0</v>
      </c>
      <c r="V138" s="516">
        <f>SUM('ketv. 6 lent'!W137)</f>
        <v>0</v>
      </c>
      <c r="W138" s="516">
        <f t="shared" si="207"/>
        <v>0</v>
      </c>
      <c r="X138" s="516">
        <f>SUM('IV-2 vrsa'!P59)</f>
        <v>0</v>
      </c>
      <c r="Y138" s="516">
        <f>SUM('ketv. 6 lent'!AA137)</f>
        <v>0</v>
      </c>
      <c r="Z138" s="516">
        <f t="shared" si="208"/>
        <v>0</v>
      </c>
      <c r="AA138" s="516">
        <f>SUM('IV-2 vrsa'!Q59)</f>
        <v>169147.6</v>
      </c>
      <c r="AB138" s="468" t="str">
        <f>IF('ketv. 4 lent'!V137&gt;0,"Taip","Ne")</f>
        <v>Ne</v>
      </c>
      <c r="AC138" s="468">
        <f>SUM('ketv. 6 lent'!AE137)</f>
        <v>0</v>
      </c>
      <c r="AD138" s="468">
        <f>IF(AC138&gt;0,AA138-AC138,0)</f>
        <v>0</v>
      </c>
      <c r="AE138" s="1113">
        <v>43108</v>
      </c>
      <c r="AF138" s="587">
        <f>SUM('IV-2 vrsa'!S59)</f>
        <v>43160</v>
      </c>
      <c r="AG138" s="587">
        <f>SUM('IV-2 vrsa'!T59)</f>
        <v>43250</v>
      </c>
      <c r="AH138" s="587">
        <f>SUM('IV-2 vrsa'!U59)</f>
        <v>43342</v>
      </c>
      <c r="AI138" s="589">
        <f t="shared" si="209"/>
        <v>2018</v>
      </c>
      <c r="AJ138" s="1263">
        <f>SUM('IV-2 vrsa'!V59)</f>
        <v>44561</v>
      </c>
      <c r="AK138" s="468">
        <f>IF(YEAR(AH138)=2016,AA138,0)</f>
        <v>0</v>
      </c>
      <c r="AL138" s="468">
        <f>IF(YEAR(AH138)=2017,AA138,0)</f>
        <v>0</v>
      </c>
      <c r="AM138" s="468">
        <f>IF(YEAR(AH138)=2018,AA138,0)</f>
        <v>169147.6</v>
      </c>
      <c r="AN138" s="468">
        <f>IF(YEAR(AH138)=2019,AA138,0)</f>
        <v>0</v>
      </c>
      <c r="AO138" s="1264">
        <f>IF(YEAR(AH138)=2020,AA138,0)</f>
        <v>0</v>
      </c>
      <c r="AP138" s="592"/>
      <c r="AQ138" s="88"/>
      <c r="AR138" s="88"/>
    </row>
    <row r="139" spans="1:44" ht="52.5" thickTop="1" thickBot="1" x14ac:dyDescent="0.3">
      <c r="A139" s="515" t="s">
        <v>300</v>
      </c>
      <c r="B139" s="515" t="s">
        <v>1636</v>
      </c>
      <c r="C139" s="1262" t="str">
        <f>CONCATENATE('ketv. 2lent'!B137)</f>
        <v/>
      </c>
      <c r="D139" s="515" t="str">
        <f>CONCATENATE('IV-2 dsa'!C59)</f>
        <v>Sveika bendruomenė – stipri visuomenė</v>
      </c>
      <c r="E139" s="515" t="str">
        <f>CONCATENATE('IV-2 dsa'!D59)</f>
        <v>Druskininkų savivaldybės visuomenės sveikatos biuras</v>
      </c>
      <c r="F139" s="515" t="str">
        <f>CONCATENATE('IV-2 dsa'!E59)</f>
        <v>Lietuvos Respublikos Sveikatos apsaugos ministerija</v>
      </c>
      <c r="G139" s="515" t="str">
        <f>CONCATENATE('IV-2 dsa'!F59)</f>
        <v>Druskininkų savivaldybė</v>
      </c>
      <c r="H139" s="518" t="str">
        <f>CONCATENATE('IV-2 dsa'!G59)</f>
        <v>08.4.2-ESFA-R-630</v>
      </c>
      <c r="I139" s="518" t="str">
        <f>CONCATENATE('IV-2 dsa'!H59)</f>
        <v>R</v>
      </c>
      <c r="J139" s="518" t="str">
        <f>CONCATENATE('IV-2 dsa'!I59)</f>
        <v>-</v>
      </c>
      <c r="K139" s="518" t="str">
        <f>CONCATENATE('IV-2 dsa'!J59)</f>
        <v>-</v>
      </c>
      <c r="L139" s="893">
        <f>SUM('IV-2 dsa'!K59)</f>
        <v>198997.18</v>
      </c>
      <c r="M139" s="516"/>
      <c r="N139" s="516"/>
      <c r="O139" s="893">
        <f>SUM('IV-2 dsa'!L59)</f>
        <v>14924.79</v>
      </c>
      <c r="P139" s="516"/>
      <c r="Q139" s="516"/>
      <c r="R139" s="893">
        <f>SUM('IV-2 dsa'!M59)</f>
        <v>14924.79</v>
      </c>
      <c r="S139" s="516"/>
      <c r="T139" s="516"/>
      <c r="U139" s="893">
        <f>SUM('IV-2 dsa'!N59)</f>
        <v>0</v>
      </c>
      <c r="V139" s="516"/>
      <c r="W139" s="516"/>
      <c r="X139" s="893">
        <f>SUM('IV-2 dsa'!O59)</f>
        <v>0</v>
      </c>
      <c r="Y139" s="516"/>
      <c r="Z139" s="516"/>
      <c r="AA139" s="516">
        <f>SUM('IV-2 dsa'!P59)</f>
        <v>169147.6</v>
      </c>
      <c r="AB139" s="468" t="str">
        <f>IF('ketv. 4 lent'!V138&gt;0,"Taip","Ne")</f>
        <v>Ne</v>
      </c>
      <c r="AC139" s="468"/>
      <c r="AD139" s="468"/>
      <c r="AE139" s="1113">
        <v>43108</v>
      </c>
      <c r="AF139" s="587">
        <f>SUM('IV-2 dsa'!R59)</f>
        <v>43189</v>
      </c>
      <c r="AG139" s="587">
        <f>SUM('IV-2 dsa'!S59)</f>
        <v>43220</v>
      </c>
      <c r="AH139" s="587">
        <f>SUM('IV-2 dsa'!T59)</f>
        <v>43311</v>
      </c>
      <c r="AI139" s="589">
        <v>2018</v>
      </c>
      <c r="AJ139" s="1263">
        <f>SUM('IV-2 dsa'!U59)</f>
        <v>44561</v>
      </c>
      <c r="AK139" s="468">
        <f>IF(YEAR(AH139)=2016,AA139,0)</f>
        <v>0</v>
      </c>
      <c r="AL139" s="468">
        <f>IF(YEAR(AH139)=2017,AA139,0)</f>
        <v>0</v>
      </c>
      <c r="AM139" s="468">
        <f>IF(YEAR(AH139)=2018,AA139,0)</f>
        <v>169147.6</v>
      </c>
      <c r="AN139" s="468">
        <f>IF(YEAR(AH139)=2019,AA139,0)</f>
        <v>0</v>
      </c>
      <c r="AO139" s="1264">
        <f>IF(YEAR(AH139)=2020,AA139,0)</f>
        <v>0</v>
      </c>
      <c r="AP139" s="592"/>
      <c r="AQ139" s="88"/>
      <c r="AR139" s="88"/>
    </row>
    <row r="140" spans="1:44" ht="52.5" thickTop="1" thickBot="1" x14ac:dyDescent="0.3">
      <c r="A140" s="515" t="s">
        <v>301</v>
      </c>
      <c r="B140" s="515" t="s">
        <v>1637</v>
      </c>
      <c r="C140" s="1262" t="str">
        <f>CONCATENATE('ketv. 2lent'!B138)</f>
        <v/>
      </c>
      <c r="D140" s="515" t="str">
        <f>CONCATENATE('IV-2 lrsa'!D53)</f>
        <v>Sveikos gyvensenos skatinimas Lazdijų rajono savivaldybėje</v>
      </c>
      <c r="E140" s="515" t="str">
        <f>CONCATENATE('IV-2 lrsa'!E53)</f>
        <v>Lazdijų rajono savivaldybės visuomenės sveikatos biuras</v>
      </c>
      <c r="F140" s="515" t="str">
        <f>CONCATENATE('IV-2 lrsa'!F53)</f>
        <v>Lietuvos Respublikos Sveikatos apsaugos ministerija</v>
      </c>
      <c r="G140" s="515" t="str">
        <f>CONCATENATE('IV-2 lrsa'!G53)</f>
        <v>Lazdijų rajono savivaldybė</v>
      </c>
      <c r="H140" s="518" t="str">
        <f>CONCATENATE('IV-2 lrsa'!H53)</f>
        <v>08.4.2-ESFA-R-630</v>
      </c>
      <c r="I140" s="518" t="str">
        <f>CONCATENATE('IV-2 lrsa'!I53)</f>
        <v>R</v>
      </c>
      <c r="J140" s="518" t="str">
        <f>CONCATENATE('IV-2 lrsa'!J53)</f>
        <v>-</v>
      </c>
      <c r="K140" s="518" t="str">
        <f>CONCATENATE('IV-2 lrsa'!K53)</f>
        <v>-</v>
      </c>
      <c r="L140" s="516">
        <f>SUM('IV-2 lrsa'!L53)</f>
        <v>198997.18</v>
      </c>
      <c r="M140" s="516">
        <f>SUM('ketv. 6 lent'!K139)</f>
        <v>0</v>
      </c>
      <c r="N140" s="516">
        <f t="shared" ref="N140" si="210">IF(M140&gt;0,L140-M140,0)</f>
        <v>0</v>
      </c>
      <c r="O140" s="516">
        <f>SUM('IV-2 lrsa'!M53)</f>
        <v>14924.79</v>
      </c>
      <c r="P140" s="516">
        <f>SUM('ketv. 6 lent'!O139)</f>
        <v>0</v>
      </c>
      <c r="Q140" s="516">
        <f t="shared" ref="Q140" si="211">IF(P140&gt;0,O140-P140,0)</f>
        <v>0</v>
      </c>
      <c r="R140" s="516">
        <f>SUM('IV-2 lrsa'!N53)</f>
        <v>14924.79</v>
      </c>
      <c r="S140" s="516">
        <f>SUM('ketv. 6 lent'!S139)</f>
        <v>0</v>
      </c>
      <c r="T140" s="516">
        <f t="shared" ref="T140" si="212">IF(S140&gt;0,R140-S140,0)</f>
        <v>0</v>
      </c>
      <c r="U140" s="516">
        <f>SUM('IV-2 lrsa'!O53)</f>
        <v>0</v>
      </c>
      <c r="V140" s="516">
        <f>SUM('ketv. 6 lent'!W139)</f>
        <v>0</v>
      </c>
      <c r="W140" s="516">
        <f t="shared" ref="W140" si="213">IF(V140&gt;0,U140-V140,0)</f>
        <v>0</v>
      </c>
      <c r="X140" s="516">
        <f>SUM('IV-2 lrsa'!P53)</f>
        <v>0</v>
      </c>
      <c r="Y140" s="516">
        <f>SUM('ketv. 6 lent'!AA139)</f>
        <v>0</v>
      </c>
      <c r="Z140" s="516">
        <f t="shared" ref="Z140" si="214">IF(Y140&gt;0,X140-Y140,0)</f>
        <v>0</v>
      </c>
      <c r="AA140" s="516">
        <f>SUM('IV-2 lrsa'!Q53)</f>
        <v>169147.6</v>
      </c>
      <c r="AB140" s="468" t="str">
        <f>IF('ketv. 4 lent'!V139&gt;0,"Taip","Ne")</f>
        <v>Ne</v>
      </c>
      <c r="AC140" s="468">
        <f>SUM('ketv. 6 lent'!AE139)</f>
        <v>0</v>
      </c>
      <c r="AD140" s="468">
        <f>IF(AC140&gt;0,AA140-AC140,0)</f>
        <v>0</v>
      </c>
      <c r="AE140" s="1113">
        <v>43108</v>
      </c>
      <c r="AF140" s="587">
        <f>SUM('IV-2 lrsa'!S53)</f>
        <v>43189</v>
      </c>
      <c r="AG140" s="587">
        <f>SUM('IV-2 lrsa'!T53)</f>
        <v>43217</v>
      </c>
      <c r="AH140" s="587">
        <f>SUM('IV-2 lrsa'!U53)</f>
        <v>43278</v>
      </c>
      <c r="AI140" s="589">
        <f t="shared" ref="AI140" si="215">IF(YEAR(AH140),YEAR(AH140))</f>
        <v>2018</v>
      </c>
      <c r="AJ140" s="1263">
        <f>SUM('IV-2 lrsa'!V53)</f>
        <v>44561</v>
      </c>
      <c r="AK140" s="468">
        <f>IF(YEAR(AH140)=2016,AA140,0)</f>
        <v>0</v>
      </c>
      <c r="AL140" s="468">
        <f>IF(YEAR(AH140)=2017,AA140,0)</f>
        <v>0</v>
      </c>
      <c r="AM140" s="468">
        <f>IF(YEAR(AH140)=2018,AA140,0)</f>
        <v>169147.6</v>
      </c>
      <c r="AN140" s="468">
        <f>IF(YEAR(AH140)=2019,AA140,0)</f>
        <v>0</v>
      </c>
      <c r="AO140" s="1264">
        <f>IF(YEAR(AH140)=2020,AA140,0)</f>
        <v>0</v>
      </c>
      <c r="AP140" s="592"/>
      <c r="AQ140" s="88"/>
      <c r="AR140" s="88"/>
    </row>
    <row r="141" spans="1:44" ht="26.25" customHeight="1" thickBot="1" x14ac:dyDescent="0.3">
      <c r="A141" s="1278" t="s">
        <v>1476</v>
      </c>
      <c r="B141" s="1641" t="s">
        <v>1791</v>
      </c>
      <c r="C141" s="1610"/>
      <c r="D141" s="1610"/>
      <c r="E141" s="1610"/>
      <c r="F141" s="1610"/>
      <c r="G141" s="1610"/>
      <c r="H141" s="1610"/>
      <c r="I141" s="1610"/>
      <c r="J141" s="1610"/>
      <c r="K141" s="1611"/>
      <c r="L141" s="1258">
        <f>SUM(L142:L146)</f>
        <v>65212.65</v>
      </c>
      <c r="M141" s="1258"/>
      <c r="N141" s="1258"/>
      <c r="O141" s="1258">
        <f t="shared" ref="O141:AA141" si="216">SUM(O142:O146)</f>
        <v>4891.03</v>
      </c>
      <c r="P141" s="1258">
        <f t="shared" si="216"/>
        <v>0</v>
      </c>
      <c r="Q141" s="1258">
        <f t="shared" si="216"/>
        <v>0</v>
      </c>
      <c r="R141" s="1258">
        <f t="shared" si="216"/>
        <v>4891.0199999999995</v>
      </c>
      <c r="S141" s="1258">
        <f t="shared" si="216"/>
        <v>0</v>
      </c>
      <c r="T141" s="1258">
        <f t="shared" si="216"/>
        <v>0</v>
      </c>
      <c r="U141" s="1258">
        <f t="shared" si="216"/>
        <v>0</v>
      </c>
      <c r="V141" s="1258">
        <f t="shared" si="216"/>
        <v>0</v>
      </c>
      <c r="W141" s="1258">
        <f t="shared" si="216"/>
        <v>0</v>
      </c>
      <c r="X141" s="1258">
        <f t="shared" si="216"/>
        <v>0</v>
      </c>
      <c r="Y141" s="1258">
        <f t="shared" si="216"/>
        <v>0</v>
      </c>
      <c r="Z141" s="1258">
        <f t="shared" si="216"/>
        <v>0</v>
      </c>
      <c r="AA141" s="1258">
        <f t="shared" si="216"/>
        <v>55430.6</v>
      </c>
      <c r="AB141" s="1270"/>
      <c r="AC141" s="1270">
        <f>SUM(AC142:AC152)</f>
        <v>1647151</v>
      </c>
      <c r="AD141" s="1270">
        <f>SUM(AD142:AD152)</f>
        <v>0</v>
      </c>
      <c r="AE141" s="1270"/>
      <c r="AF141" s="1271"/>
      <c r="AG141" s="1271"/>
      <c r="AH141" s="1271"/>
      <c r="AI141" s="1272"/>
      <c r="AJ141" s="1273"/>
      <c r="AK141" s="468">
        <f>SUM(AK142:AK146)</f>
        <v>0</v>
      </c>
      <c r="AL141" s="468">
        <f t="shared" ref="AL141:AO141" si="217">SUM(AL142:AL146)</f>
        <v>0</v>
      </c>
      <c r="AM141" s="468">
        <f t="shared" si="217"/>
        <v>55430.6</v>
      </c>
      <c r="AN141" s="468">
        <f t="shared" si="217"/>
        <v>0</v>
      </c>
      <c r="AO141" s="468">
        <f t="shared" si="217"/>
        <v>0</v>
      </c>
      <c r="AP141" s="88">
        <f>SUM('IV-2 amsa'!W65+'IV-2 arsa'!V67+'IV-2 dsa'!V72+'IV-2 lrsa'!W66+'IV-2 vrsa'!W72)</f>
        <v>2461464.2007070356</v>
      </c>
      <c r="AQ141" s="88">
        <f>SUM(AP141*120/100)</f>
        <v>2953757.0408484428</v>
      </c>
      <c r="AR141" s="88">
        <f>SUM(AP141-AA141)</f>
        <v>2406033.6007070355</v>
      </c>
    </row>
    <row r="142" spans="1:44" ht="52.5" thickTop="1" thickBot="1" x14ac:dyDescent="0.3">
      <c r="A142" s="515" t="s">
        <v>1477</v>
      </c>
      <c r="B142" s="515" t="s">
        <v>1638</v>
      </c>
      <c r="C142" s="1262" t="str">
        <f>CONCATENATE('ketv. 2lent'!B140)</f>
        <v/>
      </c>
      <c r="D142" s="515" t="str">
        <f>CONCATENATE('IV-2 arsa'!C56)</f>
        <v>Priemonių gerinančių ambulatorinių sveikatos priežiūros paslaugų prieinamumą tuberkulioze sergantiems asmenims, Alytaus rajone įgyvendinimas</v>
      </c>
      <c r="E142" s="515" t="str">
        <f>CONCATENATE('IV-2 arsa'!D56)</f>
        <v>VšĮ Alytaus rajono savivaldybės pirminės sveikatos priežiūros centras</v>
      </c>
      <c r="F142" s="515" t="str">
        <f>CONCATENATE('IV-2 arsa'!E56)</f>
        <v>Lietuvos Respublikos Sveikatos apsaugos ministerija</v>
      </c>
      <c r="G142" s="515" t="str">
        <f>CONCATENATE('IV-2 arsa'!F56)</f>
        <v>Alytaus rajono savivaldybė</v>
      </c>
      <c r="H142" s="518" t="str">
        <f>CONCATENATE('IV-2 arsa'!G56)</f>
        <v>08.4.2-ESFA-R-615</v>
      </c>
      <c r="I142" s="518" t="str">
        <f>CONCATENATE('IV-2 arsa'!H56)</f>
        <v>R</v>
      </c>
      <c r="J142" s="518" t="str">
        <f>CONCATENATE('IV-2 arsa'!I56)</f>
        <v>-</v>
      </c>
      <c r="K142" s="518" t="str">
        <f>CONCATENATE('IV-2 arsa'!J56)</f>
        <v>-</v>
      </c>
      <c r="L142" s="516">
        <f>SUM('IV-2 arsa'!K56)</f>
        <v>10452.94</v>
      </c>
      <c r="M142" s="516"/>
      <c r="N142" s="516"/>
      <c r="O142" s="516">
        <f>SUM('IV-2 arsa'!L56)</f>
        <v>783.97</v>
      </c>
      <c r="P142" s="516"/>
      <c r="Q142" s="516"/>
      <c r="R142" s="516">
        <f>SUM('IV-2 arsa'!M56)</f>
        <v>783.97</v>
      </c>
      <c r="S142" s="516"/>
      <c r="T142" s="516"/>
      <c r="U142" s="516">
        <f>SUM('IV-2 arsa'!N56)</f>
        <v>0</v>
      </c>
      <c r="V142" s="516"/>
      <c r="W142" s="516"/>
      <c r="X142" s="516">
        <f>SUM('IV-2 arsa'!O56)</f>
        <v>0</v>
      </c>
      <c r="Y142" s="516"/>
      <c r="Z142" s="516"/>
      <c r="AA142" s="516">
        <f>SUM('IV-2 arsa'!P56)</f>
        <v>8885</v>
      </c>
      <c r="AB142" s="468" t="str">
        <f>IF('ketv. 4 lent'!V141&gt;0,"Taip","Ne")</f>
        <v>Ne</v>
      </c>
      <c r="AC142" s="468"/>
      <c r="AD142" s="468"/>
      <c r="AE142" s="1113">
        <v>43136</v>
      </c>
      <c r="AF142" s="587">
        <f>SUM('IV-2 arsa'!R56)</f>
        <v>43189</v>
      </c>
      <c r="AG142" s="587">
        <f>SUM('IV-2 arsa'!S56)</f>
        <v>43252</v>
      </c>
      <c r="AH142" s="587">
        <f>SUM('IV-2 arsa'!T56)</f>
        <v>43373</v>
      </c>
      <c r="AI142" s="589">
        <v>2018</v>
      </c>
      <c r="AJ142" s="1263">
        <f>SUM('IV-2 arsa'!U56)</f>
        <v>44561</v>
      </c>
      <c r="AK142" s="468">
        <f>IF(YEAR(AH142)=2016,AA142,0)</f>
        <v>0</v>
      </c>
      <c r="AL142" s="468">
        <f>IF(YEAR(AH142)=2017,AA142,0)</f>
        <v>0</v>
      </c>
      <c r="AM142" s="468">
        <f>IF(YEAR(AH142)=2018,AA142,0)</f>
        <v>8885</v>
      </c>
      <c r="AN142" s="468">
        <f>IF(YEAR(AH142)=2019,AA142,0)</f>
        <v>0</v>
      </c>
      <c r="AO142" s="1264">
        <f>IF(YEAR(AH142)=2020,AA142,0)</f>
        <v>0</v>
      </c>
      <c r="AP142" s="88"/>
      <c r="AQ142" s="88"/>
      <c r="AR142" s="88"/>
    </row>
    <row r="143" spans="1:44" ht="39.75" thickTop="1" thickBot="1" x14ac:dyDescent="0.3">
      <c r="A143" s="515" t="s">
        <v>1478</v>
      </c>
      <c r="B143" s="515" t="s">
        <v>1639</v>
      </c>
      <c r="C143" s="1262" t="str">
        <f>CONCATENATE('ketv. 2lent'!B141)</f>
        <v/>
      </c>
      <c r="D143" s="515" t="str">
        <f>CONCATENATE('IV-2 amsa'!D59)</f>
        <v>Ambulatorinių sveikatos priežiūros paslaugų gerinimas tuberkulioze sergantiems asmenims</v>
      </c>
      <c r="E143" s="515" t="str">
        <f>CONCATENATE('IV-2 amsa'!E59)</f>
        <v>Alytaus miesto savivaldybės administracija</v>
      </c>
      <c r="F143" s="515" t="str">
        <f>CONCATENATE('IV-2 amsa'!F59)</f>
        <v>Lietuvos Respublikos Sveikatos apsaugos ministerija</v>
      </c>
      <c r="G143" s="515" t="str">
        <f>CONCATENATE('IV-2 amsa'!G59)</f>
        <v>Alytaus  miestas</v>
      </c>
      <c r="H143" s="518" t="str">
        <f>CONCATENATE('IV-2 amsa'!H59)</f>
        <v>08.4.2-ESFA-R-615</v>
      </c>
      <c r="I143" s="518" t="str">
        <f>CONCATENATE('IV-2 amsa'!I59)</f>
        <v>R</v>
      </c>
      <c r="J143" s="518" t="str">
        <f>CONCATENATE('IV-2 amsa'!J59)</f>
        <v>-</v>
      </c>
      <c r="K143" s="518" t="str">
        <f>CONCATENATE('IV-2 amsa'!K59)</f>
        <v>-</v>
      </c>
      <c r="L143" s="516">
        <f>SUM('IV-2 amsa'!L59)</f>
        <v>17041.18</v>
      </c>
      <c r="M143" s="516"/>
      <c r="N143" s="516"/>
      <c r="O143" s="516">
        <f>SUM('IV-2 amsa'!M59)</f>
        <v>1278.0899999999999</v>
      </c>
      <c r="P143" s="516"/>
      <c r="Q143" s="516"/>
      <c r="R143" s="516">
        <f>SUM('IV-2 amsa'!N59)</f>
        <v>1278.0899999999999</v>
      </c>
      <c r="S143" s="516"/>
      <c r="T143" s="516"/>
      <c r="U143" s="516">
        <f>SUM('IV-2 amsa'!O59)</f>
        <v>0</v>
      </c>
      <c r="V143" s="516"/>
      <c r="W143" s="516"/>
      <c r="X143" s="516">
        <f>SUM('IV-2 amsa'!P59)</f>
        <v>0</v>
      </c>
      <c r="Y143" s="516"/>
      <c r="Z143" s="516"/>
      <c r="AA143" s="516">
        <f>SUM('IV-2 amsa'!Q59)</f>
        <v>14485</v>
      </c>
      <c r="AB143" s="468" t="str">
        <f>IF('ketv. 4 lent'!V142&gt;0,"Taip","Ne")</f>
        <v>Ne</v>
      </c>
      <c r="AC143" s="468"/>
      <c r="AD143" s="468"/>
      <c r="AE143" s="1113">
        <v>43136</v>
      </c>
      <c r="AF143" s="587">
        <f>SUM('IV-2 amsa'!S59)</f>
        <v>43189</v>
      </c>
      <c r="AG143" s="587">
        <f>SUM('IV-2 amsa'!T59)</f>
        <v>43281</v>
      </c>
      <c r="AH143" s="587">
        <f>SUM('IV-2 amsa'!U59)</f>
        <v>43373</v>
      </c>
      <c r="AI143" s="589">
        <v>2018</v>
      </c>
      <c r="AJ143" s="1263">
        <f>SUM('IV-2 amsa'!V59)</f>
        <v>44196</v>
      </c>
      <c r="AK143" s="468">
        <f>IF(YEAR(AH143)=2016,AA143,0)</f>
        <v>0</v>
      </c>
      <c r="AL143" s="468">
        <f>IF(YEAR(AH143)=2017,AA143,0)</f>
        <v>0</v>
      </c>
      <c r="AM143" s="468">
        <f>IF(YEAR(AH143)=2018,AA143,0)</f>
        <v>14485</v>
      </c>
      <c r="AN143" s="468">
        <f>IF(YEAR(AH143)=2019,AA143,0)</f>
        <v>0</v>
      </c>
      <c r="AO143" s="1264">
        <f>IF(YEAR(AH143)=2020,AA143,0)</f>
        <v>0</v>
      </c>
      <c r="AP143" s="88"/>
      <c r="AQ143" s="88"/>
      <c r="AR143" s="88"/>
    </row>
    <row r="144" spans="1:44" ht="39.75" thickTop="1" thickBot="1" x14ac:dyDescent="0.3">
      <c r="A144" s="515" t="s">
        <v>1479</v>
      </c>
      <c r="B144" s="515" t="s">
        <v>1640</v>
      </c>
      <c r="C144" s="1262" t="str">
        <f>CONCATENATE('ketv. 2lent'!B142)</f>
        <v/>
      </c>
      <c r="D144" s="515" t="str">
        <f>CONCATENATE('IV-2 lrsa'!D55)</f>
        <v xml:space="preserve">Paslaugų tuberkulioze sergantiems asmenims gerinimas Lazdijų rajono savivaldybėje </v>
      </c>
      <c r="E144" s="515" t="str">
        <f>CONCATENATE('IV-2 lrsa'!E55)</f>
        <v>Lazdijų rajono savivaldybės administracija</v>
      </c>
      <c r="F144" s="515" t="str">
        <f>CONCATENATE('IV-2 lrsa'!F55)</f>
        <v>Lietuvos Respublikos Sveikatos apsaugos ministerija</v>
      </c>
      <c r="G144" s="515" t="str">
        <f>CONCATENATE('IV-2 lrsa'!G55)</f>
        <v>Lazdijų rajono savivaldybė</v>
      </c>
      <c r="H144" s="518" t="str">
        <f>CONCATENATE('IV-2 lrsa'!H55)</f>
        <v>08.4.2-ESFA-R-615</v>
      </c>
      <c r="I144" s="518" t="str">
        <f>CONCATENATE('IV-2 lrsa'!I55)</f>
        <v>R</v>
      </c>
      <c r="J144" s="518" t="str">
        <f>CONCATENATE('IV-2 lrsa'!J55)</f>
        <v>-</v>
      </c>
      <c r="K144" s="518" t="str">
        <f>CONCATENATE('IV-2 lrsa'!K55)</f>
        <v>-</v>
      </c>
      <c r="L144" s="516">
        <f>SUM('IV-2 lrsa'!L55)</f>
        <v>15223.53</v>
      </c>
      <c r="M144" s="516"/>
      <c r="N144" s="516"/>
      <c r="O144" s="516">
        <f>SUM('IV-2 lrsa'!M55)</f>
        <v>1141.77</v>
      </c>
      <c r="P144" s="516"/>
      <c r="Q144" s="516"/>
      <c r="R144" s="516">
        <f>SUM('IV-2 lrsa'!N55)</f>
        <v>1141.76</v>
      </c>
      <c r="S144" s="516"/>
      <c r="T144" s="516"/>
      <c r="U144" s="516">
        <f>SUM('IV-2 lrsa'!O55)</f>
        <v>0</v>
      </c>
      <c r="V144" s="516"/>
      <c r="W144" s="516"/>
      <c r="X144" s="516">
        <f>SUM('IV-2 lrsa'!P55)</f>
        <v>0</v>
      </c>
      <c r="Y144" s="516"/>
      <c r="Z144" s="516"/>
      <c r="AA144" s="516">
        <f>SUM('IV-2 lrsa'!Q55)</f>
        <v>12940</v>
      </c>
      <c r="AB144" s="468" t="str">
        <f>IF('ketv. 4 lent'!V143&gt;0,"Taip","Ne")</f>
        <v>Ne</v>
      </c>
      <c r="AC144" s="468"/>
      <c r="AD144" s="468"/>
      <c r="AE144" s="1113">
        <v>43136</v>
      </c>
      <c r="AF144" s="587">
        <f>SUM('IV-2 lrsa'!S55)</f>
        <v>43189</v>
      </c>
      <c r="AG144" s="587">
        <f>SUM('IV-2 lrsa'!T55)</f>
        <v>43189</v>
      </c>
      <c r="AH144" s="587">
        <f>SUM('IV-2 lrsa'!U55)</f>
        <v>43250</v>
      </c>
      <c r="AI144" s="589">
        <v>2018</v>
      </c>
      <c r="AJ144" s="1263">
        <f>SUM('IV-2 lrsa'!V55)</f>
        <v>44561</v>
      </c>
      <c r="AK144" s="468">
        <f>IF(YEAR(AH144)=2016,AA144,0)</f>
        <v>0</v>
      </c>
      <c r="AL144" s="468">
        <f>IF(YEAR(AH144)=2017,AA144,0)</f>
        <v>0</v>
      </c>
      <c r="AM144" s="468">
        <f>IF(YEAR(AH144)=2018,AA144,0)</f>
        <v>12940</v>
      </c>
      <c r="AN144" s="468">
        <f>IF(YEAR(AH144)=2019,AA144,0)</f>
        <v>0</v>
      </c>
      <c r="AO144" s="1264">
        <f>IF(YEAR(AH144)=2020,AA144,0)</f>
        <v>0</v>
      </c>
      <c r="AP144" s="592"/>
      <c r="AQ144" s="88"/>
      <c r="AR144" s="88"/>
    </row>
    <row r="145" spans="1:44" ht="39.75" thickTop="1" thickBot="1" x14ac:dyDescent="0.3">
      <c r="A145" s="515" t="s">
        <v>1643</v>
      </c>
      <c r="B145" s="515" t="s">
        <v>1641</v>
      </c>
      <c r="C145" s="1262" t="str">
        <f>CONCATENATE('ketv. 2lent'!B143)</f>
        <v/>
      </c>
      <c r="D145" s="515" t="str">
        <f>CONCATENATE('IV-2 dsa'!C61)</f>
        <v>Ambulatorinių sveikatos priežiūros paslaugų tuberkulioze sergantiems asmenims prieinamumo gerinimas Druskininkų savivaldybėje</v>
      </c>
      <c r="E145" s="515" t="str">
        <f>CONCATENATE('IV-2 dsa'!D61)</f>
        <v>Druskininkų pirminės sveikatos priežiūros centras</v>
      </c>
      <c r="F145" s="515" t="str">
        <f>CONCATENATE('IV-2 dsa'!E61)</f>
        <v>Lietuvos Respublikos Sveikatos apsaugos ministerija</v>
      </c>
      <c r="G145" s="515" t="str">
        <f>CONCATENATE('IV-2 dsa'!F61)</f>
        <v>Druskininkų savivaldybė</v>
      </c>
      <c r="H145" s="518" t="str">
        <f>CONCATENATE('IV-2 dsa'!G61)</f>
        <v>08.4.2-ESFA-R-615</v>
      </c>
      <c r="I145" s="518" t="str">
        <f>CONCATENATE('IV-2 dsa'!H61)</f>
        <v>R</v>
      </c>
      <c r="J145" s="518" t="str">
        <f>CONCATENATE('IV-2 dsa'!I61)</f>
        <v>-</v>
      </c>
      <c r="K145" s="518" t="str">
        <f>CONCATENATE('IV-2 dsa'!J61)</f>
        <v>-</v>
      </c>
      <c r="L145" s="893">
        <f>SUM('IV-2 dsa'!K61)</f>
        <v>6816</v>
      </c>
      <c r="M145" s="516"/>
      <c r="N145" s="516"/>
      <c r="O145" s="893">
        <f>SUM('IV-2 dsa'!L61)</f>
        <v>511.2</v>
      </c>
      <c r="P145" s="516"/>
      <c r="Q145" s="516"/>
      <c r="R145" s="893">
        <f>SUM('IV-2 dsa'!M61)</f>
        <v>511.2</v>
      </c>
      <c r="S145" s="516"/>
      <c r="T145" s="516"/>
      <c r="U145" s="893">
        <f>SUM('IV-2 dsa'!N61)</f>
        <v>0</v>
      </c>
      <c r="V145" s="516"/>
      <c r="W145" s="516"/>
      <c r="X145" s="893">
        <f>SUM('IV-2 dsa'!O61)</f>
        <v>0</v>
      </c>
      <c r="Y145" s="516"/>
      <c r="Z145" s="516"/>
      <c r="AA145" s="516">
        <f>SUM('IV-2 dsa'!P61)</f>
        <v>5793.6</v>
      </c>
      <c r="AB145" s="468" t="str">
        <f>IF('ketv. 4 lent'!V144&gt;0,"Taip","Ne")</f>
        <v>Ne</v>
      </c>
      <c r="AC145" s="468"/>
      <c r="AD145" s="468"/>
      <c r="AE145" s="1113">
        <v>43136</v>
      </c>
      <c r="AF145" s="587">
        <f>SUM('IV-2 dsa'!R61)</f>
        <v>43159</v>
      </c>
      <c r="AG145" s="587">
        <f>SUM('IV-2 dsa'!S61)</f>
        <v>43253</v>
      </c>
      <c r="AH145" s="587">
        <f>SUM('IV-2 dsa'!T61)</f>
        <v>43344</v>
      </c>
      <c r="AI145" s="589">
        <v>2018</v>
      </c>
      <c r="AJ145" s="1263">
        <f>SUM('IV-2 dsa'!U61)</f>
        <v>44440</v>
      </c>
      <c r="AK145" s="468">
        <f>IF(YEAR(AH145)=2016,AA145,0)</f>
        <v>0</v>
      </c>
      <c r="AL145" s="468">
        <f>IF(YEAR(AH145)=2017,AA145,0)</f>
        <v>0</v>
      </c>
      <c r="AM145" s="468">
        <f>IF(YEAR(AH145)=2018,AA145,0)</f>
        <v>5793.6</v>
      </c>
      <c r="AN145" s="468">
        <f>IF(YEAR(AH145)=2019,AA145,0)</f>
        <v>0</v>
      </c>
      <c r="AO145" s="1264">
        <f>IF(YEAR(AH145)=2020,AA145,0)</f>
        <v>0</v>
      </c>
      <c r="AP145" s="592"/>
      <c r="AQ145" s="88"/>
      <c r="AR145" s="88"/>
    </row>
    <row r="146" spans="1:44" ht="39.75" thickTop="1" thickBot="1" x14ac:dyDescent="0.3">
      <c r="A146" s="515" t="s">
        <v>1480</v>
      </c>
      <c r="B146" s="1490" t="s">
        <v>1642</v>
      </c>
      <c r="C146" s="1262" t="str">
        <f>CONCATENATE('ketv. 2lent'!B144)</f>
        <v/>
      </c>
      <c r="D146" s="1490" t="str">
        <f>CONCATENATE('IV-2 vrsa'!D62)</f>
        <v>Ambulatorinių sveikatos priežiūros paslaugų prieinamumo gerinimas tuberkulioze sergantiems asmenims Varėnos rajono savivaldybėje</v>
      </c>
      <c r="E146" s="1490" t="str">
        <f>CONCATENATE('IV-2 vrsa'!E62)</f>
        <v>Varėnos rajono savivaldybės administracija</v>
      </c>
      <c r="F146" s="1490" t="str">
        <f>CONCATENATE('IV-2 vrsa'!F62)</f>
        <v>Lietuvos Respublikos Sveikatos apsaugos ministerija</v>
      </c>
      <c r="G146" s="1490" t="str">
        <f>CONCATENATE('IV-2 vrsa'!G62)</f>
        <v>Varėnos rajono savivaldybė</v>
      </c>
      <c r="H146" s="1491" t="str">
        <f>CONCATENATE('IV-2 vrsa'!H62)</f>
        <v>08.4.2-ESFA-R-615</v>
      </c>
      <c r="I146" s="1491" t="str">
        <f>CONCATENATE('IV-2 vrsa'!I62)</f>
        <v>R</v>
      </c>
      <c r="J146" s="1491" t="str">
        <f>CONCATENATE('IV-2 vrsa'!J62)</f>
        <v>-</v>
      </c>
      <c r="K146" s="1491" t="str">
        <f>CONCATENATE('IV-2 vrsa'!K62)</f>
        <v>-</v>
      </c>
      <c r="L146" s="516">
        <f>SUM('IV-2 vrsa'!L62)</f>
        <v>15679</v>
      </c>
      <c r="M146" s="516"/>
      <c r="N146" s="516"/>
      <c r="O146" s="516">
        <f>SUM('IV-2 vrsa'!M62)</f>
        <v>1176</v>
      </c>
      <c r="P146" s="516"/>
      <c r="Q146" s="516"/>
      <c r="R146" s="516">
        <f>SUM('IV-2 vrsa'!N62)</f>
        <v>1176</v>
      </c>
      <c r="S146" s="516"/>
      <c r="T146" s="516"/>
      <c r="U146" s="516">
        <f>SUM('IV-2 vrsa'!O62)</f>
        <v>0</v>
      </c>
      <c r="V146" s="516"/>
      <c r="W146" s="516"/>
      <c r="X146" s="516">
        <f>SUM('IV-2 vrsa'!P62)</f>
        <v>0</v>
      </c>
      <c r="Y146" s="516"/>
      <c r="Z146" s="516"/>
      <c r="AA146" s="516">
        <f>SUM('IV-2 vrsa'!Q62)</f>
        <v>13327</v>
      </c>
      <c r="AB146" s="468" t="str">
        <f>IF('ketv. 4 lent'!V145&gt;0,"Taip","Ne")</f>
        <v>Ne</v>
      </c>
      <c r="AC146" s="468"/>
      <c r="AD146" s="468"/>
      <c r="AE146" s="1113">
        <v>43136</v>
      </c>
      <c r="AF146" s="587">
        <f>SUM('IV-2 vrsa'!S62)</f>
        <v>43160</v>
      </c>
      <c r="AG146" s="587">
        <f>SUM('IV-2 vrsa'!T62)</f>
        <v>43252</v>
      </c>
      <c r="AH146" s="587">
        <f>SUM('IV-2 vrsa'!U62)</f>
        <v>43344</v>
      </c>
      <c r="AI146" s="589">
        <v>2018</v>
      </c>
      <c r="AJ146" s="1263">
        <f>SUM('IV-2 vrsa'!V62)</f>
        <v>44561</v>
      </c>
      <c r="AK146" s="468">
        <f>IF(YEAR(AH146)=2016,AA146,0)</f>
        <v>0</v>
      </c>
      <c r="AL146" s="468">
        <f>IF(YEAR(AH146)=2017,AA146,0)</f>
        <v>0</v>
      </c>
      <c r="AM146" s="468">
        <f>IF(YEAR(AH146)=2018,AA146,0)</f>
        <v>13327</v>
      </c>
      <c r="AN146" s="468">
        <f>IF(YEAR(AH146)=2019,AA146,0)</f>
        <v>0</v>
      </c>
      <c r="AO146" s="1264">
        <f>IF(YEAR(AH146)=2020,AA146,0)</f>
        <v>0</v>
      </c>
      <c r="AP146" s="592"/>
      <c r="AQ146" s="88"/>
      <c r="AR146" s="88"/>
    </row>
    <row r="147" spans="1:44" ht="36" customHeight="1" thickBot="1" x14ac:dyDescent="0.3">
      <c r="A147" s="1489" t="s">
        <v>35</v>
      </c>
      <c r="B147" s="1615" t="s">
        <v>1792</v>
      </c>
      <c r="C147" s="1616"/>
      <c r="D147" s="1616"/>
      <c r="E147" s="1616"/>
      <c r="F147" s="1616"/>
      <c r="G147" s="1616"/>
      <c r="H147" s="1616"/>
      <c r="I147" s="1616"/>
      <c r="J147" s="1616"/>
      <c r="K147" s="1617"/>
      <c r="L147" s="203">
        <f t="shared" ref="L147:AA147" si="218">SUM(L148+L154)</f>
        <v>4238690.55</v>
      </c>
      <c r="M147" s="203"/>
      <c r="N147" s="203"/>
      <c r="O147" s="203">
        <f t="shared" si="218"/>
        <v>810007.55</v>
      </c>
      <c r="P147" s="203"/>
      <c r="Q147" s="203"/>
      <c r="R147" s="203">
        <f t="shared" si="218"/>
        <v>21948</v>
      </c>
      <c r="S147" s="203"/>
      <c r="T147" s="203"/>
      <c r="U147" s="203">
        <f t="shared" si="218"/>
        <v>0</v>
      </c>
      <c r="V147" s="203"/>
      <c r="W147" s="203"/>
      <c r="X147" s="203">
        <f t="shared" si="218"/>
        <v>0</v>
      </c>
      <c r="Y147" s="203"/>
      <c r="Z147" s="203"/>
      <c r="AA147" s="203">
        <f t="shared" si="218"/>
        <v>3406735</v>
      </c>
      <c r="AB147" s="203"/>
      <c r="AC147" s="203"/>
      <c r="AD147" s="203"/>
      <c r="AE147" s="203"/>
      <c r="AF147" s="1282"/>
      <c r="AG147" s="1282"/>
      <c r="AH147" s="1282"/>
      <c r="AI147" s="590"/>
      <c r="AJ147" s="1251"/>
      <c r="AK147" s="468"/>
      <c r="AL147" s="1252"/>
      <c r="AM147" s="1252"/>
      <c r="AN147" s="1252"/>
      <c r="AO147" s="1252"/>
      <c r="AP147" s="88"/>
      <c r="AQ147" s="88"/>
      <c r="AR147" s="88">
        <f>SUM(AR148+AR154)</f>
        <v>0.99026876734569669</v>
      </c>
    </row>
    <row r="148" spans="1:44" ht="26.25" customHeight="1" thickBot="1" x14ac:dyDescent="0.3">
      <c r="A148" s="1278" t="s">
        <v>36</v>
      </c>
      <c r="B148" s="1612" t="s">
        <v>1793</v>
      </c>
      <c r="C148" s="1616"/>
      <c r="D148" s="1616"/>
      <c r="E148" s="1616"/>
      <c r="F148" s="1616"/>
      <c r="G148" s="1616"/>
      <c r="H148" s="1616"/>
      <c r="I148" s="1616"/>
      <c r="J148" s="1616"/>
      <c r="K148" s="1617"/>
      <c r="L148" s="1258">
        <f t="shared" ref="L148:AA148" si="219">SUM(L149:L153)</f>
        <v>1272489.55</v>
      </c>
      <c r="M148" s="1258">
        <f>SUM(M149:M153)</f>
        <v>1272489.55</v>
      </c>
      <c r="N148" s="1258">
        <f>SUM(N149:N153)</f>
        <v>0</v>
      </c>
      <c r="O148" s="1258">
        <f t="shared" si="219"/>
        <v>364780.55000000005</v>
      </c>
      <c r="P148" s="1258">
        <f>SUM(P149:P153)</f>
        <v>364780.55000000005</v>
      </c>
      <c r="Q148" s="1258">
        <f>SUM(Q149:Q153)</f>
        <v>0</v>
      </c>
      <c r="R148" s="1258">
        <f t="shared" si="219"/>
        <v>21948</v>
      </c>
      <c r="S148" s="1258">
        <f>SUM(S149:S153)</f>
        <v>21948</v>
      </c>
      <c r="T148" s="1258">
        <f>SUM(T149:T153)</f>
        <v>0</v>
      </c>
      <c r="U148" s="1258">
        <f t="shared" si="219"/>
        <v>0</v>
      </c>
      <c r="V148" s="1258">
        <f>SUM(V149:V153)</f>
        <v>0</v>
      </c>
      <c r="W148" s="1258">
        <f>SUM(W149:W153)</f>
        <v>0</v>
      </c>
      <c r="X148" s="1258">
        <f t="shared" si="219"/>
        <v>0</v>
      </c>
      <c r="Y148" s="1258">
        <f>SUM(Y149:Y153)</f>
        <v>0</v>
      </c>
      <c r="Z148" s="1258">
        <f>SUM(Z149:Z153)</f>
        <v>0</v>
      </c>
      <c r="AA148" s="1258">
        <f t="shared" si="219"/>
        <v>885761</v>
      </c>
      <c r="AB148" s="1270"/>
      <c r="AC148" s="1270">
        <f>SUM(AC149:AC153)</f>
        <v>885761</v>
      </c>
      <c r="AD148" s="1270">
        <f>SUM(AD149:AD153)</f>
        <v>0</v>
      </c>
      <c r="AE148" s="1270"/>
      <c r="AF148" s="1271"/>
      <c r="AG148" s="1271"/>
      <c r="AH148" s="1271"/>
      <c r="AI148" s="1272"/>
      <c r="AJ148" s="1273"/>
      <c r="AK148" s="1281">
        <f>SUM(AK149:AK153)</f>
        <v>0</v>
      </c>
      <c r="AL148" s="1281">
        <f t="shared" ref="AL148:AO148" si="220">SUM(AL149:AL153)</f>
        <v>885761</v>
      </c>
      <c r="AM148" s="1281">
        <f t="shared" si="220"/>
        <v>0</v>
      </c>
      <c r="AN148" s="1281">
        <f t="shared" si="220"/>
        <v>0</v>
      </c>
      <c r="AO148" s="1281">
        <f t="shared" si="220"/>
        <v>0</v>
      </c>
      <c r="AP148" s="88">
        <f>SUM('IV-2 amsa'!W61+'IV-2 arsa'!V58+'IV-2 dsa'!V63+'IV-2 lrsa'!W57+'IV-2 vrsa'!W64)</f>
        <v>885761.99026876735</v>
      </c>
      <c r="AQ148" s="88">
        <f>SUM(AP148*120/100)</f>
        <v>1062914.3883225208</v>
      </c>
      <c r="AR148" s="88">
        <f>SUM(AP148-AA148)</f>
        <v>0.99026876734569669</v>
      </c>
    </row>
    <row r="149" spans="1:44" ht="39" thickBot="1" x14ac:dyDescent="0.3">
      <c r="A149" s="1295" t="s">
        <v>107</v>
      </c>
      <c r="B149" s="1295" t="s">
        <v>1644</v>
      </c>
      <c r="C149" s="1285" t="str">
        <f>CONCATENATE('ketv. 2lent'!B147)</f>
        <v>08.1.1-CPVA-R-407-11-0002</v>
      </c>
      <c r="D149" s="1295" t="str">
        <f>CONCATENATE('IV-2 vrsa'!D65)</f>
        <v>Socialinių paslaugų infrastruktūros plėtra Varėnos rajono savivaldybėje</v>
      </c>
      <c r="E149" s="1295" t="str">
        <f>CONCATENATE('IV-2 vrsa'!E65)</f>
        <v>Varėnos rajono savivaldybės administracija</v>
      </c>
      <c r="F149" s="1295" t="str">
        <f>CONCATENATE('IV-2 vrsa'!F65)</f>
        <v>Lietuvos Respublikos socialinės apsaugos ir darbo ministerija</v>
      </c>
      <c r="G149" s="1295" t="str">
        <f>CONCATENATE('IV-2 vrsa'!G65)</f>
        <v>Varėnos rajono savivaldybė</v>
      </c>
      <c r="H149" s="1296" t="str">
        <f>CONCATENATE('IV-2 vrsa'!H65)</f>
        <v>08.1.2-CPVA-R-407</v>
      </c>
      <c r="I149" s="1296" t="str">
        <f>CONCATENATE('IV-2 vrsa'!I65)</f>
        <v>R</v>
      </c>
      <c r="J149" s="1296" t="str">
        <f>CONCATENATE('IV-2 vrsa'!J65)</f>
        <v>-</v>
      </c>
      <c r="K149" s="1296" t="str">
        <f>CONCATENATE('IV-2 vrsa'!K65)</f>
        <v>-</v>
      </c>
      <c r="L149" s="516">
        <f>SUM('IV-2 vrsa'!L65)</f>
        <v>148480</v>
      </c>
      <c r="M149" s="516">
        <f>SUM('ketv. 6 lent'!K148)</f>
        <v>148480</v>
      </c>
      <c r="N149" s="516">
        <f t="shared" ref="N149:N153" si="221">IF(M149&gt;0,L149-M149,0)</f>
        <v>0</v>
      </c>
      <c r="O149" s="516">
        <f>SUM('IV-2 vrsa'!M65)</f>
        <v>22272</v>
      </c>
      <c r="P149" s="516">
        <f>SUM('ketv. 6 lent'!O148)</f>
        <v>22272</v>
      </c>
      <c r="Q149" s="516">
        <f>IF(P149&gt;0,O149-P149,0)</f>
        <v>0</v>
      </c>
      <c r="R149" s="516">
        <f>SUM('IV-2 vrsa'!N65)</f>
        <v>0</v>
      </c>
      <c r="S149" s="516">
        <f>SUM('ketv. 6 lent'!S148)</f>
        <v>0</v>
      </c>
      <c r="T149" s="516">
        <f t="shared" ref="T149:T153" si="222">IF(S149&gt;0,R149-S149,0)</f>
        <v>0</v>
      </c>
      <c r="U149" s="516">
        <f>SUM('IV-2 vrsa'!O65)</f>
        <v>0</v>
      </c>
      <c r="V149" s="516">
        <f>SUM('ketv. 6 lent'!W148)</f>
        <v>0</v>
      </c>
      <c r="W149" s="516">
        <f t="shared" ref="W149:W153" si="223">IF(V149&gt;0,U149-V149,0)</f>
        <v>0</v>
      </c>
      <c r="X149" s="516">
        <f>SUM('IV-2 vrsa'!P65)</f>
        <v>0</v>
      </c>
      <c r="Y149" s="516">
        <f>SUM('ketv. 6 lent'!AA148)</f>
        <v>0</v>
      </c>
      <c r="Z149" s="516">
        <f t="shared" ref="Z149:Z153" si="224">IF(Y149&gt;0,X149-Y149,0)</f>
        <v>0</v>
      </c>
      <c r="AA149" s="516">
        <f>SUM('IV-2 vrsa'!Q65)</f>
        <v>126208</v>
      </c>
      <c r="AB149" s="468" t="str">
        <f>IF('ketv. 4 lent'!V148&gt;0,"Taip","Ne")</f>
        <v>Taip</v>
      </c>
      <c r="AC149" s="468">
        <f>SUM('ketv. 6 lent'!AE148)</f>
        <v>126208</v>
      </c>
      <c r="AD149" s="468">
        <f>IF(AC149&gt;0,AA149-AC149,0)</f>
        <v>0</v>
      </c>
      <c r="AE149" s="1113">
        <f>SUM('IV-2 vrsa'!R65)</f>
        <v>42618</v>
      </c>
      <c r="AF149" s="1297">
        <f>SUM('IV-2 vrsa'!S65)</f>
        <v>42669</v>
      </c>
      <c r="AG149" s="1297">
        <f>SUM('IV-2 vrsa'!T65)</f>
        <v>42719</v>
      </c>
      <c r="AH149" s="1297">
        <f>SUM('IV-2 vrsa'!U65)</f>
        <v>42855</v>
      </c>
      <c r="AI149" s="589">
        <f t="shared" ref="AI149:AI153" si="225">IF(YEAR(AH149),YEAR(AH149))</f>
        <v>2017</v>
      </c>
      <c r="AJ149" s="1298">
        <f>SUM('IV-2 vrsa'!V65)</f>
        <v>43495</v>
      </c>
      <c r="AK149" s="468">
        <f>IF(YEAR(AH149)=2016,AA149,0)</f>
        <v>0</v>
      </c>
      <c r="AL149" s="468">
        <f>IF(YEAR(AH149)=2017,AA149,0)</f>
        <v>126208</v>
      </c>
      <c r="AM149" s="468">
        <f>IF(YEAR(AH149)=2018,AA149,0)</f>
        <v>0</v>
      </c>
      <c r="AN149" s="468">
        <f>IF(YEAR(AH149)=2019,AA149,0)</f>
        <v>0</v>
      </c>
      <c r="AO149" s="1264">
        <f>IF(YEAR(AH149)=2020,AA149,0)</f>
        <v>0</v>
      </c>
      <c r="AP149" s="88"/>
      <c r="AQ149" s="88"/>
      <c r="AR149" s="88"/>
    </row>
    <row r="150" spans="1:44" ht="39.75" thickTop="1" thickBot="1" x14ac:dyDescent="0.3">
      <c r="A150" s="515" t="s">
        <v>108</v>
      </c>
      <c r="B150" s="515" t="s">
        <v>1645</v>
      </c>
      <c r="C150" s="1262" t="str">
        <f>CONCATENATE('ketv. 2lent'!B148)</f>
        <v>08.1.1-CPVA-R-407-11-0004</v>
      </c>
      <c r="D150" s="515" t="str">
        <f>CONCATENATE('IV-2 arsa'!C59)</f>
        <v>Psichosocialinės pagalbos centro įkūrimas</v>
      </c>
      <c r="E150" s="515" t="str">
        <f>CONCATENATE('IV-2 arsa'!D59)</f>
        <v>Alytaus rajono savivaldybės administracija</v>
      </c>
      <c r="F150" s="515" t="str">
        <f>CONCATENATE('IV-2 arsa'!E59)</f>
        <v>Lietuvos Respublikos socialinės apsaugos ir darbo ministerija</v>
      </c>
      <c r="G150" s="515" t="str">
        <f>CONCATENATE('IV-2 arsa'!F59)</f>
        <v>Alytaus  miestas</v>
      </c>
      <c r="H150" s="518" t="str">
        <f>CONCATENATE('IV-2 arsa'!G59)</f>
        <v>08.1.2-CPVA-R-407</v>
      </c>
      <c r="I150" s="518" t="str">
        <f>CONCATENATE('IV-2 arsa'!H59)</f>
        <v>R</v>
      </c>
      <c r="J150" s="518" t="str">
        <f>CONCATENATE('IV-2 arsa'!I59)</f>
        <v/>
      </c>
      <c r="K150" s="518" t="str">
        <f>CONCATENATE('IV-2 arsa'!J59)</f>
        <v>-</v>
      </c>
      <c r="L150" s="516">
        <f>SUM('IV-2 arsa'!K59)</f>
        <v>188353</v>
      </c>
      <c r="M150" s="516">
        <f>SUM('ketv. 6 lent'!K149)</f>
        <v>188353</v>
      </c>
      <c r="N150" s="516">
        <f t="shared" si="221"/>
        <v>0</v>
      </c>
      <c r="O150" s="516">
        <f>SUM('IV-2 arsa'!L59)</f>
        <v>28253</v>
      </c>
      <c r="P150" s="516">
        <f>SUM('ketv. 6 lent'!O149)</f>
        <v>28253</v>
      </c>
      <c r="Q150" s="516">
        <f>IF(P150&gt;0,O150-P150,0)</f>
        <v>0</v>
      </c>
      <c r="R150" s="516">
        <f>SUM('IV-2 arsa'!M59)</f>
        <v>0</v>
      </c>
      <c r="S150" s="516">
        <f>SUM('ketv. 6 lent'!S149)</f>
        <v>0</v>
      </c>
      <c r="T150" s="516">
        <f t="shared" si="222"/>
        <v>0</v>
      </c>
      <c r="U150" s="516">
        <f>SUM('IV-2 arsa'!N59)</f>
        <v>0</v>
      </c>
      <c r="V150" s="516">
        <f>SUM('ketv. 6 lent'!W149)</f>
        <v>0</v>
      </c>
      <c r="W150" s="516">
        <f t="shared" si="223"/>
        <v>0</v>
      </c>
      <c r="X150" s="516">
        <f>SUM('IV-2 arsa'!O59)</f>
        <v>0</v>
      </c>
      <c r="Y150" s="516">
        <f>SUM('ketv. 6 lent'!AA149)</f>
        <v>0</v>
      </c>
      <c r="Z150" s="516">
        <f t="shared" si="224"/>
        <v>0</v>
      </c>
      <c r="AA150" s="516">
        <f>SUM('IV-2 arsa'!P59)</f>
        <v>160100</v>
      </c>
      <c r="AB150" s="468" t="str">
        <f>IF('ketv. 4 lent'!V149&gt;0,"Taip","Ne")</f>
        <v>Taip</v>
      </c>
      <c r="AC150" s="468">
        <f>SUM('ketv. 6 lent'!AE149)</f>
        <v>160100</v>
      </c>
      <c r="AD150" s="468">
        <f>IF(AC150&gt;0,AA150-AC150,0)</f>
        <v>0</v>
      </c>
      <c r="AE150" s="1113">
        <f>SUM('IV-2 arsa'!Q59)</f>
        <v>42618</v>
      </c>
      <c r="AF150" s="587">
        <f>SUM('IV-2 arsa'!R59)</f>
        <v>42669</v>
      </c>
      <c r="AG150" s="587">
        <f>SUM('IV-2 arsa'!S59)</f>
        <v>42734</v>
      </c>
      <c r="AH150" s="587">
        <f>SUM('IV-2 arsa'!T59)</f>
        <v>42855</v>
      </c>
      <c r="AI150" s="589">
        <f t="shared" si="225"/>
        <v>2017</v>
      </c>
      <c r="AJ150" s="1263">
        <f>SUM('IV-2 arsa'!U59)</f>
        <v>43646</v>
      </c>
      <c r="AK150" s="468">
        <f>IF(YEAR(AH150)=2016,AA150,0)</f>
        <v>0</v>
      </c>
      <c r="AL150" s="468">
        <f>IF(YEAR(AH150)=2017,AA150,0)</f>
        <v>160100</v>
      </c>
      <c r="AM150" s="468">
        <f>IF(YEAR(AH150)=2018,AA150,0)</f>
        <v>0</v>
      </c>
      <c r="AN150" s="468">
        <f>IF(YEAR(AH150)=2019,AA150,0)</f>
        <v>0</v>
      </c>
      <c r="AO150" s="1264">
        <f>IF(YEAR(AH150)=2020,AA150,0)</f>
        <v>0</v>
      </c>
      <c r="AP150" s="592"/>
      <c r="AQ150" s="88"/>
      <c r="AR150" s="88"/>
    </row>
    <row r="151" spans="1:44" ht="39.75" thickTop="1" thickBot="1" x14ac:dyDescent="0.3">
      <c r="A151" s="515" t="s">
        <v>222</v>
      </c>
      <c r="B151" s="515" t="s">
        <v>1646</v>
      </c>
      <c r="C151" s="1262" t="str">
        <f>CONCATENATE('ketv. 2lent'!B149)</f>
        <v>08.1.1-CPVA-R-407-11-0005</v>
      </c>
      <c r="D151" s="515" t="str">
        <f>CONCATENATE('IV-2 amsa'!D62)</f>
        <v>Socialinių paslaugų plėtra Alytaus mieste</v>
      </c>
      <c r="E151" s="515" t="str">
        <f>CONCATENATE('IV-2 amsa'!E62)</f>
        <v>Alytaus miesto savivaldybės administracija</v>
      </c>
      <c r="F151" s="515" t="str">
        <f>CONCATENATE('IV-2 amsa'!F62)</f>
        <v>Lietuvos Respublikos socialinės apsaugos ir darbo ministerija</v>
      </c>
      <c r="G151" s="515" t="str">
        <f>CONCATENATE('IV-2 amsa'!G62)</f>
        <v>Alytaus  miestas</v>
      </c>
      <c r="H151" s="518" t="str">
        <f>CONCATENATE('IV-2 amsa'!H62)</f>
        <v>08.1.2-CPVA-R-407</v>
      </c>
      <c r="I151" s="518" t="str">
        <f>CONCATENATE('IV-2 amsa'!I62)</f>
        <v>R</v>
      </c>
      <c r="J151" s="518" t="str">
        <f>CONCATENATE('IV-2 amsa'!J62)</f>
        <v>-</v>
      </c>
      <c r="K151" s="518" t="str">
        <f>CONCATENATE('IV-2 amsa'!K62)</f>
        <v>-</v>
      </c>
      <c r="L151" s="516">
        <f>SUM('IV-2 amsa'!L62)</f>
        <v>637900.55000000005</v>
      </c>
      <c r="M151" s="516">
        <f>SUM('ketv. 6 lent'!K150)</f>
        <v>637900.55000000005</v>
      </c>
      <c r="N151" s="516">
        <f t="shared" si="221"/>
        <v>0</v>
      </c>
      <c r="O151" s="516">
        <f>SUM('IV-2 amsa'!M62)</f>
        <v>291539.55000000005</v>
      </c>
      <c r="P151" s="516">
        <f>SUM('ketv. 6 lent'!O150)</f>
        <v>291539.55000000005</v>
      </c>
      <c r="Q151" s="516">
        <f>IF(P151&gt;0,O151-P151,0)</f>
        <v>0</v>
      </c>
      <c r="R151" s="516">
        <f>SUM('IV-2 amsa'!N62)</f>
        <v>0</v>
      </c>
      <c r="S151" s="516">
        <f>SUM('ketv. 6 lent'!S150)</f>
        <v>0</v>
      </c>
      <c r="T151" s="516">
        <f t="shared" si="222"/>
        <v>0</v>
      </c>
      <c r="U151" s="516">
        <f>SUM('IV-2 amsa'!O62)</f>
        <v>0</v>
      </c>
      <c r="V151" s="516">
        <f>SUM('ketv. 6 lent'!W150)</f>
        <v>0</v>
      </c>
      <c r="W151" s="516">
        <f t="shared" si="223"/>
        <v>0</v>
      </c>
      <c r="X151" s="516">
        <f>SUM('IV-2 amsa'!P62)</f>
        <v>0</v>
      </c>
      <c r="Y151" s="516">
        <f>SUM('ketv. 6 lent'!AA150)</f>
        <v>0</v>
      </c>
      <c r="Z151" s="516">
        <f t="shared" si="224"/>
        <v>0</v>
      </c>
      <c r="AA151" s="516">
        <f>SUM('IV-2 amsa'!Q62)</f>
        <v>346361</v>
      </c>
      <c r="AB151" s="468" t="str">
        <f>IF('ketv. 4 lent'!V150&gt;0,"Taip","Ne")</f>
        <v>Taip</v>
      </c>
      <c r="AC151" s="468">
        <f>SUM('ketv. 6 lent'!AE150)</f>
        <v>346361</v>
      </c>
      <c r="AD151" s="468">
        <f>IF(AC151&gt;0,AA151-AC151,0)</f>
        <v>0</v>
      </c>
      <c r="AE151" s="1113">
        <f>SUM('IV-2 amsa'!R62)</f>
        <v>42653</v>
      </c>
      <c r="AF151" s="587">
        <f>SUM('IV-2 amsa'!S62)</f>
        <v>42735</v>
      </c>
      <c r="AG151" s="587">
        <f>SUM('IV-2 amsa'!T62)</f>
        <v>42766</v>
      </c>
      <c r="AH151" s="587">
        <f>SUM('IV-2 amsa'!U62)</f>
        <v>42855</v>
      </c>
      <c r="AI151" s="589">
        <f t="shared" si="225"/>
        <v>2017</v>
      </c>
      <c r="AJ151" s="1263">
        <f>SUM('IV-2 amsa'!V62)</f>
        <v>43646</v>
      </c>
      <c r="AK151" s="468">
        <f>IF(YEAR(AH151)=2016,AA151,0)</f>
        <v>0</v>
      </c>
      <c r="AL151" s="468">
        <f>IF(YEAR(AH151)=2017,AA151,0)</f>
        <v>346361</v>
      </c>
      <c r="AM151" s="468">
        <f>IF(YEAR(AH151)=2018,AA151,0)</f>
        <v>0</v>
      </c>
      <c r="AN151" s="468">
        <f>IF(YEAR(AH151)=2019,AA151,0)</f>
        <v>0</v>
      </c>
      <c r="AO151" s="1264">
        <f>IF(YEAR(AH151)=2020,AA151,0)</f>
        <v>0</v>
      </c>
      <c r="AP151" s="592"/>
      <c r="AQ151" s="88"/>
      <c r="AR151" s="88"/>
    </row>
    <row r="152" spans="1:44" ht="39.75" thickTop="1" thickBot="1" x14ac:dyDescent="0.3">
      <c r="A152" s="515" t="s">
        <v>243</v>
      </c>
      <c r="B152" s="515" t="s">
        <v>1647</v>
      </c>
      <c r="C152" s="1262" t="str">
        <f>CONCATENATE('ketv. 2lent'!B150)</f>
        <v>08.1.1-CPVA-R-407-11-0001</v>
      </c>
      <c r="D152" s="515" t="str">
        <f>CONCATENATE('IV-2 dsa'!C64)</f>
        <v>Socialinių paslaugų infrastruktūros plėtra Druskininkų savivaldybėje</v>
      </c>
      <c r="E152" s="515" t="str">
        <f>CONCATENATE('IV-2 dsa'!D64)</f>
        <v>Druskininkų savivaldybės administracija</v>
      </c>
      <c r="F152" s="515" t="str">
        <f>CONCATENATE('IV-2 dsa'!E64)</f>
        <v>Lietuvos Respublikos socialinės apsaugos ir darbo ministerija</v>
      </c>
      <c r="G152" s="515" t="str">
        <f>CONCATENATE('IV-2 dsa'!F64)</f>
        <v>Druskininkų savivaldybė</v>
      </c>
      <c r="H152" s="518" t="str">
        <f>CONCATENATE('IV-2 dsa'!G64)</f>
        <v>08.1.2-CPVA-R-407</v>
      </c>
      <c r="I152" s="518" t="str">
        <f>CONCATENATE('IV-2 dsa'!H64)</f>
        <v>R</v>
      </c>
      <c r="J152" s="518" t="str">
        <f>CONCATENATE('IV-2 dsa'!I64)</f>
        <v>-</v>
      </c>
      <c r="K152" s="518" t="str">
        <f>CONCATENATE('IV-2 dsa'!J64)</f>
        <v>-</v>
      </c>
      <c r="L152" s="516">
        <f>SUM('IV-2 dsa'!K64)</f>
        <v>151437</v>
      </c>
      <c r="M152" s="516">
        <f>SUM('ketv. 6 lent'!K151)</f>
        <v>151437</v>
      </c>
      <c r="N152" s="516">
        <f t="shared" si="221"/>
        <v>0</v>
      </c>
      <c r="O152" s="516">
        <f>SUM('IV-2 dsa'!L64)</f>
        <v>22716</v>
      </c>
      <c r="P152" s="516">
        <f>SUM('ketv. 6 lent'!O151)</f>
        <v>22716</v>
      </c>
      <c r="Q152" s="516">
        <f>IF(P152&gt;0,O152-P152,0)</f>
        <v>0</v>
      </c>
      <c r="R152" s="516">
        <f>SUM('IV-2 dsa'!M64)</f>
        <v>0</v>
      </c>
      <c r="S152" s="516">
        <f>SUM('ketv. 6 lent'!S151)</f>
        <v>0</v>
      </c>
      <c r="T152" s="516">
        <f t="shared" si="222"/>
        <v>0</v>
      </c>
      <c r="U152" s="516">
        <f>SUM('IV-2 dsa'!N64)</f>
        <v>0</v>
      </c>
      <c r="V152" s="516">
        <f>SUM('ketv. 6 lent'!W151)</f>
        <v>0</v>
      </c>
      <c r="W152" s="516">
        <f t="shared" si="223"/>
        <v>0</v>
      </c>
      <c r="X152" s="516">
        <f>SUM('IV-2 dsa'!O64)</f>
        <v>0</v>
      </c>
      <c r="Y152" s="516">
        <f>SUM('ketv. 6 lent'!AA151)</f>
        <v>0</v>
      </c>
      <c r="Z152" s="516">
        <f t="shared" si="224"/>
        <v>0</v>
      </c>
      <c r="AA152" s="516">
        <f>SUM('IV-2 dsa'!P64)</f>
        <v>128721</v>
      </c>
      <c r="AB152" s="468" t="str">
        <f>IF('ketv. 4 lent'!V151&gt;0,"Taip","Ne")</f>
        <v>Taip</v>
      </c>
      <c r="AC152" s="468">
        <f>SUM('ketv. 6 lent'!AE151)</f>
        <v>128721</v>
      </c>
      <c r="AD152" s="468">
        <f>IF(AC152&gt;0,AA152-AC152,0)</f>
        <v>0</v>
      </c>
      <c r="AE152" s="1113">
        <f>SUM('IV-2 dsa'!Q64)</f>
        <v>42618</v>
      </c>
      <c r="AF152" s="587">
        <f>SUM('IV-2 dsa'!R64)</f>
        <v>42669</v>
      </c>
      <c r="AG152" s="587">
        <f>SUM('IV-2 dsa'!S64)</f>
        <v>42735</v>
      </c>
      <c r="AH152" s="587">
        <f>SUM('IV-2 dsa'!T64)</f>
        <v>42855</v>
      </c>
      <c r="AI152" s="589">
        <f t="shared" si="225"/>
        <v>2017</v>
      </c>
      <c r="AJ152" s="1298">
        <f>SUM('IV-2 dsa'!U64)</f>
        <v>43738</v>
      </c>
      <c r="AK152" s="468">
        <f>IF(YEAR(AH152)=2016,AA152,0)</f>
        <v>0</v>
      </c>
      <c r="AL152" s="468">
        <f>IF(YEAR(AH152)=2017,AA152,0)</f>
        <v>128721</v>
      </c>
      <c r="AM152" s="468">
        <f>IF(YEAR(AH152)=2018,AA152,0)</f>
        <v>0</v>
      </c>
      <c r="AN152" s="468">
        <f>IF(YEAR(AH152)=2019,AA152,0)</f>
        <v>0</v>
      </c>
      <c r="AO152" s="1264">
        <f>IF(YEAR(AH152)=2020,AA152,0)</f>
        <v>0</v>
      </c>
      <c r="AP152" s="592"/>
      <c r="AQ152" s="88"/>
      <c r="AR152" s="88"/>
    </row>
    <row r="153" spans="1:44" ht="39.75" thickTop="1" thickBot="1" x14ac:dyDescent="0.3">
      <c r="A153" s="515" t="s">
        <v>249</v>
      </c>
      <c r="B153" s="515" t="s">
        <v>1648</v>
      </c>
      <c r="C153" s="1262" t="str">
        <f>CONCATENATE('ketv. 2lent'!B151)</f>
        <v>08.1.1-CPVA-R-407-11-0003</v>
      </c>
      <c r="D153" s="515" t="str">
        <f>CONCATENATE('IV-2 lrsa'!D58)</f>
        <v>Socialinių paslaugų infrastruktūros modernizavimas ir plėtra VšĮ Kapčiamiesčio globos namuose</v>
      </c>
      <c r="E153" s="515" t="str">
        <f>CONCATENATE('IV-2 lrsa'!E58)</f>
        <v>VšĮ Kapčiamiesčio globos namai</v>
      </c>
      <c r="F153" s="515" t="str">
        <f>CONCATENATE('IV-2 lrsa'!F58)</f>
        <v>Lietuvos Respublikos socialinės apsaugos ir darbo ministerija</v>
      </c>
      <c r="G153" s="515" t="str">
        <f>CONCATENATE('IV-2 lrsa'!G58)</f>
        <v>Lazdijų rajono savivaldybė</v>
      </c>
      <c r="H153" s="518" t="str">
        <f>CONCATENATE('IV-2 lrsa'!H58)</f>
        <v>08.1.2-CPVA-R-407</v>
      </c>
      <c r="I153" s="518" t="str">
        <f>CONCATENATE('IV-2 lrsa'!I58)</f>
        <v>R</v>
      </c>
      <c r="J153" s="518" t="str">
        <f>CONCATENATE('IV-2 lrsa'!J58)</f>
        <v>-</v>
      </c>
      <c r="K153" s="518" t="str">
        <f>CONCATENATE('IV-2 lrsa'!K58)</f>
        <v>-</v>
      </c>
      <c r="L153" s="516">
        <f>SUM('IV-2 lrsa'!L58)</f>
        <v>146319</v>
      </c>
      <c r="M153" s="516">
        <f>SUM('ketv. 6 lent'!K152)</f>
        <v>146319</v>
      </c>
      <c r="N153" s="516">
        <f t="shared" si="221"/>
        <v>0</v>
      </c>
      <c r="O153" s="516">
        <f>SUM('IV-2 lrsa'!M58)</f>
        <v>0</v>
      </c>
      <c r="P153" s="516">
        <f>SUM('ketv. 6 lent'!O152)</f>
        <v>0</v>
      </c>
      <c r="Q153" s="516">
        <f t="shared" ref="Q153" si="226">IF(P153&gt;0,O153-P153,0)</f>
        <v>0</v>
      </c>
      <c r="R153" s="516">
        <f>SUM('IV-2 lrsa'!N58)</f>
        <v>21948</v>
      </c>
      <c r="S153" s="516">
        <f>SUM('ketv. 6 lent'!S152)</f>
        <v>21948</v>
      </c>
      <c r="T153" s="516">
        <f t="shared" si="222"/>
        <v>0</v>
      </c>
      <c r="U153" s="516">
        <f>SUM('IV-2 lrsa'!O58)</f>
        <v>0</v>
      </c>
      <c r="V153" s="516">
        <f>SUM('ketv. 6 lent'!W152)</f>
        <v>0</v>
      </c>
      <c r="W153" s="516">
        <f t="shared" si="223"/>
        <v>0</v>
      </c>
      <c r="X153" s="516">
        <f>SUM('IV-2 lrsa'!P58)</f>
        <v>0</v>
      </c>
      <c r="Y153" s="516">
        <f>SUM('ketv. 6 lent'!AA152)</f>
        <v>0</v>
      </c>
      <c r="Z153" s="516">
        <f t="shared" si="224"/>
        <v>0</v>
      </c>
      <c r="AA153" s="516">
        <f>SUM('IV-2 lrsa'!Q58)</f>
        <v>124371</v>
      </c>
      <c r="AB153" s="468" t="str">
        <f>IF('ketv. 4 lent'!V152&gt;0,"Taip","Ne")</f>
        <v>Taip</v>
      </c>
      <c r="AC153" s="468">
        <f>SUM('ketv. 6 lent'!AE152)</f>
        <v>124371</v>
      </c>
      <c r="AD153" s="468">
        <f>IF(AC153&gt;0,AA153-AC153,0)</f>
        <v>0</v>
      </c>
      <c r="AE153" s="1113">
        <f>SUM('IV-2 lrsa'!R58)</f>
        <v>42618</v>
      </c>
      <c r="AF153" s="587">
        <f>SUM('IV-2 lrsa'!S58)</f>
        <v>42669</v>
      </c>
      <c r="AG153" s="587">
        <f>SUM('IV-2 lrsa'!T58)</f>
        <v>42735</v>
      </c>
      <c r="AH153" s="587">
        <f>SUM('IV-2 lrsa'!U58)</f>
        <v>42855</v>
      </c>
      <c r="AI153" s="589">
        <f t="shared" si="225"/>
        <v>2017</v>
      </c>
      <c r="AJ153" s="1263">
        <f>SUM('IV-2 lrsa'!V58)</f>
        <v>43615</v>
      </c>
      <c r="AK153" s="468">
        <f>IF(YEAR(AH153)=2016,AA153,0)</f>
        <v>0</v>
      </c>
      <c r="AL153" s="468">
        <f>IF(YEAR(AH153)=2017,AA153,0)</f>
        <v>124371</v>
      </c>
      <c r="AM153" s="468">
        <f>IF(YEAR(AH153)=2018,AA153,0)</f>
        <v>0</v>
      </c>
      <c r="AN153" s="468">
        <f>IF(YEAR(AH153)=2019,AA153,0)</f>
        <v>0</v>
      </c>
      <c r="AO153" s="1264">
        <f>IF(YEAR(AH153)=2020,AA153,0)</f>
        <v>0</v>
      </c>
      <c r="AP153" s="592"/>
      <c r="AQ153" s="595"/>
      <c r="AR153" s="592"/>
    </row>
    <row r="154" spans="1:44" ht="33.75" customHeight="1" thickBot="1" x14ac:dyDescent="0.3">
      <c r="A154" s="1299" t="s">
        <v>37</v>
      </c>
      <c r="B154" s="1641" t="s">
        <v>1794</v>
      </c>
      <c r="C154" s="1610"/>
      <c r="D154" s="1610"/>
      <c r="E154" s="1610"/>
      <c r="F154" s="1610"/>
      <c r="G154" s="1610"/>
      <c r="H154" s="1610"/>
      <c r="I154" s="1610"/>
      <c r="J154" s="1610"/>
      <c r="K154" s="1611"/>
      <c r="L154" s="1300">
        <f>SUM(L155:L159)</f>
        <v>2966201</v>
      </c>
      <c r="M154" s="1300">
        <f>SUM(M155:M159)</f>
        <v>2966201.12</v>
      </c>
      <c r="N154" s="1300">
        <f>SUM(N155:N159)</f>
        <v>-0.11999999999534339</v>
      </c>
      <c r="O154" s="1300">
        <f t="shared" ref="O154" si="227">SUM(O155:O159)</f>
        <v>445227</v>
      </c>
      <c r="P154" s="1300">
        <f>SUM(P155:P159)</f>
        <v>445227.48</v>
      </c>
      <c r="Q154" s="1300">
        <f>SUM(Q155:Q159)</f>
        <v>-0.48000000001047738</v>
      </c>
      <c r="R154" s="1300">
        <f t="shared" ref="R154" si="228">SUM(R155:R159)</f>
        <v>0</v>
      </c>
      <c r="S154" s="1300">
        <f>SUM(S155:S159)</f>
        <v>0</v>
      </c>
      <c r="T154" s="1300">
        <f>SUM(T155:T159)</f>
        <v>0</v>
      </c>
      <c r="U154" s="1300">
        <f t="shared" ref="U154" si="229">SUM(U155:U159)</f>
        <v>0</v>
      </c>
      <c r="V154" s="1300">
        <f>SUM(V155:V159)</f>
        <v>0</v>
      </c>
      <c r="W154" s="1300">
        <f>SUM(W155:W159)</f>
        <v>0</v>
      </c>
      <c r="X154" s="1300">
        <f t="shared" ref="X154" si="230">SUM(X155:X159)</f>
        <v>0</v>
      </c>
      <c r="Y154" s="1300">
        <f>SUM(Y155:Y159)</f>
        <v>0</v>
      </c>
      <c r="Z154" s="1300">
        <f>SUM(Z155:Z159)</f>
        <v>0</v>
      </c>
      <c r="AA154" s="1300">
        <f t="shared" ref="AA154" si="231">SUM(AA155:AA159)</f>
        <v>2520974</v>
      </c>
      <c r="AB154" s="1301"/>
      <c r="AC154" s="1301">
        <f>SUM(AC155:AC159)</f>
        <v>2520973.6399999997</v>
      </c>
      <c r="AD154" s="1301">
        <f>SUM(AD155:AD159)</f>
        <v>0.36000000001513399</v>
      </c>
      <c r="AE154" s="1301"/>
      <c r="AF154" s="1302"/>
      <c r="AG154" s="1302"/>
      <c r="AH154" s="1302"/>
      <c r="AI154" s="1303"/>
      <c r="AJ154" s="1304"/>
      <c r="AK154" s="468">
        <f>SUM(AK155:AK159)</f>
        <v>2520974</v>
      </c>
      <c r="AL154" s="468">
        <f t="shared" ref="AL154:AO154" si="232">SUM(AL155:AL159)</f>
        <v>0</v>
      </c>
      <c r="AM154" s="468">
        <f t="shared" si="232"/>
        <v>0</v>
      </c>
      <c r="AN154" s="468">
        <f t="shared" si="232"/>
        <v>0</v>
      </c>
      <c r="AO154" s="468">
        <f t="shared" si="232"/>
        <v>0</v>
      </c>
      <c r="AP154" s="88">
        <f>SUM('IV-2 amsa'!W63+'IV-2 arsa'!V60+'IV-2 dsa'!V65+'IV-2 lrsa'!W59+'IV-2 vrsa'!W66)</f>
        <v>2520974</v>
      </c>
      <c r="AQ154" s="88">
        <f>SUM(AP154*120/100)</f>
        <v>3025168.8</v>
      </c>
      <c r="AR154" s="88">
        <f>SUM(AP154-AA154)</f>
        <v>0</v>
      </c>
    </row>
    <row r="155" spans="1:44" ht="39.75" thickTop="1" thickBot="1" x14ac:dyDescent="0.3">
      <c r="A155" s="515" t="s">
        <v>159</v>
      </c>
      <c r="B155" s="515" t="s">
        <v>1649</v>
      </c>
      <c r="C155" s="1262" t="str">
        <f>CONCATENATE('ketv. 2lent'!B153)</f>
        <v>08.1.2-CPVA-R-408-11-0001</v>
      </c>
      <c r="D155" s="515" t="str">
        <f>CONCATENATE('IV-2 vrsa'!D67)</f>
        <v>Socialinio būsto plėtra Varėnos rajone</v>
      </c>
      <c r="E155" s="515" t="str">
        <f>CONCATENATE('IV-2 vrsa'!E67)</f>
        <v>Varėnos rajono savivaldybės administracija</v>
      </c>
      <c r="F155" s="515" t="str">
        <f>CONCATENATE('IV-2 vrsa'!F67)</f>
        <v>Lietuvos Respublikos socialinės apsaugos ir darbo ministerija</v>
      </c>
      <c r="G155" s="515" t="str">
        <f>CONCATENATE('IV-2 vrsa'!G67)</f>
        <v>Varėnos rajono savivaldybė</v>
      </c>
      <c r="H155" s="518" t="str">
        <f>CONCATENATE('IV-2 vrsa'!H67)</f>
        <v>08.1.1-CPVA·R-408</v>
      </c>
      <c r="I155" s="518" t="str">
        <f>CONCATENATE('IV-2 vrsa'!I67)</f>
        <v>R</v>
      </c>
      <c r="J155" s="518" t="str">
        <f>CONCATENATE('IV-2 vrsa'!J67)</f>
        <v>-</v>
      </c>
      <c r="K155" s="518" t="str">
        <f>CONCATENATE('IV-2 vrsa'!K67)</f>
        <v>-</v>
      </c>
      <c r="L155" s="516">
        <f>SUM('IV-2 vrsa'!L67)</f>
        <v>736499</v>
      </c>
      <c r="M155" s="516">
        <f>SUM('ketv. 6 lent'!K154)</f>
        <v>736499</v>
      </c>
      <c r="N155" s="516">
        <f t="shared" ref="N155:N159" si="233">IF(M155&gt;0,L155-M155,0)</f>
        <v>0</v>
      </c>
      <c r="O155" s="516">
        <f>SUM('IV-2 vrsa'!M67)</f>
        <v>110475</v>
      </c>
      <c r="P155" s="516">
        <f>SUM('ketv. 6 lent'!O154)</f>
        <v>110475</v>
      </c>
      <c r="Q155" s="516">
        <f>IF(P155&gt;0,O155-P155,0)</f>
        <v>0</v>
      </c>
      <c r="R155" s="516">
        <f>SUM('IV-2 vrsa'!N67)</f>
        <v>0</v>
      </c>
      <c r="S155" s="516">
        <f>SUM('ketv. 6 lent'!S154)</f>
        <v>0</v>
      </c>
      <c r="T155" s="516">
        <f t="shared" ref="T155:T159" si="234">IF(S155&gt;0,R155-S155,0)</f>
        <v>0</v>
      </c>
      <c r="U155" s="516">
        <f>SUM('IV-2 vrsa'!O67)</f>
        <v>0</v>
      </c>
      <c r="V155" s="516">
        <f>SUM('ketv. 6 lent'!W154)</f>
        <v>0</v>
      </c>
      <c r="W155" s="516">
        <f t="shared" ref="W155:W159" si="235">IF(V155&gt;0,U155-V155,0)</f>
        <v>0</v>
      </c>
      <c r="X155" s="516">
        <f>SUM('IV-2 vrsa'!P67)</f>
        <v>0</v>
      </c>
      <c r="Y155" s="516">
        <f>SUM('ketv. 6 lent'!AA154)</f>
        <v>0</v>
      </c>
      <c r="Z155" s="516">
        <f t="shared" ref="Z155:Z159" si="236">IF(Y155&gt;0,X155-Y155,0)</f>
        <v>0</v>
      </c>
      <c r="AA155" s="516">
        <f>SUM('IV-2 vrsa'!Q67)</f>
        <v>626024</v>
      </c>
      <c r="AB155" s="468" t="str">
        <f>IF('ketv. 4 lent'!V154&gt;0,"Taip","Ne")</f>
        <v>Taip</v>
      </c>
      <c r="AC155" s="468">
        <f>SUM('ketv. 6 lent'!AE154)</f>
        <v>626024</v>
      </c>
      <c r="AD155" s="468">
        <f>IF(AC155&gt;0,AA155-AC155,0)</f>
        <v>0</v>
      </c>
      <c r="AE155" s="1113">
        <f>SUM('IV-2 vrsa'!R67)</f>
        <v>42401</v>
      </c>
      <c r="AF155" s="587">
        <f>SUM('IV-2 vrsa'!S67)</f>
        <v>42490</v>
      </c>
      <c r="AG155" s="587">
        <f>SUM('IV-2 vrsa'!T67)</f>
        <v>42674</v>
      </c>
      <c r="AH155" s="587">
        <f>SUM('IV-2 vrsa'!U67)</f>
        <v>42735</v>
      </c>
      <c r="AI155" s="589">
        <f t="shared" ref="AI155:AI159" si="237">IF(YEAR(AH155),YEAR(AH155))</f>
        <v>2016</v>
      </c>
      <c r="AJ155" s="1263">
        <f>SUM('IV-2 vrsa'!V67)</f>
        <v>43738</v>
      </c>
      <c r="AK155" s="468">
        <f>IF(YEAR(AH155)=2016,AA155,0)</f>
        <v>626024</v>
      </c>
      <c r="AL155" s="468">
        <f>IF(YEAR(AH155)=2017,AA155,0)</f>
        <v>0</v>
      </c>
      <c r="AM155" s="468">
        <f>IF(YEAR(AH155)=2018,AA155,0)</f>
        <v>0</v>
      </c>
      <c r="AN155" s="468">
        <f>IF(YEAR(AH155)=2019,AA155,0)</f>
        <v>0</v>
      </c>
      <c r="AO155" s="1264">
        <f>IF(YEAR(AH155)=2020,AA155,0)</f>
        <v>0</v>
      </c>
      <c r="AP155" s="88"/>
      <c r="AQ155" s="88"/>
      <c r="AR155" s="88"/>
    </row>
    <row r="156" spans="1:44" ht="39.75" thickTop="1" thickBot="1" x14ac:dyDescent="0.3">
      <c r="A156" s="515" t="s">
        <v>212</v>
      </c>
      <c r="B156" s="515" t="s">
        <v>1650</v>
      </c>
      <c r="C156" s="1262" t="str">
        <f>CONCATENATE('ketv. 2lent'!B154)</f>
        <v>08.1.2-CPVA-R-408-11-0005</v>
      </c>
      <c r="D156" s="515" t="str">
        <f>CONCATENATE('IV-2 arsa'!C61)</f>
        <v>Būsto prieinamumo pažeidžiamoms gyventojų grupėms didinimas Alytaus rajone</v>
      </c>
      <c r="E156" s="515" t="str">
        <f>CONCATENATE('IV-2 arsa'!D61)</f>
        <v>Alytaus rajono savivaldybės administracija</v>
      </c>
      <c r="F156" s="515" t="str">
        <f>CONCATENATE('IV-2 arsa'!E61)</f>
        <v>Lietuvos Respublikos socialinės apsaugos ir darbo ministerija</v>
      </c>
      <c r="G156" s="515" t="str">
        <f>CONCATENATE('IV-2 arsa'!F61)</f>
        <v>Alytaus  rajono savivaldybė</v>
      </c>
      <c r="H156" s="518" t="str">
        <f>CONCATENATE('IV-2 arsa'!G61)</f>
        <v>08.1.1-CPVA·R-408</v>
      </c>
      <c r="I156" s="518" t="str">
        <f>CONCATENATE('IV-2 arsa'!H61)</f>
        <v>R</v>
      </c>
      <c r="J156" s="518" t="str">
        <f>CONCATENATE('IV-2 arsa'!I61)</f>
        <v>-</v>
      </c>
      <c r="K156" s="518" t="str">
        <f>CONCATENATE('IV-2 arsa'!J61)</f>
        <v>-</v>
      </c>
      <c r="L156" s="516">
        <f>SUM('IV-2 arsa'!K61)</f>
        <v>241889</v>
      </c>
      <c r="M156" s="516">
        <f>SUM('ketv. 6 lent'!K155)</f>
        <v>241889</v>
      </c>
      <c r="N156" s="516">
        <f t="shared" si="233"/>
        <v>0</v>
      </c>
      <c r="O156" s="516">
        <f>SUM('IV-2 arsa'!L61)</f>
        <v>36283</v>
      </c>
      <c r="P156" s="516">
        <f>SUM('ketv. 6 lent'!O155)</f>
        <v>36283.350000000006</v>
      </c>
      <c r="Q156" s="516">
        <f>IF(P156&gt;0,O156-P156,0)</f>
        <v>-0.35000000000582077</v>
      </c>
      <c r="R156" s="516">
        <f>SUM('IV-2 arsa'!M61)</f>
        <v>0</v>
      </c>
      <c r="S156" s="516">
        <f>SUM('ketv. 6 lent'!S155)</f>
        <v>0</v>
      </c>
      <c r="T156" s="516">
        <f t="shared" si="234"/>
        <v>0</v>
      </c>
      <c r="U156" s="516">
        <f>SUM('IV-2 arsa'!N61)</f>
        <v>0</v>
      </c>
      <c r="V156" s="516">
        <f>SUM('ketv. 6 lent'!W155)</f>
        <v>0</v>
      </c>
      <c r="W156" s="516">
        <f t="shared" si="235"/>
        <v>0</v>
      </c>
      <c r="X156" s="516">
        <f>SUM('IV-2 arsa'!O61)</f>
        <v>0</v>
      </c>
      <c r="Y156" s="516">
        <f>SUM('ketv. 6 lent'!AA155)</f>
        <v>0</v>
      </c>
      <c r="Z156" s="516">
        <f t="shared" si="236"/>
        <v>0</v>
      </c>
      <c r="AA156" s="516">
        <f>SUM('IV-2 arsa'!P61)</f>
        <v>205606</v>
      </c>
      <c r="AB156" s="468" t="str">
        <f>IF('ketv. 4 lent'!V155&gt;0,"Taip","Ne")</f>
        <v>Taip</v>
      </c>
      <c r="AC156" s="468">
        <f>SUM('ketv. 6 lent'!AE155)</f>
        <v>205605.65</v>
      </c>
      <c r="AD156" s="468">
        <f>IF(AC156&gt;0,AA156-AC156,0)</f>
        <v>0.35000000000582077</v>
      </c>
      <c r="AE156" s="1113">
        <f>SUM('IV-2 arsa'!Q61)</f>
        <v>42401</v>
      </c>
      <c r="AF156" s="587">
        <f>SUM('IV-2 arsa'!R61)</f>
        <v>42490</v>
      </c>
      <c r="AG156" s="587">
        <f>SUM('IV-2 arsa'!S61)</f>
        <v>42674</v>
      </c>
      <c r="AH156" s="587">
        <f>SUM('IV-2 arsa'!T61)</f>
        <v>42735</v>
      </c>
      <c r="AI156" s="589">
        <f t="shared" si="237"/>
        <v>2016</v>
      </c>
      <c r="AJ156" s="1263">
        <f>SUM('IV-2 arsa'!U61)</f>
        <v>43373</v>
      </c>
      <c r="AK156" s="468">
        <f>IF(YEAR(AH156)=2016,AA156,0)</f>
        <v>205606</v>
      </c>
      <c r="AL156" s="468">
        <f>IF(YEAR(AH156)=2017,AA156,0)</f>
        <v>0</v>
      </c>
      <c r="AM156" s="468">
        <f>IF(YEAR(AH156)=2018,AA156,0)</f>
        <v>0</v>
      </c>
      <c r="AN156" s="468">
        <f>IF(YEAR(AH156)=2019,AA156,0)</f>
        <v>0</v>
      </c>
      <c r="AO156" s="1264">
        <f>IF(YEAR(AH156)=2020,AA156,0)</f>
        <v>0</v>
      </c>
      <c r="AP156" s="592"/>
      <c r="AQ156" s="88"/>
      <c r="AR156" s="88"/>
    </row>
    <row r="157" spans="1:44" ht="39.75" thickTop="1" thickBot="1" x14ac:dyDescent="0.3">
      <c r="A157" s="515" t="s">
        <v>222</v>
      </c>
      <c r="B157" s="515" t="s">
        <v>1651</v>
      </c>
      <c r="C157" s="1262" t="str">
        <f>CONCATENATE('ketv. 2lent'!B155)</f>
        <v>08.1.2-CPVA-R-408-11-0002</v>
      </c>
      <c r="D157" s="515" t="str">
        <f>CONCATENATE('IV-2 amsa'!D64)</f>
        <v>Socialinio būsto plėtra Alytaus mieste</v>
      </c>
      <c r="E157" s="515" t="str">
        <f>CONCATENATE('IV-2 amsa'!E64)</f>
        <v>Alytaus miesto savivaldybės administracija</v>
      </c>
      <c r="F157" s="515" t="str">
        <f>CONCATENATE('IV-2 amsa'!F64)</f>
        <v>Lietuvos Respublikos socialinės apsaugos ir darbo ministerija</v>
      </c>
      <c r="G157" s="515" t="str">
        <f>CONCATENATE('IV-2 amsa'!G64)</f>
        <v>Alytaus miestas</v>
      </c>
      <c r="H157" s="518" t="str">
        <f>CONCATENATE('IV-2 amsa'!H64)</f>
        <v>08.1.1-CPVA·R-408</v>
      </c>
      <c r="I157" s="518" t="str">
        <f>CONCATENATE('IV-2 amsa'!I64)</f>
        <v>R</v>
      </c>
      <c r="J157" s="518" t="str">
        <f>CONCATENATE('IV-2 amsa'!J64)</f>
        <v>-</v>
      </c>
      <c r="K157" s="518" t="str">
        <f>CONCATENATE('IV-2 amsa'!K64)</f>
        <v>-</v>
      </c>
      <c r="L157" s="516">
        <f>SUM('IV-2 amsa'!L64)</f>
        <v>891741</v>
      </c>
      <c r="M157" s="516">
        <f>SUM('ketv. 6 lent'!K156)</f>
        <v>891741.18</v>
      </c>
      <c r="N157" s="516">
        <f t="shared" si="233"/>
        <v>-0.18000000005122274</v>
      </c>
      <c r="O157" s="516">
        <f>SUM('IV-2 amsa'!M64)</f>
        <v>133761</v>
      </c>
      <c r="P157" s="516">
        <f>SUM('ketv. 6 lent'!O156)</f>
        <v>133761.18000000005</v>
      </c>
      <c r="Q157" s="516">
        <f>IF(P157&gt;0,O157-P157,0)</f>
        <v>-0.18000000005122274</v>
      </c>
      <c r="R157" s="516">
        <f>SUM('IV-2 amsa'!N64)</f>
        <v>0</v>
      </c>
      <c r="S157" s="516">
        <f>SUM('ketv. 6 lent'!S156)</f>
        <v>0</v>
      </c>
      <c r="T157" s="516">
        <f t="shared" si="234"/>
        <v>0</v>
      </c>
      <c r="U157" s="516">
        <f>SUM('IV-2 amsa'!O64)</f>
        <v>0</v>
      </c>
      <c r="V157" s="516">
        <f>SUM('ketv. 6 lent'!W156)</f>
        <v>0</v>
      </c>
      <c r="W157" s="516">
        <f t="shared" si="235"/>
        <v>0</v>
      </c>
      <c r="X157" s="516">
        <f>SUM('IV-2 amsa'!P64)</f>
        <v>0</v>
      </c>
      <c r="Y157" s="516">
        <f>SUM('ketv. 6 lent'!AA156)</f>
        <v>0</v>
      </c>
      <c r="Z157" s="516">
        <f t="shared" si="236"/>
        <v>0</v>
      </c>
      <c r="AA157" s="516">
        <f>SUM('IV-2 amsa'!Q64)</f>
        <v>757980</v>
      </c>
      <c r="AB157" s="468" t="str">
        <f>IF('ketv. 4 lent'!V156&gt;0,"Taip","Ne")</f>
        <v>Taip</v>
      </c>
      <c r="AC157" s="468">
        <f>SUM('ketv. 6 lent'!AE156)</f>
        <v>757980</v>
      </c>
      <c r="AD157" s="468">
        <f>IF(AC157&gt;0,AA157-AC157,0)</f>
        <v>0</v>
      </c>
      <c r="AE157" s="1113">
        <f>SUM('IV-2 amsa'!R64)</f>
        <v>42401</v>
      </c>
      <c r="AF157" s="587">
        <f>SUM('IV-2 amsa'!S64)</f>
        <v>42464</v>
      </c>
      <c r="AG157" s="587">
        <f>SUM('IV-2 amsa'!T64)</f>
        <v>42674</v>
      </c>
      <c r="AH157" s="587">
        <f>SUM('IV-2 amsa'!U64)</f>
        <v>42735</v>
      </c>
      <c r="AI157" s="589">
        <f t="shared" si="237"/>
        <v>2016</v>
      </c>
      <c r="AJ157" s="1263">
        <f>SUM('IV-2 amsa'!V64)</f>
        <v>43464</v>
      </c>
      <c r="AK157" s="468">
        <f>IF(YEAR(AH157)=2016,AA157,0)</f>
        <v>757980</v>
      </c>
      <c r="AL157" s="468">
        <f>IF(YEAR(AH157)=2017,AA157,0)</f>
        <v>0</v>
      </c>
      <c r="AM157" s="468">
        <f>IF(YEAR(AH157)=2018,AA157,0)</f>
        <v>0</v>
      </c>
      <c r="AN157" s="468">
        <f>IF(YEAR(AH157)=2019,AA157,0)</f>
        <v>0</v>
      </c>
      <c r="AO157" s="1264">
        <f>IF(YEAR(AH157)=2020,AA157,0)</f>
        <v>0</v>
      </c>
      <c r="AP157" s="592"/>
      <c r="AQ157" s="592"/>
      <c r="AR157" s="88"/>
    </row>
    <row r="158" spans="1:44" ht="39.75" thickTop="1" thickBot="1" x14ac:dyDescent="0.3">
      <c r="A158" s="515" t="s">
        <v>245</v>
      </c>
      <c r="B158" s="515" t="s">
        <v>1652</v>
      </c>
      <c r="C158" s="1262" t="str">
        <f>CONCATENATE('ketv. 2lent'!B156)</f>
        <v>08.1.2-CPVA-R-408-11-0003</v>
      </c>
      <c r="D158" s="515" t="str">
        <f>CONCATENATE('IV-2 dsa'!C66)</f>
        <v>Socialinio būsto fondo plėtra Druskininkų savivaldybėje</v>
      </c>
      <c r="E158" s="515" t="str">
        <f>CONCATENATE('IV-2 dsa'!D66)</f>
        <v>Druskininkų savivaldybės administracija</v>
      </c>
      <c r="F158" s="515" t="str">
        <f>CONCATENATE('IV-2 dsa'!E66)</f>
        <v>Lietuvos Respublikos socialinės apsaugos ir darbo ministerija</v>
      </c>
      <c r="G158" s="515" t="str">
        <f>CONCATENATE('IV-2 dsa'!F66)</f>
        <v>Druskininkų savivaldybė</v>
      </c>
      <c r="H158" s="518" t="str">
        <f>CONCATENATE('IV-2 dsa'!G66)</f>
        <v>08.1.1-CPVA·R-408</v>
      </c>
      <c r="I158" s="518" t="str">
        <f>CONCATENATE('IV-2 dsa'!H66)</f>
        <v>R</v>
      </c>
      <c r="J158" s="518" t="str">
        <f>CONCATENATE('IV-2 dsa'!I66)</f>
        <v>-</v>
      </c>
      <c r="K158" s="518" t="str">
        <f>CONCATENATE('IV-2 dsa'!J66)</f>
        <v>-</v>
      </c>
      <c r="L158" s="516">
        <f>SUM('IV-2 dsa'!K66)</f>
        <v>727473</v>
      </c>
      <c r="M158" s="516">
        <f>SUM('ketv. 6 lent'!K157)</f>
        <v>727472.94</v>
      </c>
      <c r="N158" s="516">
        <f t="shared" si="233"/>
        <v>6.0000000055879354E-2</v>
      </c>
      <c r="O158" s="516">
        <f>SUM('IV-2 dsa'!L66)</f>
        <v>109121</v>
      </c>
      <c r="P158" s="516">
        <f>SUM('ketv. 6 lent'!O157)</f>
        <v>109120.94999999995</v>
      </c>
      <c r="Q158" s="516">
        <f>IF(P158&gt;0,O158-P158,0)</f>
        <v>5.0000000046566129E-2</v>
      </c>
      <c r="R158" s="516">
        <f>SUM('IV-2 dsa'!M66)</f>
        <v>0</v>
      </c>
      <c r="S158" s="516">
        <f>SUM('ketv. 6 lent'!S157)</f>
        <v>0</v>
      </c>
      <c r="T158" s="516">
        <f t="shared" si="234"/>
        <v>0</v>
      </c>
      <c r="U158" s="516">
        <f>SUM('IV-2 dsa'!N66)</f>
        <v>0</v>
      </c>
      <c r="V158" s="516">
        <f>SUM('ketv. 6 lent'!W157)</f>
        <v>0</v>
      </c>
      <c r="W158" s="516">
        <f t="shared" si="235"/>
        <v>0</v>
      </c>
      <c r="X158" s="516">
        <f>SUM('IV-2 dsa'!O66)</f>
        <v>0</v>
      </c>
      <c r="Y158" s="516">
        <f>SUM('ketv. 6 lent'!AA157)</f>
        <v>0</v>
      </c>
      <c r="Z158" s="516">
        <f t="shared" si="236"/>
        <v>0</v>
      </c>
      <c r="AA158" s="516">
        <f>SUM('IV-2 dsa'!P66)</f>
        <v>618352</v>
      </c>
      <c r="AB158" s="468" t="str">
        <f>IF('ketv. 4 lent'!V157&gt;0,"Taip","Ne")</f>
        <v>Taip</v>
      </c>
      <c r="AC158" s="468">
        <f>SUM('ketv. 6 lent'!AE157)</f>
        <v>618351.99</v>
      </c>
      <c r="AD158" s="468">
        <f>IF(AC158&gt;0,AA158-AC158,0)</f>
        <v>1.0000000009313226E-2</v>
      </c>
      <c r="AE158" s="1113">
        <f>SUM('IV-2 dsa'!Q66)</f>
        <v>42401</v>
      </c>
      <c r="AF158" s="587">
        <f>SUM('IV-2 dsa'!R66)</f>
        <v>42490</v>
      </c>
      <c r="AG158" s="587">
        <f>SUM('IV-2 dsa'!S66)</f>
        <v>42674</v>
      </c>
      <c r="AH158" s="587">
        <f>SUM('IV-2 dsa'!T66)</f>
        <v>42735</v>
      </c>
      <c r="AI158" s="589">
        <f t="shared" si="237"/>
        <v>2016</v>
      </c>
      <c r="AJ158" s="1263">
        <f>SUM('IV-2 dsa'!U66)</f>
        <v>43250</v>
      </c>
      <c r="AK158" s="468">
        <f>IF(YEAR(AH158)=2016,AA158,0)</f>
        <v>618352</v>
      </c>
      <c r="AL158" s="468">
        <f>IF(YEAR(AH158)=2017,AA158,0)</f>
        <v>0</v>
      </c>
      <c r="AM158" s="468">
        <f>IF(YEAR(AH158)=2018,AA158,0)</f>
        <v>0</v>
      </c>
      <c r="AN158" s="468">
        <f>IF(YEAR(AH158)=2019,AA158,0)</f>
        <v>0</v>
      </c>
      <c r="AO158" s="1264">
        <f>IF(YEAR(AH158)=2020,AA158,0)</f>
        <v>0</v>
      </c>
      <c r="AP158" s="592"/>
      <c r="AQ158" s="592"/>
      <c r="AR158" s="88"/>
    </row>
    <row r="159" spans="1:44" ht="39.75" thickTop="1" thickBot="1" x14ac:dyDescent="0.3">
      <c r="A159" s="515" t="s">
        <v>297</v>
      </c>
      <c r="B159" s="1490" t="s">
        <v>1653</v>
      </c>
      <c r="C159" s="1262" t="str">
        <f>CONCATENATE('ketv. 2lent'!B157)</f>
        <v>08.1.2-CPVA-R-408-11-0004</v>
      </c>
      <c r="D159" s="1490" t="str">
        <f>CONCATENATE('IV-2 lrsa'!D60)</f>
        <v>Socialinio būsto fondo plėtra Lazdijų rajono savivaldybėje</v>
      </c>
      <c r="E159" s="1490" t="str">
        <f>CONCATENATE('IV-2 lrsa'!E60)</f>
        <v>Lazdijų rajono savivaldybės administracija</v>
      </c>
      <c r="F159" s="1490" t="str">
        <f>CONCATENATE('IV-2 lrsa'!F60)</f>
        <v>Lietuvos Respublikos socialinės apsaugos ir darbo ministerija</v>
      </c>
      <c r="G159" s="1490" t="str">
        <f>CONCATENATE('IV-2 lrsa'!G60)</f>
        <v>Lazdijų rajono savivaldybė</v>
      </c>
      <c r="H159" s="1491" t="str">
        <f>CONCATENATE('IV-2 lrsa'!H60)</f>
        <v>08.1.1-CPVA·R-408</v>
      </c>
      <c r="I159" s="1491" t="str">
        <f>CONCATENATE('IV-2 lrsa'!I60)</f>
        <v>R</v>
      </c>
      <c r="J159" s="1491" t="str">
        <f>CONCATENATE('IV-2 lrsa'!J60)</f>
        <v>-</v>
      </c>
      <c r="K159" s="1491" t="str">
        <f>CONCATENATE('IV-2 lrsa'!K60)</f>
        <v>-</v>
      </c>
      <c r="L159" s="516">
        <f>SUM('IV-2 lrsa'!L60)</f>
        <v>368599</v>
      </c>
      <c r="M159" s="516">
        <f>SUM('ketv. 6 lent'!K158)</f>
        <v>368599</v>
      </c>
      <c r="N159" s="516">
        <f t="shared" si="233"/>
        <v>0</v>
      </c>
      <c r="O159" s="516">
        <f>SUM('IV-2 lrsa'!M60)</f>
        <v>55587</v>
      </c>
      <c r="P159" s="516">
        <f>SUM('ketv. 6 lent'!O158)</f>
        <v>55587</v>
      </c>
      <c r="Q159" s="516">
        <f>IF(P159&gt;0,O159-P159,0)</f>
        <v>0</v>
      </c>
      <c r="R159" s="516">
        <f>SUM('IV-2 lrsa'!N60)</f>
        <v>0</v>
      </c>
      <c r="S159" s="516">
        <f>SUM('ketv. 6 lent'!S158)</f>
        <v>0</v>
      </c>
      <c r="T159" s="516">
        <f t="shared" si="234"/>
        <v>0</v>
      </c>
      <c r="U159" s="516">
        <f>SUM('IV-2 lrsa'!O60)</f>
        <v>0</v>
      </c>
      <c r="V159" s="516">
        <f>SUM('ketv. 6 lent'!W158)</f>
        <v>0</v>
      </c>
      <c r="W159" s="516">
        <f t="shared" si="235"/>
        <v>0</v>
      </c>
      <c r="X159" s="516">
        <f>SUM('IV-2 lrsa'!P60)</f>
        <v>0</v>
      </c>
      <c r="Y159" s="516">
        <f>SUM('ketv. 6 lent'!AA158)</f>
        <v>0</v>
      </c>
      <c r="Z159" s="516">
        <f t="shared" si="236"/>
        <v>0</v>
      </c>
      <c r="AA159" s="516">
        <f>SUM('IV-2 lrsa'!Q60)</f>
        <v>313012</v>
      </c>
      <c r="AB159" s="468" t="str">
        <f>IF('ketv. 4 lent'!V158&gt;0,"Taip","Ne")</f>
        <v>Taip</v>
      </c>
      <c r="AC159" s="468">
        <f>SUM('ketv. 6 lent'!AE158)</f>
        <v>313012</v>
      </c>
      <c r="AD159" s="468">
        <f>IF(AC159&gt;0,AA159-AC159,0)</f>
        <v>0</v>
      </c>
      <c r="AE159" s="1113">
        <f>SUM('IV-2 lrsa'!R60)</f>
        <v>42401</v>
      </c>
      <c r="AF159" s="587">
        <f>SUM('IV-2 lrsa'!S60)</f>
        <v>42490</v>
      </c>
      <c r="AG159" s="587">
        <f>SUM('IV-2 lrsa'!T60)</f>
        <v>42674</v>
      </c>
      <c r="AH159" s="587">
        <f>SUM('IV-2 lrsa'!U60)</f>
        <v>42735</v>
      </c>
      <c r="AI159" s="589">
        <f t="shared" si="237"/>
        <v>2016</v>
      </c>
      <c r="AJ159" s="1263">
        <f>SUM('IV-2 lrsa'!V60)</f>
        <v>43554</v>
      </c>
      <c r="AK159" s="468">
        <f>IF(YEAR(AH159)=2016,AA159,0)</f>
        <v>313012</v>
      </c>
      <c r="AL159" s="468">
        <f>IF(YEAR(AH159)=2017,AA159,0)</f>
        <v>0</v>
      </c>
      <c r="AM159" s="468">
        <f>IF(YEAR(AH159)=2018,AA159,0)</f>
        <v>0</v>
      </c>
      <c r="AN159" s="468">
        <f>IF(YEAR(AH159)=2019,AA159,0)</f>
        <v>0</v>
      </c>
      <c r="AO159" s="1264">
        <f>IF(YEAR(AH159)=2020,AA159,0)</f>
        <v>0</v>
      </c>
      <c r="AP159" s="88"/>
      <c r="AQ159" s="88"/>
      <c r="AR159" s="88"/>
    </row>
    <row r="160" spans="1:44" ht="38.25" customHeight="1" thickBot="1" x14ac:dyDescent="0.3">
      <c r="A160" s="1489" t="s">
        <v>38</v>
      </c>
      <c r="B160" s="1615" t="s">
        <v>1795</v>
      </c>
      <c r="C160" s="1616"/>
      <c r="D160" s="1616"/>
      <c r="E160" s="1616"/>
      <c r="F160" s="1616"/>
      <c r="G160" s="1616"/>
      <c r="H160" s="1616"/>
      <c r="I160" s="1616"/>
      <c r="J160" s="1616"/>
      <c r="K160" s="1617"/>
      <c r="L160" s="203">
        <f>SUM(L161)</f>
        <v>1144134.52</v>
      </c>
      <c r="M160" s="203"/>
      <c r="N160" s="203"/>
      <c r="O160" s="203">
        <f t="shared" ref="O160:AA160" si="238">SUM(O161)</f>
        <v>171620.03</v>
      </c>
      <c r="P160" s="203"/>
      <c r="Q160" s="203"/>
      <c r="R160" s="203">
        <f t="shared" si="238"/>
        <v>0</v>
      </c>
      <c r="S160" s="203"/>
      <c r="T160" s="203"/>
      <c r="U160" s="203">
        <f t="shared" si="238"/>
        <v>0</v>
      </c>
      <c r="V160" s="203"/>
      <c r="W160" s="203"/>
      <c r="X160" s="203">
        <f t="shared" si="238"/>
        <v>0</v>
      </c>
      <c r="Y160" s="203"/>
      <c r="Z160" s="203"/>
      <c r="AA160" s="203">
        <f t="shared" si="238"/>
        <v>972514.49</v>
      </c>
      <c r="AB160" s="203"/>
      <c r="AC160" s="203"/>
      <c r="AD160" s="203"/>
      <c r="AE160" s="203"/>
      <c r="AF160" s="1305"/>
      <c r="AG160" s="1305"/>
      <c r="AH160" s="1305"/>
      <c r="AI160" s="1306"/>
      <c r="AJ160" s="1307"/>
      <c r="AK160" s="468"/>
      <c r="AL160" s="1252"/>
      <c r="AM160" s="1252"/>
      <c r="AN160" s="1252"/>
      <c r="AO160" s="1252"/>
      <c r="AP160" s="88">
        <f>SUM(AP161)</f>
        <v>982761</v>
      </c>
      <c r="AQ160" s="88">
        <f>SUM(AQ161)</f>
        <v>1179313.2</v>
      </c>
      <c r="AR160" s="88">
        <f>SUM(AR161)</f>
        <v>10246.510000000009</v>
      </c>
    </row>
    <row r="161" spans="1:48" ht="32.25" customHeight="1" thickBot="1" x14ac:dyDescent="0.3">
      <c r="A161" s="1257" t="s">
        <v>109</v>
      </c>
      <c r="B161" s="1621" t="s">
        <v>1796</v>
      </c>
      <c r="C161" s="1619"/>
      <c r="D161" s="1619"/>
      <c r="E161" s="1619"/>
      <c r="F161" s="1619"/>
      <c r="G161" s="1619"/>
      <c r="H161" s="1619"/>
      <c r="I161" s="1619"/>
      <c r="J161" s="1619"/>
      <c r="K161" s="1620"/>
      <c r="L161" s="1258">
        <f>SUM(L162:L167)</f>
        <v>1144134.52</v>
      </c>
      <c r="M161" s="1258">
        <f>SUM(M162:M166)</f>
        <v>172733.52</v>
      </c>
      <c r="N161" s="1258">
        <f>SUM(N162:N166)</f>
        <v>0</v>
      </c>
      <c r="O161" s="1258">
        <f>SUM(O162:O167)</f>
        <v>171620.03</v>
      </c>
      <c r="P161" s="1258">
        <f>SUM(P162:P166)</f>
        <v>25910.03</v>
      </c>
      <c r="Q161" s="1258">
        <f>SUM(Q162:Q166)</f>
        <v>0</v>
      </c>
      <c r="R161" s="1258">
        <f>SUM(R162:R167)</f>
        <v>0</v>
      </c>
      <c r="S161" s="1258">
        <f>SUM(S162:S166)</f>
        <v>0</v>
      </c>
      <c r="T161" s="1258">
        <f>SUM(T162:T166)</f>
        <v>0</v>
      </c>
      <c r="U161" s="1258">
        <f>SUM(U162:U167)</f>
        <v>0</v>
      </c>
      <c r="V161" s="1258">
        <f>SUM(V162:V166)</f>
        <v>0</v>
      </c>
      <c r="W161" s="1258">
        <f>SUM(W162:W166)</f>
        <v>0</v>
      </c>
      <c r="X161" s="1258">
        <f>SUM(X162:X167)</f>
        <v>0</v>
      </c>
      <c r="Y161" s="1258">
        <f>SUM(Y162:Y166)</f>
        <v>0</v>
      </c>
      <c r="Z161" s="1258">
        <f>SUM(Z162:Z166)</f>
        <v>0</v>
      </c>
      <c r="AA161" s="1258">
        <f>SUM(AA162:AA167)</f>
        <v>972514.49</v>
      </c>
      <c r="AB161" s="1270"/>
      <c r="AC161" s="1270">
        <f>SUM(AC162:AC166)</f>
        <v>146823.49</v>
      </c>
      <c r="AD161" s="1270">
        <f>SUM(AD162:AD166)</f>
        <v>0</v>
      </c>
      <c r="AE161" s="1270"/>
      <c r="AF161" s="1271"/>
      <c r="AG161" s="1271"/>
      <c r="AH161" s="1271"/>
      <c r="AI161" s="1272"/>
      <c r="AJ161" s="1273"/>
      <c r="AK161" s="468">
        <f>SUM(AK162:AK167)</f>
        <v>0</v>
      </c>
      <c r="AL161" s="468">
        <f t="shared" ref="AL161:AO161" si="239">SUM(AL162:AL167)</f>
        <v>146823.49</v>
      </c>
      <c r="AM161" s="468">
        <f t="shared" si="239"/>
        <v>655691</v>
      </c>
      <c r="AN161" s="468">
        <f t="shared" si="239"/>
        <v>170000</v>
      </c>
      <c r="AO161" s="468">
        <f t="shared" si="239"/>
        <v>0</v>
      </c>
      <c r="AP161" s="88">
        <f>SUM('IV-2 amsa'!W66+'IV-2 arsa'!V63+'IV-2 dsa'!V68+'IV-2 lrsa'!W62+'IV-2 vrsa'!W69)</f>
        <v>982761</v>
      </c>
      <c r="AQ161" s="88">
        <f>SUM(AP161*120/100)</f>
        <v>1179313.2</v>
      </c>
      <c r="AR161" s="88">
        <f>SUM(AP161-AA161)</f>
        <v>10246.510000000009</v>
      </c>
    </row>
    <row r="162" spans="1:48" ht="39.75" thickTop="1" thickBot="1" x14ac:dyDescent="0.3">
      <c r="A162" s="515" t="s">
        <v>110</v>
      </c>
      <c r="B162" s="515" t="s">
        <v>1654</v>
      </c>
      <c r="C162" s="1262" t="str">
        <f>CONCATENATE('ketv. 2lent'!B160)</f>
        <v>10.1.3-ESFA-R-920-11-0001</v>
      </c>
      <c r="D162" s="515" t="str">
        <f>CONCATENATE('IV-2 vrsa'!D70)</f>
        <v>Paslaugų teikimo ir asmenų aptarnavimo kokybės gerinimas Varėnos rajono savivaldybėje</v>
      </c>
      <c r="E162" s="515" t="str">
        <f>CONCATENATE('IV-2 vrsa'!E70)</f>
        <v>Varėnos rajono savivaldybės administracija</v>
      </c>
      <c r="F162" s="515" t="str">
        <f>CONCATENATE('IV-2 vrsa'!F70)</f>
        <v>Lietuvos Respublikos vidaus reikalų ministerija</v>
      </c>
      <c r="G162" s="515" t="str">
        <f>CONCATENATE('IV-2 vrsa'!G70)</f>
        <v>Varėnos miestas</v>
      </c>
      <c r="H162" s="518" t="str">
        <f>CONCATENATE('IV-2 vrsa'!H70)</f>
        <v>10.1.3-ESFA-R-920</v>
      </c>
      <c r="I162" s="518" t="str">
        <f>CONCATENATE('IV-2 vrsa'!I70)</f>
        <v>R</v>
      </c>
      <c r="J162" s="518" t="str">
        <f>CONCATENATE('IV-2 vrsa'!J70)</f>
        <v>-</v>
      </c>
      <c r="K162" s="518" t="str">
        <f>CONCATENATE('IV-2 vrsa'!K70)</f>
        <v>-</v>
      </c>
      <c r="L162" s="516">
        <f>SUM('IV-2 vrsa'!L70)</f>
        <v>172733.52</v>
      </c>
      <c r="M162" s="516">
        <f>SUM('ketv. 6 lent'!K161)</f>
        <v>172733.52</v>
      </c>
      <c r="N162" s="516">
        <f t="shared" ref="N162:N166" si="240">IF(M162&gt;0,L162-M162,0)</f>
        <v>0</v>
      </c>
      <c r="O162" s="516">
        <f>SUM('IV-2 vrsa'!M70)</f>
        <v>25910.03</v>
      </c>
      <c r="P162" s="516">
        <f>SUM('ketv. 6 lent'!O161)</f>
        <v>25910.03</v>
      </c>
      <c r="Q162" s="516">
        <f t="shared" ref="Q162:Q166" si="241">IF(P162&gt;0,O162-P162,0)</f>
        <v>0</v>
      </c>
      <c r="R162" s="516">
        <f>SUM('IV-2 vrsa'!N70)</f>
        <v>0</v>
      </c>
      <c r="S162" s="516">
        <f>SUM('ketv. 6 lent'!S161)</f>
        <v>0</v>
      </c>
      <c r="T162" s="516">
        <f t="shared" ref="T162:T166" si="242">IF(S162&gt;0,R162-S162,0)</f>
        <v>0</v>
      </c>
      <c r="U162" s="516">
        <f>SUM('IV-2 vrsa'!O70)</f>
        <v>0</v>
      </c>
      <c r="V162" s="516">
        <f>SUM('ketv. 6 lent'!W161)</f>
        <v>0</v>
      </c>
      <c r="W162" s="516">
        <f t="shared" ref="W162:W166" si="243">IF(V162&gt;0,U162-V162,0)</f>
        <v>0</v>
      </c>
      <c r="X162" s="516">
        <f>SUM('IV-2 vrsa'!P70)</f>
        <v>0</v>
      </c>
      <c r="Y162" s="516">
        <f>SUM('ketv. 6 lent'!AA161)</f>
        <v>0</v>
      </c>
      <c r="Z162" s="516">
        <f t="shared" ref="Z162:Z166" si="244">IF(Y162&gt;0,X162-Y162,0)</f>
        <v>0</v>
      </c>
      <c r="AA162" s="516">
        <f>SUM('IV-2 vrsa'!Q70)</f>
        <v>146823.49</v>
      </c>
      <c r="AB162" s="468" t="str">
        <f>IF('ketv. 4 lent'!V161&gt;0,"Taip","Ne")</f>
        <v>Taip</v>
      </c>
      <c r="AC162" s="468">
        <f>SUM('ketv. 6 lent'!AE161)</f>
        <v>146823.49</v>
      </c>
      <c r="AD162" s="468">
        <f t="shared" ref="AD162:AD167" si="245">IF(AC162&gt;0,AA162-AC162,0)</f>
        <v>0</v>
      </c>
      <c r="AE162" s="1113">
        <f>SUM('IV-2 vrsa'!R70)</f>
        <v>43017</v>
      </c>
      <c r="AF162" s="587">
        <f>SUM('IV-2 vrsa'!S70)</f>
        <v>42992</v>
      </c>
      <c r="AG162" s="587">
        <f>SUM('IV-2 vrsa'!T70)</f>
        <v>43039</v>
      </c>
      <c r="AH162" s="587">
        <f>SUM('IV-2 vrsa'!U70)</f>
        <v>43100</v>
      </c>
      <c r="AI162" s="589">
        <f t="shared" ref="AI162:AI167" si="246">IF(YEAR(AH162),YEAR(AH162))</f>
        <v>2017</v>
      </c>
      <c r="AJ162" s="1263">
        <f>SUM('IV-2 vrsa'!V70)</f>
        <v>43830</v>
      </c>
      <c r="AK162" s="468">
        <f t="shared" ref="AK162:AK167" si="247">IF(YEAR(AH162)=2016,AA162,0)</f>
        <v>0</v>
      </c>
      <c r="AL162" s="468">
        <f t="shared" ref="AL162:AL167" si="248">IF(YEAR(AH162)=2017,AA162,0)</f>
        <v>146823.49</v>
      </c>
      <c r="AM162" s="468">
        <f t="shared" ref="AM162:AM167" si="249">IF(YEAR(AH162)=2018,AA162,0)</f>
        <v>0</v>
      </c>
      <c r="AN162" s="468">
        <f t="shared" ref="AN162:AN167" si="250">IF(YEAR(AH162)=2019,AA162,0)</f>
        <v>0</v>
      </c>
      <c r="AO162" s="1264">
        <f t="shared" ref="AO162:AO167" si="251">IF(YEAR(AH162)=2020,AA162,0)</f>
        <v>0</v>
      </c>
      <c r="AP162" s="88"/>
      <c r="AQ162" s="88"/>
      <c r="AR162" s="88"/>
    </row>
    <row r="163" spans="1:48" ht="39.75" thickTop="1" thickBot="1" x14ac:dyDescent="0.3">
      <c r="A163" s="515" t="s">
        <v>213</v>
      </c>
      <c r="B163" s="515" t="s">
        <v>1655</v>
      </c>
      <c r="C163" s="1262" t="str">
        <f>CONCATENATE('ketv. 2lent'!B161)</f>
        <v/>
      </c>
      <c r="D163" s="515" t="str">
        <f>CONCATENATE('IV-2 arsa'!C64)</f>
        <v>Paslaugų ir asmenų aptarnavimo kokybės gerinimas Alytaus rajono savivaldybėje</v>
      </c>
      <c r="E163" s="515" t="str">
        <f>CONCATENATE('IV-2 arsa'!D64)</f>
        <v>Alytaus rajono savivaldybės administracija</v>
      </c>
      <c r="F163" s="515" t="str">
        <f>CONCATENATE('IV-2 arsa'!E64)</f>
        <v>Lietuvos Respublikos vidaus reikalų ministerija</v>
      </c>
      <c r="G163" s="515" t="str">
        <f>CONCATENATE('IV-2 arsa'!F64)</f>
        <v>Alytaus  rajono savivaldybė</v>
      </c>
      <c r="H163" s="518" t="str">
        <f>CONCATENATE('IV-2 arsa'!G64)</f>
        <v>10.1.3-ESFA-R-920</v>
      </c>
      <c r="I163" s="518" t="str">
        <f>CONCATENATE('IV-2 arsa'!H64)</f>
        <v>R</v>
      </c>
      <c r="J163" s="518" t="str">
        <f>CONCATENATE('IV-2 arsa'!I64)</f>
        <v>-</v>
      </c>
      <c r="K163" s="518" t="str">
        <f>CONCATENATE('IV-2 arsa'!J64)</f>
        <v>-</v>
      </c>
      <c r="L163" s="516">
        <f>SUM('IV-2 arsa'!K64)</f>
        <v>210999</v>
      </c>
      <c r="M163" s="516">
        <f>SUM('ketv. 6 lent'!K162)</f>
        <v>0</v>
      </c>
      <c r="N163" s="516">
        <f t="shared" si="240"/>
        <v>0</v>
      </c>
      <c r="O163" s="516">
        <f>SUM('IV-2 arsa'!L64)</f>
        <v>31650</v>
      </c>
      <c r="P163" s="516">
        <f>SUM('ketv. 6 lent'!O162)</f>
        <v>0</v>
      </c>
      <c r="Q163" s="516">
        <f t="shared" si="241"/>
        <v>0</v>
      </c>
      <c r="R163" s="516">
        <f>SUM('IV-2 arsa'!M64)</f>
        <v>0</v>
      </c>
      <c r="S163" s="516">
        <f>SUM('ketv. 6 lent'!S162)</f>
        <v>0</v>
      </c>
      <c r="T163" s="516">
        <f t="shared" si="242"/>
        <v>0</v>
      </c>
      <c r="U163" s="516">
        <f>SUM('IV-2 arsa'!N64)</f>
        <v>0</v>
      </c>
      <c r="V163" s="516">
        <f>SUM('ketv. 6 lent'!W162)</f>
        <v>0</v>
      </c>
      <c r="W163" s="516">
        <f t="shared" si="243"/>
        <v>0</v>
      </c>
      <c r="X163" s="516">
        <f>SUM('IV-2 arsa'!O64)</f>
        <v>0</v>
      </c>
      <c r="Y163" s="516">
        <f>SUM('ketv. 6 lent'!AA162)</f>
        <v>0</v>
      </c>
      <c r="Z163" s="516">
        <f t="shared" si="244"/>
        <v>0</v>
      </c>
      <c r="AA163" s="516">
        <f>SUM('IV-2 arsa'!P64)</f>
        <v>179349</v>
      </c>
      <c r="AB163" s="468" t="str">
        <f>IF('ketv. 4 lent'!V162&gt;0,"Taip","Ne")</f>
        <v>Ne</v>
      </c>
      <c r="AC163" s="468">
        <f>SUM('ketv. 6 lent'!AE162)</f>
        <v>0</v>
      </c>
      <c r="AD163" s="468">
        <f t="shared" si="245"/>
        <v>0</v>
      </c>
      <c r="AE163" s="1113">
        <f>SUM('IV-2 arsa'!Q64)</f>
        <v>43017</v>
      </c>
      <c r="AF163" s="587">
        <f>SUM('IV-2 arsa'!R64)</f>
        <v>43100</v>
      </c>
      <c r="AG163" s="587">
        <f>SUM('IV-2 arsa'!S64)</f>
        <v>43131</v>
      </c>
      <c r="AH163" s="587">
        <f>SUM('IV-2 arsa'!T64)</f>
        <v>43190</v>
      </c>
      <c r="AI163" s="589">
        <f t="shared" si="246"/>
        <v>2018</v>
      </c>
      <c r="AJ163" s="1263">
        <f>SUM('IV-2 arsa'!U64)</f>
        <v>44561</v>
      </c>
      <c r="AK163" s="468">
        <f t="shared" si="247"/>
        <v>0</v>
      </c>
      <c r="AL163" s="468">
        <f t="shared" si="248"/>
        <v>0</v>
      </c>
      <c r="AM163" s="468">
        <f t="shared" si="249"/>
        <v>179349</v>
      </c>
      <c r="AN163" s="468">
        <f t="shared" si="250"/>
        <v>0</v>
      </c>
      <c r="AO163" s="1264">
        <f t="shared" si="251"/>
        <v>0</v>
      </c>
      <c r="AP163" s="592"/>
      <c r="AQ163" s="88"/>
      <c r="AR163" s="88"/>
    </row>
    <row r="164" spans="1:48" ht="39.75" thickTop="1" thickBot="1" x14ac:dyDescent="0.3">
      <c r="A164" s="515" t="s">
        <v>215</v>
      </c>
      <c r="B164" s="515" t="s">
        <v>1656</v>
      </c>
      <c r="C164" s="1262" t="str">
        <f>CONCATENATE('ketv. 2lent'!B162)</f>
        <v>10.1.3-ESFA-R-920-11-0003</v>
      </c>
      <c r="D164" s="515" t="str">
        <f>CONCATENATE('IV-2 lrsa'!D63)</f>
        <v>Lazdijų rajono savivaldybės administracijos ir jos viešojo valdymo institucijų teikiamų paslaugų procesų tobulinimas</v>
      </c>
      <c r="E164" s="515" t="str">
        <f>CONCATENATE('IV-2 lrsa'!E63)</f>
        <v>Lazdijų rajono savivaldybės administracija</v>
      </c>
      <c r="F164" s="515" t="str">
        <f>CONCATENATE('IV-2 lrsa'!F63)</f>
        <v>Lietuvos Respublikos vidaus reikalų ministerija</v>
      </c>
      <c r="G164" s="515" t="str">
        <f>CONCATENATE('IV-2 lrsa'!G63)</f>
        <v>Lazdijų rajono savivaldybė</v>
      </c>
      <c r="H164" s="518" t="str">
        <f>CONCATENATE('IV-2 lrsa'!H63)</f>
        <v>10.1.3-ESFA-R-920</v>
      </c>
      <c r="I164" s="518" t="str">
        <f>CONCATENATE('IV-2 lrsa'!I63)</f>
        <v>R</v>
      </c>
      <c r="J164" s="518" t="str">
        <f>CONCATENATE('IV-2 lrsa'!J63)</f>
        <v>-</v>
      </c>
      <c r="K164" s="518" t="str">
        <f>CONCATENATE('IV-2 lrsa'!K63)</f>
        <v>-</v>
      </c>
      <c r="L164" s="516">
        <f>SUM('IV-2 lrsa'!L63)</f>
        <v>163987</v>
      </c>
      <c r="M164" s="516">
        <f>SUM('ketv. 6 lent'!K163)</f>
        <v>0</v>
      </c>
      <c r="N164" s="516">
        <f t="shared" si="240"/>
        <v>0</v>
      </c>
      <c r="O164" s="516">
        <f>SUM('IV-2 lrsa'!M63)</f>
        <v>24598</v>
      </c>
      <c r="P164" s="516">
        <f>SUM('ketv. 6 lent'!O163)</f>
        <v>0</v>
      </c>
      <c r="Q164" s="516">
        <f t="shared" si="241"/>
        <v>0</v>
      </c>
      <c r="R164" s="516">
        <f>SUM('IV-2 lrsa'!N63)</f>
        <v>0</v>
      </c>
      <c r="S164" s="516">
        <f>SUM('ketv. 6 lent'!S163)</f>
        <v>0</v>
      </c>
      <c r="T164" s="516">
        <f t="shared" si="242"/>
        <v>0</v>
      </c>
      <c r="U164" s="516">
        <f>SUM('IV-2 lrsa'!O63)</f>
        <v>0</v>
      </c>
      <c r="V164" s="516">
        <f>SUM('ketv. 6 lent'!W163)</f>
        <v>0</v>
      </c>
      <c r="W164" s="516">
        <f t="shared" si="243"/>
        <v>0</v>
      </c>
      <c r="X164" s="516">
        <f>SUM('IV-2 lrsa'!P63)</f>
        <v>0</v>
      </c>
      <c r="Y164" s="516">
        <f>SUM('ketv. 6 lent'!AA163)</f>
        <v>0</v>
      </c>
      <c r="Z164" s="516">
        <f t="shared" si="244"/>
        <v>0</v>
      </c>
      <c r="AA164" s="516">
        <f>SUM('IV-2 lrsa'!Q63)</f>
        <v>139389</v>
      </c>
      <c r="AB164" s="468" t="str">
        <f>IF('ketv. 4 lent'!V163&gt;0,"Taip","Ne")</f>
        <v>Ne</v>
      </c>
      <c r="AC164" s="468">
        <f>SUM('ketv. 6 lent'!AE163)</f>
        <v>0</v>
      </c>
      <c r="AD164" s="468">
        <f t="shared" si="245"/>
        <v>0</v>
      </c>
      <c r="AE164" s="1113">
        <f>SUM('IV-2 lrsa'!R63)</f>
        <v>43017</v>
      </c>
      <c r="AF164" s="587">
        <f>SUM('IV-2 lrsa'!S63)</f>
        <v>43039</v>
      </c>
      <c r="AG164" s="587">
        <f>SUM('IV-2 lrsa'!T63)</f>
        <v>43063</v>
      </c>
      <c r="AH164" s="587">
        <f>SUM('IV-2 lrsa'!U63)</f>
        <v>43131</v>
      </c>
      <c r="AI164" s="589">
        <f t="shared" si="246"/>
        <v>2018</v>
      </c>
      <c r="AJ164" s="1263">
        <f>SUM('IV-2 lrsa'!V63)</f>
        <v>44196</v>
      </c>
      <c r="AK164" s="468">
        <f t="shared" si="247"/>
        <v>0</v>
      </c>
      <c r="AL164" s="468">
        <f t="shared" si="248"/>
        <v>0</v>
      </c>
      <c r="AM164" s="468">
        <f t="shared" si="249"/>
        <v>139389</v>
      </c>
      <c r="AN164" s="468">
        <f t="shared" si="250"/>
        <v>0</v>
      </c>
      <c r="AO164" s="1264">
        <f t="shared" si="251"/>
        <v>0</v>
      </c>
      <c r="AP164" s="88"/>
      <c r="AQ164" s="88"/>
      <c r="AR164" s="88"/>
    </row>
    <row r="165" spans="1:48" ht="52.5" thickTop="1" thickBot="1" x14ac:dyDescent="0.3">
      <c r="A165" s="515" t="s">
        <v>224</v>
      </c>
      <c r="B165" s="515" t="s">
        <v>1657</v>
      </c>
      <c r="C165" s="1262" t="str">
        <f>CONCATENATE('ketv. 2lent'!B163)</f>
        <v/>
      </c>
      <c r="D165" s="515" t="str">
        <f>CONCATENATE('IV-2 amsa'!D67)</f>
        <v>Teikiamų paslaugų procesų tobulinimas ir asmenų aptarnavimo kokybės gerinimas Alytaus miesto savivaldybės administracijoje ir jai pavaldžiose įstaigose. I etapas</v>
      </c>
      <c r="E165" s="515" t="str">
        <f>CONCATENATE('IV-2 amsa'!E67)</f>
        <v>Alytaus miesto savivaldybės administracija</v>
      </c>
      <c r="F165" s="515" t="str">
        <f>CONCATENATE('IV-2 amsa'!F67)</f>
        <v>Lietuvos Respublikos vidaus reikalų ministerija</v>
      </c>
      <c r="G165" s="515" t="str">
        <f>CONCATENATE('IV-2 amsa'!G67)</f>
        <v>Alytaus miestas</v>
      </c>
      <c r="H165" s="518" t="str">
        <f>CONCATENATE('IV-2 amsa'!H67)</f>
        <v>10.1.3-ESFA-R-920</v>
      </c>
      <c r="I165" s="518" t="str">
        <f>CONCATENATE('IV-2 amsa'!I67)</f>
        <v>R</v>
      </c>
      <c r="J165" s="518" t="str">
        <f>CONCATENATE('IV-2 amsa'!J67)</f>
        <v>-</v>
      </c>
      <c r="K165" s="518" t="str">
        <f>CONCATENATE('IV-2 amsa'!K67)</f>
        <v>-</v>
      </c>
      <c r="L165" s="516">
        <f>SUM('IV-2 amsa'!L67)</f>
        <v>234827</v>
      </c>
      <c r="M165" s="516">
        <f>SUM('ketv. 6 lent'!K164)</f>
        <v>0</v>
      </c>
      <c r="N165" s="516">
        <f t="shared" ref="N165" si="252">IF(M165&gt;0,L165-M165,0)</f>
        <v>0</v>
      </c>
      <c r="O165" s="516">
        <f>SUM('IV-2 amsa'!M67)</f>
        <v>35224</v>
      </c>
      <c r="P165" s="516">
        <f>SUM('ketv. 6 lent'!O164)</f>
        <v>0</v>
      </c>
      <c r="Q165" s="516">
        <f t="shared" si="241"/>
        <v>0</v>
      </c>
      <c r="R165" s="516">
        <f>SUM('IV-2 amsa'!N67)</f>
        <v>0</v>
      </c>
      <c r="S165" s="516">
        <f>SUM('ketv. 6 lent'!S164)</f>
        <v>0</v>
      </c>
      <c r="T165" s="516">
        <f t="shared" si="242"/>
        <v>0</v>
      </c>
      <c r="U165" s="516">
        <f>SUM('IV-2 amsa'!O67)</f>
        <v>0</v>
      </c>
      <c r="V165" s="516">
        <f>SUM('ketv. 6 lent'!W164)</f>
        <v>0</v>
      </c>
      <c r="W165" s="516">
        <f t="shared" si="243"/>
        <v>0</v>
      </c>
      <c r="X165" s="516">
        <f>SUM('IV-2 amsa'!P67)</f>
        <v>0</v>
      </c>
      <c r="Y165" s="516">
        <f>SUM('ketv. 6 lent'!AA164)</f>
        <v>0</v>
      </c>
      <c r="Z165" s="516">
        <f t="shared" si="244"/>
        <v>0</v>
      </c>
      <c r="AA165" s="516">
        <f>SUM('IV-2 amsa'!Q67)</f>
        <v>199603</v>
      </c>
      <c r="AB165" s="468" t="str">
        <f>IF('ketv. 4 lent'!V164&gt;0,"Taip","Ne")</f>
        <v>Ne</v>
      </c>
      <c r="AC165" s="468">
        <f>SUM('ketv. 6 lent'!AE164)</f>
        <v>0</v>
      </c>
      <c r="AD165" s="468">
        <f t="shared" si="245"/>
        <v>0</v>
      </c>
      <c r="AE165" s="1113">
        <f>SUM('IV-2 amsa'!R67)</f>
        <v>43017</v>
      </c>
      <c r="AF165" s="587">
        <f>SUM('IV-2 amsa'!S67)</f>
        <v>43100</v>
      </c>
      <c r="AG165" s="587">
        <f>SUM('IV-2 amsa'!T67)</f>
        <v>43159</v>
      </c>
      <c r="AH165" s="587">
        <f>SUM('IV-2 amsa'!U67)</f>
        <v>43220</v>
      </c>
      <c r="AI165" s="589">
        <f t="shared" si="246"/>
        <v>2018</v>
      </c>
      <c r="AJ165" s="1263">
        <f>SUM('IV-2 amsa'!V67)</f>
        <v>43830</v>
      </c>
      <c r="AK165" s="468">
        <f t="shared" si="247"/>
        <v>0</v>
      </c>
      <c r="AL165" s="468">
        <f t="shared" si="248"/>
        <v>0</v>
      </c>
      <c r="AM165" s="468">
        <f t="shared" si="249"/>
        <v>199603</v>
      </c>
      <c r="AN165" s="468">
        <f t="shared" si="250"/>
        <v>0</v>
      </c>
      <c r="AO165" s="1264">
        <f t="shared" si="251"/>
        <v>0</v>
      </c>
      <c r="AP165" s="592"/>
      <c r="AQ165" s="88"/>
      <c r="AR165" s="88"/>
    </row>
    <row r="166" spans="1:48" ht="39.75" thickTop="1" thickBot="1" x14ac:dyDescent="0.3">
      <c r="A166" s="515" t="s">
        <v>247</v>
      </c>
      <c r="B166" s="515" t="s">
        <v>1658</v>
      </c>
      <c r="C166" s="1262" t="str">
        <f>CONCATENATE('ketv. 2lent'!B164)</f>
        <v/>
      </c>
      <c r="D166" s="515" t="str">
        <f>CONCATENATE('IV-2 dsa'!C69)</f>
        <v>Paslaugų teikimo ir asmenų aptarnavimo kokybės gerinimas Druskininkų savivaldybėje</v>
      </c>
      <c r="E166" s="515" t="str">
        <f>CONCATENATE('IV-2 dsa'!D69)</f>
        <v>Druskininkų savivaldybės administracija</v>
      </c>
      <c r="F166" s="515" t="str">
        <f>CONCATENATE('IV-2 dsa'!E69)</f>
        <v>Lietuvos Respublikos vidaus reikalų ministerija</v>
      </c>
      <c r="G166" s="515" t="str">
        <f>CONCATENATE('IV-2 dsa'!F69)</f>
        <v>Druskininkų savivaldybė</v>
      </c>
      <c r="H166" s="518" t="str">
        <f>CONCATENATE('IV-2 dsa'!G69)</f>
        <v>10.1.3-ESFA-R-920</v>
      </c>
      <c r="I166" s="518" t="str">
        <f>CONCATENATE('IV-2 dsa'!H69)</f>
        <v>R</v>
      </c>
      <c r="J166" s="518" t="str">
        <f>CONCATENATE('IV-2 dsa'!I69)</f>
        <v>-</v>
      </c>
      <c r="K166" s="518" t="str">
        <f>CONCATENATE('IV-2 dsa'!J69)</f>
        <v>-</v>
      </c>
      <c r="L166" s="516">
        <f>SUM('IV-2 dsa'!K69)</f>
        <v>161588</v>
      </c>
      <c r="M166" s="516">
        <f>SUM('ketv. 6 lent'!K165)</f>
        <v>0</v>
      </c>
      <c r="N166" s="516">
        <f t="shared" si="240"/>
        <v>0</v>
      </c>
      <c r="O166" s="516">
        <f>SUM('IV-2 dsa'!L69)</f>
        <v>24238</v>
      </c>
      <c r="P166" s="516">
        <f>SUM('ketv. 6 lent'!O165)</f>
        <v>0</v>
      </c>
      <c r="Q166" s="516">
        <f t="shared" si="241"/>
        <v>0</v>
      </c>
      <c r="R166" s="516">
        <f>SUM('IV-2 dsa'!M69)</f>
        <v>0</v>
      </c>
      <c r="S166" s="516">
        <f>SUM('ketv. 6 lent'!S165)</f>
        <v>0</v>
      </c>
      <c r="T166" s="516">
        <f t="shared" si="242"/>
        <v>0</v>
      </c>
      <c r="U166" s="516">
        <f>SUM('IV-2 dsa'!N69)</f>
        <v>0</v>
      </c>
      <c r="V166" s="516">
        <f>SUM('ketv. 6 lent'!W165)</f>
        <v>0</v>
      </c>
      <c r="W166" s="516">
        <f t="shared" si="243"/>
        <v>0</v>
      </c>
      <c r="X166" s="516">
        <f>SUM('IV-2 dsa'!O69)</f>
        <v>0</v>
      </c>
      <c r="Y166" s="516">
        <f>SUM('ketv. 6 lent'!AA165)</f>
        <v>0</v>
      </c>
      <c r="Z166" s="516">
        <f t="shared" si="244"/>
        <v>0</v>
      </c>
      <c r="AA166" s="516">
        <f>SUM('IV-2 dsa'!P69)</f>
        <v>137350</v>
      </c>
      <c r="AB166" s="468" t="str">
        <f>IF('ketv. 4 lent'!V165&gt;0,"Taip","Ne")</f>
        <v>Ne</v>
      </c>
      <c r="AC166" s="468">
        <f>SUM('ketv. 6 lent'!AE165)</f>
        <v>0</v>
      </c>
      <c r="AD166" s="468">
        <f t="shared" si="245"/>
        <v>0</v>
      </c>
      <c r="AE166" s="1113">
        <f>SUM('IV-2 dsa'!Q69)</f>
        <v>43017</v>
      </c>
      <c r="AF166" s="587">
        <f>SUM('IV-2 dsa'!R69)</f>
        <v>42992</v>
      </c>
      <c r="AG166" s="587">
        <f>SUM('IV-2 dsa'!S69)</f>
        <v>43146</v>
      </c>
      <c r="AH166" s="587">
        <f>SUM('IV-2 dsa'!T69)</f>
        <v>43235</v>
      </c>
      <c r="AI166" s="589">
        <f t="shared" si="246"/>
        <v>2018</v>
      </c>
      <c r="AJ166" s="1263">
        <f>SUM('IV-2 dsa'!U69)</f>
        <v>44103.5</v>
      </c>
      <c r="AK166" s="468">
        <f t="shared" si="247"/>
        <v>0</v>
      </c>
      <c r="AL166" s="468">
        <f t="shared" si="248"/>
        <v>0</v>
      </c>
      <c r="AM166" s="468">
        <f t="shared" si="249"/>
        <v>137350</v>
      </c>
      <c r="AN166" s="468">
        <f t="shared" si="250"/>
        <v>0</v>
      </c>
      <c r="AO166" s="1264">
        <f t="shared" si="251"/>
        <v>0</v>
      </c>
      <c r="AP166" s="592"/>
      <c r="AQ166" s="88"/>
      <c r="AR166" s="88"/>
    </row>
    <row r="167" spans="1:48" ht="52.5" thickTop="1" thickBot="1" x14ac:dyDescent="0.3">
      <c r="A167" s="515" t="s">
        <v>852</v>
      </c>
      <c r="B167" s="1490" t="s">
        <v>1659</v>
      </c>
      <c r="C167" s="1262"/>
      <c r="D167" s="1490" t="str">
        <f>CONCATENATE('IV-2 amsa'!D68)</f>
        <v>Teikiamų paslaugų procesų tobulinimas ir asmenų aptarnavimo kokybės gerinimas Alytaus miesto savivaldybės administracijoje ir jai pavaldžiose įstaigose. II etapas</v>
      </c>
      <c r="E167" s="1490" t="str">
        <f>CONCATENATE('IV-2 amsa'!E68)</f>
        <v>Alytaus miesto savivaldybės administracija</v>
      </c>
      <c r="F167" s="1490" t="str">
        <f>CONCATENATE('IV-2 amsa'!F68)</f>
        <v>Lietuvos Respublikos vidaus reikalų ministerija</v>
      </c>
      <c r="G167" s="1490" t="str">
        <f>CONCATENATE('IV-2 amsa'!G68)</f>
        <v>Alytaus miestas</v>
      </c>
      <c r="H167" s="1491" t="str">
        <f>CONCATENATE('IV-2 amsa'!H68)</f>
        <v>10.1.3-ESFA-R-920</v>
      </c>
      <c r="I167" s="1491" t="str">
        <f>CONCATENATE('IV-2 amsa'!I68)</f>
        <v>R</v>
      </c>
      <c r="J167" s="1491" t="str">
        <f>CONCATENATE('IV-2 amsa'!J68)</f>
        <v>-</v>
      </c>
      <c r="K167" s="1491" t="str">
        <f>CONCATENATE('IV-2 amsa'!K68)</f>
        <v>-</v>
      </c>
      <c r="L167" s="516">
        <f>SUM('IV-2 amsa'!L68)</f>
        <v>200000</v>
      </c>
      <c r="M167" s="516">
        <f>SUM('ketv. 6 lent'!K166)</f>
        <v>0</v>
      </c>
      <c r="N167" s="516">
        <f>IF(M166&gt;0,L166-M166,0)</f>
        <v>0</v>
      </c>
      <c r="O167" s="516">
        <f>SUM('IV-2 amsa'!M68)</f>
        <v>30000</v>
      </c>
      <c r="P167" s="516">
        <f>SUM('ketv. 6 lent'!O166)</f>
        <v>0</v>
      </c>
      <c r="Q167" s="516">
        <f t="shared" ref="Q167" si="253">IF(P167&gt;0,O167-P167,0)</f>
        <v>0</v>
      </c>
      <c r="R167" s="516">
        <f>SUM('IV-2 amsa'!N68)</f>
        <v>0</v>
      </c>
      <c r="S167" s="516">
        <f>SUM('ketv. 6 lent'!S166)</f>
        <v>0</v>
      </c>
      <c r="T167" s="516">
        <f t="shared" ref="T167" si="254">IF(S167&gt;0,R167-S167,0)</f>
        <v>0</v>
      </c>
      <c r="U167" s="516">
        <f>SUM('IV-2 amsa'!O68)</f>
        <v>0</v>
      </c>
      <c r="V167" s="516">
        <f>SUM('ketv. 6 lent'!W166)</f>
        <v>0</v>
      </c>
      <c r="W167" s="516">
        <f t="shared" ref="W167" si="255">IF(V167&gt;0,U167-V167,0)</f>
        <v>0</v>
      </c>
      <c r="X167" s="516">
        <f>SUM('IV-2 amsa'!P68)</f>
        <v>0</v>
      </c>
      <c r="Y167" s="516">
        <f>SUM('ketv. 6 lent'!AA166)</f>
        <v>0</v>
      </c>
      <c r="Z167" s="516">
        <f t="shared" ref="Z167" si="256">IF(Y167&gt;0,X167-Y167,0)</f>
        <v>0</v>
      </c>
      <c r="AA167" s="516">
        <f>SUM('IV-2 amsa'!Q68)</f>
        <v>170000</v>
      </c>
      <c r="AB167" s="468" t="str">
        <f>IF('ketv. 4 lent'!V166&gt;0,"Taip","Ne")</f>
        <v>Ne</v>
      </c>
      <c r="AC167" s="468">
        <f>SUM('ketv. 6 lent'!AE166)</f>
        <v>0</v>
      </c>
      <c r="AD167" s="468">
        <f t="shared" si="245"/>
        <v>0</v>
      </c>
      <c r="AE167" s="1113">
        <f>SUM('IV-2 amsa'!R68)</f>
        <v>43434</v>
      </c>
      <c r="AF167" s="587">
        <f>SUM('IV-2 amsa'!S68)</f>
        <v>43465</v>
      </c>
      <c r="AG167" s="587">
        <f>SUM('IV-2 amsa'!T68)</f>
        <v>43524</v>
      </c>
      <c r="AH167" s="587">
        <f>SUM('IV-2 amsa'!U68)</f>
        <v>43616</v>
      </c>
      <c r="AI167" s="589">
        <f t="shared" si="246"/>
        <v>2019</v>
      </c>
      <c r="AJ167" s="1263">
        <f>SUM('IV-2 amsa'!V68)</f>
        <v>44196</v>
      </c>
      <c r="AK167" s="468">
        <f t="shared" si="247"/>
        <v>0</v>
      </c>
      <c r="AL167" s="468">
        <f t="shared" si="248"/>
        <v>0</v>
      </c>
      <c r="AM167" s="468">
        <f t="shared" si="249"/>
        <v>0</v>
      </c>
      <c r="AN167" s="468">
        <f t="shared" si="250"/>
        <v>170000</v>
      </c>
      <c r="AO167" s="1264">
        <f t="shared" si="251"/>
        <v>0</v>
      </c>
      <c r="AP167" s="592"/>
      <c r="AQ167" s="88"/>
      <c r="AR167" s="88"/>
    </row>
    <row r="168" spans="1:48" ht="40.5" customHeight="1" thickBot="1" x14ac:dyDescent="0.3">
      <c r="A168" s="1559" t="s">
        <v>40</v>
      </c>
      <c r="B168" s="1642" t="s">
        <v>1797</v>
      </c>
      <c r="C168" s="1616"/>
      <c r="D168" s="1616"/>
      <c r="E168" s="1616"/>
      <c r="F168" s="1616"/>
      <c r="G168" s="1616"/>
      <c r="H168" s="1616"/>
      <c r="I168" s="1616"/>
      <c r="J168" s="1616"/>
      <c r="K168" s="1617"/>
      <c r="L168" s="1288">
        <f t="shared" ref="L168:AA168" si="257">SUM(L169+L172)</f>
        <v>6638485.1511764703</v>
      </c>
      <c r="M168" s="1288"/>
      <c r="N168" s="1288"/>
      <c r="O168" s="1288">
        <f t="shared" si="257"/>
        <v>1154049.0311764702</v>
      </c>
      <c r="P168" s="1288"/>
      <c r="Q168" s="1288"/>
      <c r="R168" s="1288">
        <f t="shared" si="257"/>
        <v>0</v>
      </c>
      <c r="S168" s="1288"/>
      <c r="T168" s="1288"/>
      <c r="U168" s="1288">
        <f t="shared" si="257"/>
        <v>0</v>
      </c>
      <c r="V168" s="1288"/>
      <c r="W168" s="1288"/>
      <c r="X168" s="1288">
        <f t="shared" si="257"/>
        <v>0</v>
      </c>
      <c r="Y168" s="1288"/>
      <c r="Z168" s="1288"/>
      <c r="AA168" s="1288">
        <f t="shared" si="257"/>
        <v>5484435.8200000003</v>
      </c>
      <c r="AB168" s="1288"/>
      <c r="AC168" s="1288"/>
      <c r="AD168" s="1288"/>
      <c r="AE168" s="1288"/>
      <c r="AF168" s="1305"/>
      <c r="AG168" s="1305"/>
      <c r="AH168" s="1305"/>
      <c r="AI168" s="1306"/>
      <c r="AJ168" s="1307"/>
      <c r="AK168" s="468"/>
      <c r="AL168" s="1252"/>
      <c r="AM168" s="1252"/>
      <c r="AN168" s="1252"/>
      <c r="AO168" s="1252"/>
      <c r="AP168" s="88">
        <f>SUM(AP169+AP172)</f>
        <v>5231768.7484113034</v>
      </c>
      <c r="AQ168" s="88">
        <f>SUM(AQ169+AQ172)</f>
        <v>6278122.4980935641</v>
      </c>
      <c r="AR168" s="88">
        <f>SUM(AR169+AR172)</f>
        <v>-252667.07158869691</v>
      </c>
    </row>
    <row r="169" spans="1:48" ht="33.75" customHeight="1" thickBot="1" x14ac:dyDescent="0.3">
      <c r="A169" s="1489" t="s">
        <v>41</v>
      </c>
      <c r="B169" s="1615" t="s">
        <v>1798</v>
      </c>
      <c r="C169" s="1616"/>
      <c r="D169" s="1616"/>
      <c r="E169" s="1616"/>
      <c r="F169" s="1616"/>
      <c r="G169" s="1616"/>
      <c r="H169" s="1616"/>
      <c r="I169" s="1616"/>
      <c r="J169" s="1616"/>
      <c r="K169" s="1617"/>
      <c r="L169" s="203">
        <f>SUM(L170)</f>
        <v>4130687.05</v>
      </c>
      <c r="M169" s="203"/>
      <c r="N169" s="203"/>
      <c r="O169" s="203">
        <f t="shared" ref="O169:AA169" si="258">SUM(O170)</f>
        <v>777879.2799999998</v>
      </c>
      <c r="P169" s="203"/>
      <c r="Q169" s="203"/>
      <c r="R169" s="203">
        <f t="shared" si="258"/>
        <v>0</v>
      </c>
      <c r="S169" s="203"/>
      <c r="T169" s="203"/>
      <c r="U169" s="203">
        <f t="shared" si="258"/>
        <v>0</v>
      </c>
      <c r="V169" s="203"/>
      <c r="W169" s="203"/>
      <c r="X169" s="203">
        <f t="shared" si="258"/>
        <v>0</v>
      </c>
      <c r="Y169" s="203"/>
      <c r="Z169" s="203"/>
      <c r="AA169" s="203">
        <f t="shared" si="258"/>
        <v>3352807.77</v>
      </c>
      <c r="AB169" s="203"/>
      <c r="AC169" s="203"/>
      <c r="AD169" s="203"/>
      <c r="AE169" s="203"/>
      <c r="AF169" s="1305"/>
      <c r="AG169" s="1305"/>
      <c r="AH169" s="1305"/>
      <c r="AI169" s="1306"/>
      <c r="AJ169" s="1307"/>
      <c r="AK169" s="468"/>
      <c r="AL169" s="1252"/>
      <c r="AM169" s="1252"/>
      <c r="AN169" s="1252"/>
      <c r="AO169" s="1252"/>
      <c r="AP169" s="88">
        <f>SUM(AP170)</f>
        <v>3352807.77</v>
      </c>
      <c r="AQ169" s="88">
        <f>SUM(AQ170)</f>
        <v>4023369.3239999996</v>
      </c>
      <c r="AR169" s="88">
        <f>SUM(AR170)</f>
        <v>0</v>
      </c>
    </row>
    <row r="170" spans="1:48" ht="32.25" customHeight="1" thickBot="1" x14ac:dyDescent="0.3">
      <c r="A170" s="1560" t="s">
        <v>42</v>
      </c>
      <c r="B170" s="1612" t="s">
        <v>1799</v>
      </c>
      <c r="C170" s="1616"/>
      <c r="D170" s="1616"/>
      <c r="E170" s="1616"/>
      <c r="F170" s="1616"/>
      <c r="G170" s="1616"/>
      <c r="H170" s="1616"/>
      <c r="I170" s="1616"/>
      <c r="J170" s="1616"/>
      <c r="K170" s="1617"/>
      <c r="L170" s="1258">
        <f t="shared" ref="L170:AA170" si="259">SUM(L171:L171)</f>
        <v>4130687.05</v>
      </c>
      <c r="M170" s="1258">
        <f>SUM(M171)</f>
        <v>4130687.05</v>
      </c>
      <c r="N170" s="1258">
        <f>SUM(N171)</f>
        <v>0</v>
      </c>
      <c r="O170" s="1258">
        <f t="shared" si="259"/>
        <v>777879.2799999998</v>
      </c>
      <c r="P170" s="1258">
        <f>SUM(P171)</f>
        <v>777879.2799999998</v>
      </c>
      <c r="Q170" s="1258">
        <f>SUM(Q171)</f>
        <v>0</v>
      </c>
      <c r="R170" s="1258">
        <f t="shared" si="259"/>
        <v>0</v>
      </c>
      <c r="S170" s="1258">
        <f>SUM(S171)</f>
        <v>0</v>
      </c>
      <c r="T170" s="1258">
        <f>SUM(T171)</f>
        <v>0</v>
      </c>
      <c r="U170" s="1258">
        <f t="shared" si="259"/>
        <v>0</v>
      </c>
      <c r="V170" s="1258">
        <f>SUM(V171)</f>
        <v>0</v>
      </c>
      <c r="W170" s="1258">
        <f>SUM(W171)</f>
        <v>0</v>
      </c>
      <c r="X170" s="1258">
        <f t="shared" si="259"/>
        <v>0</v>
      </c>
      <c r="Y170" s="1258">
        <f>SUM(Y171)</f>
        <v>0</v>
      </c>
      <c r="Z170" s="1258">
        <f>SUM(Z171)</f>
        <v>0</v>
      </c>
      <c r="AA170" s="1258">
        <f t="shared" si="259"/>
        <v>3352807.77</v>
      </c>
      <c r="AB170" s="1270"/>
      <c r="AC170" s="1270">
        <f>SUM(AC171)</f>
        <v>3352807.77</v>
      </c>
      <c r="AD170" s="1270">
        <f>SUM(AD171)</f>
        <v>0</v>
      </c>
      <c r="AE170" s="1270"/>
      <c r="AF170" s="1271"/>
      <c r="AG170" s="1271"/>
      <c r="AH170" s="1271"/>
      <c r="AI170" s="1272"/>
      <c r="AJ170" s="1273"/>
      <c r="AK170" s="1270">
        <f>SUM(AK171)</f>
        <v>0</v>
      </c>
      <c r="AL170" s="468">
        <f t="shared" ref="AL170:AO170" si="260">SUM(AL171)</f>
        <v>3352807.77</v>
      </c>
      <c r="AM170" s="468">
        <f t="shared" si="260"/>
        <v>0</v>
      </c>
      <c r="AN170" s="468">
        <f t="shared" si="260"/>
        <v>0</v>
      </c>
      <c r="AO170" s="468">
        <f t="shared" si="260"/>
        <v>0</v>
      </c>
      <c r="AP170" s="88">
        <f>SUM('IV-2 amsa'!W71+'IV-2 arsa'!V67+'IV-2 dsa'!V72+'IV-2 lrsa'!W66+'IV-2 vrsa'!W73)</f>
        <v>3352807.77</v>
      </c>
      <c r="AQ170" s="88">
        <f>SUM(AP170*120/100)</f>
        <v>4023369.3239999996</v>
      </c>
      <c r="AR170" s="88">
        <f>SUM(AP170-AA170)</f>
        <v>0</v>
      </c>
    </row>
    <row r="171" spans="1:48" ht="39" thickBot="1" x14ac:dyDescent="0.3">
      <c r="A171" s="515" t="s">
        <v>112</v>
      </c>
      <c r="B171" s="1561" t="s">
        <v>1660</v>
      </c>
      <c r="C171" s="1285" t="str">
        <f>CONCATENATE('ketv. 2lent'!B169)</f>
        <v>05.2.1-APVA-R-008-11-0001</v>
      </c>
      <c r="D171" s="1561" t="s">
        <v>323</v>
      </c>
      <c r="E171" s="1561" t="s">
        <v>193</v>
      </c>
      <c r="F171" s="1561" t="s">
        <v>77</v>
      </c>
      <c r="G171" s="1561" t="s">
        <v>324</v>
      </c>
      <c r="H171" s="1285" t="s">
        <v>194</v>
      </c>
      <c r="I171" s="1285" t="s">
        <v>119</v>
      </c>
      <c r="J171" s="1285" t="s">
        <v>66</v>
      </c>
      <c r="K171" s="1562" t="s">
        <v>66</v>
      </c>
      <c r="L171" s="591">
        <f>SUM(O171+R171+U171+X171+AA171)</f>
        <v>4130687.05</v>
      </c>
      <c r="M171" s="591">
        <f>SUM('ketv. 6 lent'!K170)</f>
        <v>4130687.05</v>
      </c>
      <c r="N171" s="591">
        <f>IF(M171&gt;0,L171-M171,0)</f>
        <v>0</v>
      </c>
      <c r="O171" s="591">
        <f>SUM('IV-2 amsa'!M72+'IV-2 arsa'!L68+'IV-2 dsa'!L73+'IV-2 lrsa'!M67+'IV-2 vrsa'!M74)</f>
        <v>777879.2799999998</v>
      </c>
      <c r="P171" s="516">
        <f>SUM('ketv. 6 lent'!O170)</f>
        <v>777879.2799999998</v>
      </c>
      <c r="Q171" s="516">
        <f>IF(P171&gt;0,O171-P171,0)</f>
        <v>0</v>
      </c>
      <c r="R171" s="516">
        <f>SUM('IV-2 amsa'!N72+'IV-2 arsa'!M68+'IV-2 dsa'!M73+'IV-2 lrsa'!N67+'IV-2 vrsa'!N74)</f>
        <v>0</v>
      </c>
      <c r="S171" s="516">
        <f>SUM('ketv. 6 lent'!S170)</f>
        <v>0</v>
      </c>
      <c r="T171" s="516">
        <f>IF(S171&gt;0,R171-S171,0)</f>
        <v>0</v>
      </c>
      <c r="U171" s="516">
        <f>SUM('IV-2 amsa'!O72+'IV-2 arsa'!N68+'IV-2 dsa'!N73+'IV-2 lrsa'!O67+'IV-2 vrsa'!O74)</f>
        <v>0</v>
      </c>
      <c r="V171" s="516">
        <f>SUM('ketv. 6 lent'!W170)</f>
        <v>0</v>
      </c>
      <c r="W171" s="516">
        <f>IF(V171&gt;0,U171-V171,0)</f>
        <v>0</v>
      </c>
      <c r="X171" s="516">
        <f>SUM('IV-2 amsa'!P72+'IV-2 arsa'!O68+'IV-2 dsa'!O73+'IV-2 lrsa'!P67+'IV-2 vrsa'!P74)</f>
        <v>0</v>
      </c>
      <c r="Y171" s="516">
        <f>SUM('ketv. 6 lent'!AA170)</f>
        <v>0</v>
      </c>
      <c r="Z171" s="516">
        <f>IF(Y171&gt;0,X171-Y171,0)</f>
        <v>0</v>
      </c>
      <c r="AA171" s="516">
        <f>SUM('IV-2 amsa'!Q72+'IV-2 arsa'!P68+'IV-2 dsa'!P73+'IV-2 lrsa'!Q67+'IV-2 vrsa'!Q74)</f>
        <v>3352807.77</v>
      </c>
      <c r="AB171" s="468" t="str">
        <f>IF('ketv. 4 lent'!V170&gt;0,"Taip","Ne")</f>
        <v>Taip</v>
      </c>
      <c r="AC171" s="468">
        <f>SUM('ketv. 6 lent'!AE170)</f>
        <v>3352807.77</v>
      </c>
      <c r="AD171" s="468">
        <f>IF(AC171&gt;0,AA171-AC171,0)</f>
        <v>0</v>
      </c>
      <c r="AE171" s="1113">
        <f>SUM('IV-2 amsa'!R72)</f>
        <v>42590</v>
      </c>
      <c r="AF171" s="587">
        <f>SUM('IV-2 amsa'!S72)</f>
        <v>42754</v>
      </c>
      <c r="AG171" s="587">
        <f>SUM('IV-2 amsa'!T72)</f>
        <v>42916</v>
      </c>
      <c r="AH171" s="587">
        <f>SUM('IV-2 amsa'!U72)</f>
        <v>43008</v>
      </c>
      <c r="AI171" s="589">
        <f>SUM('IV-2 amsa'!V72)</f>
        <v>43830</v>
      </c>
      <c r="AJ171" s="1263">
        <f>SUM('IV-2 amsa'!V72)</f>
        <v>43830</v>
      </c>
      <c r="AK171" s="468">
        <f>IF(YEAR(AH171)=2016,AA171,0)</f>
        <v>0</v>
      </c>
      <c r="AL171" s="468">
        <f>IF(YEAR(AH171)=2017,AA171,0)</f>
        <v>3352807.77</v>
      </c>
      <c r="AM171" s="468">
        <f>IF(YEAR(AH171)=2018,AA171,0)</f>
        <v>0</v>
      </c>
      <c r="AN171" s="468">
        <f>IF(YEAR(AH171)=2019,AA171,0)</f>
        <v>0</v>
      </c>
      <c r="AO171" s="1264">
        <f>IF(YEAR(AH171)=2020,AA171,0)</f>
        <v>0</v>
      </c>
      <c r="AP171" s="88"/>
      <c r="AQ171" s="88"/>
      <c r="AR171" s="88"/>
    </row>
    <row r="172" spans="1:48" ht="36.75" customHeight="1" thickBot="1" x14ac:dyDescent="0.3">
      <c r="A172" s="1489" t="s">
        <v>43</v>
      </c>
      <c r="B172" s="1615" t="s">
        <v>1800</v>
      </c>
      <c r="C172" s="1616"/>
      <c r="D172" s="1616"/>
      <c r="E172" s="1616"/>
      <c r="F172" s="1616"/>
      <c r="G172" s="1616"/>
      <c r="H172" s="1616"/>
      <c r="I172" s="1616"/>
      <c r="J172" s="1616"/>
      <c r="K172" s="1617"/>
      <c r="L172" s="203">
        <f>SUM(L173)</f>
        <v>2507798.1011764705</v>
      </c>
      <c r="M172" s="203"/>
      <c r="N172" s="203"/>
      <c r="O172" s="203">
        <f t="shared" ref="O172:AA172" si="261">SUM(O173)</f>
        <v>376169.75117647054</v>
      </c>
      <c r="P172" s="203"/>
      <c r="Q172" s="203"/>
      <c r="R172" s="203">
        <f t="shared" si="261"/>
        <v>0</v>
      </c>
      <c r="S172" s="203"/>
      <c r="T172" s="203"/>
      <c r="U172" s="203">
        <f t="shared" si="261"/>
        <v>0</v>
      </c>
      <c r="V172" s="203"/>
      <c r="W172" s="203"/>
      <c r="X172" s="203">
        <f t="shared" si="261"/>
        <v>0</v>
      </c>
      <c r="Y172" s="203"/>
      <c r="Z172" s="203"/>
      <c r="AA172" s="203">
        <f t="shared" si="261"/>
        <v>2131628.0500000003</v>
      </c>
      <c r="AB172" s="203"/>
      <c r="AC172" s="203"/>
      <c r="AD172" s="203"/>
      <c r="AE172" s="203"/>
      <c r="AF172" s="1305"/>
      <c r="AG172" s="1305"/>
      <c r="AH172" s="1305"/>
      <c r="AI172" s="1306"/>
      <c r="AJ172" s="1307"/>
      <c r="AK172" s="468"/>
      <c r="AL172" s="1252"/>
      <c r="AM172" s="1252"/>
      <c r="AN172" s="1252"/>
      <c r="AO172" s="1252"/>
      <c r="AP172" s="88">
        <f>SUM(AP173)</f>
        <v>1878960.9784113034</v>
      </c>
      <c r="AQ172" s="88">
        <f>SUM(AQ173)</f>
        <v>2254753.174093564</v>
      </c>
      <c r="AR172" s="88">
        <f>SUM(AR173)</f>
        <v>-252667.07158869691</v>
      </c>
    </row>
    <row r="173" spans="1:48" ht="32.25" customHeight="1" thickBot="1" x14ac:dyDescent="0.3">
      <c r="A173" s="1257" t="s">
        <v>113</v>
      </c>
      <c r="B173" s="1621" t="s">
        <v>1801</v>
      </c>
      <c r="C173" s="1619"/>
      <c r="D173" s="1619"/>
      <c r="E173" s="1619"/>
      <c r="F173" s="1619"/>
      <c r="G173" s="1619"/>
      <c r="H173" s="1619"/>
      <c r="I173" s="1619"/>
      <c r="J173" s="1619"/>
      <c r="K173" s="1620"/>
      <c r="L173" s="1258">
        <f t="shared" ref="L173:X173" si="262">SUM(L174:L182)</f>
        <v>2507798.1011764705</v>
      </c>
      <c r="M173" s="1258">
        <f t="shared" si="262"/>
        <v>978732.84000000008</v>
      </c>
      <c r="N173" s="1258">
        <f t="shared" si="262"/>
        <v>256979.29999999993</v>
      </c>
      <c r="O173" s="1258">
        <f t="shared" si="262"/>
        <v>376169.75117647054</v>
      </c>
      <c r="P173" s="1258">
        <f t="shared" si="262"/>
        <v>146809.96000000002</v>
      </c>
      <c r="Q173" s="1258">
        <f t="shared" si="262"/>
        <v>38546.69999999999</v>
      </c>
      <c r="R173" s="1258">
        <f t="shared" si="262"/>
        <v>0</v>
      </c>
      <c r="S173" s="1258">
        <f t="shared" si="262"/>
        <v>0</v>
      </c>
      <c r="T173" s="1258">
        <f t="shared" si="262"/>
        <v>0</v>
      </c>
      <c r="U173" s="1258">
        <f t="shared" si="262"/>
        <v>0</v>
      </c>
      <c r="V173" s="1258">
        <f t="shared" si="262"/>
        <v>0</v>
      </c>
      <c r="W173" s="1258">
        <f t="shared" si="262"/>
        <v>0</v>
      </c>
      <c r="X173" s="1258">
        <f t="shared" si="262"/>
        <v>0</v>
      </c>
      <c r="Y173" s="1258">
        <f>SUM(Y174:Y181)</f>
        <v>0</v>
      </c>
      <c r="Z173" s="1258">
        <f>SUM(Z174:Z181)</f>
        <v>0</v>
      </c>
      <c r="AA173" s="1258">
        <f>SUM(AA174:AA182)</f>
        <v>2131628.0500000003</v>
      </c>
      <c r="AB173" s="1270"/>
      <c r="AC173" s="1270">
        <f>SUM(AC174:AC181)</f>
        <v>831922.88</v>
      </c>
      <c r="AD173" s="1270">
        <f>SUM(AD174:AD181)</f>
        <v>218432.3</v>
      </c>
      <c r="AE173" s="1270"/>
      <c r="AF173" s="1271"/>
      <c r="AG173" s="1271"/>
      <c r="AH173" s="1271"/>
      <c r="AI173" s="1272"/>
      <c r="AJ173" s="1273"/>
      <c r="AK173" s="468">
        <f t="shared" ref="AK173:AO173" si="263">SUM(AK174:AK182)</f>
        <v>0</v>
      </c>
      <c r="AL173" s="468">
        <f t="shared" si="263"/>
        <v>1050355.1800000002</v>
      </c>
      <c r="AM173" s="468">
        <f t="shared" si="263"/>
        <v>626057</v>
      </c>
      <c r="AN173" s="468">
        <f t="shared" si="263"/>
        <v>455215.87</v>
      </c>
      <c r="AO173" s="468">
        <f t="shared" si="263"/>
        <v>0</v>
      </c>
      <c r="AP173" s="593">
        <f>SUM('IV-2 amsa'!W74+'IV-2 arsa'!V70+'IV-2 dsa'!V75+'IV-2 lrsa'!W69+'IV-2 vrsa'!W76)</f>
        <v>1878960.9784113034</v>
      </c>
      <c r="AQ173" s="88">
        <f>SUM(AP173*120/100)</f>
        <v>2254753.174093564</v>
      </c>
      <c r="AR173" s="88">
        <f>SUM(AP173-AA173)</f>
        <v>-252667.07158869691</v>
      </c>
    </row>
    <row r="174" spans="1:48" ht="39.75" thickTop="1" thickBot="1" x14ac:dyDescent="0.3">
      <c r="A174" s="515" t="s">
        <v>114</v>
      </c>
      <c r="B174" s="515" t="s">
        <v>1661</v>
      </c>
      <c r="C174" s="1262" t="str">
        <f>CONCATENATE('ketv. 2lent'!B172)</f>
        <v>05.5.1-APVA-R-019-11-0002</v>
      </c>
      <c r="D174" s="515" t="str">
        <f>CONCATENATE('IV-2 vrsa'!D77)</f>
        <v>Kraštovaizdžio formavimas ir tvarkymas Varėnos r. savivaldybėje (I etapas)</v>
      </c>
      <c r="E174" s="515" t="str">
        <f>CONCATENATE('IV-2 vrsa'!E77)</f>
        <v>Varėnos rajono savivaldybės administracija</v>
      </c>
      <c r="F174" s="515" t="str">
        <f>CONCATENATE('IV-2 vrsa'!F77)</f>
        <v>Lietuvos Respublikos aplinkos ministerija</v>
      </c>
      <c r="G174" s="515" t="str">
        <f>CONCATENATE('IV-2 vrsa'!G77)</f>
        <v>Varėnos  rajono savivaldybė</v>
      </c>
      <c r="H174" s="518" t="str">
        <f>CONCATENATE('IV-2 vrsa'!H77)</f>
        <v>05.5.1-APVA-R-019</v>
      </c>
      <c r="I174" s="518" t="str">
        <f>CONCATENATE('IV-2 vrsa'!I77)</f>
        <v>R</v>
      </c>
      <c r="J174" s="518" t="str">
        <f>CONCATENATE('IV-2 vrsa'!J77)</f>
        <v>-</v>
      </c>
      <c r="K174" s="518" t="str">
        <f>CONCATENATE('IV-2 vrsa'!K77)</f>
        <v>-</v>
      </c>
      <c r="L174" s="516">
        <f>SUM('IV-2 vrsa'!L77)</f>
        <v>566501</v>
      </c>
      <c r="M174" s="516">
        <f>SUM('ketv. 6 lent'!K173)</f>
        <v>309522</v>
      </c>
      <c r="N174" s="516">
        <f t="shared" ref="N174:N181" si="264">IF(M174&gt;0,L174-M174,0)</f>
        <v>256979</v>
      </c>
      <c r="O174" s="516">
        <f>SUM('IV-2 vrsa'!M77)</f>
        <v>84975</v>
      </c>
      <c r="P174" s="516">
        <f>SUM('ketv. 6 lent'!O173)</f>
        <v>46428.299999999988</v>
      </c>
      <c r="Q174" s="516">
        <f>IF(P174&gt;0,O174-P174,0)</f>
        <v>38546.700000000012</v>
      </c>
      <c r="R174" s="516">
        <f>SUM('IV-2 vrsa'!N77)</f>
        <v>0</v>
      </c>
      <c r="S174" s="516">
        <f>SUM('ketv. 6 lent'!S173)</f>
        <v>0</v>
      </c>
      <c r="T174" s="516">
        <f t="shared" ref="T174:T181" si="265">IF(S174&gt;0,R174-S174,0)</f>
        <v>0</v>
      </c>
      <c r="U174" s="516">
        <f>SUM('IV-2 vrsa'!O77)</f>
        <v>0</v>
      </c>
      <c r="V174" s="516">
        <f>SUM('ketv. 6 lent'!W173)</f>
        <v>0</v>
      </c>
      <c r="W174" s="516">
        <f t="shared" ref="W174:W181" si="266">IF(V174&gt;0,U174-V174,0)</f>
        <v>0</v>
      </c>
      <c r="X174" s="516">
        <f>SUM('IV-2 vrsa'!P77)</f>
        <v>0</v>
      </c>
      <c r="Y174" s="516">
        <f>SUM('ketv. 6 lent'!AA173)</f>
        <v>0</v>
      </c>
      <c r="Z174" s="516">
        <f t="shared" ref="Z174:Z181" si="267">IF(Y174&gt;0,X174-Y174,0)</f>
        <v>0</v>
      </c>
      <c r="AA174" s="516">
        <f>SUM('IV-2 vrsa'!Q77)</f>
        <v>481526</v>
      </c>
      <c r="AB174" s="468" t="str">
        <f>IF('ketv. 4 lent'!V173&gt;0,"Taip","Ne")</f>
        <v>Taip</v>
      </c>
      <c r="AC174" s="468">
        <f>SUM('ketv. 6 lent'!AE173)</f>
        <v>263093.7</v>
      </c>
      <c r="AD174" s="468">
        <f t="shared" ref="AD174:AD181" si="268">IF(AC174&gt;0,AA174-AC174,0)</f>
        <v>218432.3</v>
      </c>
      <c r="AE174" s="1113">
        <f>SUM('IV-2 vrsa'!R77)</f>
        <v>42598</v>
      </c>
      <c r="AF174" s="587">
        <f>SUM('IV-2 vrsa'!S77)</f>
        <v>42632</v>
      </c>
      <c r="AG174" s="587">
        <f>SUM('IV-2 vrsa'!T77)</f>
        <v>42795</v>
      </c>
      <c r="AH174" s="587">
        <f>SUM('IV-2 vrsa'!U77)</f>
        <v>42916</v>
      </c>
      <c r="AI174" s="589">
        <f t="shared" ref="AI174:AI181" si="269">IF(YEAR(AH174),YEAR(AH174))</f>
        <v>2017</v>
      </c>
      <c r="AJ174" s="1263">
        <f>SUM('IV-2 vrsa'!V77)</f>
        <v>43646</v>
      </c>
      <c r="AK174" s="468">
        <f t="shared" ref="AK174:AK181" si="270">IF(YEAR(AH174)=2016,AA174,0)</f>
        <v>0</v>
      </c>
      <c r="AL174" s="468">
        <f t="shared" ref="AL174:AL181" si="271">IF(YEAR(AH174)=2017,AA174,0)</f>
        <v>481526</v>
      </c>
      <c r="AM174" s="468">
        <f t="shared" ref="AM174:AM181" si="272">IF(YEAR(AH174)=2018,AA174,0)</f>
        <v>0</v>
      </c>
      <c r="AN174" s="468">
        <f t="shared" ref="AN174:AN181" si="273">IF(YEAR(AH174)=2019,AA174,0)</f>
        <v>0</v>
      </c>
      <c r="AO174" s="1264">
        <f t="shared" ref="AO174:AO181" si="274">IF(YEAR(AH174)=2020,AA174,0)</f>
        <v>0</v>
      </c>
      <c r="AP174" s="1508">
        <v>2131629</v>
      </c>
      <c r="AQ174" s="88"/>
      <c r="AR174" s="88"/>
      <c r="AT174" s="1131"/>
      <c r="AU174" s="1131"/>
      <c r="AV174" s="1131"/>
    </row>
    <row r="175" spans="1:48" ht="39.75" thickTop="1" thickBot="1" x14ac:dyDescent="0.3">
      <c r="A175" s="515" t="s">
        <v>214</v>
      </c>
      <c r="B175" s="515" t="s">
        <v>1662</v>
      </c>
      <c r="C175" s="1262" t="str">
        <f>CONCATENATE('ketv. 2lent'!B173)</f>
        <v/>
      </c>
      <c r="D175" s="515" t="str">
        <f>CONCATENATE('IV-2 vrsa'!D78)</f>
        <v>Kraštovaizdžio formavimas ir tvarkymas Varėnos r. savivaldybėje (II etapas)</v>
      </c>
      <c r="E175" s="515" t="str">
        <f>CONCATENATE('IV-2 vrsa'!E78)</f>
        <v>Varėnos rajono savivaldybės administracija</v>
      </c>
      <c r="F175" s="515" t="str">
        <f>CONCATENATE('IV-2 vrsa'!F78)</f>
        <v>Lietuvos Respublikos aplinkos ministerija</v>
      </c>
      <c r="G175" s="515" t="str">
        <f>CONCATENATE('IV-2 vrsa'!G78)</f>
        <v>Varėnos  rajono savivaldybė</v>
      </c>
      <c r="H175" s="518" t="str">
        <f>CONCATENATE('IV-2 vrsa'!H78)</f>
        <v>05.5.1-APVA-R-019</v>
      </c>
      <c r="I175" s="518" t="str">
        <f>CONCATENATE('IV-2 vrsa'!I78)</f>
        <v>R</v>
      </c>
      <c r="J175" s="518" t="str">
        <f>CONCATENATE('IV-2 vrsa'!J78)</f>
        <v>-</v>
      </c>
      <c r="K175" s="518" t="str">
        <f>CONCATENATE('IV-2 vrsa'!K78)</f>
        <v>-</v>
      </c>
      <c r="L175" s="516">
        <f>SUM('IV-2 vrsa'!L78)</f>
        <v>297232</v>
      </c>
      <c r="M175" s="516">
        <f>SUM('ketv. 6 lent'!K174)</f>
        <v>0</v>
      </c>
      <c r="N175" s="516">
        <f t="shared" si="264"/>
        <v>0</v>
      </c>
      <c r="O175" s="516">
        <f>SUM('IV-2 vrsa'!M78)</f>
        <v>44585</v>
      </c>
      <c r="P175" s="516">
        <f>SUM('ketv. 6 lent'!O174)</f>
        <v>0</v>
      </c>
      <c r="Q175" s="516">
        <f t="shared" ref="Q175:Q181" si="275">IF(P175&gt;0,O175-P175,0)</f>
        <v>0</v>
      </c>
      <c r="R175" s="516">
        <f>SUM('IV-2 vrsa'!N78)</f>
        <v>0</v>
      </c>
      <c r="S175" s="516">
        <f>SUM('ketv. 6 lent'!S174)</f>
        <v>0</v>
      </c>
      <c r="T175" s="516">
        <f t="shared" si="265"/>
        <v>0</v>
      </c>
      <c r="U175" s="516">
        <f>SUM('IV-2 vrsa'!O78)</f>
        <v>0</v>
      </c>
      <c r="V175" s="516">
        <f>SUM('ketv. 6 lent'!W174)</f>
        <v>0</v>
      </c>
      <c r="W175" s="516">
        <f t="shared" si="266"/>
        <v>0</v>
      </c>
      <c r="X175" s="516">
        <f>SUM('IV-2 vrsa'!P78)</f>
        <v>0</v>
      </c>
      <c r="Y175" s="516">
        <f>SUM('ketv. 6 lent'!AA174)</f>
        <v>0</v>
      </c>
      <c r="Z175" s="516">
        <f t="shared" si="267"/>
        <v>0</v>
      </c>
      <c r="AA175" s="516">
        <f>SUM('IV-2 vrsa'!Q78)</f>
        <v>252647</v>
      </c>
      <c r="AB175" s="468" t="str">
        <f>IF('ketv. 4 lent'!V174&gt;0,"Taip","Ne")</f>
        <v>Ne</v>
      </c>
      <c r="AC175" s="468">
        <f>SUM('ketv. 6 lent'!AE174)</f>
        <v>0</v>
      </c>
      <c r="AD175" s="468">
        <f t="shared" si="268"/>
        <v>0</v>
      </c>
      <c r="AE175" s="1113">
        <f>SUM('IV-2 vrsa'!R78)</f>
        <v>43277</v>
      </c>
      <c r="AF175" s="587">
        <f>SUM('IV-2 vrsa'!S78)</f>
        <v>43373</v>
      </c>
      <c r="AG175" s="587">
        <f>SUM('IV-2 vrsa'!T78)</f>
        <v>43465</v>
      </c>
      <c r="AH175" s="587">
        <f>SUM('IV-2 vrsa'!U78)</f>
        <v>43555</v>
      </c>
      <c r="AI175" s="589">
        <f t="shared" si="269"/>
        <v>2019</v>
      </c>
      <c r="AJ175" s="1263">
        <f>SUM('IV-2 vrsa'!V78)</f>
        <v>45291</v>
      </c>
      <c r="AK175" s="468">
        <f t="shared" si="270"/>
        <v>0</v>
      </c>
      <c r="AL175" s="468">
        <f t="shared" si="271"/>
        <v>0</v>
      </c>
      <c r="AM175" s="468">
        <f t="shared" si="272"/>
        <v>0</v>
      </c>
      <c r="AN175" s="468">
        <f t="shared" si="273"/>
        <v>252647</v>
      </c>
      <c r="AO175" s="1264">
        <f t="shared" si="274"/>
        <v>0</v>
      </c>
      <c r="AP175" s="1509"/>
      <c r="AQ175" s="88"/>
      <c r="AR175" s="88"/>
    </row>
    <row r="176" spans="1:48" ht="39.75" thickTop="1" thickBot="1" x14ac:dyDescent="0.3">
      <c r="A176" s="515" t="s">
        <v>226</v>
      </c>
      <c r="B176" s="515" t="s">
        <v>1663</v>
      </c>
      <c r="C176" s="1262" t="str">
        <f>CONCATENATE('ketv. 2lent'!B174)</f>
        <v>05.5.1-APVA-R-019-11-0001</v>
      </c>
      <c r="D176" s="515" t="str">
        <f>CONCATENATE('IV-2 arsa'!C71)</f>
        <v>Bešeimininkių apleistų pastatų ir įrenginių tvarkymas Alytaus rajono savivaldybėje</v>
      </c>
      <c r="E176" s="515" t="str">
        <f>CONCATENATE('IV-2 arsa'!D71)</f>
        <v>Alytaus rajono savivaldybės administracija</v>
      </c>
      <c r="F176" s="515" t="str">
        <f>CONCATENATE('IV-2 arsa'!E71)</f>
        <v>Lietuvos Respublikos aplinkos ministerija</v>
      </c>
      <c r="G176" s="515" t="str">
        <f>CONCATENATE('IV-2 arsa'!F71)</f>
        <v>Alytaus rajonas</v>
      </c>
      <c r="H176" s="518" t="str">
        <f>CONCATENATE('IV-2 arsa'!G71)</f>
        <v>05.5.1-APVA-R-019</v>
      </c>
      <c r="I176" s="518" t="str">
        <f>CONCATENATE('IV-2 arsa'!H71)</f>
        <v>R</v>
      </c>
      <c r="J176" s="518" t="str">
        <f>CONCATENATE('IV-2 arsa'!I71)</f>
        <v/>
      </c>
      <c r="K176" s="518" t="str">
        <f>CONCATENATE('IV-2 arsa'!J71)</f>
        <v/>
      </c>
      <c r="L176" s="516">
        <f>SUM('IV-2 arsa'!K71)</f>
        <v>101766</v>
      </c>
      <c r="M176" s="516">
        <f>SUM('ketv. 6 lent'!K175)</f>
        <v>101765.7</v>
      </c>
      <c r="N176" s="516">
        <f t="shared" si="264"/>
        <v>0.30000000000291038</v>
      </c>
      <c r="O176" s="516">
        <f>SUM('IV-2 arsa'!L71)</f>
        <v>15264.9</v>
      </c>
      <c r="P176" s="516">
        <f>SUM('ketv. 6 lent'!O175)</f>
        <v>15264.899999999994</v>
      </c>
      <c r="Q176" s="516">
        <f>IF(P176&gt;0,O176-P176,0)</f>
        <v>5.4569682106375694E-12</v>
      </c>
      <c r="R176" s="516">
        <f>SUM('IV-2 arsa'!M71)</f>
        <v>0</v>
      </c>
      <c r="S176" s="516">
        <f>SUM('ketv. 6 lent'!S175)</f>
        <v>0</v>
      </c>
      <c r="T176" s="516">
        <f t="shared" si="265"/>
        <v>0</v>
      </c>
      <c r="U176" s="516">
        <f>SUM('IV-2 arsa'!N71)</f>
        <v>0</v>
      </c>
      <c r="V176" s="516">
        <f>SUM('ketv. 6 lent'!W175)</f>
        <v>0</v>
      </c>
      <c r="W176" s="516">
        <f t="shared" si="266"/>
        <v>0</v>
      </c>
      <c r="X176" s="516">
        <f>SUM('IV-2 arsa'!O71)</f>
        <v>0</v>
      </c>
      <c r="Y176" s="516">
        <f>SUM('ketv. 6 lent'!AA175)</f>
        <v>0</v>
      </c>
      <c r="Z176" s="516">
        <f t="shared" si="267"/>
        <v>0</v>
      </c>
      <c r="AA176" s="516">
        <f>SUM('IV-2 arsa'!P71)</f>
        <v>86500.800000000003</v>
      </c>
      <c r="AB176" s="468" t="str">
        <f>IF('ketv. 4 lent'!V175&gt;0,"Taip","Ne")</f>
        <v>Taip</v>
      </c>
      <c r="AC176" s="468">
        <f>SUM('ketv. 6 lent'!AE175)</f>
        <v>86500.800000000003</v>
      </c>
      <c r="AD176" s="468">
        <f t="shared" si="268"/>
        <v>0</v>
      </c>
      <c r="AE176" s="1113">
        <f>SUM('IV-2 arsa'!Q71)</f>
        <v>42598</v>
      </c>
      <c r="AF176" s="587">
        <f>SUM('IV-2 arsa'!R71)</f>
        <v>42632</v>
      </c>
      <c r="AG176" s="587">
        <f>SUM('IV-2 arsa'!S71)</f>
        <v>42767</v>
      </c>
      <c r="AH176" s="587">
        <f>SUM('IV-2 arsa'!T71)</f>
        <v>42886</v>
      </c>
      <c r="AI176" s="589">
        <f t="shared" si="269"/>
        <v>2017</v>
      </c>
      <c r="AJ176" s="1263">
        <f>SUM('IV-2 arsa'!U71)</f>
        <v>43465</v>
      </c>
      <c r="AK176" s="468">
        <f t="shared" si="270"/>
        <v>0</v>
      </c>
      <c r="AL176" s="468">
        <f t="shared" si="271"/>
        <v>86500.800000000003</v>
      </c>
      <c r="AM176" s="468">
        <f t="shared" si="272"/>
        <v>0</v>
      </c>
      <c r="AN176" s="468">
        <f t="shared" si="273"/>
        <v>0</v>
      </c>
      <c r="AO176" s="1264">
        <f t="shared" si="274"/>
        <v>0</v>
      </c>
      <c r="AP176" s="594"/>
      <c r="AQ176" s="88"/>
      <c r="AR176" s="88"/>
    </row>
    <row r="177" spans="1:44" ht="39.75" thickTop="1" thickBot="1" x14ac:dyDescent="0.3">
      <c r="A177" s="515" t="s">
        <v>254</v>
      </c>
      <c r="B177" s="515" t="s">
        <v>1664</v>
      </c>
      <c r="C177" s="1262" t="str">
        <f>CONCATENATE('ketv. 2lent'!B175)</f>
        <v>05.5.1-APVA-R-019-11-0004</v>
      </c>
      <c r="D177" s="515" t="str">
        <f>CONCATENATE('IV-2 amsa'!D75)</f>
        <v>Alytaus miesto bendrojo plano korektūra zonuojant kraštovaizdžio struktūrą, nustatant reglamentus ir principus</v>
      </c>
      <c r="E177" s="515" t="str">
        <f>CONCATENATE('IV-2 amsa'!E75)</f>
        <v>Alytaus miesto savivaldybės administracija</v>
      </c>
      <c r="F177" s="515" t="str">
        <f>CONCATENATE('IV-2 amsa'!F75)</f>
        <v>Lietuvos Respublikos aplinkos ministerija</v>
      </c>
      <c r="G177" s="515" t="str">
        <f>CONCATENATE('IV-2 amsa'!G75)</f>
        <v>Alytaus miestas</v>
      </c>
      <c r="H177" s="518" t="str">
        <f>CONCATENATE('IV-2 amsa'!H75)</f>
        <v>05.5.1-APVA-R-019</v>
      </c>
      <c r="I177" s="518" t="str">
        <f>CONCATENATE('IV-2 amsa'!I75)</f>
        <v>R</v>
      </c>
      <c r="J177" s="518" t="str">
        <f>CONCATENATE('IV-2 amsa'!J75)</f>
        <v/>
      </c>
      <c r="K177" s="518" t="str">
        <f>CONCATENATE('IV-2 amsa'!K75)</f>
        <v>-</v>
      </c>
      <c r="L177" s="516">
        <f>SUM('IV-2 amsa'!L75)</f>
        <v>3993</v>
      </c>
      <c r="M177" s="516">
        <f>SUM('ketv. 6 lent'!K176)</f>
        <v>3993</v>
      </c>
      <c r="N177" s="516">
        <f t="shared" si="264"/>
        <v>0</v>
      </c>
      <c r="O177" s="516">
        <f>SUM('IV-2 amsa'!M75)</f>
        <v>598.95000000000005</v>
      </c>
      <c r="P177" s="516">
        <f>SUM('ketv. 6 lent'!O176)</f>
        <v>598.94999999999982</v>
      </c>
      <c r="Q177" s="516">
        <f>IF(P177&gt;0,O177-P177,0)</f>
        <v>2.2737367544323206E-13</v>
      </c>
      <c r="R177" s="516">
        <f>SUM('IV-2 amsa'!N75)</f>
        <v>0</v>
      </c>
      <c r="S177" s="516">
        <f>SUM('ketv. 6 lent'!S176)</f>
        <v>0</v>
      </c>
      <c r="T177" s="516">
        <f t="shared" si="265"/>
        <v>0</v>
      </c>
      <c r="U177" s="516">
        <f>SUM('IV-2 amsa'!O75)</f>
        <v>0</v>
      </c>
      <c r="V177" s="516">
        <f>SUM('ketv. 6 lent'!W176)</f>
        <v>0</v>
      </c>
      <c r="W177" s="516">
        <f t="shared" si="266"/>
        <v>0</v>
      </c>
      <c r="X177" s="516">
        <f>SUM('IV-2 amsa'!P75)</f>
        <v>0</v>
      </c>
      <c r="Y177" s="516">
        <f>SUM('ketv. 6 lent'!AA176)</f>
        <v>0</v>
      </c>
      <c r="Z177" s="516">
        <f t="shared" si="267"/>
        <v>0</v>
      </c>
      <c r="AA177" s="516">
        <f>SUM('IV-2 amsa'!Q75)</f>
        <v>3394.05</v>
      </c>
      <c r="AB177" s="468" t="str">
        <f>IF('ketv. 4 lent'!V176&gt;0,"Taip","Ne")</f>
        <v>Taip</v>
      </c>
      <c r="AC177" s="468">
        <f>SUM('ketv. 6 lent'!AE176)</f>
        <v>3394.05</v>
      </c>
      <c r="AD177" s="468">
        <f t="shared" si="268"/>
        <v>0</v>
      </c>
      <c r="AE177" s="1113">
        <f>SUM('IV-2 amsa'!R75)</f>
        <v>42598</v>
      </c>
      <c r="AF177" s="587">
        <f>SUM('IV-2 amsa'!S75)</f>
        <v>42632</v>
      </c>
      <c r="AG177" s="587">
        <f>SUM('IV-2 amsa'!T75)</f>
        <v>42874</v>
      </c>
      <c r="AH177" s="587">
        <f>SUM('IV-2 amsa'!U75)</f>
        <v>42916</v>
      </c>
      <c r="AI177" s="589">
        <f t="shared" si="269"/>
        <v>2017</v>
      </c>
      <c r="AJ177" s="1263">
        <f>SUM('IV-2 amsa'!V75)</f>
        <v>43465</v>
      </c>
      <c r="AK177" s="468">
        <f t="shared" si="270"/>
        <v>0</v>
      </c>
      <c r="AL177" s="468">
        <f t="shared" si="271"/>
        <v>3394.05</v>
      </c>
      <c r="AM177" s="468">
        <f t="shared" si="272"/>
        <v>0</v>
      </c>
      <c r="AN177" s="468">
        <f t="shared" si="273"/>
        <v>0</v>
      </c>
      <c r="AO177" s="1264">
        <f t="shared" si="274"/>
        <v>0</v>
      </c>
      <c r="AP177" s="594"/>
      <c r="AQ177" s="88"/>
      <c r="AR177" s="88"/>
    </row>
    <row r="178" spans="1:44" ht="39.75" thickTop="1" thickBot="1" x14ac:dyDescent="0.3">
      <c r="A178" s="515" t="s">
        <v>298</v>
      </c>
      <c r="B178" s="515" t="s">
        <v>1665</v>
      </c>
      <c r="C178" s="1262" t="str">
        <f>CONCATENATE('ketv. 2lent'!B176)</f>
        <v>05.5.1-APVA-R-019-11-0005</v>
      </c>
      <c r="D178" s="515" t="str">
        <f>CONCATENATE('IV-2 dsa'!C76)</f>
        <v>Bešeimininkių apleistų pastatų Druskininkų savivaldybės teritorijoje likvidavimas</v>
      </c>
      <c r="E178" s="515" t="str">
        <f>CONCATENATE('IV-2 dsa'!D76)</f>
        <v>Druskininkų savivaldybės administracija</v>
      </c>
      <c r="F178" s="515" t="str">
        <f>CONCATENATE('IV-2 dsa'!E76)</f>
        <v>Lietuvos Respublikos aplinkos ministerija</v>
      </c>
      <c r="G178" s="515" t="str">
        <f>CONCATENATE('IV-2 dsa'!F76)</f>
        <v>Druskininkų savivaldybė</v>
      </c>
      <c r="H178" s="518" t="str">
        <f>CONCATENATE('IV-2 dsa'!G76)</f>
        <v>05.5.1-APVA-R-019</v>
      </c>
      <c r="I178" s="518" t="str">
        <f>CONCATENATE('IV-2 dsa'!H76)</f>
        <v>R</v>
      </c>
      <c r="J178" s="518" t="str">
        <f>CONCATENATE('IV-2 dsa'!I76)</f>
        <v>-</v>
      </c>
      <c r="K178" s="518" t="str">
        <f>CONCATENATE('IV-2 dsa'!J76)</f>
        <v>-</v>
      </c>
      <c r="L178" s="516">
        <f>SUM('IV-2 dsa'!K76)</f>
        <v>121153.55</v>
      </c>
      <c r="M178" s="516">
        <f>SUM('ketv. 6 lent'!K177)</f>
        <v>121153.55</v>
      </c>
      <c r="N178" s="516">
        <f t="shared" si="264"/>
        <v>0</v>
      </c>
      <c r="O178" s="516">
        <f>SUM('IV-2 dsa'!L76)</f>
        <v>18173.03</v>
      </c>
      <c r="P178" s="516">
        <f>SUM('ketv. 6 lent'!O177)</f>
        <v>18173.03</v>
      </c>
      <c r="Q178" s="516">
        <f>IF(P178&gt;0,O178-P178,0)</f>
        <v>0</v>
      </c>
      <c r="R178" s="516">
        <f>SUM('IV-2 dsa'!M76)</f>
        <v>0</v>
      </c>
      <c r="S178" s="516">
        <f>SUM('ketv. 6 lent'!S177)</f>
        <v>0</v>
      </c>
      <c r="T178" s="516">
        <f t="shared" si="265"/>
        <v>0</v>
      </c>
      <c r="U178" s="516">
        <f>SUM('IV-2 dsa'!N76)</f>
        <v>0</v>
      </c>
      <c r="V178" s="516">
        <f>SUM('ketv. 6 lent'!W177)</f>
        <v>0</v>
      </c>
      <c r="W178" s="516">
        <f t="shared" si="266"/>
        <v>0</v>
      </c>
      <c r="X178" s="516">
        <f>SUM('IV-2 dsa'!O76)</f>
        <v>0</v>
      </c>
      <c r="Y178" s="516">
        <f>SUM('ketv. 6 lent'!AA177)</f>
        <v>0</v>
      </c>
      <c r="Z178" s="516">
        <f t="shared" si="267"/>
        <v>0</v>
      </c>
      <c r="AA178" s="516">
        <f>SUM('IV-2 dsa'!P76)</f>
        <v>102980.52</v>
      </c>
      <c r="AB178" s="468" t="str">
        <f>IF('ketv. 4 lent'!V177&gt;0,"Taip","Ne")</f>
        <v>Taip</v>
      </c>
      <c r="AC178" s="468">
        <f>SUM('ketv. 6 lent'!AE177)</f>
        <v>102980.52</v>
      </c>
      <c r="AD178" s="468">
        <f t="shared" si="268"/>
        <v>0</v>
      </c>
      <c r="AE178" s="1113">
        <f>SUM('IV-2 dsa'!Q76)</f>
        <v>42598</v>
      </c>
      <c r="AF178" s="587">
        <f>SUM('IV-2 dsa'!R76)</f>
        <v>42704</v>
      </c>
      <c r="AG178" s="587">
        <f>SUM('IV-2 dsa'!S76)</f>
        <v>42884</v>
      </c>
      <c r="AH178" s="587">
        <f>SUM('IV-2 dsa'!T76)</f>
        <v>42978</v>
      </c>
      <c r="AI178" s="589">
        <f t="shared" si="269"/>
        <v>2017</v>
      </c>
      <c r="AJ178" s="1263">
        <f>SUM('IV-2 dsa'!U76)</f>
        <v>43465</v>
      </c>
      <c r="AK178" s="468">
        <f t="shared" si="270"/>
        <v>0</v>
      </c>
      <c r="AL178" s="468">
        <f t="shared" si="271"/>
        <v>102980.52</v>
      </c>
      <c r="AM178" s="468">
        <f t="shared" si="272"/>
        <v>0</v>
      </c>
      <c r="AN178" s="468">
        <f t="shared" si="273"/>
        <v>0</v>
      </c>
      <c r="AO178" s="1264">
        <f t="shared" si="274"/>
        <v>0</v>
      </c>
      <c r="AP178" s="594"/>
      <c r="AQ178" s="88"/>
      <c r="AR178" s="88"/>
    </row>
    <row r="179" spans="1:44" ht="39.75" thickTop="1" thickBot="1" x14ac:dyDescent="0.3">
      <c r="A179" s="515" t="s">
        <v>299</v>
      </c>
      <c r="B179" s="515" t="s">
        <v>1666</v>
      </c>
      <c r="C179" s="1262" t="str">
        <f>CONCATENATE('ketv. 2lent'!B177)</f>
        <v>05.5.1-APVA-R-019-11-0003</v>
      </c>
      <c r="D179" s="515" t="str">
        <f>CONCATENATE('IV-2 lrsa'!D70)</f>
        <v>Kraštovaizdžio formavimas Lazdijų rajono savivaldybėje</v>
      </c>
      <c r="E179" s="515" t="str">
        <f>CONCATENATE('IV-2 lrsa'!E70)</f>
        <v>Lazdijų rajono savivaldybės administracija</v>
      </c>
      <c r="F179" s="515" t="str">
        <f>CONCATENATE('IV-2 lrsa'!F70)</f>
        <v>Lietuvos Respublikos aplinkos ministerija</v>
      </c>
      <c r="G179" s="515" t="str">
        <f>CONCATENATE('IV-2 lrsa'!G70)</f>
        <v>Lazdijų rajono savivaldybė</v>
      </c>
      <c r="H179" s="518" t="str">
        <f>CONCATENATE('IV-2 lrsa'!H70)</f>
        <v>05.5.1-APVA-R-019</v>
      </c>
      <c r="I179" s="518" t="str">
        <f>CONCATENATE('IV-2 lrsa'!I70)</f>
        <v>R</v>
      </c>
      <c r="J179" s="518" t="str">
        <f>CONCATENATE('IV-2 lrsa'!J70)</f>
        <v>-</v>
      </c>
      <c r="K179" s="518" t="str">
        <f>CONCATENATE('IV-2 lrsa'!K70)</f>
        <v>-</v>
      </c>
      <c r="L179" s="516">
        <f>SUM('IV-2 lrsa'!L70)</f>
        <v>442298.58999999997</v>
      </c>
      <c r="M179" s="516">
        <f>SUM('ketv. 6 lent'!K178)</f>
        <v>442298.59</v>
      </c>
      <c r="N179" s="516">
        <f t="shared" si="264"/>
        <v>-5.8207660913467407E-11</v>
      </c>
      <c r="O179" s="516">
        <f>SUM('IV-2 lrsa'!M70)</f>
        <v>66344.78</v>
      </c>
      <c r="P179" s="516">
        <f>SUM('ketv. 6 lent'!O178)</f>
        <v>66344.780000000028</v>
      </c>
      <c r="Q179" s="516">
        <f>IF(P179&gt;0,O179-P179,0)</f>
        <v>-2.9103830456733704E-11</v>
      </c>
      <c r="R179" s="516">
        <f>SUM('IV-2 lrsa'!N70)</f>
        <v>0</v>
      </c>
      <c r="S179" s="516">
        <f>SUM('ketv. 6 lent'!S178)</f>
        <v>0</v>
      </c>
      <c r="T179" s="516">
        <f t="shared" si="265"/>
        <v>0</v>
      </c>
      <c r="U179" s="516">
        <f>SUM('IV-2 lrsa'!O70)</f>
        <v>0</v>
      </c>
      <c r="V179" s="516">
        <f>SUM('ketv. 6 lent'!W178)</f>
        <v>0</v>
      </c>
      <c r="W179" s="516">
        <f t="shared" si="266"/>
        <v>0</v>
      </c>
      <c r="X179" s="516">
        <f>SUM('IV-2 lrsa'!P70)</f>
        <v>0</v>
      </c>
      <c r="Y179" s="516">
        <f>SUM('ketv. 6 lent'!AA178)</f>
        <v>0</v>
      </c>
      <c r="Z179" s="516">
        <f t="shared" si="267"/>
        <v>0</v>
      </c>
      <c r="AA179" s="516">
        <f>SUM('IV-2 lrsa'!Q70)</f>
        <v>375953.81</v>
      </c>
      <c r="AB179" s="468" t="str">
        <f>IF('ketv. 4 lent'!V178&gt;0,"Taip","Ne")</f>
        <v>Taip</v>
      </c>
      <c r="AC179" s="468">
        <f>SUM('ketv. 6 lent'!AE178)</f>
        <v>375953.81</v>
      </c>
      <c r="AD179" s="468">
        <f t="shared" si="268"/>
        <v>0</v>
      </c>
      <c r="AE179" s="1113">
        <f>SUM('IV-2 lrsa'!R70)</f>
        <v>42598</v>
      </c>
      <c r="AF179" s="587">
        <f>SUM('IV-2 lrsa'!S70)</f>
        <v>42704</v>
      </c>
      <c r="AG179" s="587">
        <f>SUM('IV-2 lrsa'!T70)</f>
        <v>42825</v>
      </c>
      <c r="AH179" s="587">
        <f>SUM('IV-2 lrsa'!U70)</f>
        <v>42916</v>
      </c>
      <c r="AI179" s="589">
        <f t="shared" si="269"/>
        <v>2017</v>
      </c>
      <c r="AJ179" s="1263">
        <f>SUM('IV-2 lrsa'!V70)</f>
        <v>43646</v>
      </c>
      <c r="AK179" s="468">
        <f t="shared" si="270"/>
        <v>0</v>
      </c>
      <c r="AL179" s="468">
        <f t="shared" si="271"/>
        <v>375953.81</v>
      </c>
      <c r="AM179" s="468">
        <f t="shared" si="272"/>
        <v>0</v>
      </c>
      <c r="AN179" s="468">
        <f t="shared" si="273"/>
        <v>0</v>
      </c>
      <c r="AO179" s="1264">
        <f t="shared" si="274"/>
        <v>0</v>
      </c>
      <c r="AP179" s="594"/>
      <c r="AQ179" s="88"/>
      <c r="AR179" s="88"/>
    </row>
    <row r="180" spans="1:44" ht="39.75" thickTop="1" thickBot="1" x14ac:dyDescent="0.3">
      <c r="A180" s="515" t="s">
        <v>406</v>
      </c>
      <c r="B180" s="515" t="s">
        <v>1751</v>
      </c>
      <c r="C180" s="1262" t="str">
        <f>CONCATENATE('ketv. 2lent'!B178)</f>
        <v/>
      </c>
      <c r="D180" s="515" t="str">
        <f>CONCATENATE('IV-2 lrsa'!D71)</f>
        <v>Kraštovaizdžio formavimas Lazdijų rajono savivaldybėje (II etapas)</v>
      </c>
      <c r="E180" s="515" t="str">
        <f>CONCATENATE('IV-2 lrsa'!E71)</f>
        <v>Lazdijų rajono savivaldybės administracija</v>
      </c>
      <c r="F180" s="515" t="str">
        <f>CONCATENATE('IV-2 lrsa'!F71)</f>
        <v>Lietuvos Respublikos aplinkos ministerija</v>
      </c>
      <c r="G180" s="515" t="str">
        <f>CONCATENATE('IV-2 lrsa'!G71)</f>
        <v>Lazdijų rajono savivaldybė</v>
      </c>
      <c r="H180" s="518" t="str">
        <f>CONCATENATE('IV-2 lrsa'!H71)</f>
        <v>05.5.1-APVA-R-019</v>
      </c>
      <c r="I180" s="518" t="str">
        <f>CONCATENATE('IV-2 lrsa'!I71)</f>
        <v>R</v>
      </c>
      <c r="J180" s="518" t="str">
        <f>CONCATENATE('IV-2 lrsa'!J71)</f>
        <v>-</v>
      </c>
      <c r="K180" s="518" t="str">
        <f>CONCATENATE('IV-2 lrsa'!K71)</f>
        <v>-</v>
      </c>
      <c r="L180" s="516">
        <f>SUM('IV-2 lrsa'!L71)</f>
        <v>149792.22</v>
      </c>
      <c r="M180" s="516">
        <f>SUM('ketv. 6 lent'!K179)</f>
        <v>0</v>
      </c>
      <c r="N180" s="516">
        <f t="shared" si="264"/>
        <v>0</v>
      </c>
      <c r="O180" s="516">
        <f>SUM('IV-2 lrsa'!M71)</f>
        <v>22468.83</v>
      </c>
      <c r="P180" s="516">
        <f>SUM('ketv. 6 lent'!O179)</f>
        <v>0</v>
      </c>
      <c r="Q180" s="516">
        <f t="shared" si="275"/>
        <v>0</v>
      </c>
      <c r="R180" s="516">
        <f>SUM('IV-2 lrsa'!N71)</f>
        <v>0</v>
      </c>
      <c r="S180" s="516">
        <f>SUM('ketv. 6 lent'!S179)</f>
        <v>0</v>
      </c>
      <c r="T180" s="516">
        <f t="shared" si="265"/>
        <v>0</v>
      </c>
      <c r="U180" s="516">
        <f>SUM('IV-2 lrsa'!O71)</f>
        <v>0</v>
      </c>
      <c r="V180" s="516">
        <f>SUM('ketv. 6 lent'!W179)</f>
        <v>0</v>
      </c>
      <c r="W180" s="516">
        <f t="shared" si="266"/>
        <v>0</v>
      </c>
      <c r="X180" s="516">
        <f>SUM('IV-2 lrsa'!P71)</f>
        <v>0</v>
      </c>
      <c r="Y180" s="516">
        <f>SUM('ketv. 6 lent'!AA179)</f>
        <v>0</v>
      </c>
      <c r="Z180" s="516">
        <f t="shared" si="267"/>
        <v>0</v>
      </c>
      <c r="AA180" s="516">
        <f>SUM('IV-2 lrsa'!Q71)</f>
        <v>127323.39</v>
      </c>
      <c r="AB180" s="468" t="str">
        <f>IF('ketv. 4 lent'!V179&gt;0,"Taip","Ne")</f>
        <v>Ne</v>
      </c>
      <c r="AC180" s="468">
        <f>SUM('ketv. 6 lent'!AE179)</f>
        <v>0</v>
      </c>
      <c r="AD180" s="468">
        <f t="shared" si="268"/>
        <v>0</v>
      </c>
      <c r="AE180" s="1113">
        <f>SUM('IV-2 lrsa'!R71)</f>
        <v>43277</v>
      </c>
      <c r="AF180" s="587">
        <v>43343</v>
      </c>
      <c r="AG180" s="587">
        <v>43434</v>
      </c>
      <c r="AH180" s="587">
        <v>43495</v>
      </c>
      <c r="AI180" s="589">
        <f t="shared" si="269"/>
        <v>2019</v>
      </c>
      <c r="AJ180" s="1263">
        <v>44469</v>
      </c>
      <c r="AK180" s="468">
        <f t="shared" si="270"/>
        <v>0</v>
      </c>
      <c r="AL180" s="468">
        <f t="shared" si="271"/>
        <v>0</v>
      </c>
      <c r="AM180" s="468">
        <f t="shared" si="272"/>
        <v>0</v>
      </c>
      <c r="AN180" s="468">
        <f t="shared" si="273"/>
        <v>127323.39</v>
      </c>
      <c r="AO180" s="1264">
        <f t="shared" si="274"/>
        <v>0</v>
      </c>
      <c r="AP180" s="594"/>
      <c r="AQ180" s="88"/>
      <c r="AR180" s="88"/>
    </row>
    <row r="181" spans="1:44" ht="39.75" thickTop="1" thickBot="1" x14ac:dyDescent="0.3">
      <c r="A181" s="515" t="s">
        <v>642</v>
      </c>
      <c r="B181" s="515" t="s">
        <v>1667</v>
      </c>
      <c r="C181" s="1262" t="str">
        <f>CONCATENATE('ketv. 2lent'!B179)</f>
        <v/>
      </c>
      <c r="D181" s="515" t="str">
        <f>CONCATENATE('IV-2 arsa'!C72)</f>
        <v>Bešeimininkių apleistų pastatų ir įrenginių tvarkymas Alytaus rajono savivaldybėje (II etapas)</v>
      </c>
      <c r="E181" s="515" t="str">
        <f>CONCATENATE('IV-2 arsa'!D72)</f>
        <v>Alytaus rajono savivaldybės administracija</v>
      </c>
      <c r="F181" s="515" t="str">
        <f>CONCATENATE('IV-2 arsa'!E72)</f>
        <v>Lietuvos Respublikos aplinkos ministerija</v>
      </c>
      <c r="G181" s="515" t="str">
        <f>CONCATENATE('IV-2 arsa'!F72)</f>
        <v>Alytaus rajono savivaldybė</v>
      </c>
      <c r="H181" s="518" t="str">
        <f>CONCATENATE('IV-2 arsa'!G72)</f>
        <v>05.5.1-APVA-R-019</v>
      </c>
      <c r="I181" s="518" t="str">
        <f>CONCATENATE('IV-2 arsa'!H72)</f>
        <v>R</v>
      </c>
      <c r="J181" s="518" t="str">
        <f>CONCATENATE('IV-2 arsa'!I72)</f>
        <v>-</v>
      </c>
      <c r="K181" s="518" t="str">
        <f>CONCATENATE('IV-2 arsa'!J72)</f>
        <v>-</v>
      </c>
      <c r="L181" s="516">
        <f>SUM('IV-2 arsa'!K72)</f>
        <v>736537.6470588235</v>
      </c>
      <c r="M181" s="516">
        <f>SUM('ketv. 6 lent'!K180)</f>
        <v>0</v>
      </c>
      <c r="N181" s="516">
        <f t="shared" si="264"/>
        <v>0</v>
      </c>
      <c r="O181" s="516">
        <f>SUM('IV-2 arsa'!L72)</f>
        <v>110480.64705882352</v>
      </c>
      <c r="P181" s="516">
        <f>SUM('ketv. 6 lent'!O180)</f>
        <v>0</v>
      </c>
      <c r="Q181" s="516">
        <f t="shared" si="275"/>
        <v>0</v>
      </c>
      <c r="R181" s="516">
        <f>SUM('IV-2 arsa'!M72)</f>
        <v>0</v>
      </c>
      <c r="S181" s="516">
        <f>SUM('ketv. 6 lent'!S180)</f>
        <v>0</v>
      </c>
      <c r="T181" s="516">
        <f t="shared" si="265"/>
        <v>0</v>
      </c>
      <c r="U181" s="516">
        <f>SUM('IV-2 arsa'!N72)</f>
        <v>0</v>
      </c>
      <c r="V181" s="516">
        <f>SUM('ketv. 6 lent'!W180)</f>
        <v>0</v>
      </c>
      <c r="W181" s="516">
        <f t="shared" si="266"/>
        <v>0</v>
      </c>
      <c r="X181" s="516">
        <f>SUM('IV-2 arsa'!O72)</f>
        <v>0</v>
      </c>
      <c r="Y181" s="516">
        <f>SUM('ketv. 6 lent'!AA180)</f>
        <v>0</v>
      </c>
      <c r="Z181" s="516">
        <f t="shared" si="267"/>
        <v>0</v>
      </c>
      <c r="AA181" s="516">
        <f>SUM('IV-2 arsa'!P72)</f>
        <v>626057</v>
      </c>
      <c r="AB181" s="468"/>
      <c r="AC181" s="468">
        <f>SUM('ketv. 6 lent'!AE180)</f>
        <v>0</v>
      </c>
      <c r="AD181" s="468">
        <f t="shared" si="268"/>
        <v>0</v>
      </c>
      <c r="AE181" s="1113">
        <f>SUM('IV-2 arsa'!Q72)</f>
        <v>43128</v>
      </c>
      <c r="AF181" s="587">
        <f>SUM('IV-2 arsa'!R72)</f>
        <v>43159</v>
      </c>
      <c r="AG181" s="587">
        <f>SUM('IV-2 arsa'!S72)</f>
        <v>43222</v>
      </c>
      <c r="AH181" s="587">
        <f>SUM('IV-2 arsa'!T72)</f>
        <v>43342</v>
      </c>
      <c r="AI181" s="589">
        <f t="shared" si="269"/>
        <v>2018</v>
      </c>
      <c r="AJ181" s="1263">
        <f>SUM('IV-2 arsa'!U72)</f>
        <v>43830</v>
      </c>
      <c r="AK181" s="468">
        <f t="shared" si="270"/>
        <v>0</v>
      </c>
      <c r="AL181" s="468">
        <f t="shared" si="271"/>
        <v>0</v>
      </c>
      <c r="AM181" s="468">
        <f t="shared" si="272"/>
        <v>626057</v>
      </c>
      <c r="AN181" s="468">
        <f t="shared" si="273"/>
        <v>0</v>
      </c>
      <c r="AO181" s="1264">
        <f t="shared" si="274"/>
        <v>0</v>
      </c>
      <c r="AP181" s="594"/>
      <c r="AQ181" s="88"/>
      <c r="AR181" s="88"/>
    </row>
    <row r="182" spans="1:44" ht="39" thickBot="1" x14ac:dyDescent="0.3">
      <c r="A182" s="515" t="s">
        <v>1747</v>
      </c>
      <c r="B182" s="515" t="s">
        <v>1748</v>
      </c>
      <c r="C182" s="518" t="str">
        <f>CONCATENATE('ketv. 2lent'!B181)</f>
        <v/>
      </c>
      <c r="D182" s="515" t="str">
        <f>CONCATENATE('IV-2 dsa'!C77)</f>
        <v>Etaloninio kraštovaizdžio formavimas Druskininkų savivaldybės pasienyje</v>
      </c>
      <c r="E182" s="515" t="str">
        <f>CONCATENATE('IV-2 dsa'!D77)</f>
        <v>Druskininkų savivaldybės administracija</v>
      </c>
      <c r="F182" s="515" t="str">
        <f>CONCATENATE('IV-2 dsa'!E77)</f>
        <v>Lietuvos Respublikos aplinkos ministerija</v>
      </c>
      <c r="G182" s="515" t="str">
        <f>CONCATENATE('IV-2 dsa'!F77)</f>
        <v>Druskininkų savivaldybė</v>
      </c>
      <c r="H182" s="515" t="str">
        <f>CONCATENATE('IV-2 dsa'!G77)</f>
        <v>05.5.1-APVA-R-019</v>
      </c>
      <c r="I182" s="515" t="str">
        <f>CONCATENATE('IV-2 dsa'!H77)</f>
        <v>R</v>
      </c>
      <c r="J182" s="515" t="str">
        <f>CONCATENATE('IV-2 dsa'!I77)</f>
        <v>-</v>
      </c>
      <c r="K182" s="515" t="str">
        <f>CONCATENATE('IV-2 dsa'!J77)</f>
        <v>-</v>
      </c>
      <c r="L182" s="516">
        <f>SUM('IV-2 dsa'!K77)</f>
        <v>88524.094117647051</v>
      </c>
      <c r="M182" s="516">
        <f>SUM('ketv. 6 lent'!K182)</f>
        <v>0</v>
      </c>
      <c r="N182" s="516">
        <f t="shared" ref="N182" si="276">IF(M182&gt;0,L182-M182,0)</f>
        <v>0</v>
      </c>
      <c r="O182" s="516">
        <f>SUM('IV-2 dsa'!L77)</f>
        <v>13278.614117647059</v>
      </c>
      <c r="P182" s="516">
        <f>SUM('ketv. 6 lent'!O182)</f>
        <v>0</v>
      </c>
      <c r="Q182" s="516">
        <f t="shared" ref="Q182" si="277">IF(P182&gt;0,O182-P182,0)</f>
        <v>0</v>
      </c>
      <c r="R182" s="516">
        <f>SUM('IV-2 dsa'!M77)</f>
        <v>0</v>
      </c>
      <c r="S182" s="516">
        <f>SUM('ketv. 6 lent'!S182)</f>
        <v>0</v>
      </c>
      <c r="T182" s="516">
        <f t="shared" ref="T182" si="278">IF(S182&gt;0,R182-S182,0)</f>
        <v>0</v>
      </c>
      <c r="U182" s="516">
        <f>SUM('IV-2 dsa'!N77)</f>
        <v>0</v>
      </c>
      <c r="V182" s="516">
        <f>SUM('ketv. 6 lent'!W182)</f>
        <v>0</v>
      </c>
      <c r="W182" s="516">
        <f t="shared" ref="W182" si="279">IF(V182&gt;0,U182-V182,0)</f>
        <v>0</v>
      </c>
      <c r="X182" s="516">
        <f>SUM('IV-2 dsa'!O77)</f>
        <v>0</v>
      </c>
      <c r="Y182" s="516">
        <f>SUM('ketv. 6 lent'!AA182)</f>
        <v>0</v>
      </c>
      <c r="Z182" s="516">
        <f t="shared" ref="Z182" si="280">IF(Y182&gt;0,X182-Y182,0)</f>
        <v>0</v>
      </c>
      <c r="AA182" s="516">
        <f>SUM('IV-2 dsa'!P77)</f>
        <v>75245.48</v>
      </c>
      <c r="AB182" s="468"/>
      <c r="AC182" s="468">
        <f>SUM('ketv. 6 lent'!AE182)</f>
        <v>0</v>
      </c>
      <c r="AD182" s="468">
        <f t="shared" ref="AD182" si="281">IF(AC182&gt;0,AA182-AC182,0)</f>
        <v>0</v>
      </c>
      <c r="AE182" s="1113">
        <f>SUM('IV-2 arsa'!Q74)</f>
        <v>0</v>
      </c>
      <c r="AF182" s="587">
        <f>SUM('IV-2 dsa'!R77)</f>
        <v>43373</v>
      </c>
      <c r="AG182" s="587">
        <f>SUM('IV-2 dsa'!S77)</f>
        <v>43554</v>
      </c>
      <c r="AH182" s="587">
        <f>SUM('IV-2 dsa'!T77)</f>
        <v>43647</v>
      </c>
      <c r="AI182" s="589">
        <f t="shared" ref="AI182" si="282">IF(YEAR(AH182),YEAR(AH182))</f>
        <v>2019</v>
      </c>
      <c r="AJ182" s="1263">
        <f>SUM('IV-2 dsa'!U77)</f>
        <v>44196</v>
      </c>
      <c r="AK182" s="468">
        <f t="shared" ref="AK182" si="283">IF(YEAR(AH182)=2016,AA182,0)</f>
        <v>0</v>
      </c>
      <c r="AL182" s="468">
        <f t="shared" ref="AL182" si="284">IF(YEAR(AH182)=2017,AA182,0)</f>
        <v>0</v>
      </c>
      <c r="AM182" s="468">
        <f t="shared" ref="AM182" si="285">IF(YEAR(AH182)=2018,AA182,0)</f>
        <v>0</v>
      </c>
      <c r="AN182" s="468">
        <f t="shared" ref="AN182" si="286">IF(YEAR(AH182)=2019,AA182,0)</f>
        <v>75245.48</v>
      </c>
      <c r="AO182" s="1264">
        <f t="shared" ref="AO182" si="287">IF(YEAR(AH182)=2020,AA182,0)</f>
        <v>0</v>
      </c>
      <c r="AP182" s="594"/>
      <c r="AQ182" s="88"/>
      <c r="AR182" s="88"/>
    </row>
    <row r="183" spans="1:44" ht="15.75" thickBot="1" x14ac:dyDescent="0.3">
      <c r="L183" s="1308">
        <f>SUM(L7+L100+L168)</f>
        <v>66508918.586470574</v>
      </c>
      <c r="M183" s="1309"/>
      <c r="N183" s="1309"/>
      <c r="O183" s="1309">
        <f>SUM(O7+O100+O168)</f>
        <v>7520833.0664705876</v>
      </c>
      <c r="P183" s="1309"/>
      <c r="Q183" s="1309"/>
      <c r="R183" s="1309">
        <f>SUM(R7+R100+R168)</f>
        <v>2011565.093783784</v>
      </c>
      <c r="S183" s="1309"/>
      <c r="T183" s="1309"/>
      <c r="U183" s="1309">
        <f>SUM(U7+U100+U168)</f>
        <v>8679113.3399999999</v>
      </c>
      <c r="V183" s="1309"/>
      <c r="W183" s="1309"/>
      <c r="X183" s="1309">
        <f>SUM(X7+X100+X168)</f>
        <v>62660</v>
      </c>
      <c r="Y183" s="1309"/>
      <c r="Z183" s="1309"/>
      <c r="AA183" s="1309">
        <f>SUM(AA7+AA100+AA168)</f>
        <v>48062973.786216214</v>
      </c>
      <c r="AB183" s="1310"/>
      <c r="AC183" s="1310"/>
      <c r="AD183" s="1310"/>
      <c r="AE183" s="1310"/>
      <c r="AK183" s="1131">
        <f>SUM(O183:AA183)</f>
        <v>66337145.286470585</v>
      </c>
      <c r="AL183" s="1131"/>
      <c r="AM183" s="1131"/>
      <c r="AN183" s="1131"/>
      <c r="AO183" s="1131"/>
      <c r="AP183" s="1309"/>
      <c r="AQ183" s="1309"/>
      <c r="AR183" s="1309"/>
    </row>
    <row r="184" spans="1:44" x14ac:dyDescent="0.25">
      <c r="O184" s="1311"/>
      <c r="P184" s="1311"/>
      <c r="Q184" s="1311"/>
    </row>
    <row r="188" spans="1:44" x14ac:dyDescent="0.25">
      <c r="O188" s="1131"/>
      <c r="P188" s="1131"/>
      <c r="Q188" s="1131"/>
      <c r="U188" s="1311"/>
      <c r="V188" s="1311"/>
      <c r="W188" s="1311"/>
    </row>
  </sheetData>
  <autoFilter ref="A1:AJ188"/>
  <mergeCells count="42">
    <mergeCell ref="B172:K172"/>
    <mergeCell ref="B173:K173"/>
    <mergeCell ref="B160:K160"/>
    <mergeCell ref="B161:K161"/>
    <mergeCell ref="B168:K168"/>
    <mergeCell ref="B169:K169"/>
    <mergeCell ref="B170:K170"/>
    <mergeCell ref="B135:K135"/>
    <mergeCell ref="B141:K141"/>
    <mergeCell ref="B147:K147"/>
    <mergeCell ref="B148:K148"/>
    <mergeCell ref="B154:K154"/>
    <mergeCell ref="AR3:AR4"/>
    <mergeCell ref="AQ3:AQ4"/>
    <mergeCell ref="A3:K3"/>
    <mergeCell ref="L3:AA3"/>
    <mergeCell ref="AP3:AP4"/>
    <mergeCell ref="AC3:AD3"/>
    <mergeCell ref="AE3:AO3"/>
    <mergeCell ref="B121:K121"/>
    <mergeCell ref="B56:K56"/>
    <mergeCell ref="B62:K62"/>
    <mergeCell ref="B8:K8"/>
    <mergeCell ref="B9:K9"/>
    <mergeCell ref="B33:K33"/>
    <mergeCell ref="B39:K39"/>
    <mergeCell ref="B46:K46"/>
    <mergeCell ref="B67:K67"/>
    <mergeCell ref="B73:K73"/>
    <mergeCell ref="B74:K74"/>
    <mergeCell ref="B79:K79"/>
    <mergeCell ref="B86:K86"/>
    <mergeCell ref="B92:K92"/>
    <mergeCell ref="B100:K100"/>
    <mergeCell ref="B101:K101"/>
    <mergeCell ref="B7:K7"/>
    <mergeCell ref="B50:K50"/>
    <mergeCell ref="B114:K114"/>
    <mergeCell ref="D58:K58"/>
    <mergeCell ref="B120:K120"/>
    <mergeCell ref="B102:K102"/>
    <mergeCell ref="B108:K108"/>
  </mergeCells>
  <pageMargins left="0.25" right="0.25" top="0.75" bottom="0.75" header="0.3" footer="0.3"/>
  <pageSetup paperSize="8" scale="73" fitToHeight="0" orientation="landscape" r:id="rId1"/>
  <headerFooter>
    <oddHeader>&amp;C&amp;"Times New Roman,Paprastas"&amp;12Alytaus regiono 2014 – 2020 metų plėtros planas</oddHeader>
  </headerFooter>
  <ignoredErrors>
    <ignoredError sqref="AD79 N86 Q86 T86 W86 Z86 AD86 AK86:AO86 Z92 AD92 N108 Q108 T108 W108 Z108 AD108 AK108:AO108 N114 Q114 T114 W114 Z114 AD114 AK114:AO114 N135 Q135 T135 W135 Z135 AD135 N154 Q154 T154 W154 Z154 AD154 AK154:AO154 O170 R170 U170 X170 AA170 N33 Q33 T33 W33 Z33 AD33 AK33:AO33 N46 Q46 T46 W46 Z46 AD46 AK46:AO46 N50 Q50 T50 W50 Z50 AD50 AK50:AO50 N56:O56 Q56:R56 T56:U56 W56:X56 Z79 AK67:AO67 AD67 Z67 W67 T67 Q67 N67 AK62:AO62 AD62 Z62 W62 T62 Q62 N62 AK58:AO58 AD58 Z58 W58 T58 Q58 N58 AK56:AO56 AD56 Z56" formula="1"/>
  </ignoredError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5"/>
  <sheetViews>
    <sheetView workbookViewId="0">
      <pane ySplit="1575" topLeftCell="A31" activePane="bottomLeft"/>
      <selection activeCell="C3" sqref="A1:J3"/>
      <selection pane="bottomLeft" activeCell="E31" sqref="E31"/>
    </sheetView>
  </sheetViews>
  <sheetFormatPr defaultRowHeight="15" x14ac:dyDescent="0.25"/>
  <cols>
    <col min="1" max="1" width="9.140625" bestFit="1" customWidth="1"/>
    <col min="2" max="2" width="51.7109375" customWidth="1"/>
    <col min="3" max="3" width="7.5703125" bestFit="1" customWidth="1"/>
    <col min="4" max="4" width="5.7109375" bestFit="1" customWidth="1"/>
    <col min="5" max="6" width="7.28515625" bestFit="1" customWidth="1"/>
    <col min="7" max="12" width="9" bestFit="1" customWidth="1"/>
    <col min="13" max="13" width="5.5703125" bestFit="1" customWidth="1"/>
  </cols>
  <sheetData>
    <row r="1" spans="1:12" x14ac:dyDescent="0.25">
      <c r="A1" s="1793" t="s">
        <v>795</v>
      </c>
      <c r="B1" s="1807"/>
      <c r="C1" s="1807"/>
      <c r="D1" s="1807"/>
      <c r="E1" s="1807"/>
      <c r="F1" s="1807"/>
      <c r="G1" s="1807"/>
      <c r="H1" s="1807"/>
      <c r="I1" s="1807"/>
      <c r="J1" s="1807"/>
    </row>
    <row r="2" spans="1:12" ht="15.75" thickBot="1" x14ac:dyDescent="0.3"/>
    <row r="3" spans="1:12" ht="32.25" thickBot="1" x14ac:dyDescent="0.3">
      <c r="A3" s="1092" t="s">
        <v>393</v>
      </c>
      <c r="B3" s="1093" t="s">
        <v>796</v>
      </c>
      <c r="C3" s="1093" t="s">
        <v>787</v>
      </c>
      <c r="D3" s="1093">
        <v>2015</v>
      </c>
      <c r="E3" s="1093">
        <v>2016</v>
      </c>
      <c r="F3" s="1093">
        <v>2017</v>
      </c>
      <c r="G3" s="1093">
        <v>2018</v>
      </c>
      <c r="H3" s="1093">
        <v>2019</v>
      </c>
      <c r="I3" s="1093">
        <v>2020</v>
      </c>
      <c r="J3" s="1093">
        <v>2021</v>
      </c>
      <c r="K3" s="1093">
        <v>2022</v>
      </c>
      <c r="L3" s="1094">
        <v>2023</v>
      </c>
    </row>
    <row r="4" spans="1:12" ht="45" x14ac:dyDescent="0.25">
      <c r="A4" s="1090" t="s">
        <v>477</v>
      </c>
      <c r="B4" s="1090" t="s">
        <v>478</v>
      </c>
      <c r="C4" s="1091"/>
      <c r="D4" s="1091">
        <v>0</v>
      </c>
      <c r="E4" s="1091">
        <v>0</v>
      </c>
      <c r="F4" s="1091">
        <f>CONCATENATE('3 pr-3'!N9)+E4</f>
        <v>0</v>
      </c>
      <c r="G4" s="1091">
        <f>CONCATENATE('3 pr-3'!O9)+F4</f>
        <v>0</v>
      </c>
      <c r="H4" s="1091">
        <f>CONCATENATE('3 pr-3'!P9)+G4</f>
        <v>0</v>
      </c>
      <c r="I4" s="1091">
        <f>CONCATENATE('3 pr-3'!Q9)+H4</f>
        <v>0</v>
      </c>
      <c r="J4" s="1091">
        <f>CONCATENATE('3 pr-3'!R9)+I4</f>
        <v>0</v>
      </c>
      <c r="K4" s="1091">
        <f>CONCATENATE('3 pr-3'!S9)+J4</f>
        <v>0</v>
      </c>
      <c r="L4" s="1091">
        <f>CONCATENATE('3 pr-3'!T9)+K4</f>
        <v>0</v>
      </c>
    </row>
    <row r="5" spans="1:12" ht="60" x14ac:dyDescent="0.25">
      <c r="A5" s="1076" t="s">
        <v>479</v>
      </c>
      <c r="B5" s="1076" t="s">
        <v>480</v>
      </c>
      <c r="C5" s="1077"/>
      <c r="D5" s="1077">
        <v>0</v>
      </c>
      <c r="E5" s="1077">
        <v>0</v>
      </c>
      <c r="F5" s="1048">
        <f>CONCATENATE('3 pr-3'!AH9)+E5</f>
        <v>0</v>
      </c>
      <c r="G5" s="1048">
        <f>CONCATENATE('3 pr-3'!AI9)+F5</f>
        <v>0</v>
      </c>
      <c r="H5" s="1048">
        <f>CONCATENATE('3 pr-3'!AJ9)+G5</f>
        <v>0</v>
      </c>
      <c r="I5" s="1048">
        <f>CONCATENATE('3 pr-3'!AK9)+H5</f>
        <v>0</v>
      </c>
      <c r="J5" s="1048">
        <f>CONCATENATE('3 pr-3'!AL9)+I5</f>
        <v>0</v>
      </c>
      <c r="K5" s="1048">
        <f>CONCATENATE('3 pr-3'!AM9)+J5</f>
        <v>0</v>
      </c>
      <c r="L5" s="1048">
        <f>CONCATENATE('3 pr-3'!AN9)+K5</f>
        <v>0</v>
      </c>
    </row>
    <row r="6" spans="1:12" ht="45" x14ac:dyDescent="0.25">
      <c r="A6" s="1076" t="s">
        <v>481</v>
      </c>
      <c r="B6" s="1076" t="s">
        <v>832</v>
      </c>
      <c r="C6" s="1077"/>
      <c r="D6" s="1077">
        <v>0</v>
      </c>
      <c r="E6" s="1077">
        <v>0</v>
      </c>
      <c r="F6" s="1077" t="str">
        <f>CONCATENATE('3 pr-3'!BB9)</f>
        <v>0</v>
      </c>
      <c r="G6" s="1077" t="str">
        <f>CONCATENATE('3 pr-3'!BC9)</f>
        <v>0</v>
      </c>
      <c r="H6" s="1077" t="str">
        <f>CONCATENATE('3 pr-3'!BD9)</f>
        <v>0</v>
      </c>
      <c r="I6" s="1077" t="str">
        <f>CONCATENATE('3 pr-3'!BE9)</f>
        <v>0</v>
      </c>
      <c r="J6" s="1077" t="str">
        <f>CONCATENATE('3 pr-3'!BF9)</f>
        <v>0</v>
      </c>
      <c r="K6" s="1077" t="str">
        <f>CONCATENATE('3 pr-3'!BG9)</f>
        <v>0</v>
      </c>
      <c r="L6" s="1077" t="str">
        <f>CONCATENATE('3 pr-3'!BH9)</f>
        <v>0</v>
      </c>
    </row>
    <row r="7" spans="1:12" ht="15.75" x14ac:dyDescent="0.25">
      <c r="A7" s="253" t="s">
        <v>529</v>
      </c>
      <c r="B7" s="253" t="s">
        <v>530</v>
      </c>
      <c r="C7" s="1046"/>
      <c r="D7" s="1077">
        <v>0</v>
      </c>
      <c r="E7" s="1077">
        <v>0</v>
      </c>
      <c r="F7" s="1046">
        <f>SUM('3 pr-3'!N92)+E7</f>
        <v>0</v>
      </c>
      <c r="G7" s="1046">
        <f>SUM('3 pr-3'!O92)+F7</f>
        <v>0</v>
      </c>
      <c r="H7" s="1046">
        <f>SUM('3 pr-3'!P92)+G7</f>
        <v>0</v>
      </c>
      <c r="I7" s="1046">
        <f>SUM('3 pr-3'!Q92)+H7</f>
        <v>0</v>
      </c>
      <c r="J7" s="1046">
        <f>SUM('3 pr-3'!R92)+I7</f>
        <v>0</v>
      </c>
      <c r="K7" s="1046">
        <f>SUM('3 pr-3'!S92)+J7</f>
        <v>0</v>
      </c>
      <c r="L7" s="1046">
        <f>SUM('3 pr-3'!T92)+K7</f>
        <v>0</v>
      </c>
    </row>
    <row r="8" spans="1:12" ht="31.5" x14ac:dyDescent="0.25">
      <c r="A8" s="253" t="s">
        <v>537</v>
      </c>
      <c r="B8" s="253" t="s">
        <v>538</v>
      </c>
      <c r="C8" s="1078"/>
      <c r="D8" s="1077">
        <v>0</v>
      </c>
      <c r="E8" s="1077">
        <v>0</v>
      </c>
      <c r="F8" s="1078">
        <f>SUM('3 pr-3'!AH102+'3 pr-3'!AH108+'3 pr-3'!AH114)+E8</f>
        <v>0</v>
      </c>
      <c r="G8" s="1078">
        <f>SUM('3 pr-3'!AI102+'3 pr-3'!AI108+'3 pr-3'!AI114)+F8</f>
        <v>0</v>
      </c>
      <c r="H8" s="1078">
        <f>SUM('3 pr-3'!AJ102+'3 pr-3'!AJ108+'3 pr-3'!AJ114)+G8</f>
        <v>0</v>
      </c>
      <c r="I8" s="1078">
        <f>SUM('3 pr-3'!AK102+'3 pr-3'!AK108+'3 pr-3'!AK114)+H8</f>
        <v>0</v>
      </c>
      <c r="J8" s="1078">
        <f>SUM('3 pr-3'!AL102+'3 pr-3'!AL108+'3 pr-3'!AL114)+I8</f>
        <v>0</v>
      </c>
      <c r="K8" s="1078">
        <f>SUM('3 pr-3'!AM102+'3 pr-3'!AM108+'3 pr-3'!AM114)+J8</f>
        <v>0</v>
      </c>
      <c r="L8" s="1078">
        <f>SUM('3 pr-3'!AN102+'3 pr-3'!AN108+'3 pr-3'!AN114)+K8</f>
        <v>0</v>
      </c>
    </row>
    <row r="9" spans="1:12" ht="31.5" x14ac:dyDescent="0.25">
      <c r="A9" s="253" t="s">
        <v>543</v>
      </c>
      <c r="B9" s="253" t="s">
        <v>582</v>
      </c>
      <c r="C9" s="1046"/>
      <c r="D9" s="1077">
        <v>0</v>
      </c>
      <c r="E9" s="1077">
        <v>0</v>
      </c>
      <c r="F9" s="1046">
        <f>SUM('3 pr-3'!AH121)+E9</f>
        <v>0</v>
      </c>
      <c r="G9" s="1046">
        <f>SUM('3 pr-3'!AI121)+F9</f>
        <v>0</v>
      </c>
      <c r="H9" s="1046">
        <f>SUM('3 pr-3'!AJ121)+G9</f>
        <v>0</v>
      </c>
      <c r="I9" s="1046">
        <f>SUM('3 pr-3'!AK121)+H9</f>
        <v>0</v>
      </c>
      <c r="J9" s="1046">
        <f>SUM('3 pr-3'!AL121)+I9</f>
        <v>0</v>
      </c>
      <c r="K9" s="1046">
        <f>SUM('3 pr-3'!AM121)+J9</f>
        <v>0</v>
      </c>
      <c r="L9" s="1046">
        <f>SUM('3 pr-3'!AN121)+K9</f>
        <v>0</v>
      </c>
    </row>
    <row r="10" spans="1:12" ht="31.5" x14ac:dyDescent="0.25">
      <c r="A10" s="253" t="s">
        <v>489</v>
      </c>
      <c r="B10" s="253" t="s">
        <v>583</v>
      </c>
      <c r="C10" s="1046"/>
      <c r="D10" s="1077">
        <v>0</v>
      </c>
      <c r="E10" s="1077">
        <v>0</v>
      </c>
      <c r="F10" s="1079">
        <f>SUM('3 pr-3'!N39)+E10</f>
        <v>0</v>
      </c>
      <c r="G10" s="1079">
        <f>SUM('3 pr-3'!O39)+F10</f>
        <v>0</v>
      </c>
      <c r="H10" s="1079">
        <f>SUM('3 pr-3'!P39)+G10</f>
        <v>0</v>
      </c>
      <c r="I10" s="1079">
        <f>SUM('3 pr-3'!Q39)+H10</f>
        <v>0</v>
      </c>
      <c r="J10" s="1079">
        <f>SUM('3 pr-3'!R39)+I10</f>
        <v>0</v>
      </c>
      <c r="K10" s="1079">
        <f>SUM('3 pr-3'!S39)+J10</f>
        <v>0</v>
      </c>
      <c r="L10" s="1079">
        <f>SUM('3 pr-3'!T39)+K10</f>
        <v>0</v>
      </c>
    </row>
    <row r="11" spans="1:12" ht="31.5" x14ac:dyDescent="0.25">
      <c r="A11" s="253" t="s">
        <v>491</v>
      </c>
      <c r="B11" s="253" t="s">
        <v>492</v>
      </c>
      <c r="C11" s="1078"/>
      <c r="D11" s="1077">
        <v>0</v>
      </c>
      <c r="E11" s="1077">
        <v>0</v>
      </c>
      <c r="F11" s="1046">
        <f>SUM('3 pr-3'!AH39+'3 pr-3'!AH46)+E11</f>
        <v>0</v>
      </c>
      <c r="G11" s="1046">
        <f>SUM('3 pr-3'!AI39+'3 pr-3'!AI46)+F11</f>
        <v>0</v>
      </c>
      <c r="H11" s="1046">
        <f>SUM('3 pr-3'!AJ39+'3 pr-3'!AJ46)+G11</f>
        <v>0</v>
      </c>
      <c r="I11" s="1046">
        <f>SUM('3 pr-3'!AK39+'3 pr-3'!AK46)+H11</f>
        <v>0</v>
      </c>
      <c r="J11" s="1046">
        <f>SUM('3 pr-3'!AL39+'3 pr-3'!AL46)+I11</f>
        <v>0</v>
      </c>
      <c r="K11" s="1046">
        <f>SUM('3 pr-3'!AM39+'3 pr-3'!AM46)+J11</f>
        <v>0</v>
      </c>
      <c r="L11" s="1046">
        <f>SUM('3 pr-3'!AN39+'3 pr-3'!AN46)+K11</f>
        <v>0</v>
      </c>
    </row>
    <row r="12" spans="1:12" s="1029" customFormat="1" ht="31.5" x14ac:dyDescent="0.25">
      <c r="A12" s="1080" t="s">
        <v>510</v>
      </c>
      <c r="B12" s="1081" t="s">
        <v>584</v>
      </c>
      <c r="C12" s="1080"/>
      <c r="D12" s="1082">
        <v>0</v>
      </c>
      <c r="E12" s="1082">
        <v>0</v>
      </c>
      <c r="F12" s="1080">
        <f>SUM('3 pr-3'!AH56)+E12</f>
        <v>0.54</v>
      </c>
      <c r="G12" s="1080">
        <f>SUM('3 pr-3'!AI56)+F12</f>
        <v>0.54</v>
      </c>
      <c r="H12" s="1080">
        <f>SUM('3 pr-3'!AJ56)+G12</f>
        <v>0.54</v>
      </c>
      <c r="I12" s="1080">
        <f>SUM('3 pr-3'!AK56)+H12</f>
        <v>0.54</v>
      </c>
      <c r="J12" s="1080">
        <f>SUM('3 pr-3'!AL56)+I12</f>
        <v>0.54</v>
      </c>
      <c r="K12" s="1080">
        <f>SUM('3 pr-3'!AM56)+J12</f>
        <v>0.54</v>
      </c>
      <c r="L12" s="1080">
        <f>SUM('3 pr-3'!AN56)+K12</f>
        <v>0.54</v>
      </c>
    </row>
    <row r="13" spans="1:12" ht="47.25" x14ac:dyDescent="0.25">
      <c r="A13" s="253" t="s">
        <v>495</v>
      </c>
      <c r="B13" s="253" t="s">
        <v>585</v>
      </c>
      <c r="C13" s="1046"/>
      <c r="D13" s="1077">
        <v>0</v>
      </c>
      <c r="E13" s="1077">
        <v>0</v>
      </c>
      <c r="F13" s="1046">
        <f>SUM('3 pr-3'!N50)+E13</f>
        <v>0</v>
      </c>
      <c r="G13" s="1046">
        <f>SUM('3 pr-3'!O50)+F13</f>
        <v>0</v>
      </c>
      <c r="H13" s="1046">
        <f>SUM('3 pr-3'!P50)+G13</f>
        <v>0</v>
      </c>
      <c r="I13" s="1046">
        <f>SUM('3 pr-3'!Q50)+H13</f>
        <v>0</v>
      </c>
      <c r="J13" s="1046">
        <f>SUM('3 pr-3'!R50)+I13</f>
        <v>0</v>
      </c>
      <c r="K13" s="1046">
        <f>SUM('3 pr-3'!S50)+J13</f>
        <v>0</v>
      </c>
      <c r="L13" s="1046">
        <f>SUM('3 pr-3'!T50)+K13</f>
        <v>0</v>
      </c>
    </row>
    <row r="14" spans="1:12" ht="47.25" x14ac:dyDescent="0.25">
      <c r="A14" s="253" t="s">
        <v>503</v>
      </c>
      <c r="B14" s="253" t="s">
        <v>586</v>
      </c>
      <c r="C14" s="1046"/>
      <c r="D14" s="1077">
        <v>0</v>
      </c>
      <c r="E14" s="1077">
        <v>0</v>
      </c>
      <c r="F14" s="1079">
        <f>SUM('3 pr-3'!AH50)+E14</f>
        <v>0</v>
      </c>
      <c r="G14" s="1079">
        <f>SUM('3 pr-3'!AI50)+F14</f>
        <v>0</v>
      </c>
      <c r="H14" s="1079">
        <f>SUM('3 pr-3'!AJ50)+G14</f>
        <v>0</v>
      </c>
      <c r="I14" s="1079">
        <f>SUM('3 pr-3'!AK50)+H14</f>
        <v>0</v>
      </c>
      <c r="J14" s="1079">
        <f>SUM('3 pr-3'!AL50)+I14</f>
        <v>0</v>
      </c>
      <c r="K14" s="1079">
        <f>SUM('3 pr-3'!AM50)+J14</f>
        <v>0</v>
      </c>
      <c r="L14" s="1079">
        <f>SUM('3 pr-3'!AN50)+K14</f>
        <v>0</v>
      </c>
    </row>
    <row r="15" spans="1:12" ht="31.5" x14ac:dyDescent="0.25">
      <c r="A15" s="253" t="s">
        <v>497</v>
      </c>
      <c r="B15" s="253" t="s">
        <v>587</v>
      </c>
      <c r="C15" s="1046"/>
      <c r="D15" s="1077">
        <v>0</v>
      </c>
      <c r="E15" s="1077">
        <v>0</v>
      </c>
      <c r="F15" s="1046">
        <f>SUM('3 pr-3'!BB50)+E15</f>
        <v>0</v>
      </c>
      <c r="G15" s="1046">
        <f>SUM('3 pr-3'!BC50)+F15</f>
        <v>0</v>
      </c>
      <c r="H15" s="1046">
        <f>SUM('3 pr-3'!BD50)+G15</f>
        <v>0</v>
      </c>
      <c r="I15" s="1046">
        <f>SUM('3 pr-3'!BE50)+H15</f>
        <v>0</v>
      </c>
      <c r="J15" s="1046">
        <f>SUM('3 pr-3'!BF50)+I15</f>
        <v>0</v>
      </c>
      <c r="K15" s="1046">
        <f>SUM('3 pr-3'!BG50)+J15</f>
        <v>0</v>
      </c>
      <c r="L15" s="1046">
        <f>SUM('3 pr-3'!BH50)+K15</f>
        <v>0</v>
      </c>
    </row>
    <row r="16" spans="1:12" ht="47.25" x14ac:dyDescent="0.25">
      <c r="A16" s="253" t="s">
        <v>499</v>
      </c>
      <c r="B16" s="253" t="s">
        <v>588</v>
      </c>
      <c r="C16" s="1046"/>
      <c r="D16" s="1077">
        <v>0</v>
      </c>
      <c r="E16" s="1077">
        <v>0</v>
      </c>
      <c r="F16" s="1046">
        <f>SUM('3 pr-3'!BV50)+E16</f>
        <v>0</v>
      </c>
      <c r="G16" s="1046">
        <f>SUM('3 pr-3'!BW50)+F16</f>
        <v>0</v>
      </c>
      <c r="H16" s="1046">
        <f>SUM('3 pr-3'!BX50)+G16</f>
        <v>0</v>
      </c>
      <c r="I16" s="1046">
        <f>SUM('3 pr-3'!BY50)+H16</f>
        <v>0</v>
      </c>
      <c r="J16" s="1046">
        <f>SUM('3 pr-3'!BZ50)+I16</f>
        <v>0</v>
      </c>
      <c r="K16" s="1046">
        <f>SUM('3 pr-3'!CA50)+J16</f>
        <v>0</v>
      </c>
      <c r="L16" s="1046">
        <f>SUM('3 pr-3'!CB50)+K16</f>
        <v>0</v>
      </c>
    </row>
    <row r="17" spans="1:12" ht="47.25" x14ac:dyDescent="0.25">
      <c r="A17" s="253" t="s">
        <v>575</v>
      </c>
      <c r="B17" s="253" t="s">
        <v>579</v>
      </c>
      <c r="C17" s="1046"/>
      <c r="D17" s="1077">
        <v>0</v>
      </c>
      <c r="E17" s="1077">
        <v>0</v>
      </c>
      <c r="F17" s="1046">
        <f>SUM('3 pr-3'!AH173)+E17</f>
        <v>0</v>
      </c>
      <c r="G17" s="1046">
        <f>SUM('3 pr-3'!AI173)+F17</f>
        <v>0</v>
      </c>
      <c r="H17" s="1046">
        <f>SUM('3 pr-3'!AJ173)+G17</f>
        <v>0</v>
      </c>
      <c r="I17" s="1046">
        <f>SUM('3 pr-3'!AK173)+H17</f>
        <v>0</v>
      </c>
      <c r="J17" s="1046">
        <f>SUM('3 pr-3'!AL173)+I17</f>
        <v>0</v>
      </c>
      <c r="K17" s="1046">
        <f>SUM('3 pr-3'!AM173)+J17</f>
        <v>0</v>
      </c>
      <c r="L17" s="1046">
        <f>SUM('3 pr-3'!AN173)+K17</f>
        <v>0</v>
      </c>
    </row>
    <row r="18" spans="1:12" ht="31.5" x14ac:dyDescent="0.25">
      <c r="A18" s="253" t="s">
        <v>568</v>
      </c>
      <c r="B18" s="253" t="s">
        <v>589</v>
      </c>
      <c r="C18" s="1046"/>
      <c r="D18" s="1077">
        <v>0</v>
      </c>
      <c r="E18" s="1077">
        <v>0</v>
      </c>
      <c r="F18" s="1046">
        <f>SUM('3 pr-3'!BB173)+E18</f>
        <v>0</v>
      </c>
      <c r="G18" s="1046">
        <f>SUM('3 pr-3'!BC173)+F18</f>
        <v>0</v>
      </c>
      <c r="H18" s="1046">
        <f>SUM('3 pr-3'!BD173)+G18</f>
        <v>0</v>
      </c>
      <c r="I18" s="1046">
        <f>SUM('3 pr-3'!BE173)+H18</f>
        <v>0</v>
      </c>
      <c r="J18" s="1046">
        <f>SUM('3 pr-3'!BF173)+I18</f>
        <v>0</v>
      </c>
      <c r="K18" s="1046">
        <f>SUM('3 pr-3'!BG173)+J18</f>
        <v>0</v>
      </c>
      <c r="L18" s="1046">
        <f>SUM('3 pr-3'!BH173)+K18</f>
        <v>0</v>
      </c>
    </row>
    <row r="19" spans="1:12" ht="15.75" x14ac:dyDescent="0.25">
      <c r="A19" s="253" t="s">
        <v>570</v>
      </c>
      <c r="B19" s="253" t="s">
        <v>571</v>
      </c>
      <c r="C19" s="1046"/>
      <c r="D19" s="1077">
        <v>0</v>
      </c>
      <c r="E19" s="1077">
        <v>0</v>
      </c>
      <c r="F19" s="1046">
        <f>SUM('3 pr-3'!BV173)+E19</f>
        <v>0</v>
      </c>
      <c r="G19" s="1046">
        <f>SUM('3 pr-3'!BW173)+F19</f>
        <v>0</v>
      </c>
      <c r="H19" s="1046">
        <f>SUM('3 pr-3'!BX173)+G19</f>
        <v>0</v>
      </c>
      <c r="I19" s="1046">
        <f>SUM('3 pr-3'!BY173)+H19</f>
        <v>0</v>
      </c>
      <c r="J19" s="1046">
        <f>SUM('3 pr-3'!BZ173)+I19</f>
        <v>0</v>
      </c>
      <c r="K19" s="1046">
        <f>SUM('3 pr-3'!CA173)+J19</f>
        <v>0</v>
      </c>
      <c r="L19" s="1046">
        <f>SUM('3 pr-3'!CB173)+K19</f>
        <v>0</v>
      </c>
    </row>
    <row r="20" spans="1:12" ht="15.75" x14ac:dyDescent="0.25">
      <c r="A20" s="253" t="s">
        <v>514</v>
      </c>
      <c r="B20" s="253" t="s">
        <v>590</v>
      </c>
      <c r="C20" s="1046"/>
      <c r="D20" s="1077">
        <v>0</v>
      </c>
      <c r="E20" s="1077">
        <v>0</v>
      </c>
      <c r="F20" s="1046">
        <f>SUM('3 pr-3'!$AO$62)+E20</f>
        <v>0</v>
      </c>
      <c r="G20" s="1046">
        <f>SUM('3 pr-3'!$AO$62)+F20</f>
        <v>0</v>
      </c>
      <c r="H20" s="1046">
        <f>SUM('3 pr-3'!$AO$62)+G20</f>
        <v>0</v>
      </c>
      <c r="I20" s="1046">
        <f>SUM('3 pr-3'!$AO$62)+H20</f>
        <v>0</v>
      </c>
      <c r="J20" s="1046">
        <f>SUM('3 pr-3'!$AO$62)+I20</f>
        <v>0</v>
      </c>
      <c r="K20" s="1046">
        <f>SUM('3 pr-3'!$AO$62)+J20</f>
        <v>0</v>
      </c>
      <c r="L20" s="1046">
        <f>SUM('3 pr-3'!$AO$62)+K20</f>
        <v>0</v>
      </c>
    </row>
    <row r="21" spans="1:12" s="1029" customFormat="1" ht="15.75" x14ac:dyDescent="0.25">
      <c r="A21" s="1080" t="s">
        <v>846</v>
      </c>
      <c r="B21" s="1080" t="s">
        <v>847</v>
      </c>
      <c r="C21" s="1080"/>
      <c r="D21" s="1082">
        <v>0</v>
      </c>
      <c r="E21" s="1082">
        <v>0</v>
      </c>
      <c r="F21" s="1080">
        <f>SUM('3 pr-3'!AH79)+E21</f>
        <v>1</v>
      </c>
      <c r="G21" s="1080">
        <f>SUM('3 pr-3'!AI79)+F21</f>
        <v>1</v>
      </c>
      <c r="H21" s="1080">
        <f>SUM('3 pr-3'!AJ79)+G21</f>
        <v>1</v>
      </c>
      <c r="I21" s="1080">
        <f>SUM('3 pr-3'!AK79)+H21</f>
        <v>1</v>
      </c>
      <c r="J21" s="1080">
        <f>SUM('3 pr-3'!AL79)+I21</f>
        <v>1</v>
      </c>
      <c r="K21" s="1080">
        <f>SUM('3 pr-3'!AM79)+J21</f>
        <v>1</v>
      </c>
      <c r="L21" s="1080">
        <f>SUM('3 pr-3'!AN79)+K21</f>
        <v>1</v>
      </c>
    </row>
    <row r="22" spans="1:12" ht="15.75" x14ac:dyDescent="0.25">
      <c r="A22" s="253" t="s">
        <v>533</v>
      </c>
      <c r="B22" s="253" t="s">
        <v>534</v>
      </c>
      <c r="C22" s="1046"/>
      <c r="D22" s="1077">
        <v>0</v>
      </c>
      <c r="E22" s="1077">
        <v>0</v>
      </c>
      <c r="F22" s="1046">
        <f>SUM('3 pr-3'!BB92)+E22</f>
        <v>0</v>
      </c>
      <c r="G22" s="1046">
        <f>SUM('3 pr-3'!BC92)+F22</f>
        <v>0</v>
      </c>
      <c r="H22" s="1046">
        <f>SUM('3 pr-3'!BD92)+G22</f>
        <v>0</v>
      </c>
      <c r="I22" s="1046">
        <f>SUM('3 pr-3'!BE92)+H22</f>
        <v>0</v>
      </c>
      <c r="J22" s="1046">
        <f>SUM('3 pr-3'!BF92)+I22</f>
        <v>0</v>
      </c>
      <c r="K22" s="1046">
        <f>SUM('3 pr-3'!BG92)+J22</f>
        <v>0</v>
      </c>
      <c r="L22" s="1046">
        <f>SUM('3 pr-3'!BH92)+K22</f>
        <v>0</v>
      </c>
    </row>
    <row r="23" spans="1:12" ht="15.75" x14ac:dyDescent="0.25">
      <c r="A23" s="253" t="s">
        <v>546</v>
      </c>
      <c r="B23" s="253" t="s">
        <v>547</v>
      </c>
      <c r="C23" s="1046"/>
      <c r="D23" s="1077">
        <v>0</v>
      </c>
      <c r="E23" s="1077">
        <v>0</v>
      </c>
      <c r="F23" s="1046">
        <f>SUM('3 pr-3'!AH135)+E23</f>
        <v>0</v>
      </c>
      <c r="G23" s="1046">
        <f>SUM('3 pr-3'!AI135)+F23</f>
        <v>0</v>
      </c>
      <c r="H23" s="1046">
        <f>SUM('3 pr-3'!AJ135)+G23</f>
        <v>0</v>
      </c>
      <c r="I23" s="1046">
        <f>SUM('3 pr-3'!AK135)+H23</f>
        <v>0</v>
      </c>
      <c r="J23" s="1046">
        <f>SUM('3 pr-3'!AL135)+I23</f>
        <v>0</v>
      </c>
      <c r="K23" s="1046">
        <f>SUM('3 pr-3'!AM135)+J23</f>
        <v>0</v>
      </c>
      <c r="L23" s="1046">
        <f>SUM('3 pr-3'!AN135)+K23</f>
        <v>0</v>
      </c>
    </row>
    <row r="24" spans="1:12" ht="47.25" x14ac:dyDescent="0.25">
      <c r="A24" s="1083" t="s">
        <v>1485</v>
      </c>
      <c r="B24" s="1084" t="s">
        <v>1486</v>
      </c>
      <c r="C24" s="1050"/>
      <c r="D24" s="1085">
        <v>0</v>
      </c>
      <c r="E24" s="1085">
        <v>0</v>
      </c>
      <c r="F24" s="1050">
        <f>SUM('3 pr-3'!N141)+E24</f>
        <v>0</v>
      </c>
      <c r="G24" s="1050">
        <f>SUM('3 pr-3'!O141)+F24</f>
        <v>0</v>
      </c>
      <c r="H24" s="1050">
        <f>SUM('3 pr-3'!P141)+G24</f>
        <v>0</v>
      </c>
      <c r="I24" s="1050">
        <f>SUM('3 pr-3'!Q141)+H24</f>
        <v>0</v>
      </c>
      <c r="J24" s="1050">
        <f>SUM('3 pr-3'!R141)+I24</f>
        <v>0</v>
      </c>
      <c r="K24" s="1050">
        <f>SUM('3 pr-3'!S141)+J24</f>
        <v>0</v>
      </c>
      <c r="L24" s="1050">
        <f>SUM('3 pr-3'!T141)+K24</f>
        <v>0</v>
      </c>
    </row>
    <row r="25" spans="1:12" ht="15.75" x14ac:dyDescent="0.25">
      <c r="A25" s="1083" t="s">
        <v>1473</v>
      </c>
      <c r="B25" s="1084" t="s">
        <v>1474</v>
      </c>
      <c r="C25" s="1050"/>
      <c r="D25" s="1085">
        <v>0</v>
      </c>
      <c r="E25" s="1085">
        <v>0</v>
      </c>
      <c r="F25" s="1050">
        <f>SUM('3 pr-3'!AH135)+E25</f>
        <v>0</v>
      </c>
      <c r="G25" s="1050">
        <f>SUM('3 pr-3'!AI135)+F25</f>
        <v>0</v>
      </c>
      <c r="H25" s="1050">
        <f>SUM('3 pr-3'!AJ135)+G25</f>
        <v>0</v>
      </c>
      <c r="I25" s="1050">
        <f>SUM('3 pr-3'!AK135)+H25</f>
        <v>0</v>
      </c>
      <c r="J25" s="1050">
        <f>SUM('3 pr-3'!AL135)+I25</f>
        <v>0</v>
      </c>
      <c r="K25" s="1050">
        <f>SUM('3 pr-3'!AM135)+J25</f>
        <v>0</v>
      </c>
      <c r="L25" s="1050">
        <f>SUM('3 pr-3'!AN135)+K25</f>
        <v>0</v>
      </c>
    </row>
    <row r="26" spans="1:12" ht="31.5" x14ac:dyDescent="0.25">
      <c r="A26" s="253" t="s">
        <v>541</v>
      </c>
      <c r="B26" s="253" t="s">
        <v>591</v>
      </c>
      <c r="C26" s="1046"/>
      <c r="D26" s="1077">
        <v>0</v>
      </c>
      <c r="E26" s="1077">
        <v>0</v>
      </c>
      <c r="F26" s="1046">
        <f>SUM('3 pr-3'!N114)+E26</f>
        <v>0</v>
      </c>
      <c r="G26" s="1046">
        <f>SUM('3 pr-3'!O114)+F26</f>
        <v>0</v>
      </c>
      <c r="H26" s="1046">
        <f>SUM('3 pr-3'!P114)+G26</f>
        <v>0</v>
      </c>
      <c r="I26" s="1046">
        <f>SUM('3 pr-3'!Q114)+H26</f>
        <v>0</v>
      </c>
      <c r="J26" s="1046">
        <f>SUM('3 pr-3'!R114)+I26</f>
        <v>0</v>
      </c>
      <c r="K26" s="1046">
        <f>SUM('3 pr-3'!S114)+J26</f>
        <v>0</v>
      </c>
      <c r="L26" s="1046">
        <f>SUM('3 pr-3'!T114)+K26</f>
        <v>0</v>
      </c>
    </row>
    <row r="27" spans="1:12" ht="31.5" x14ac:dyDescent="0.25">
      <c r="A27" s="253" t="s">
        <v>592</v>
      </c>
      <c r="B27" s="253" t="s">
        <v>593</v>
      </c>
      <c r="C27" s="1046"/>
      <c r="D27" s="1077">
        <v>0</v>
      </c>
      <c r="E27" s="1077">
        <v>0</v>
      </c>
      <c r="F27" s="1046">
        <f>SUM('3 pr-3'!N102)+E27</f>
        <v>0</v>
      </c>
      <c r="G27" s="1046">
        <f>SUM('3 pr-3'!O102)+F27</f>
        <v>0</v>
      </c>
      <c r="H27" s="1046">
        <f>SUM('3 pr-3'!P102)+G27</f>
        <v>0</v>
      </c>
      <c r="I27" s="1046">
        <f>SUM('3 pr-3'!Q102)+H27</f>
        <v>0</v>
      </c>
      <c r="J27" s="1046">
        <f>SUM('3 pr-3'!R102)+I27</f>
        <v>0</v>
      </c>
      <c r="K27" s="1046">
        <f>SUM('3 pr-3'!S102)+J27</f>
        <v>0</v>
      </c>
      <c r="L27" s="1046">
        <f>SUM('3 pr-3'!T102)+K27</f>
        <v>0</v>
      </c>
    </row>
    <row r="28" spans="1:12" ht="31.5" x14ac:dyDescent="0.25">
      <c r="A28" s="253" t="s">
        <v>594</v>
      </c>
      <c r="B28" s="253" t="s">
        <v>595</v>
      </c>
      <c r="C28" s="1046"/>
      <c r="D28" s="1077">
        <v>0</v>
      </c>
      <c r="E28" s="1077">
        <v>0</v>
      </c>
      <c r="F28" s="1046">
        <f>SUM('3 pr-3'!N108)+E28</f>
        <v>0</v>
      </c>
      <c r="G28" s="1046">
        <f>SUM('3 pr-3'!O108)+F28</f>
        <v>0</v>
      </c>
      <c r="H28" s="1046">
        <f>SUM('3 pr-3'!P108)+G28</f>
        <v>0</v>
      </c>
      <c r="I28" s="1046">
        <f>SUM('3 pr-3'!Q108)+H28</f>
        <v>0</v>
      </c>
      <c r="J28" s="1046">
        <f>SUM('3 pr-3'!R108)+I28</f>
        <v>0</v>
      </c>
      <c r="K28" s="1046">
        <f>SUM('3 pr-3'!S108)+J28</f>
        <v>0</v>
      </c>
      <c r="L28" s="1046">
        <f>SUM('3 pr-3'!T108)+K28</f>
        <v>0</v>
      </c>
    </row>
    <row r="29" spans="1:12" ht="31.5" x14ac:dyDescent="0.25">
      <c r="A29" s="1086" t="s">
        <v>629</v>
      </c>
      <c r="B29" s="1087" t="s">
        <v>630</v>
      </c>
      <c r="C29" s="1046"/>
      <c r="D29" s="1077">
        <v>0</v>
      </c>
      <c r="E29" s="1077">
        <v>0</v>
      </c>
      <c r="F29" s="1046">
        <f>SUM('3 pr-3'!N114)+E29</f>
        <v>0</v>
      </c>
      <c r="G29" s="1046">
        <f>SUM('3 pr-3'!O114)+F29</f>
        <v>0</v>
      </c>
      <c r="H29" s="1046">
        <f>SUM('3 pr-3'!P114)+G29</f>
        <v>0</v>
      </c>
      <c r="I29" s="1046">
        <f>SUM('3 pr-3'!Q114)+H29</f>
        <v>0</v>
      </c>
      <c r="J29" s="1046">
        <f>SUM('3 pr-3'!R114)+I29</f>
        <v>0</v>
      </c>
      <c r="K29" s="1046">
        <f>SUM('3 pr-3'!S114)+J29</f>
        <v>0</v>
      </c>
      <c r="L29" s="1046">
        <f>SUM('3 pr-3'!T114)+K29</f>
        <v>0</v>
      </c>
    </row>
    <row r="30" spans="1:12" ht="15.75" x14ac:dyDescent="0.25">
      <c r="A30" s="253" t="s">
        <v>628</v>
      </c>
      <c r="B30" s="253" t="s">
        <v>513</v>
      </c>
      <c r="C30" s="1046"/>
      <c r="D30" s="1077">
        <v>0</v>
      </c>
      <c r="E30" s="1077">
        <v>0</v>
      </c>
      <c r="F30" s="1046">
        <f>SUM('3 pr-3'!N58)+E30</f>
        <v>0</v>
      </c>
      <c r="G30" s="1046">
        <f>SUM('3 pr-3'!O58)+F30</f>
        <v>0</v>
      </c>
      <c r="H30" s="1046">
        <f>SUM('3 pr-3'!P58)+G30</f>
        <v>0</v>
      </c>
      <c r="I30" s="1046">
        <f>SUM('3 pr-3'!Q58)+H30</f>
        <v>0</v>
      </c>
      <c r="J30" s="1046">
        <f>SUM('3 pr-3'!R58)+I30</f>
        <v>0</v>
      </c>
      <c r="K30" s="1046">
        <f>SUM('3 pr-3'!S58)+J30</f>
        <v>0</v>
      </c>
      <c r="L30" s="1046">
        <f>SUM('3 pr-3'!T58)+K30</f>
        <v>0</v>
      </c>
    </row>
    <row r="31" spans="1:12" ht="15.75" x14ac:dyDescent="0.25">
      <c r="A31" s="253" t="s">
        <v>833</v>
      </c>
      <c r="B31" s="253" t="s">
        <v>562</v>
      </c>
      <c r="C31" s="1046"/>
      <c r="D31" s="1077">
        <v>0</v>
      </c>
      <c r="E31" s="1077">
        <v>0</v>
      </c>
      <c r="F31" s="1046">
        <f>SUM('3 pr-3'!BB161)+E31</f>
        <v>0</v>
      </c>
      <c r="G31" s="1046">
        <f>SUM('3 pr-3'!BC161)+F31</f>
        <v>0</v>
      </c>
      <c r="H31" s="1046">
        <f>SUM('3 pr-3'!BD161)+G31</f>
        <v>0</v>
      </c>
      <c r="I31" s="1046">
        <f>SUM('3 pr-3'!BE161)+H31</f>
        <v>0</v>
      </c>
      <c r="J31" s="1046">
        <f>SUM('3 pr-3'!BF161)+I31</f>
        <v>0</v>
      </c>
      <c r="K31" s="1046">
        <f>SUM('3 pr-3'!BG161)+J31</f>
        <v>0</v>
      </c>
      <c r="L31" s="1046">
        <f>SUM('3 pr-3'!BH161)+K31</f>
        <v>0</v>
      </c>
    </row>
    <row r="32" spans="1:12" ht="31.5" x14ac:dyDescent="0.25">
      <c r="A32" s="253" t="s">
        <v>524</v>
      </c>
      <c r="B32" s="253" t="s">
        <v>597</v>
      </c>
      <c r="C32" s="1046"/>
      <c r="D32" s="1077">
        <v>0</v>
      </c>
      <c r="E32" s="1077">
        <v>0</v>
      </c>
      <c r="F32" s="1046">
        <f>SUM('3 pr-3'!N86)+E32</f>
        <v>0</v>
      </c>
      <c r="G32" s="1046">
        <f>SUM('3 pr-3'!O86)+F32</f>
        <v>0</v>
      </c>
      <c r="H32" s="1046">
        <f>SUM('3 pr-3'!P86)+G32</f>
        <v>0</v>
      </c>
      <c r="I32" s="1046">
        <f>SUM('3 pr-3'!Q86)+H32</f>
        <v>0</v>
      </c>
      <c r="J32" s="1046">
        <f>SUM('3 pr-3'!R86)+I32</f>
        <v>0</v>
      </c>
      <c r="K32" s="1046">
        <f>SUM('3 pr-3'!S86)+J32</f>
        <v>0</v>
      </c>
      <c r="L32" s="1046">
        <f>SUM('3 pr-3'!T86)+K32</f>
        <v>0</v>
      </c>
    </row>
    <row r="33" spans="1:12" ht="31.5" x14ac:dyDescent="0.25">
      <c r="A33" s="253" t="s">
        <v>527</v>
      </c>
      <c r="B33" s="253" t="s">
        <v>598</v>
      </c>
      <c r="C33" s="1046"/>
      <c r="D33" s="1077">
        <v>0</v>
      </c>
      <c r="E33" s="1077">
        <v>0</v>
      </c>
      <c r="F33" s="1046">
        <f>SUM('3 pr-3'!AH86)</f>
        <v>0</v>
      </c>
      <c r="G33" s="1046">
        <f>SUM('3 pr-3'!AI86)+F33</f>
        <v>0</v>
      </c>
      <c r="H33" s="1046">
        <f>SUM('3 pr-3'!AJ86)+G33</f>
        <v>0</v>
      </c>
      <c r="I33" s="1046">
        <f>SUM('3 pr-3'!AK86)+H33</f>
        <v>0</v>
      </c>
      <c r="J33" s="1046">
        <f>SUM('3 pr-3'!AL86)+I33</f>
        <v>0</v>
      </c>
      <c r="K33" s="1046">
        <f>SUM('3 pr-3'!AM86)+J33</f>
        <v>0</v>
      </c>
      <c r="L33" s="1046">
        <f>SUM('3 pr-3'!AN86)+K33</f>
        <v>0</v>
      </c>
    </row>
    <row r="34" spans="1:12" ht="15.75" x14ac:dyDescent="0.25">
      <c r="A34" s="253" t="s">
        <v>522</v>
      </c>
      <c r="B34" s="253" t="s">
        <v>599</v>
      </c>
      <c r="C34" s="253"/>
      <c r="D34" s="1077">
        <v>0</v>
      </c>
      <c r="E34" s="1077">
        <v>0</v>
      </c>
      <c r="F34" s="1046">
        <f>SUM('3 pr-3'!N79)+E34</f>
        <v>0</v>
      </c>
      <c r="G34" s="1046">
        <f>SUM('3 pr-3'!O79)+F34</f>
        <v>0</v>
      </c>
      <c r="H34" s="1046">
        <f>SUM('3 pr-3'!P79)+G34</f>
        <v>0</v>
      </c>
      <c r="I34" s="1046">
        <f>SUM('3 pr-3'!Q79)+H34</f>
        <v>0</v>
      </c>
      <c r="J34" s="1046">
        <f>SUM('3 pr-3'!R79)+I34</f>
        <v>0</v>
      </c>
      <c r="K34" s="1046">
        <f>SUM('3 pr-3'!S79)+J34</f>
        <v>0</v>
      </c>
      <c r="L34" s="1046">
        <f>SUM('3 pr-3'!T79)+K34</f>
        <v>0</v>
      </c>
    </row>
    <row r="35" spans="1:12" ht="15.75" x14ac:dyDescent="0.25">
      <c r="A35" s="1447" t="s">
        <v>1713</v>
      </c>
      <c r="B35" s="1447" t="s">
        <v>1714</v>
      </c>
      <c r="C35" s="253"/>
      <c r="D35" s="1077">
        <v>0</v>
      </c>
      <c r="E35" s="1077">
        <v>0</v>
      </c>
      <c r="F35" s="1046">
        <f>SUM('3 pr-3'!BB79)+E35</f>
        <v>0</v>
      </c>
      <c r="G35" s="1046">
        <f>SUM('3 pr-3'!BC79)+F35</f>
        <v>0</v>
      </c>
      <c r="H35" s="1046">
        <f>SUM('3 pr-3'!BD79)+G35</f>
        <v>0</v>
      </c>
      <c r="I35" s="1046">
        <f>SUM('3 pr-3'!BE79)+H35</f>
        <v>0</v>
      </c>
      <c r="J35" s="1046">
        <f>SUM('3 pr-3'!BF79)+I35</f>
        <v>0</v>
      </c>
      <c r="K35" s="1046">
        <f>SUM('3 pr-3'!BG79)+J35</f>
        <v>0</v>
      </c>
      <c r="L35" s="1046">
        <f>SUM('3 pr-3'!BH79)+K35</f>
        <v>0</v>
      </c>
    </row>
    <row r="36" spans="1:12" ht="31.5" x14ac:dyDescent="0.25">
      <c r="A36" s="253" t="s">
        <v>519</v>
      </c>
      <c r="B36" s="253" t="s">
        <v>600</v>
      </c>
      <c r="C36" s="253"/>
      <c r="D36" s="1077">
        <v>0</v>
      </c>
      <c r="E36" s="1077">
        <v>0</v>
      </c>
      <c r="F36" s="1046">
        <f>SUM('3 pr-3'!N74)+E36</f>
        <v>0</v>
      </c>
      <c r="G36" s="1046">
        <f>SUM('3 pr-3'!O74)+F36</f>
        <v>0</v>
      </c>
      <c r="H36" s="1046">
        <f>SUM('3 pr-3'!P74)+G36</f>
        <v>0</v>
      </c>
      <c r="I36" s="1046">
        <f>SUM('3 pr-3'!Q74)+H36</f>
        <v>0</v>
      </c>
      <c r="J36" s="1046">
        <f>SUM('3 pr-3'!R74)+I36</f>
        <v>0</v>
      </c>
      <c r="K36" s="1046">
        <f>SUM('3 pr-3'!S74)+J36</f>
        <v>0</v>
      </c>
      <c r="L36" s="1046">
        <f>SUM('3 pr-3'!T74)+K36</f>
        <v>0</v>
      </c>
    </row>
    <row r="37" spans="1:12" ht="47.25" x14ac:dyDescent="0.25">
      <c r="A37" s="253" t="s">
        <v>508</v>
      </c>
      <c r="B37" s="253" t="s">
        <v>509</v>
      </c>
      <c r="C37" s="253"/>
      <c r="D37" s="1077">
        <v>0</v>
      </c>
      <c r="E37" s="1077">
        <v>0</v>
      </c>
      <c r="F37" s="1046">
        <f>SUM('3 pr-3'!N56)+E37</f>
        <v>0</v>
      </c>
      <c r="G37" s="1046">
        <f>SUM('3 pr-3'!O56)+F37</f>
        <v>0</v>
      </c>
      <c r="H37" s="1046">
        <f>SUM('3 pr-3'!P56)+G37</f>
        <v>0</v>
      </c>
      <c r="I37" s="1046">
        <f>SUM('3 pr-3'!Q56)+H37</f>
        <v>0</v>
      </c>
      <c r="J37" s="1046">
        <f>SUM('3 pr-3'!R56)+I37</f>
        <v>0</v>
      </c>
      <c r="K37" s="1046">
        <f>SUM('3 pr-3'!S56)+J37</f>
        <v>0</v>
      </c>
      <c r="L37" s="1046">
        <f>SUM('3 pr-3'!T56)+K37</f>
        <v>0</v>
      </c>
    </row>
    <row r="38" spans="1:12" ht="31.5" x14ac:dyDescent="0.25">
      <c r="A38" s="253" t="s">
        <v>564</v>
      </c>
      <c r="B38" s="253" t="s">
        <v>601</v>
      </c>
      <c r="C38" s="253"/>
      <c r="D38" s="1077">
        <v>0</v>
      </c>
      <c r="E38" s="1077">
        <v>0</v>
      </c>
      <c r="F38" s="1046">
        <f>SUM('3 pr-3'!N170)+E38</f>
        <v>0</v>
      </c>
      <c r="G38" s="1046">
        <f>SUM('3 pr-3'!O170)+F38</f>
        <v>0</v>
      </c>
      <c r="H38" s="1046">
        <f>SUM('3 pr-3'!P170)+G38</f>
        <v>0</v>
      </c>
      <c r="I38" s="1046">
        <f>SUM('3 pr-3'!Q170)+H38</f>
        <v>0</v>
      </c>
      <c r="J38" s="1046">
        <f>SUM('3 pr-3'!R170)+I38</f>
        <v>0</v>
      </c>
      <c r="K38" s="1046">
        <f>SUM('3 pr-3'!S170)+J38</f>
        <v>0</v>
      </c>
      <c r="L38" s="1046">
        <f>SUM('3 pr-3'!T170)+K38</f>
        <v>0</v>
      </c>
    </row>
    <row r="39" spans="1:12" ht="31.5" x14ac:dyDescent="0.25">
      <c r="A39" s="253" t="s">
        <v>501</v>
      </c>
      <c r="B39" s="253" t="s">
        <v>602</v>
      </c>
      <c r="C39" s="253"/>
      <c r="D39" s="1077">
        <v>0</v>
      </c>
      <c r="E39" s="1077">
        <v>0</v>
      </c>
      <c r="F39" s="1046">
        <f>SUM('3 pr-3'!CP50)+E39</f>
        <v>0</v>
      </c>
      <c r="G39" s="1046">
        <f>SUM('3 pr-3'!CQ50)+F39</f>
        <v>0</v>
      </c>
      <c r="H39" s="1046">
        <f>SUM('3 pr-3'!CR50)+G39</f>
        <v>0</v>
      </c>
      <c r="I39" s="1046">
        <f>SUM('3 pr-3'!CS50)+H39</f>
        <v>0</v>
      </c>
      <c r="J39" s="1046">
        <f>SUM('3 pr-3'!CT50)+I39</f>
        <v>0</v>
      </c>
      <c r="K39" s="1046">
        <f>SUM('3 pr-3'!CU50)+J39</f>
        <v>0</v>
      </c>
      <c r="L39" s="1046">
        <f>SUM('3 pr-3'!CV50)+K39</f>
        <v>0</v>
      </c>
    </row>
    <row r="40" spans="1:12" ht="31.5" x14ac:dyDescent="0.25">
      <c r="A40" s="253" t="s">
        <v>516</v>
      </c>
      <c r="B40" s="253" t="s">
        <v>517</v>
      </c>
      <c r="C40" s="253"/>
      <c r="D40" s="1077">
        <v>0</v>
      </c>
      <c r="E40" s="1077">
        <v>0</v>
      </c>
      <c r="F40" s="1046">
        <f>SUM('3 pr-3'!N67)+E40</f>
        <v>0</v>
      </c>
      <c r="G40" s="1046">
        <f>SUM('3 pr-3'!O67)+F40</f>
        <v>0</v>
      </c>
      <c r="H40" s="1046">
        <f>SUM('3 pr-3'!P67)+G40</f>
        <v>0</v>
      </c>
      <c r="I40" s="1046">
        <f>SUM('3 pr-3'!Q67)+H40</f>
        <v>0</v>
      </c>
      <c r="J40" s="1046">
        <f>SUM('3 pr-3'!R67)+I40</f>
        <v>0</v>
      </c>
      <c r="K40" s="1046">
        <f>SUM('3 pr-3'!S67)+J40</f>
        <v>0</v>
      </c>
      <c r="L40" s="1046">
        <f>SUM('3 pr-3'!T67)+K40</f>
        <v>0</v>
      </c>
    </row>
    <row r="41" spans="1:12" ht="31.5" x14ac:dyDescent="0.25">
      <c r="A41" s="253" t="s">
        <v>572</v>
      </c>
      <c r="B41" s="253" t="s">
        <v>603</v>
      </c>
      <c r="C41" s="253"/>
      <c r="D41" s="1077">
        <v>0</v>
      </c>
      <c r="E41" s="1077">
        <v>0</v>
      </c>
      <c r="F41" s="1046">
        <f>SUM('3 pr-3'!CP173)+E41</f>
        <v>0</v>
      </c>
      <c r="G41" s="1046">
        <f>SUM('3 pr-3'!CQ173)+F41</f>
        <v>0</v>
      </c>
      <c r="H41" s="1046">
        <f>SUM('3 pr-3'!CR173)+G41</f>
        <v>0</v>
      </c>
      <c r="I41" s="1046">
        <f>SUM('3 pr-3'!CS173)+H41</f>
        <v>0</v>
      </c>
      <c r="J41" s="1046">
        <f>SUM('3 pr-3'!CT173)+I41</f>
        <v>0</v>
      </c>
      <c r="K41" s="1046">
        <f>SUM('3 pr-3'!CU173)+J41</f>
        <v>0</v>
      </c>
      <c r="L41" s="1046">
        <f>SUM('3 pr-3'!CV173)+K41</f>
        <v>0</v>
      </c>
    </row>
    <row r="42" spans="1:12" ht="31.5" x14ac:dyDescent="0.25">
      <c r="A42" s="253" t="s">
        <v>531</v>
      </c>
      <c r="B42" s="253" t="s">
        <v>532</v>
      </c>
      <c r="C42" s="253"/>
      <c r="D42" s="1077">
        <v>0</v>
      </c>
      <c r="E42" s="1077">
        <v>0</v>
      </c>
      <c r="F42" s="1046">
        <f>SUM('3 pr-3'!AH92)+E42</f>
        <v>0</v>
      </c>
      <c r="G42" s="1046">
        <f>SUM('3 pr-3'!AI92)+F42</f>
        <v>0</v>
      </c>
      <c r="H42" s="1046">
        <f>SUM('3 pr-3'!AJ92)+G42</f>
        <v>0</v>
      </c>
      <c r="I42" s="1046">
        <f>SUM('3 pr-3'!AK92)+H42</f>
        <v>0</v>
      </c>
      <c r="J42" s="1046">
        <f>SUM('3 pr-3'!AL92)+I42</f>
        <v>0</v>
      </c>
      <c r="K42" s="1046">
        <f>SUM('3 pr-3'!AM92)+J42</f>
        <v>0</v>
      </c>
      <c r="L42" s="1046">
        <f>SUM('3 pr-3'!AN92)+K42</f>
        <v>0</v>
      </c>
    </row>
    <row r="43" spans="1:12" ht="31.5" x14ac:dyDescent="0.25">
      <c r="A43" s="253" t="s">
        <v>552</v>
      </c>
      <c r="B43" s="253" t="s">
        <v>604</v>
      </c>
      <c r="C43" s="253"/>
      <c r="D43" s="1077">
        <v>0</v>
      </c>
      <c r="E43" s="1077">
        <v>0</v>
      </c>
      <c r="F43" s="1046">
        <f>SUM('3 pr-3'!N148)+E43</f>
        <v>0</v>
      </c>
      <c r="G43" s="1046">
        <f>SUM('3 pr-3'!O148)+F43</f>
        <v>0</v>
      </c>
      <c r="H43" s="1046">
        <f>SUM('3 pr-3'!P148)+G43</f>
        <v>0</v>
      </c>
      <c r="I43" s="1046">
        <f>SUM('3 pr-3'!Q148)+H43</f>
        <v>0</v>
      </c>
      <c r="J43" s="1046">
        <f>SUM('3 pr-3'!R148)+I43</f>
        <v>0</v>
      </c>
      <c r="K43" s="1046">
        <f>SUM('3 pr-3'!S148)+J43</f>
        <v>0</v>
      </c>
      <c r="L43" s="1046">
        <f>SUM('3 pr-3'!T148)+K43</f>
        <v>0</v>
      </c>
    </row>
    <row r="44" spans="1:12" s="1029" customFormat="1" ht="32.25" customHeight="1" x14ac:dyDescent="0.25">
      <c r="A44" s="1080" t="s">
        <v>555</v>
      </c>
      <c r="B44" s="1081" t="s">
        <v>605</v>
      </c>
      <c r="C44" s="1080"/>
      <c r="D44" s="1082">
        <v>0</v>
      </c>
      <c r="E44" s="1082">
        <v>0</v>
      </c>
      <c r="F44" s="1080">
        <f>SUM('3 pr-3'!N154)+E44</f>
        <v>41</v>
      </c>
      <c r="G44" s="1080">
        <f>SUM('3 pr-3'!O154)+F44</f>
        <v>41</v>
      </c>
      <c r="H44" s="1080">
        <f>SUM('3 pr-3'!P154)+G44</f>
        <v>41</v>
      </c>
      <c r="I44" s="1080">
        <f>SUM('3 pr-3'!Q154)+H44</f>
        <v>41</v>
      </c>
      <c r="J44" s="1080">
        <f>SUM('3 pr-3'!R154)+I44</f>
        <v>41</v>
      </c>
      <c r="K44" s="1080">
        <f>SUM('3 pr-3'!S154)+J44</f>
        <v>41</v>
      </c>
      <c r="L44" s="1080">
        <f>SUM('3 pr-3'!T154)+K44</f>
        <v>41</v>
      </c>
    </row>
    <row r="45" spans="1:12" s="1029" customFormat="1" ht="47.25" x14ac:dyDescent="0.25">
      <c r="A45" s="1473" t="s">
        <v>1741</v>
      </c>
      <c r="B45" s="1474" t="s">
        <v>1742</v>
      </c>
      <c r="C45" s="1473"/>
      <c r="D45" s="1477">
        <v>0</v>
      </c>
      <c r="E45" s="1477">
        <v>0</v>
      </c>
      <c r="F45" s="1473">
        <f>SUM('3 pr-3'!N121)+E45</f>
        <v>0</v>
      </c>
      <c r="G45" s="1473">
        <f>SUM('3 pr-3'!O214)+F45</f>
        <v>0</v>
      </c>
      <c r="H45" s="1473">
        <f>SUM('3 pr-3'!P121)+G45</f>
        <v>0</v>
      </c>
      <c r="I45" s="1473">
        <f>SUM('3 pr-3'!Q121)+H45</f>
        <v>0</v>
      </c>
      <c r="J45" s="1473">
        <f>SUM('3 pr-3'!R121)+I45</f>
        <v>0</v>
      </c>
      <c r="K45" s="1473">
        <f>SUM('3 pr-3'!S121)+J45</f>
        <v>0</v>
      </c>
      <c r="L45" s="1473">
        <f>SUM('3 pr-3'!T121)+K45</f>
        <v>0</v>
      </c>
    </row>
    <row r="46" spans="1:12" ht="31.5" x14ac:dyDescent="0.25">
      <c r="A46" s="253" t="s">
        <v>409</v>
      </c>
      <c r="B46" s="253" t="s">
        <v>834</v>
      </c>
      <c r="C46" s="253"/>
      <c r="D46" s="1077">
        <v>0</v>
      </c>
      <c r="E46" s="1077">
        <v>0</v>
      </c>
      <c r="F46" s="1046">
        <f>SUM('3 pr-3'!N33)+E46</f>
        <v>0</v>
      </c>
      <c r="G46" s="1046">
        <f>SUM('3 pr-3'!O33)+F46</f>
        <v>0</v>
      </c>
      <c r="H46" s="1046">
        <f>SUM('3 pr-3'!P33)+G46</f>
        <v>0</v>
      </c>
      <c r="I46" s="1046">
        <f>SUM('3 pr-3'!Q33)+H46</f>
        <v>0</v>
      </c>
      <c r="J46" s="1046">
        <f>SUM('3 pr-3'!R33)+I46</f>
        <v>0</v>
      </c>
      <c r="K46" s="1046">
        <f>SUM('3 pr-3'!S33)+J46</f>
        <v>0</v>
      </c>
      <c r="L46" s="1046">
        <f>SUM('3 pr-3'!T33)+K46</f>
        <v>0</v>
      </c>
    </row>
    <row r="47" spans="1:12" ht="47.25" x14ac:dyDescent="0.25">
      <c r="A47" s="253" t="s">
        <v>410</v>
      </c>
      <c r="B47" s="253" t="s">
        <v>411</v>
      </c>
      <c r="C47" s="253"/>
      <c r="D47" s="1077">
        <v>0</v>
      </c>
      <c r="E47" s="1077">
        <v>0</v>
      </c>
      <c r="F47" s="1046">
        <f>SUM('3 pr-3'!AH33)+E47</f>
        <v>0</v>
      </c>
      <c r="G47" s="1046">
        <f>SUM('3 pr-3'!AI33)+F47</f>
        <v>0</v>
      </c>
      <c r="H47" s="1046">
        <f>SUM('3 pr-3'!AJ33)+G47</f>
        <v>0</v>
      </c>
      <c r="I47" s="1046">
        <f>SUM('3 pr-3'!AK33)+H47</f>
        <v>0</v>
      </c>
      <c r="J47" s="1046">
        <f>SUM('3 pr-3'!AL33)+I47</f>
        <v>0</v>
      </c>
      <c r="K47" s="1046">
        <f>SUM('3 pr-3'!AM33)+J47</f>
        <v>0</v>
      </c>
      <c r="L47" s="1046">
        <f>SUM('3 pr-3'!AN33)+K47</f>
        <v>0</v>
      </c>
    </row>
    <row r="48" spans="1:12" ht="47.25" x14ac:dyDescent="0.25">
      <c r="A48" s="1088" t="s">
        <v>1471</v>
      </c>
      <c r="B48" s="1088" t="s">
        <v>1472</v>
      </c>
      <c r="C48" s="1088"/>
      <c r="D48" s="1085">
        <v>0</v>
      </c>
      <c r="E48" s="1085">
        <v>0</v>
      </c>
      <c r="F48" s="1050">
        <f>SUM('3 pr-3'!N135)+E48</f>
        <v>0</v>
      </c>
      <c r="G48" s="1050">
        <f>SUM('3 pr-3'!O135)+F48</f>
        <v>0</v>
      </c>
      <c r="H48" s="1050">
        <f>SUM('3 pr-3'!P135)+G48</f>
        <v>0</v>
      </c>
      <c r="I48" s="1050">
        <f>SUM('3 pr-3'!Q135)+H48</f>
        <v>0</v>
      </c>
      <c r="J48" s="1050">
        <f>SUM('3 pr-3'!R135)+I48</f>
        <v>0</v>
      </c>
      <c r="K48" s="1050">
        <f>SUM('3 pr-3'!S135)+J48</f>
        <v>0</v>
      </c>
      <c r="L48" s="1050">
        <f>SUM('3 pr-3'!T135)+K48</f>
        <v>0</v>
      </c>
    </row>
    <row r="49" spans="1:12" ht="31.5" x14ac:dyDescent="0.25">
      <c r="A49" s="1050" t="s">
        <v>837</v>
      </c>
      <c r="B49" s="1050" t="s">
        <v>838</v>
      </c>
      <c r="C49" s="253"/>
      <c r="D49" s="1077">
        <v>0</v>
      </c>
      <c r="E49" s="1077">
        <v>0</v>
      </c>
      <c r="F49" s="1046">
        <f>SUM('3 pr-3'!BV114)+E49</f>
        <v>0</v>
      </c>
      <c r="G49" s="1046">
        <f>SUM('3 pr-3'!BW114)+F49</f>
        <v>0</v>
      </c>
      <c r="H49" s="1046">
        <f>SUM('3 pr-3'!BX114)+G49</f>
        <v>0</v>
      </c>
      <c r="I49" s="1046">
        <f>SUM('3 pr-3'!BY114)+H49</f>
        <v>0</v>
      </c>
      <c r="J49" s="1046">
        <f>SUM('3 pr-3'!BZ114)+I49</f>
        <v>0</v>
      </c>
      <c r="K49" s="1046">
        <f>SUM('3 pr-3'!CA114)+J49</f>
        <v>0</v>
      </c>
      <c r="L49" s="1046">
        <f>SUM('3 pr-3'!CB114)+K49</f>
        <v>0</v>
      </c>
    </row>
    <row r="50" spans="1:12" ht="47.25" x14ac:dyDescent="0.25">
      <c r="A50" s="253" t="s">
        <v>557</v>
      </c>
      <c r="B50" s="253" t="s">
        <v>606</v>
      </c>
      <c r="C50" s="253"/>
      <c r="D50" s="1077">
        <v>0</v>
      </c>
      <c r="E50" s="1077">
        <v>0</v>
      </c>
      <c r="F50" s="1046">
        <f>SUM('3 pr-3'!N161)+E50</f>
        <v>0</v>
      </c>
      <c r="G50" s="1046">
        <f>SUM('3 pr-3'!O161)+F50</f>
        <v>0</v>
      </c>
      <c r="H50" s="1046">
        <f>SUM('3 pr-3'!P161)+G50</f>
        <v>0</v>
      </c>
      <c r="I50" s="1046">
        <f>SUM('3 pr-3'!Q161)+H50</f>
        <v>0</v>
      </c>
      <c r="J50" s="1046">
        <f>SUM('3 pr-3'!R161)+I50</f>
        <v>0</v>
      </c>
      <c r="K50" s="1046">
        <f>SUM('3 pr-3'!S161)+J50</f>
        <v>0</v>
      </c>
      <c r="L50" s="1046">
        <f>SUM('3 pr-3'!T161)+K50</f>
        <v>0</v>
      </c>
    </row>
    <row r="51" spans="1:12" ht="63" x14ac:dyDescent="0.25">
      <c r="A51" s="253" t="s">
        <v>559</v>
      </c>
      <c r="B51" s="253" t="s">
        <v>607</v>
      </c>
      <c r="C51" s="253"/>
      <c r="D51" s="1077">
        <v>0</v>
      </c>
      <c r="E51" s="1077">
        <v>0</v>
      </c>
      <c r="F51" s="1046">
        <f>SUM('3 pr-3'!AH161)+E51</f>
        <v>0</v>
      </c>
      <c r="G51" s="1046">
        <f>SUM('3 pr-3'!AI161)+F51</f>
        <v>0</v>
      </c>
      <c r="H51" s="1046">
        <f>SUM('3 pr-3'!AJ161)+G51</f>
        <v>0</v>
      </c>
      <c r="I51" s="1046">
        <f>SUM('3 pr-3'!AK161)+H51</f>
        <v>0</v>
      </c>
      <c r="J51" s="1046">
        <f>SUM('3 pr-3'!AL161)+I51</f>
        <v>0</v>
      </c>
      <c r="K51" s="1046">
        <f>SUM('3 pr-3'!AM161)+J51</f>
        <v>0</v>
      </c>
      <c r="L51" s="1046">
        <f>SUM('3 pr-3'!AN161)+K51</f>
        <v>0</v>
      </c>
    </row>
    <row r="52" spans="1:12" ht="31.5" x14ac:dyDescent="0.25">
      <c r="A52" s="253" t="s">
        <v>566</v>
      </c>
      <c r="B52" s="253" t="s">
        <v>608</v>
      </c>
      <c r="C52" s="253"/>
      <c r="D52" s="1077">
        <v>0</v>
      </c>
      <c r="E52" s="1077">
        <v>0</v>
      </c>
      <c r="F52" s="1046">
        <f>SUM('3 pr-3'!N173)+E52</f>
        <v>0</v>
      </c>
      <c r="G52" s="1046">
        <f>SUM('3 pr-3'!O173)+F52</f>
        <v>0</v>
      </c>
      <c r="H52" s="1046">
        <f>SUM('3 pr-3'!P173)+G52</f>
        <v>0</v>
      </c>
      <c r="I52" s="1046">
        <f>SUM('3 pr-3'!Q173)+H52</f>
        <v>0</v>
      </c>
      <c r="J52" s="1046">
        <f>SUM('3 pr-3'!R173)+I52</f>
        <v>0</v>
      </c>
      <c r="K52" s="1046">
        <f>SUM('3 pr-3'!S173)+J52</f>
        <v>0</v>
      </c>
      <c r="L52" s="1046">
        <f>SUM('3 pr-3'!T173)+K52</f>
        <v>0</v>
      </c>
    </row>
    <row r="53" spans="1:12" ht="31.5" x14ac:dyDescent="0.25">
      <c r="A53" s="253" t="s">
        <v>835</v>
      </c>
      <c r="B53" s="253" t="s">
        <v>836</v>
      </c>
      <c r="C53" s="253"/>
      <c r="D53" s="1077">
        <v>0</v>
      </c>
      <c r="E53" s="1077">
        <v>0</v>
      </c>
      <c r="F53" s="1046"/>
      <c r="G53" s="1046"/>
      <c r="H53" s="1046"/>
      <c r="I53" s="1046"/>
      <c r="J53" s="1046"/>
      <c r="K53" s="1046"/>
      <c r="L53" s="1089"/>
    </row>
    <row r="54" spans="1:12" ht="15.75" x14ac:dyDescent="0.25">
      <c r="A54" s="368" t="s">
        <v>725</v>
      </c>
      <c r="B54" s="5"/>
      <c r="C54" s="5"/>
      <c r="D54" s="5"/>
      <c r="E54" s="5"/>
      <c r="F54" s="5"/>
      <c r="G54" s="5"/>
      <c r="H54" s="5"/>
      <c r="I54" s="5"/>
      <c r="J54" s="5"/>
      <c r="K54" s="5"/>
      <c r="L54" s="5"/>
    </row>
    <row r="55" spans="1:12" ht="15.75" x14ac:dyDescent="0.25">
      <c r="A55" s="368" t="s">
        <v>725</v>
      </c>
      <c r="B55" s="5"/>
      <c r="C55" s="5"/>
      <c r="D55" s="5"/>
      <c r="E55" s="5"/>
      <c r="F55" s="5"/>
      <c r="G55" s="5"/>
      <c r="H55" s="5"/>
      <c r="I55" s="5"/>
      <c r="J55" s="5"/>
      <c r="K55" s="5"/>
      <c r="L55" s="5"/>
    </row>
  </sheetData>
  <mergeCells count="1">
    <mergeCell ref="A1:J1"/>
  </mergeCells>
  <pageMargins left="0.25" right="0.25" top="0.75" bottom="0.75" header="0.3" footer="0.3"/>
  <pageSetup paperSize="9"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X185"/>
  <sheetViews>
    <sheetView showRuler="0" zoomScaleNormal="100" workbookViewId="0">
      <pane ySplit="3975" topLeftCell="A124" activePane="bottomLeft"/>
      <selection activeCell="A2" sqref="A2"/>
      <selection pane="bottomLeft" activeCell="O126" sqref="O126:P126"/>
    </sheetView>
  </sheetViews>
  <sheetFormatPr defaultColWidth="9.140625" defaultRowHeight="15" x14ac:dyDescent="0.25"/>
  <cols>
    <col min="1" max="1" width="9.140625" style="85"/>
    <col min="2" max="2" width="12.28515625" style="85" customWidth="1"/>
    <col min="3" max="3" width="28.28515625" style="85" customWidth="1"/>
    <col min="4" max="4" width="13" style="85" customWidth="1"/>
    <col min="5" max="5" width="18" style="85" customWidth="1"/>
    <col min="6" max="6" width="12.28515625" style="85" customWidth="1"/>
    <col min="7" max="7" width="19.42578125" style="85" customWidth="1"/>
    <col min="8" max="8" width="4.140625" style="85" bestFit="1" customWidth="1"/>
    <col min="9" max="9" width="3.28515625" style="85" bestFit="1" customWidth="1"/>
    <col min="10" max="10" width="5.140625" style="85" customWidth="1"/>
    <col min="11" max="11" width="6.7109375" style="85" bestFit="1" customWidth="1"/>
    <col min="12" max="12" width="26.28515625" style="85" customWidth="1"/>
    <col min="13" max="13" width="6.7109375" style="85" customWidth="1"/>
    <col min="14" max="14" width="20.85546875" style="85" customWidth="1"/>
    <col min="15" max="15" width="7" style="85" customWidth="1"/>
    <col min="16" max="16" width="15.28515625" style="85" customWidth="1"/>
    <col min="17" max="17" width="9" style="85" customWidth="1"/>
    <col min="18" max="18" width="15.28515625" style="85" customWidth="1"/>
    <col min="19" max="19" width="9" style="85" customWidth="1"/>
    <col min="20" max="20" width="15.28515625" style="85" customWidth="1"/>
    <col min="21" max="21" width="6.85546875" style="85" customWidth="1"/>
    <col min="22" max="22" width="10" style="85" customWidth="1"/>
    <col min="23" max="23" width="9.28515625" style="85" customWidth="1"/>
    <col min="24" max="16384" width="9.140625" style="85"/>
  </cols>
  <sheetData>
    <row r="2" spans="1:23" ht="16.5" thickBot="1" x14ac:dyDescent="0.3">
      <c r="A2" s="831" t="s">
        <v>340</v>
      </c>
      <c r="B2" s="831"/>
    </row>
    <row r="3" spans="1:23" ht="65.25" thickTop="1" thickBot="1" x14ac:dyDescent="0.3">
      <c r="A3" s="896" t="s">
        <v>7</v>
      </c>
      <c r="B3" s="1099" t="s">
        <v>1539</v>
      </c>
      <c r="C3" s="897" t="s">
        <v>49</v>
      </c>
      <c r="D3" s="897" t="s">
        <v>50</v>
      </c>
      <c r="E3" s="897" t="s">
        <v>51</v>
      </c>
      <c r="F3" s="897" t="s">
        <v>52</v>
      </c>
      <c r="G3" s="898" t="s">
        <v>53</v>
      </c>
      <c r="H3" s="897" t="s">
        <v>1544</v>
      </c>
      <c r="I3" s="897" t="s">
        <v>1545</v>
      </c>
      <c r="J3" s="899" t="s">
        <v>342</v>
      </c>
      <c r="K3" s="897" t="s">
        <v>343</v>
      </c>
      <c r="L3" s="899" t="s">
        <v>344</v>
      </c>
      <c r="M3" s="897" t="s">
        <v>345</v>
      </c>
      <c r="N3" s="899" t="s">
        <v>346</v>
      </c>
      <c r="O3" s="897" t="s">
        <v>347</v>
      </c>
      <c r="P3" s="899" t="s">
        <v>348</v>
      </c>
      <c r="Q3" s="897" t="s">
        <v>349</v>
      </c>
      <c r="R3" s="899" t="s">
        <v>1495</v>
      </c>
      <c r="S3" s="897" t="s">
        <v>473</v>
      </c>
      <c r="T3" s="899" t="s">
        <v>1496</v>
      </c>
      <c r="U3" s="900" t="s">
        <v>350</v>
      </c>
      <c r="V3" s="901" t="s">
        <v>351</v>
      </c>
      <c r="W3" s="902" t="s">
        <v>352</v>
      </c>
    </row>
    <row r="4" spans="1:23" ht="15.75" thickBot="1" x14ac:dyDescent="0.3">
      <c r="A4" s="44"/>
      <c r="B4" s="41"/>
      <c r="C4" s="41"/>
      <c r="D4" s="41"/>
      <c r="E4" s="41"/>
      <c r="F4" s="41"/>
      <c r="G4" s="41"/>
      <c r="H4" s="36"/>
      <c r="I4" s="36"/>
      <c r="J4" s="903"/>
      <c r="K4" s="36"/>
      <c r="L4" s="86"/>
      <c r="M4" s="41"/>
      <c r="N4" s="86"/>
      <c r="O4" s="41"/>
      <c r="P4" s="86"/>
      <c r="Q4" s="41"/>
      <c r="R4" s="86"/>
      <c r="S4" s="41"/>
      <c r="T4" s="86"/>
      <c r="U4" s="46"/>
      <c r="V4" s="41"/>
      <c r="W4" s="86"/>
    </row>
    <row r="5" spans="1:23" ht="88.5" customHeight="1" thickBot="1" x14ac:dyDescent="0.3">
      <c r="A5" s="221" t="s">
        <v>11</v>
      </c>
      <c r="B5" s="1100"/>
      <c r="C5" s="1671" t="str">
        <f>CONCATENATE('3 pr-2'!D7)</f>
        <v/>
      </c>
      <c r="D5" s="1644"/>
      <c r="E5" s="1644"/>
      <c r="F5" s="1644"/>
      <c r="G5" s="1644"/>
      <c r="H5" s="1644"/>
      <c r="I5" s="1644"/>
      <c r="J5" s="1645"/>
      <c r="K5" s="904"/>
      <c r="L5" s="905"/>
      <c r="M5" s="906" t="s">
        <v>66</v>
      </c>
      <c r="N5" s="905"/>
      <c r="O5" s="906" t="s">
        <v>66</v>
      </c>
      <c r="P5" s="905"/>
      <c r="Q5" s="906" t="s">
        <v>66</v>
      </c>
      <c r="R5" s="905"/>
      <c r="S5" s="906" t="s">
        <v>66</v>
      </c>
      <c r="T5" s="905"/>
      <c r="U5" s="907"/>
      <c r="V5" s="906" t="s">
        <v>66</v>
      </c>
      <c r="W5" s="905"/>
    </row>
    <row r="6" spans="1:23" ht="48.75" customHeight="1" thickBot="1" x14ac:dyDescent="0.3">
      <c r="A6" s="220" t="s">
        <v>12</v>
      </c>
      <c r="B6" s="1101"/>
      <c r="C6" s="1668" t="s">
        <v>893</v>
      </c>
      <c r="D6" s="1669"/>
      <c r="E6" s="1669"/>
      <c r="F6" s="1669"/>
      <c r="G6" s="1669"/>
      <c r="H6" s="1669"/>
      <c r="I6" s="1669"/>
      <c r="J6" s="1670"/>
      <c r="K6" s="908"/>
      <c r="L6" s="909"/>
      <c r="M6" s="910" t="s">
        <v>66</v>
      </c>
      <c r="N6" s="909"/>
      <c r="O6" s="910" t="s">
        <v>66</v>
      </c>
      <c r="P6" s="909"/>
      <c r="Q6" s="910" t="s">
        <v>66</v>
      </c>
      <c r="R6" s="909"/>
      <c r="S6" s="910" t="s">
        <v>66</v>
      </c>
      <c r="T6" s="909"/>
      <c r="U6" s="911"/>
      <c r="V6" s="910" t="s">
        <v>66</v>
      </c>
      <c r="W6" s="909"/>
    </row>
    <row r="7" spans="1:23" ht="41.25" customHeight="1" thickBot="1" x14ac:dyDescent="0.3">
      <c r="A7" s="498" t="s">
        <v>67</v>
      </c>
      <c r="B7" s="1102"/>
      <c r="C7" s="1651" t="s">
        <v>888</v>
      </c>
      <c r="D7" s="1660"/>
      <c r="E7" s="1660"/>
      <c r="F7" s="1660"/>
      <c r="G7" s="1660"/>
      <c r="H7" s="1660"/>
      <c r="I7" s="1660"/>
      <c r="J7" s="1661"/>
      <c r="K7" s="912"/>
      <c r="L7" s="913"/>
      <c r="M7" s="914" t="s">
        <v>66</v>
      </c>
      <c r="N7" s="913"/>
      <c r="O7" s="914" t="s">
        <v>66</v>
      </c>
      <c r="P7" s="913"/>
      <c r="Q7" s="914" t="s">
        <v>66</v>
      </c>
      <c r="R7" s="913"/>
      <c r="S7" s="914" t="s">
        <v>66</v>
      </c>
      <c r="T7" s="913"/>
      <c r="U7" s="915"/>
      <c r="V7" s="916">
        <f>SUM('3 pr-2'!L9)</f>
        <v>4379520</v>
      </c>
      <c r="W7" s="917">
        <f>SUM('3 pr-2'!AA9)</f>
        <v>2804551</v>
      </c>
    </row>
    <row r="8" spans="1:23" ht="51.75" thickBot="1" x14ac:dyDescent="0.3">
      <c r="A8" s="212" t="str">
        <f>CONCATENATE('3 pr-2'!A10)</f>
        <v>1.1.1.1.1</v>
      </c>
      <c r="B8" s="212" t="str">
        <f>CONCATENATE('3 pr-2'!B10)</f>
        <v>R01-ZM72-120000-1101</v>
      </c>
      <c r="C8" s="514" t="str">
        <f>CONCATENATE('3 pr-2'!D10)</f>
        <v xml:space="preserve">Druskininkų savivaldybės Viečiūnų seniūnijos Ilgio ir Raigardo seniūnaitijų kelių būklės gerinimas  </v>
      </c>
      <c r="D8" s="514" t="str">
        <f>CONCATENATE('3 pr-2'!E10)</f>
        <v xml:space="preserve">Druskininkų savivaldybės administracija  </v>
      </c>
      <c r="E8" s="514" t="str">
        <f>CONCATENATE('3 pr-2'!F10)</f>
        <v>Lietuvos Respublikos žemės ūkio ministerija</v>
      </c>
      <c r="F8" s="514" t="str">
        <f>CONCATENATE('3 pr-2'!G10)</f>
        <v>Druskininkų savivaldybė</v>
      </c>
      <c r="G8" s="514" t="str">
        <f>CONCATENATE('3 pr-2'!H10)</f>
        <v xml:space="preserve">Pagrindinės paslaugos ir kaimų atnaujinimas kaimo vietovėse </v>
      </c>
      <c r="H8" s="212" t="str">
        <f>CONCATENATE('3 pr-2'!I10)</f>
        <v>R</v>
      </c>
      <c r="I8" s="212" t="str">
        <f>CONCATENATE('3 pr-2'!J10)</f>
        <v>-</v>
      </c>
      <c r="J8" s="212" t="str">
        <f>CONCATENATE('3 pr-2'!K10)</f>
        <v>-</v>
      </c>
      <c r="K8" s="212">
        <v>12</v>
      </c>
      <c r="L8" s="212" t="s">
        <v>374</v>
      </c>
      <c r="M8" s="212" t="s">
        <v>66</v>
      </c>
      <c r="N8" s="212" t="s">
        <v>66</v>
      </c>
      <c r="O8" s="212" t="s">
        <v>66</v>
      </c>
      <c r="P8" s="212" t="s">
        <v>66</v>
      </c>
      <c r="Q8" s="212" t="s">
        <v>66</v>
      </c>
      <c r="R8" s="212" t="s">
        <v>66</v>
      </c>
      <c r="S8" s="212" t="s">
        <v>66</v>
      </c>
      <c r="T8" s="212" t="s">
        <v>66</v>
      </c>
      <c r="U8" s="522">
        <v>1</v>
      </c>
      <c r="V8" s="918">
        <f>SUM('3 pr-2'!L10)</f>
        <v>198893</v>
      </c>
      <c r="W8" s="918">
        <f>SUM('3 pr-2'!AA10)</f>
        <v>135247</v>
      </c>
    </row>
    <row r="9" spans="1:23" ht="51.75" thickBot="1" x14ac:dyDescent="0.3">
      <c r="A9" s="212" t="str">
        <f>CONCATENATE('3 pr-2'!A11)</f>
        <v>1.1.1.1.2</v>
      </c>
      <c r="B9" s="212" t="str">
        <f>CONCATENATE('3 pr-2'!B11)</f>
        <v>R01-ZM72-120000-1102</v>
      </c>
      <c r="C9" s="514" t="str">
        <f>CONCATENATE('3 pr-2'!D11)</f>
        <v>Druskininkų savivaldybės Viečiūnų seniūnijos Ratnyčėlės seniūnaitijos kelių būklės gerinimas</v>
      </c>
      <c r="D9" s="514" t="str">
        <f>CONCATENATE('3 pr-2'!E11)</f>
        <v xml:space="preserve">Druskininkų savivaldybės administracija  </v>
      </c>
      <c r="E9" s="514" t="str">
        <f>CONCATENATE('3 pr-2'!F11)</f>
        <v>Lietuvos Respublikos žemės ūkio ministerija</v>
      </c>
      <c r="F9" s="514" t="str">
        <f>CONCATENATE('3 pr-2'!G11)</f>
        <v>Druskininkų savivaldybė</v>
      </c>
      <c r="G9" s="514" t="str">
        <f>CONCATENATE('3 pr-2'!H11)</f>
        <v xml:space="preserve">Pagrindinės paslaugos ir kaimų atnaujinimas kaimo vietovėse </v>
      </c>
      <c r="H9" s="212" t="str">
        <f>CONCATENATE('3 pr-2'!I11)</f>
        <v>R</v>
      </c>
      <c r="I9" s="212" t="str">
        <f>CONCATENATE('3 pr-2'!J11)</f>
        <v>-</v>
      </c>
      <c r="J9" s="212" t="str">
        <f>CONCATENATE('3 pr-2'!K11)</f>
        <v>-</v>
      </c>
      <c r="K9" s="212">
        <v>12</v>
      </c>
      <c r="L9" s="212" t="s">
        <v>374</v>
      </c>
      <c r="M9" s="212" t="s">
        <v>66</v>
      </c>
      <c r="N9" s="212" t="s">
        <v>66</v>
      </c>
      <c r="O9" s="212" t="s">
        <v>66</v>
      </c>
      <c r="P9" s="212" t="s">
        <v>66</v>
      </c>
      <c r="Q9" s="212" t="s">
        <v>66</v>
      </c>
      <c r="R9" s="212" t="s">
        <v>66</v>
      </c>
      <c r="S9" s="212" t="s">
        <v>66</v>
      </c>
      <c r="T9" s="212" t="s">
        <v>66</v>
      </c>
      <c r="U9" s="522">
        <v>1</v>
      </c>
      <c r="V9" s="918">
        <f>SUM('3 pr-2'!L11)</f>
        <v>151340</v>
      </c>
      <c r="W9" s="918">
        <f>SUM('3 pr-2'!AA11)</f>
        <v>102911</v>
      </c>
    </row>
    <row r="10" spans="1:23" ht="51.75" thickBot="1" x14ac:dyDescent="0.3">
      <c r="A10" s="212" t="str">
        <f>CONCATENATE('3 pr-2'!A12)</f>
        <v>1.1.1.1.3</v>
      </c>
      <c r="B10" s="212" t="str">
        <f>CONCATENATE('3 pr-2'!B12)</f>
        <v>R01-ZM72-120000-1103</v>
      </c>
      <c r="C10" s="514" t="str">
        <f>CONCATENATE('3 pr-2'!D12)</f>
        <v>Druskininkų savivaldybės Leipalingio seniūnijos Klonio seniūnaitijos kelių būklės gerinimas</v>
      </c>
      <c r="D10" s="514" t="str">
        <f>CONCATENATE('3 pr-2'!E12)</f>
        <v xml:space="preserve">Druskininkų savivaldybės administracija  </v>
      </c>
      <c r="E10" s="514" t="str">
        <f>CONCATENATE('3 pr-2'!F12)</f>
        <v>Lietuvos Respublikos žemės ūkio ministerija</v>
      </c>
      <c r="F10" s="514" t="str">
        <f>CONCATENATE('3 pr-2'!G12)</f>
        <v>Druskininkų savivaldybė</v>
      </c>
      <c r="G10" s="514" t="str">
        <f>CONCATENATE('3 pr-2'!H12)</f>
        <v xml:space="preserve">Pagrindinės paslaugos ir kaimų atnaujinimas kaimo vietovėse </v>
      </c>
      <c r="H10" s="212" t="str">
        <f>CONCATENATE('3 pr-2'!I12)</f>
        <v>R</v>
      </c>
      <c r="I10" s="212" t="str">
        <f>CONCATENATE('3 pr-2'!J12)</f>
        <v>-</v>
      </c>
      <c r="J10" s="212" t="str">
        <f>CONCATENATE('3 pr-2'!K12)</f>
        <v>-</v>
      </c>
      <c r="K10" s="212">
        <v>12</v>
      </c>
      <c r="L10" s="212" t="s">
        <v>374</v>
      </c>
      <c r="M10" s="212" t="s">
        <v>66</v>
      </c>
      <c r="N10" s="212" t="s">
        <v>66</v>
      </c>
      <c r="O10" s="212" t="s">
        <v>66</v>
      </c>
      <c r="P10" s="212" t="s">
        <v>66</v>
      </c>
      <c r="Q10" s="212" t="s">
        <v>66</v>
      </c>
      <c r="R10" s="212" t="s">
        <v>66</v>
      </c>
      <c r="S10" s="212" t="s">
        <v>66</v>
      </c>
      <c r="T10" s="212" t="s">
        <v>66</v>
      </c>
      <c r="U10" s="522">
        <v>1</v>
      </c>
      <c r="V10" s="918">
        <f>SUM('3 pr-2'!L12)</f>
        <v>193059</v>
      </c>
      <c r="W10" s="918">
        <f>SUM('3 pr-2'!AA12)</f>
        <v>131280</v>
      </c>
    </row>
    <row r="11" spans="1:23" ht="51.75" thickBot="1" x14ac:dyDescent="0.3">
      <c r="A11" s="212" t="str">
        <f>CONCATENATE('3 pr-2'!A13)</f>
        <v>1.1.1.1.4</v>
      </c>
      <c r="B11" s="212" t="str">
        <f>CONCATENATE('3 pr-2'!B13)</f>
        <v>R01-ZM72-330200-1104</v>
      </c>
      <c r="C11" s="514" t="str">
        <f>CONCATENATE('3 pr-2'!D13)</f>
        <v>Rudaminos laisvalaikio salės pritaikymas bendruomenės poreikiams ir liaudies amatų plėtrai</v>
      </c>
      <c r="D11" s="514" t="str">
        <f>CONCATENATE('3 pr-2'!E13)</f>
        <v>Viešoji įstaiga Lazdijų kultūros centras</v>
      </c>
      <c r="E11" s="514" t="str">
        <f>CONCATENATE('3 pr-2'!F13)</f>
        <v>Lietuvos Respublikos žemės ūkio ministerija</v>
      </c>
      <c r="F11" s="514" t="str">
        <f>CONCATENATE('3 pr-2'!G13)</f>
        <v>Lazdijų rajono savivaldybė</v>
      </c>
      <c r="G11" s="514" t="str">
        <f>CONCATENATE('3 pr-2'!H13)</f>
        <v xml:space="preserve">Pagrindinės paslaugos ir kaimų atnaujinimas kaimo vietovėse </v>
      </c>
      <c r="H11" s="212" t="str">
        <f>CONCATENATE('3 pr-2'!I13)</f>
        <v>R</v>
      </c>
      <c r="I11" s="212" t="str">
        <f>CONCATENATE('3 pr-2'!J13)</f>
        <v>-</v>
      </c>
      <c r="J11" s="212" t="str">
        <f>CONCATENATE('3 pr-2'!K13)</f>
        <v>-</v>
      </c>
      <c r="K11" s="212">
        <v>33</v>
      </c>
      <c r="L11" s="212" t="s">
        <v>367</v>
      </c>
      <c r="M11" s="212">
        <v>2</v>
      </c>
      <c r="N11" s="212" t="s">
        <v>370</v>
      </c>
      <c r="O11" s="212" t="s">
        <v>66</v>
      </c>
      <c r="P11" s="212" t="s">
        <v>66</v>
      </c>
      <c r="Q11" s="212" t="s">
        <v>66</v>
      </c>
      <c r="R11" s="212" t="s">
        <v>66</v>
      </c>
      <c r="S11" s="212" t="s">
        <v>66</v>
      </c>
      <c r="T11" s="212" t="s">
        <v>66</v>
      </c>
      <c r="U11" s="522">
        <v>1</v>
      </c>
      <c r="V11" s="918">
        <f>SUM('3 pr-2'!L13)</f>
        <v>125000</v>
      </c>
      <c r="W11" s="918">
        <f>SUM('3 pr-2'!AA13)</f>
        <v>85000</v>
      </c>
    </row>
    <row r="12" spans="1:23" ht="51.75" thickBot="1" x14ac:dyDescent="0.3">
      <c r="A12" s="212" t="str">
        <f>CONCATENATE('3 pr-2'!A14)</f>
        <v>1.1.1.1.5</v>
      </c>
      <c r="B12" s="212" t="str">
        <f>CONCATENATE('3 pr-2'!B14)</f>
        <v>R01-ZM72-120000-1105</v>
      </c>
      <c r="C12" s="514" t="str">
        <f>CONCATENATE('3 pr-2'!D14)</f>
        <v>Druskininkų savivaldybės Leipalingio seniūnijos Bilso seniūnaitijos kelių būklės gerinimas</v>
      </c>
      <c r="D12" s="514" t="str">
        <f>CONCATENATE('3 pr-2'!E14)</f>
        <v xml:space="preserve">Druskininkų savivaldybės administracija  </v>
      </c>
      <c r="E12" s="514" t="str">
        <f>CONCATENATE('3 pr-2'!F14)</f>
        <v>Lietuvos Respublikos žemės ūkio ministerija</v>
      </c>
      <c r="F12" s="514" t="str">
        <f>CONCATENATE('3 pr-2'!G14)</f>
        <v>Druskininkų savivaldybė</v>
      </c>
      <c r="G12" s="514" t="str">
        <f>CONCATENATE('3 pr-2'!H14)</f>
        <v xml:space="preserve">Pagrindinės paslaugos ir kaimų atnaujinimas kaimo vietovėse </v>
      </c>
      <c r="H12" s="212" t="str">
        <f>CONCATENATE('3 pr-2'!I14)</f>
        <v>R</v>
      </c>
      <c r="I12" s="212" t="str">
        <f>CONCATENATE('3 pr-2'!J14)</f>
        <v>-</v>
      </c>
      <c r="J12" s="212" t="str">
        <f>CONCATENATE('3 pr-2'!K14)</f>
        <v>-</v>
      </c>
      <c r="K12" s="212">
        <v>12</v>
      </c>
      <c r="L12" s="212" t="s">
        <v>374</v>
      </c>
      <c r="M12" s="212" t="s">
        <v>66</v>
      </c>
      <c r="N12" s="212" t="s">
        <v>66</v>
      </c>
      <c r="O12" s="212" t="s">
        <v>66</v>
      </c>
      <c r="P12" s="212" t="s">
        <v>66</v>
      </c>
      <c r="Q12" s="212" t="s">
        <v>66</v>
      </c>
      <c r="R12" s="212" t="s">
        <v>66</v>
      </c>
      <c r="S12" s="212" t="s">
        <v>66</v>
      </c>
      <c r="T12" s="212" t="s">
        <v>66</v>
      </c>
      <c r="U12" s="522">
        <v>1</v>
      </c>
      <c r="V12" s="918">
        <f>SUM('3 pr-2'!L14)</f>
        <v>240940</v>
      </c>
      <c r="W12" s="918">
        <f>SUM('3 pr-2'!AA14)</f>
        <v>108837</v>
      </c>
    </row>
    <row r="13" spans="1:23" ht="77.25" thickBot="1" x14ac:dyDescent="0.3">
      <c r="A13" s="212" t="str">
        <f>CONCATENATE('3 pr-2'!A15)</f>
        <v>1.1.1.1.6</v>
      </c>
      <c r="B13" s="212" t="str">
        <f>CONCATENATE('3 pr-2'!B15)</f>
        <v>R01-ZM72-330200-1106</v>
      </c>
      <c r="C13" s="514" t="str">
        <f>CONCATENATE('3 pr-2'!D15)</f>
        <v>Lazdijų rajono kaimų patrauklumo didinimas atnaujinant bibliotekas</v>
      </c>
      <c r="D13" s="514" t="str">
        <f>CONCATENATE('3 pr-2'!E15)</f>
        <v xml:space="preserve">Biudžetinė įstaiga Lazdijų rajono savivaldybės viešoji biblioteka </v>
      </c>
      <c r="E13" s="514" t="str">
        <f>CONCATENATE('3 pr-2'!F15)</f>
        <v>Lietuvos Respublikos žemės ūkio ministerija</v>
      </c>
      <c r="F13" s="514" t="str">
        <f>CONCATENATE('3 pr-2'!G15)</f>
        <v>Lazdijų rajono savivaldybė</v>
      </c>
      <c r="G13" s="514" t="str">
        <f>CONCATENATE('3 pr-2'!H15)</f>
        <v xml:space="preserve">Pagrindinės paslaugos ir kaimų atnaujinimas kaimo vietovėse </v>
      </c>
      <c r="H13" s="212" t="str">
        <f>CONCATENATE('3 pr-2'!I15)</f>
        <v>R</v>
      </c>
      <c r="I13" s="212" t="str">
        <f>CONCATENATE('3 pr-2'!J15)</f>
        <v>-</v>
      </c>
      <c r="J13" s="212" t="str">
        <f>CONCATENATE('3 pr-2'!K15)</f>
        <v>-</v>
      </c>
      <c r="K13" s="212">
        <v>33</v>
      </c>
      <c r="L13" s="212" t="s">
        <v>367</v>
      </c>
      <c r="M13" s="212">
        <v>2</v>
      </c>
      <c r="N13" s="212" t="s">
        <v>370</v>
      </c>
      <c r="O13" s="212" t="s">
        <v>66</v>
      </c>
      <c r="P13" s="212" t="s">
        <v>66</v>
      </c>
      <c r="Q13" s="212" t="s">
        <v>66</v>
      </c>
      <c r="R13" s="212" t="s">
        <v>66</v>
      </c>
      <c r="S13" s="212" t="s">
        <v>66</v>
      </c>
      <c r="T13" s="212" t="s">
        <v>66</v>
      </c>
      <c r="U13" s="522">
        <v>1</v>
      </c>
      <c r="V13" s="918">
        <f>SUM('3 pr-2'!L15)</f>
        <v>201000</v>
      </c>
      <c r="W13" s="918">
        <f>SUM('3 pr-2'!AA15)</f>
        <v>136680</v>
      </c>
    </row>
    <row r="14" spans="1:23" ht="64.5" thickBot="1" x14ac:dyDescent="0.3">
      <c r="A14" s="212" t="str">
        <f>CONCATENATE('3 pr-2'!A16)</f>
        <v>1.1.1.1.7</v>
      </c>
      <c r="B14" s="212" t="str">
        <f>CONCATENATE('3 pr-2'!B16)</f>
        <v>R01-ZM72-123200-1107</v>
      </c>
      <c r="C14" s="514" t="str">
        <f>CONCATENATE('3 pr-2'!D16)</f>
        <v>Alytaus rajono Miroslavo kaimo multifunkcinės sporto aikštės įrengimas ir gatvių bei šaligatvių rekonstrukcija</v>
      </c>
      <c r="D14" s="514" t="str">
        <f>CONCATENATE('3 pr-2'!E16)</f>
        <v>Alytaus rajono savivaldybės administracija</v>
      </c>
      <c r="E14" s="514" t="str">
        <f>CONCATENATE('3 pr-2'!F16)</f>
        <v>Lietuvos Respublikos žemės ūkio ministerija</v>
      </c>
      <c r="F14" s="514" t="str">
        <f>CONCATENATE('3 pr-2'!G16)</f>
        <v>Alytaus rajono savivaldybė</v>
      </c>
      <c r="G14" s="514" t="str">
        <f>CONCATENATE('3 pr-2'!H16)</f>
        <v xml:space="preserve">Pagrindinės paslaugos ir kaimų atnaujinimas kaimo vietovėse </v>
      </c>
      <c r="H14" s="212" t="str">
        <f>CONCATENATE('3 pr-2'!I16)</f>
        <v>R</v>
      </c>
      <c r="I14" s="212" t="str">
        <f>CONCATENATE('3 pr-2'!J16)</f>
        <v>-</v>
      </c>
      <c r="J14" s="212" t="str">
        <f>CONCATENATE('3 pr-2'!K16)</f>
        <v>-</v>
      </c>
      <c r="K14" s="212">
        <v>12</v>
      </c>
      <c r="L14" s="212" t="s">
        <v>374</v>
      </c>
      <c r="M14" s="212">
        <v>32</v>
      </c>
      <c r="N14" s="212" t="s">
        <v>384</v>
      </c>
      <c r="O14" s="212" t="s">
        <v>66</v>
      </c>
      <c r="P14" s="212" t="s">
        <v>66</v>
      </c>
      <c r="Q14" s="212" t="s">
        <v>66</v>
      </c>
      <c r="R14" s="212" t="s">
        <v>66</v>
      </c>
      <c r="S14" s="212" t="s">
        <v>66</v>
      </c>
      <c r="T14" s="212" t="s">
        <v>66</v>
      </c>
      <c r="U14" s="522">
        <v>1</v>
      </c>
      <c r="V14" s="918">
        <f>SUM('3 pr-2'!L16)</f>
        <v>252212</v>
      </c>
      <c r="W14" s="918">
        <f>SUM('3 pr-2'!AA16)</f>
        <v>170000</v>
      </c>
    </row>
    <row r="15" spans="1:23" ht="64.5" thickBot="1" x14ac:dyDescent="0.3">
      <c r="A15" s="212" t="str">
        <f>CONCATENATE('3 pr-2'!A17)</f>
        <v>1.1.1.1.8</v>
      </c>
      <c r="B15" s="212" t="str">
        <f>CONCATENATE('3 pr-2'!B17)</f>
        <v>R01-ZM72-123200-1108</v>
      </c>
      <c r="C15" s="514" t="str">
        <f>CONCATENATE('3 pr-2'!D17)</f>
        <v>Alytaus rajono Luksnėnų kaimo multifunkcinės sporto aikštės įrengimas ir gatvių rekonstrukcija</v>
      </c>
      <c r="D15" s="514" t="str">
        <f>CONCATENATE('3 pr-2'!E17)</f>
        <v>Alytaus rajono savivaldybės administracija</v>
      </c>
      <c r="E15" s="514" t="str">
        <f>CONCATENATE('3 pr-2'!F17)</f>
        <v>Lietuvos Respublikos žemės ūkio ministerija</v>
      </c>
      <c r="F15" s="514" t="str">
        <f>CONCATENATE('3 pr-2'!G17)</f>
        <v>Alytaus rajono savivaldybė</v>
      </c>
      <c r="G15" s="514" t="str">
        <f>CONCATENATE('3 pr-2'!H17)</f>
        <v xml:space="preserve">Pagrindinės paslaugos ir kaimų atnaujinimas kaimo vietovėse </v>
      </c>
      <c r="H15" s="212" t="str">
        <f>CONCATENATE('3 pr-2'!I17)</f>
        <v>R</v>
      </c>
      <c r="I15" s="212" t="str">
        <f>CONCATENATE('3 pr-2'!J17)</f>
        <v>-</v>
      </c>
      <c r="J15" s="212" t="str">
        <f>CONCATENATE('3 pr-2'!K17)</f>
        <v>-</v>
      </c>
      <c r="K15" s="212">
        <v>12</v>
      </c>
      <c r="L15" s="212" t="s">
        <v>374</v>
      </c>
      <c r="M15" s="212">
        <v>32</v>
      </c>
      <c r="N15" s="212" t="s">
        <v>384</v>
      </c>
      <c r="O15" s="212" t="s">
        <v>66</v>
      </c>
      <c r="P15" s="212" t="s">
        <v>66</v>
      </c>
      <c r="Q15" s="212" t="s">
        <v>66</v>
      </c>
      <c r="R15" s="212" t="s">
        <v>66</v>
      </c>
      <c r="S15" s="212" t="s">
        <v>66</v>
      </c>
      <c r="T15" s="212" t="s">
        <v>66</v>
      </c>
      <c r="U15" s="522">
        <v>1</v>
      </c>
      <c r="V15" s="918">
        <f>SUM('3 pr-2'!L17)</f>
        <v>250309</v>
      </c>
      <c r="W15" s="918">
        <f>SUM('3 pr-2'!AA17)</f>
        <v>170000</v>
      </c>
    </row>
    <row r="16" spans="1:23" ht="64.5" thickBot="1" x14ac:dyDescent="0.3">
      <c r="A16" s="212" t="str">
        <f>CONCATENATE('3 pr-2'!A18)</f>
        <v>1.1.1.1.9</v>
      </c>
      <c r="B16" s="212" t="str">
        <f>CONCATENATE('3 pr-2'!B18)</f>
        <v>R01-ZM72-340000-1109</v>
      </c>
      <c r="C16" s="514" t="str">
        <f>CONCATENATE('3 pr-2'!D18)</f>
        <v>Krikštonių laisvalaikio salės pritaikymas bendruomenės poreikiams</v>
      </c>
      <c r="D16" s="514" t="str">
        <f>CONCATENATE('3 pr-2'!E18)</f>
        <v xml:space="preserve">Viešoji įstaiga Lazdijų kultūros centras </v>
      </c>
      <c r="E16" s="514" t="str">
        <f>CONCATENATE('3 pr-2'!F18)</f>
        <v>Lietuvos Respublikos žemės ūkio ministerija</v>
      </c>
      <c r="F16" s="514" t="str">
        <f>CONCATENATE('3 pr-2'!G18)</f>
        <v>Lazdijų rajono savivaldybė</v>
      </c>
      <c r="G16" s="514" t="str">
        <f>CONCATENATE('3 pr-2'!H18)</f>
        <v xml:space="preserve">Pagrindinės paslaugos ir kaimų atnaujinimas kaimo vietovėse </v>
      </c>
      <c r="H16" s="212" t="str">
        <f>CONCATENATE('3 pr-2'!I18)</f>
        <v>R</v>
      </c>
      <c r="I16" s="212" t="str">
        <f>CONCATENATE('3 pr-2'!J18)</f>
        <v>-</v>
      </c>
      <c r="J16" s="212" t="str">
        <f>CONCATENATE('3 pr-2'!K18)</f>
        <v>-</v>
      </c>
      <c r="K16" s="212">
        <v>34</v>
      </c>
      <c r="L16" s="212" t="s">
        <v>355</v>
      </c>
      <c r="M16" s="212" t="s">
        <v>66</v>
      </c>
      <c r="N16" s="212" t="s">
        <v>66</v>
      </c>
      <c r="O16" s="212" t="s">
        <v>66</v>
      </c>
      <c r="P16" s="212" t="s">
        <v>66</v>
      </c>
      <c r="Q16" s="212" t="s">
        <v>66</v>
      </c>
      <c r="R16" s="212" t="s">
        <v>66</v>
      </c>
      <c r="S16" s="212" t="s">
        <v>66</v>
      </c>
      <c r="T16" s="212" t="s">
        <v>66</v>
      </c>
      <c r="U16" s="522">
        <v>1</v>
      </c>
      <c r="V16" s="918">
        <f>SUM('3 pr-2'!L18)</f>
        <v>250000</v>
      </c>
      <c r="W16" s="918">
        <f>SUM('3 pr-2'!AA18)</f>
        <v>170000</v>
      </c>
    </row>
    <row r="17" spans="1:23" ht="64.5" thickBot="1" x14ac:dyDescent="0.3">
      <c r="A17" s="212" t="str">
        <f>CONCATENATE('3 pr-2'!A19)</f>
        <v>1.1.1.1.10</v>
      </c>
      <c r="B17" s="212" t="str">
        <f>CONCATENATE('3 pr-2'!B19)</f>
        <v>R01-ZM72-340200-1110</v>
      </c>
      <c r="C17" s="514" t="str">
        <f>CONCATENATE('3 pr-2'!D19)</f>
        <v>Kučiūnų laisvalaikio salės pritaikymas bendruomenės poreikiams</v>
      </c>
      <c r="D17" s="514" t="str">
        <f>CONCATENATE('3 pr-2'!E19)</f>
        <v xml:space="preserve">Viešoji įstaiga Lazdijų kultūros centras </v>
      </c>
      <c r="E17" s="514" t="str">
        <f>CONCATENATE('3 pr-2'!F19)</f>
        <v>Lietuvos Respublikos žemės ūkio ministerija</v>
      </c>
      <c r="F17" s="514" t="str">
        <f>CONCATENATE('3 pr-2'!G19)</f>
        <v>Lazdijų rajono savivaldybė</v>
      </c>
      <c r="G17" s="514" t="str">
        <f>CONCATENATE('3 pr-2'!H19)</f>
        <v xml:space="preserve">Pagrindinės paslaugos ir kaimų atnaujinimas kaimo vietovėse </v>
      </c>
      <c r="H17" s="212" t="str">
        <f>CONCATENATE('3 pr-2'!I19)</f>
        <v>R</v>
      </c>
      <c r="I17" s="212" t="str">
        <f>CONCATENATE('3 pr-2'!J19)</f>
        <v>-</v>
      </c>
      <c r="J17" s="212" t="str">
        <f>CONCATENATE('3 pr-2'!K19)</f>
        <v>-</v>
      </c>
      <c r="K17" s="212">
        <v>34</v>
      </c>
      <c r="L17" s="212" t="s">
        <v>355</v>
      </c>
      <c r="M17" s="212">
        <v>2</v>
      </c>
      <c r="N17" s="212" t="s">
        <v>370</v>
      </c>
      <c r="O17" s="212" t="s">
        <v>66</v>
      </c>
      <c r="P17" s="212" t="s">
        <v>66</v>
      </c>
      <c r="Q17" s="212" t="s">
        <v>66</v>
      </c>
      <c r="R17" s="212" t="s">
        <v>66</v>
      </c>
      <c r="S17" s="212" t="s">
        <v>66</v>
      </c>
      <c r="T17" s="212" t="s">
        <v>66</v>
      </c>
      <c r="U17" s="522">
        <v>1</v>
      </c>
      <c r="V17" s="918">
        <f>SUM('3 pr-2'!L19)</f>
        <v>250000</v>
      </c>
      <c r="W17" s="918">
        <f>SUM('3 pr-2'!AA19)</f>
        <v>170000</v>
      </c>
    </row>
    <row r="18" spans="1:23" ht="51.75" thickBot="1" x14ac:dyDescent="0.3">
      <c r="A18" s="212" t="str">
        <f>CONCATENATE('3 pr-2'!A20)</f>
        <v>1.1.1.1.11</v>
      </c>
      <c r="B18" s="212" t="str">
        <f>CONCATENATE('3 pr-2'!B20)</f>
        <v>R01-ZM72-320000-1111</v>
      </c>
      <c r="C18" s="514" t="str">
        <f>CONCATENATE('3 pr-2'!D20)</f>
        <v>Laisvalaikio infrastruktūros sukūrimas Lazdijų rajono kaimo gyvenamosiose vietovėse</v>
      </c>
      <c r="D18" s="514" t="str">
        <f>CONCATENATE('3 pr-2'!E20)</f>
        <v>Lazdijų rajono savivaldybės administracija</v>
      </c>
      <c r="E18" s="514" t="str">
        <f>CONCATENATE('3 pr-2'!F20)</f>
        <v>Lietuvos Respublikos žemės ūkio ministerija</v>
      </c>
      <c r="F18" s="514" t="str">
        <f>CONCATENATE('3 pr-2'!G20)</f>
        <v>Lazdijų rajono savivaldybė</v>
      </c>
      <c r="G18" s="514" t="str">
        <f>CONCATENATE('3 pr-2'!H20)</f>
        <v xml:space="preserve">Pagrindinės paslaugos ir kaimų atnaujinimas kaimo vietovėse </v>
      </c>
      <c r="H18" s="212" t="str">
        <f>CONCATENATE('3 pr-2'!I20)</f>
        <v>R</v>
      </c>
      <c r="I18" s="212" t="str">
        <f>CONCATENATE('3 pr-2'!J20)</f>
        <v>-</v>
      </c>
      <c r="J18" s="212" t="str">
        <f>CONCATENATE('3 pr-2'!K20)</f>
        <v>-</v>
      </c>
      <c r="K18" s="212">
        <v>32</v>
      </c>
      <c r="L18" s="212" t="s">
        <v>384</v>
      </c>
      <c r="M18" s="212" t="s">
        <v>66</v>
      </c>
      <c r="N18" s="212" t="s">
        <v>66</v>
      </c>
      <c r="O18" s="212" t="s">
        <v>66</v>
      </c>
      <c r="P18" s="212" t="s">
        <v>66</v>
      </c>
      <c r="Q18" s="212" t="s">
        <v>66</v>
      </c>
      <c r="R18" s="212" t="s">
        <v>66</v>
      </c>
      <c r="S18" s="212" t="s">
        <v>66</v>
      </c>
      <c r="T18" s="212" t="s">
        <v>66</v>
      </c>
      <c r="U18" s="522">
        <v>1</v>
      </c>
      <c r="V18" s="918">
        <f>SUM('3 pr-2'!L20)</f>
        <v>125000</v>
      </c>
      <c r="W18" s="918">
        <f>SUM('3 pr-2'!AA20)</f>
        <v>85000</v>
      </c>
    </row>
    <row r="19" spans="1:23" ht="51.75" thickBot="1" x14ac:dyDescent="0.3">
      <c r="A19" s="212" t="str">
        <f>CONCATENATE('3 pr-2'!A21)</f>
        <v>1.1.1.1.12</v>
      </c>
      <c r="B19" s="212" t="str">
        <f>CONCATENATE('3 pr-2'!B21)</f>
        <v>R01-ZM72-120000-1112</v>
      </c>
      <c r="C19" s="514" t="str">
        <f>CONCATENATE('3 pr-2'!D21)</f>
        <v>Alytaus rajono Butrimonių miestelio šaligatvių kapitalinis remontas ir gyvenvietės apšvietimo įrengimas</v>
      </c>
      <c r="D19" s="514" t="str">
        <f>CONCATENATE('3 pr-2'!E21)</f>
        <v>Alytaus rajono savivaldybės administracija</v>
      </c>
      <c r="E19" s="514" t="str">
        <f>CONCATENATE('3 pr-2'!F21)</f>
        <v>Lietuvos Respublikos žemės ūkio ministerija</v>
      </c>
      <c r="F19" s="514" t="str">
        <f>CONCATENATE('3 pr-2'!G21)</f>
        <v>Alytaus rajono savivaldybė</v>
      </c>
      <c r="G19" s="514" t="str">
        <f>CONCATENATE('3 pr-2'!H21)</f>
        <v xml:space="preserve">Pagrindinės paslaugos ir kaimų atnaujinimas kaimo vietovėse </v>
      </c>
      <c r="H19" s="212" t="str">
        <f>CONCATENATE('3 pr-2'!I21)</f>
        <v>R</v>
      </c>
      <c r="I19" s="212" t="str">
        <f>CONCATENATE('3 pr-2'!J21)</f>
        <v>-</v>
      </c>
      <c r="J19" s="212" t="str">
        <f>CONCATENATE('3 pr-2'!K21)</f>
        <v>-</v>
      </c>
      <c r="K19" s="212">
        <v>12</v>
      </c>
      <c r="L19" s="212" t="s">
        <v>374</v>
      </c>
      <c r="M19" s="212" t="s">
        <v>66</v>
      </c>
      <c r="N19" s="212" t="s">
        <v>66</v>
      </c>
      <c r="O19" s="212" t="s">
        <v>66</v>
      </c>
      <c r="P19" s="212" t="s">
        <v>66</v>
      </c>
      <c r="Q19" s="212" t="s">
        <v>66</v>
      </c>
      <c r="R19" s="212" t="s">
        <v>66</v>
      </c>
      <c r="S19" s="212" t="s">
        <v>66</v>
      </c>
      <c r="T19" s="212" t="s">
        <v>66</v>
      </c>
      <c r="U19" s="522">
        <v>1</v>
      </c>
      <c r="V19" s="918">
        <f>SUM('3 pr-2'!L21)</f>
        <v>153566</v>
      </c>
      <c r="W19" s="918">
        <f>SUM('3 pr-2'!AA21)</f>
        <v>104425</v>
      </c>
    </row>
    <row r="20" spans="1:23" ht="64.5" thickBot="1" x14ac:dyDescent="0.3">
      <c r="A20" s="212" t="str">
        <f>CONCATENATE('3 pr-2'!A22)</f>
        <v>1.1.1.1.13</v>
      </c>
      <c r="B20" s="212" t="str">
        <f>CONCATENATE('3 pr-2'!B22)</f>
        <v>R01-ZM72-123200-1113</v>
      </c>
      <c r="C20" s="514" t="str">
        <f>CONCATENATE('3 pr-2'!D22)</f>
        <v>Alytaus rajono Genių kaimo sporto aikštės įrengimas ir gatvių rekonstrukcija</v>
      </c>
      <c r="D20" s="514" t="str">
        <f>CONCATENATE('3 pr-2'!E22)</f>
        <v>Alytaus rajono savivaldybės administracija</v>
      </c>
      <c r="E20" s="514" t="str">
        <f>CONCATENATE('3 pr-2'!F22)</f>
        <v>Lietuvos Respublikos žemės ūkio ministerija</v>
      </c>
      <c r="F20" s="514" t="str">
        <f>CONCATENATE('3 pr-2'!G22)</f>
        <v>Alytaus rajono savivaldybė</v>
      </c>
      <c r="G20" s="514" t="str">
        <f>CONCATENATE('3 pr-2'!H22)</f>
        <v xml:space="preserve">Pagrindinės paslaugos ir kaimų atnaujinimas kaimo vietovėse </v>
      </c>
      <c r="H20" s="212" t="str">
        <f>CONCATENATE('3 pr-2'!I22)</f>
        <v>R</v>
      </c>
      <c r="I20" s="212" t="str">
        <f>CONCATENATE('3 pr-2'!J22)</f>
        <v>-</v>
      </c>
      <c r="J20" s="212" t="str">
        <f>CONCATENATE('3 pr-2'!K22)</f>
        <v>-</v>
      </c>
      <c r="K20" s="212">
        <v>12</v>
      </c>
      <c r="L20" s="212" t="s">
        <v>374</v>
      </c>
      <c r="M20" s="212">
        <v>32</v>
      </c>
      <c r="N20" s="212" t="s">
        <v>384</v>
      </c>
      <c r="O20" s="212" t="s">
        <v>66</v>
      </c>
      <c r="P20" s="212" t="s">
        <v>66</v>
      </c>
      <c r="Q20" s="212" t="s">
        <v>66</v>
      </c>
      <c r="R20" s="212" t="s">
        <v>66</v>
      </c>
      <c r="S20" s="212" t="s">
        <v>66</v>
      </c>
      <c r="T20" s="212" t="s">
        <v>66</v>
      </c>
      <c r="U20" s="522">
        <v>1</v>
      </c>
      <c r="V20" s="918">
        <f>SUM('3 pr-2'!L22)</f>
        <v>250000</v>
      </c>
      <c r="W20" s="918">
        <f>SUM('3 pr-2'!AA22)</f>
        <v>170000</v>
      </c>
    </row>
    <row r="21" spans="1:23" ht="102.75" thickBot="1" x14ac:dyDescent="0.3">
      <c r="A21" s="212" t="str">
        <f>CONCATENATE('3 pr-2'!A23)</f>
        <v>1.1.1.1.14</v>
      </c>
      <c r="B21" s="212" t="str">
        <f>CONCATENATE('3 pr-2'!B23)</f>
        <v>R01-ZM72-122900-1114</v>
      </c>
      <c r="C21" s="514" t="str">
        <f>CONCATENATE('3 pr-2'!D23)</f>
        <v>Varėnos r. Dargužių kaimo Liepų gatvės ir viešosios erdvės įrengimas</v>
      </c>
      <c r="D21" s="514" t="str">
        <f>CONCATENATE('3 pr-2'!E23)</f>
        <v xml:space="preserve">Varėnos rajono savivaldybės administracija </v>
      </c>
      <c r="E21" s="514" t="str">
        <f>CONCATENATE('3 pr-2'!F23)</f>
        <v>Lietuvos Respublikos žemės ūkio ministerija</v>
      </c>
      <c r="F21" s="514" t="str">
        <f>CONCATENATE('3 pr-2'!G23)</f>
        <v>Varėnos rajono savivaldybė</v>
      </c>
      <c r="G21" s="514" t="str">
        <f>CONCATENATE('3 pr-2'!H23)</f>
        <v xml:space="preserve">Pagrindinės paslaugos ir kaimų atnaujinimas kaimo vietovėse </v>
      </c>
      <c r="H21" s="212" t="str">
        <f>CONCATENATE('3 pr-2'!I23)</f>
        <v>R</v>
      </c>
      <c r="I21" s="212" t="str">
        <f>CONCATENATE('3 pr-2'!J23)</f>
        <v>-</v>
      </c>
      <c r="J21" s="212" t="str">
        <f>CONCATENATE('3 pr-2'!K23)</f>
        <v>-</v>
      </c>
      <c r="K21" s="212">
        <v>12</v>
      </c>
      <c r="L21" s="212" t="s">
        <v>374</v>
      </c>
      <c r="M21" s="212">
        <v>29</v>
      </c>
      <c r="N21" s="212" t="s">
        <v>354</v>
      </c>
      <c r="O21" s="212" t="s">
        <v>66</v>
      </c>
      <c r="P21" s="212" t="s">
        <v>66</v>
      </c>
      <c r="Q21" s="212" t="s">
        <v>66</v>
      </c>
      <c r="R21" s="212" t="s">
        <v>66</v>
      </c>
      <c r="S21" s="212" t="s">
        <v>66</v>
      </c>
      <c r="T21" s="212" t="s">
        <v>66</v>
      </c>
      <c r="U21" s="522">
        <v>1</v>
      </c>
      <c r="V21" s="918">
        <f>SUM('3 pr-2'!L23)</f>
        <v>215626</v>
      </c>
      <c r="W21" s="918">
        <f>SUM('3 pr-2'!AA23)</f>
        <v>146626</v>
      </c>
    </row>
    <row r="22" spans="1:23" ht="64.5" thickBot="1" x14ac:dyDescent="0.3">
      <c r="A22" s="212" t="str">
        <f>CONCATENATE('3 pr-2'!A24)</f>
        <v>1.1.1.1.15</v>
      </c>
      <c r="B22" s="212" t="str">
        <f>CONCATENATE('3 pr-2'!B24)</f>
        <v>R01-ZM72-123200-1115</v>
      </c>
      <c r="C22" s="514" t="str">
        <f>CONCATENATE('3 pr-2'!D24)</f>
        <v>Alytaus rajono Vaisodžių kaimo sporto aikštės įrengimas ir gatvių apšvietimo atnaujinimas bei plėtra</v>
      </c>
      <c r="D22" s="514" t="str">
        <f>CONCATENATE('3 pr-2'!E24)</f>
        <v>Alytaus rajono savivaldybės administracija</v>
      </c>
      <c r="E22" s="514" t="str">
        <f>CONCATENATE('3 pr-2'!F24)</f>
        <v>Lietuvos Respublikos žemės ūkio ministerija</v>
      </c>
      <c r="F22" s="514" t="str">
        <f>CONCATENATE('3 pr-2'!G24)</f>
        <v>Alytaus rajono savivaldybė</v>
      </c>
      <c r="G22" s="514" t="str">
        <f>CONCATENATE('3 pr-2'!H24)</f>
        <v xml:space="preserve">Pagrindinės paslaugos ir kaimų atnaujinimas kaimo vietovėse </v>
      </c>
      <c r="H22" s="212" t="str">
        <f>CONCATENATE('3 pr-2'!I24)</f>
        <v>R</v>
      </c>
      <c r="I22" s="212" t="str">
        <f>CONCATENATE('3 pr-2'!J24)</f>
        <v>-</v>
      </c>
      <c r="J22" s="212" t="str">
        <f>CONCATENATE('3 pr-2'!K24)</f>
        <v>-</v>
      </c>
      <c r="K22" s="212">
        <v>12</v>
      </c>
      <c r="L22" s="212" t="s">
        <v>374</v>
      </c>
      <c r="M22" s="212">
        <v>32</v>
      </c>
      <c r="N22" s="212" t="s">
        <v>384</v>
      </c>
      <c r="O22" s="212" t="s">
        <v>66</v>
      </c>
      <c r="P22" s="212" t="s">
        <v>66</v>
      </c>
      <c r="Q22" s="212" t="s">
        <v>66</v>
      </c>
      <c r="R22" s="212" t="s">
        <v>66</v>
      </c>
      <c r="S22" s="212" t="s">
        <v>66</v>
      </c>
      <c r="T22" s="212" t="s">
        <v>66</v>
      </c>
      <c r="U22" s="522">
        <v>1</v>
      </c>
      <c r="V22" s="918">
        <f>SUM('3 pr-2'!L24)</f>
        <v>76480</v>
      </c>
      <c r="W22" s="918">
        <f>SUM('3 pr-2'!AA24)</f>
        <v>52006</v>
      </c>
    </row>
    <row r="23" spans="1:23" ht="64.5" thickBot="1" x14ac:dyDescent="0.3">
      <c r="A23" s="212" t="str">
        <f>CONCATENATE('3 pr-2'!A25)</f>
        <v>1.1.1.1.16</v>
      </c>
      <c r="B23" s="212" t="str">
        <f>CONCATENATE('3 pr-2'!B25)</f>
        <v>R01-ZM72-123200-1116</v>
      </c>
      <c r="C23" s="514" t="str">
        <f>CONCATENATE('3 pr-2'!D25)</f>
        <v>Alytaus rajono Talokių kaimo sporto aikštės įrengimas ir Plytinės gatvės apšvietimas</v>
      </c>
      <c r="D23" s="514" t="str">
        <f>CONCATENATE('3 pr-2'!E25)</f>
        <v>Alytaus rajono savivaldybės administracija</v>
      </c>
      <c r="E23" s="514" t="str">
        <f>CONCATENATE('3 pr-2'!F25)</f>
        <v>Lietuvos Respublikos žemės ūkio ministerija</v>
      </c>
      <c r="F23" s="514" t="str">
        <f>CONCATENATE('3 pr-2'!G25)</f>
        <v>Alytaus rajono savivaldybė</v>
      </c>
      <c r="G23" s="514" t="str">
        <f>CONCATENATE('3 pr-2'!H25)</f>
        <v xml:space="preserve">Pagrindinės paslaugos ir kaimų atnaujinimas kaimo vietovėse </v>
      </c>
      <c r="H23" s="212" t="str">
        <f>CONCATENATE('3 pr-2'!I25)</f>
        <v>R</v>
      </c>
      <c r="I23" s="212" t="str">
        <f>CONCATENATE('3 pr-2'!J25)</f>
        <v>-</v>
      </c>
      <c r="J23" s="212" t="str">
        <f>CONCATENATE('3 pr-2'!K25)</f>
        <v>-</v>
      </c>
      <c r="K23" s="212">
        <v>12</v>
      </c>
      <c r="L23" s="212" t="s">
        <v>374</v>
      </c>
      <c r="M23" s="212">
        <v>32</v>
      </c>
      <c r="N23" s="212" t="s">
        <v>384</v>
      </c>
      <c r="O23" s="212" t="s">
        <v>66</v>
      </c>
      <c r="P23" s="212" t="s">
        <v>66</v>
      </c>
      <c r="Q23" s="212" t="s">
        <v>66</v>
      </c>
      <c r="R23" s="212" t="s">
        <v>66</v>
      </c>
      <c r="S23" s="212" t="s">
        <v>66</v>
      </c>
      <c r="T23" s="212" t="s">
        <v>66</v>
      </c>
      <c r="U23" s="522">
        <v>1</v>
      </c>
      <c r="V23" s="918">
        <f>SUM('3 pr-2'!L25)</f>
        <v>139472</v>
      </c>
      <c r="W23" s="918">
        <f>SUM('3 pr-2'!AA25)</f>
        <v>94841</v>
      </c>
    </row>
    <row r="24" spans="1:23" ht="39" thickBot="1" x14ac:dyDescent="0.3">
      <c r="A24" s="212" t="str">
        <f>CONCATENATE('3 pr-2'!A26)</f>
        <v>1.1.1.1.17</v>
      </c>
      <c r="B24" s="212" t="str">
        <f>CONCATENATE('3 pr-2'!B26)</f>
        <v>R01-ZM72-120000-1117</v>
      </c>
      <c r="C24" s="514" t="str">
        <f>CONCATENATE('3 pr-2'!D26)</f>
        <v>Varėnos r. Rudnios kaimo Pušyno gatvės įrengimas</v>
      </c>
      <c r="D24" s="514" t="str">
        <f>CONCATENATE('3 pr-2'!E26)</f>
        <v xml:space="preserve">Varėnos rajono savivaldybės administracija </v>
      </c>
      <c r="E24" s="514" t="str">
        <f>CONCATENATE('3 pr-2'!F26)</f>
        <v>Lietuvos Respublikos žemės ūkio ministerija</v>
      </c>
      <c r="F24" s="514" t="str">
        <f>CONCATENATE('3 pr-2'!G26)</f>
        <v>Varėnos rajono savivaldybė</v>
      </c>
      <c r="G24" s="514" t="str">
        <f>CONCATENATE('3 pr-2'!H26)</f>
        <v xml:space="preserve">Pagrindinės paslaugos ir kaimų atnaujinimas kaimo vietovėse </v>
      </c>
      <c r="H24" s="212" t="str">
        <f>CONCATENATE('3 pr-2'!I26)</f>
        <v>R</v>
      </c>
      <c r="I24" s="212" t="str">
        <f>CONCATENATE('3 pr-2'!J26)</f>
        <v>-</v>
      </c>
      <c r="J24" s="212" t="str">
        <f>CONCATENATE('3 pr-2'!K26)</f>
        <v>-</v>
      </c>
      <c r="K24" s="212">
        <v>12</v>
      </c>
      <c r="L24" s="212" t="s">
        <v>374</v>
      </c>
      <c r="M24" s="212" t="s">
        <v>66</v>
      </c>
      <c r="N24" s="212" t="s">
        <v>66</v>
      </c>
      <c r="O24" s="212" t="s">
        <v>66</v>
      </c>
      <c r="P24" s="212" t="s">
        <v>66</v>
      </c>
      <c r="Q24" s="212" t="s">
        <v>66</v>
      </c>
      <c r="R24" s="212" t="s">
        <v>66</v>
      </c>
      <c r="S24" s="212" t="s">
        <v>66</v>
      </c>
      <c r="T24" s="212" t="s">
        <v>66</v>
      </c>
      <c r="U24" s="522">
        <v>1</v>
      </c>
      <c r="V24" s="918">
        <f>SUM('3 pr-2'!L26)</f>
        <v>115824</v>
      </c>
      <c r="W24" s="918">
        <f>SUM('3 pr-2'!AA26)</f>
        <v>78760</v>
      </c>
    </row>
    <row r="25" spans="1:23" ht="64.5" thickBot="1" x14ac:dyDescent="0.3">
      <c r="A25" s="212" t="str">
        <f>CONCATENATE('3 pr-2'!A27)</f>
        <v>1.1.1.1.18</v>
      </c>
      <c r="B25" s="212" t="str">
        <f>CONCATENATE('3 pr-2'!B27)</f>
        <v>R01-ZM72-340000-1118</v>
      </c>
      <c r="C25" s="514" t="str">
        <f>CONCATENATE('3 pr-2'!D27)</f>
        <v>Varėnos kultūros centro Žilinų filialo pastato atnaujinimas ir pritaikymas bendruomenės poreikiams</v>
      </c>
      <c r="D25" s="514" t="str">
        <f>CONCATENATE('3 pr-2'!E27)</f>
        <v xml:space="preserve">Varėnos rajono savivaldybės administracija </v>
      </c>
      <c r="E25" s="514" t="str">
        <f>CONCATENATE('3 pr-2'!F27)</f>
        <v>Lietuvos Respublikos žemės ūkio ministerija</v>
      </c>
      <c r="F25" s="514" t="str">
        <f>CONCATENATE('3 pr-2'!G27)</f>
        <v>Varėnos rajono savivaldybė</v>
      </c>
      <c r="G25" s="514" t="str">
        <f>CONCATENATE('3 pr-2'!H27)</f>
        <v xml:space="preserve">Pagrindinės paslaugos ir kaimų atnaujinimas kaimo vietovėse </v>
      </c>
      <c r="H25" s="212" t="str">
        <f>CONCATENATE('3 pr-2'!I27)</f>
        <v>R</v>
      </c>
      <c r="I25" s="212" t="str">
        <f>CONCATENATE('3 pr-2'!J27)</f>
        <v>-</v>
      </c>
      <c r="J25" s="212" t="str">
        <f>CONCATENATE('3 pr-2'!K27)</f>
        <v>-</v>
      </c>
      <c r="K25" s="212">
        <v>34</v>
      </c>
      <c r="L25" s="212" t="s">
        <v>355</v>
      </c>
      <c r="M25" s="212" t="s">
        <v>66</v>
      </c>
      <c r="N25" s="212" t="s">
        <v>66</v>
      </c>
      <c r="O25" s="212" t="s">
        <v>66</v>
      </c>
      <c r="P25" s="212" t="s">
        <v>66</v>
      </c>
      <c r="Q25" s="212" t="s">
        <v>66</v>
      </c>
      <c r="R25" s="212" t="s">
        <v>66</v>
      </c>
      <c r="S25" s="212" t="s">
        <v>66</v>
      </c>
      <c r="T25" s="212" t="s">
        <v>66</v>
      </c>
      <c r="U25" s="522">
        <v>1</v>
      </c>
      <c r="V25" s="918">
        <f>SUM('3 pr-2'!L27)</f>
        <v>250000</v>
      </c>
      <c r="W25" s="918">
        <f>SUM('3 pr-2'!AA27)</f>
        <v>170000</v>
      </c>
    </row>
    <row r="26" spans="1:23" ht="51.75" thickBot="1" x14ac:dyDescent="0.3">
      <c r="A26" s="212" t="str">
        <f>CONCATENATE('3 pr-2'!A28)</f>
        <v>1.1.1.1.19</v>
      </c>
      <c r="B26" s="212" t="str">
        <f>CONCATENATE('3 pr-2'!B28)</f>
        <v>R01-ZM72-120000-1119</v>
      </c>
      <c r="C26" s="514" t="str">
        <f>CONCATENATE('3 pr-2'!D28)</f>
        <v>Alytaus rajono Pivašiūnų kaimo šaligatvių, laiptų kapitalinis remontas ir gyvenvietės apšvietimo įrengimas</v>
      </c>
      <c r="D26" s="514" t="str">
        <f>CONCATENATE('3 pr-2'!E28)</f>
        <v>Alytaus rajono savivaldybės administracija</v>
      </c>
      <c r="E26" s="514" t="str">
        <f>CONCATENATE('3 pr-2'!F28)</f>
        <v>Lietuvos Respublikos žemės ūkio ministerija</v>
      </c>
      <c r="F26" s="514" t="str">
        <f>CONCATENATE('3 pr-2'!G28)</f>
        <v>Alytaus rajono savivaldybė</v>
      </c>
      <c r="G26" s="514" t="str">
        <f>CONCATENATE('3 pr-2'!H28)</f>
        <v xml:space="preserve">Pagrindinės paslaugos ir kaimų atnaujinimas kaimo vietovėse </v>
      </c>
      <c r="H26" s="212" t="str">
        <f>CONCATENATE('3 pr-2'!I28)</f>
        <v>R</v>
      </c>
      <c r="I26" s="212" t="str">
        <f>CONCATENATE('3 pr-2'!J28)</f>
        <v>-</v>
      </c>
      <c r="J26" s="212" t="str">
        <f>CONCATENATE('3 pr-2'!K28)</f>
        <v>-</v>
      </c>
      <c r="K26" s="212">
        <v>12</v>
      </c>
      <c r="L26" s="212" t="s">
        <v>374</v>
      </c>
      <c r="M26" s="212" t="s">
        <v>66</v>
      </c>
      <c r="N26" s="212" t="s">
        <v>66</v>
      </c>
      <c r="O26" s="212" t="s">
        <v>66</v>
      </c>
      <c r="P26" s="212" t="s">
        <v>66</v>
      </c>
      <c r="Q26" s="212" t="s">
        <v>66</v>
      </c>
      <c r="R26" s="212" t="s">
        <v>66</v>
      </c>
      <c r="S26" s="212" t="s">
        <v>66</v>
      </c>
      <c r="T26" s="212" t="s">
        <v>66</v>
      </c>
      <c r="U26" s="522">
        <v>1</v>
      </c>
      <c r="V26" s="918">
        <f>SUM('3 pr-2'!L28)</f>
        <v>117986</v>
      </c>
      <c r="W26" s="918">
        <f>SUM('3 pr-2'!AA28)</f>
        <v>80231</v>
      </c>
    </row>
    <row r="27" spans="1:23" ht="64.5" thickBot="1" x14ac:dyDescent="0.3">
      <c r="A27" s="212" t="str">
        <f>CONCATENATE('3 pr-2'!A29)</f>
        <v>1.1.1.1.20</v>
      </c>
      <c r="B27" s="212" t="str">
        <f>CONCATENATE('3 pr-2'!B29)</f>
        <v>R01-ZM72-340000-1120</v>
      </c>
      <c r="C27" s="514" t="str">
        <f>CONCATENATE('3 pr-2'!D29)</f>
        <v>Pastato, esančio Pušelės g. 11, Naujųjų Valkininkų k., Varėnos r., atnaujinimas ir pritaikymas bendruomenės poreikiams</v>
      </c>
      <c r="D27" s="514" t="str">
        <f>CONCATENATE('3 pr-2'!E29)</f>
        <v xml:space="preserve">Varėnos rajono savivaldybės administracija </v>
      </c>
      <c r="E27" s="514" t="str">
        <f>CONCATENATE('3 pr-2'!F29)</f>
        <v>Lietuvos Respublikos žemės ūkio ministerija</v>
      </c>
      <c r="F27" s="514" t="str">
        <f>CONCATENATE('3 pr-2'!G29)</f>
        <v>Varėnos rajono savivaldybė</v>
      </c>
      <c r="G27" s="514" t="str">
        <f>CONCATENATE('3 pr-2'!H29)</f>
        <v xml:space="preserve">Pagrindinės paslaugos ir kaimų atnaujinimas kaimo vietovėse </v>
      </c>
      <c r="H27" s="212" t="str">
        <f>CONCATENATE('3 pr-2'!I29)</f>
        <v>R</v>
      </c>
      <c r="I27" s="212" t="str">
        <f>CONCATENATE('3 pr-2'!J29)</f>
        <v>-</v>
      </c>
      <c r="J27" s="212" t="str">
        <f>CONCATENATE('3 pr-2'!K29)</f>
        <v>-</v>
      </c>
      <c r="K27" s="212">
        <v>34</v>
      </c>
      <c r="L27" s="212" t="s">
        <v>355</v>
      </c>
      <c r="M27" s="212" t="s">
        <v>66</v>
      </c>
      <c r="N27" s="212" t="s">
        <v>66</v>
      </c>
      <c r="O27" s="212" t="s">
        <v>66</v>
      </c>
      <c r="P27" s="212" t="s">
        <v>66</v>
      </c>
      <c r="Q27" s="212" t="s">
        <v>66</v>
      </c>
      <c r="R27" s="212" t="s">
        <v>66</v>
      </c>
      <c r="S27" s="212" t="s">
        <v>66</v>
      </c>
      <c r="T27" s="212" t="s">
        <v>66</v>
      </c>
      <c r="U27" s="522">
        <v>1</v>
      </c>
      <c r="V27" s="918">
        <f>SUM('3 pr-2'!L29)</f>
        <v>250000</v>
      </c>
      <c r="W27" s="918">
        <f>SUM('3 pr-2'!AA29)</f>
        <v>170000</v>
      </c>
    </row>
    <row r="28" spans="1:23" ht="39" thickBot="1" x14ac:dyDescent="0.3">
      <c r="A28" s="212" t="str">
        <f>CONCATENATE('3 pr-2'!A30)</f>
        <v>1.1.1.1.21</v>
      </c>
      <c r="B28" s="212" t="str">
        <f>CONCATENATE('3 pr-2'!B30)</f>
        <v>R01-ZM72-120000-1121</v>
      </c>
      <c r="C28" s="514" t="str">
        <f>CONCATENATE('3 pr-2'!D30)</f>
        <v>Kaimo gyvenamųjų vietovių Lazdijų rajono savivaldybėje patrauklumo gerinimas</v>
      </c>
      <c r="D28" s="514" t="str">
        <f>CONCATENATE('3 pr-2'!E30)</f>
        <v>Lazdijų rajono savivaldybės administracija</v>
      </c>
      <c r="E28" s="514" t="str">
        <f>CONCATENATE('3 pr-2'!F30)</f>
        <v>Lietuvos Respublikos žemės ūkio ministerija</v>
      </c>
      <c r="F28" s="514" t="str">
        <f>CONCATENATE('3 pr-2'!G30)</f>
        <v>Lazdijų rajono savivaldybė</v>
      </c>
      <c r="G28" s="514" t="str">
        <f>CONCATENATE('3 pr-2'!H30)</f>
        <v xml:space="preserve">Pagrindinės paslaugos ir kaimų atnaujinimas kaimo vietovėse </v>
      </c>
      <c r="H28" s="212" t="str">
        <f>CONCATENATE('3 pr-2'!I30)</f>
        <v>R</v>
      </c>
      <c r="I28" s="212" t="str">
        <f>CONCATENATE('3 pr-2'!J30)</f>
        <v>-</v>
      </c>
      <c r="J28" s="212" t="str">
        <f>CONCATENATE('3 pr-2'!K30)</f>
        <v>-</v>
      </c>
      <c r="K28" s="212">
        <v>12</v>
      </c>
      <c r="L28" s="212" t="s">
        <v>374</v>
      </c>
      <c r="M28" s="212" t="s">
        <v>66</v>
      </c>
      <c r="N28" s="212" t="s">
        <v>66</v>
      </c>
      <c r="O28" s="212" t="s">
        <v>66</v>
      </c>
      <c r="P28" s="212" t="s">
        <v>66</v>
      </c>
      <c r="Q28" s="212" t="s">
        <v>66</v>
      </c>
      <c r="R28" s="212" t="s">
        <v>66</v>
      </c>
      <c r="S28" s="212" t="s">
        <v>66</v>
      </c>
      <c r="T28" s="212" t="s">
        <v>66</v>
      </c>
      <c r="U28" s="522">
        <v>1</v>
      </c>
      <c r="V28" s="918">
        <f>SUM('3 pr-2'!L30)</f>
        <v>170000</v>
      </c>
      <c r="W28" s="918">
        <f>SUM('3 pr-2'!AA30)</f>
        <v>115600</v>
      </c>
    </row>
    <row r="29" spans="1:23" ht="39" thickBot="1" x14ac:dyDescent="0.3">
      <c r="A29" s="212" t="str">
        <f>CONCATENATE('3 pr-2'!A31)</f>
        <v>1.1.1.1.22</v>
      </c>
      <c r="B29" s="212" t="str">
        <f>CONCATENATE('3 pr-2'!B31)</f>
        <v>R01-ZM72-120000-1122</v>
      </c>
      <c r="C29" s="514" t="str">
        <f>CONCATENATE('3 pr-2'!D31)</f>
        <v>Alytaus rajono Makniūnų kaimo šaligatvių atnaujinimas ir plėtra</v>
      </c>
      <c r="D29" s="514" t="str">
        <f>CONCATENATE('3 pr-2'!E31)</f>
        <v>Alytaus rajono savivaldybės administracija</v>
      </c>
      <c r="E29" s="514" t="str">
        <f>CONCATENATE('3 pr-2'!F31)</f>
        <v>Lietuvos Respublikos žemės ūkio ministerija</v>
      </c>
      <c r="F29" s="514" t="str">
        <f>CONCATENATE('3 pr-2'!G31)</f>
        <v>Alytaus rajono savivaldybė</v>
      </c>
      <c r="G29" s="514" t="str">
        <f>CONCATENATE('3 pr-2'!H31)</f>
        <v xml:space="preserve">Pagrindinės paslaugos ir kaimų atnaujinimas kaimo vietovėse </v>
      </c>
      <c r="H29" s="212" t="str">
        <f>CONCATENATE('3 pr-2'!I31)</f>
        <v>R</v>
      </c>
      <c r="I29" s="212" t="str">
        <f>CONCATENATE('3 pr-2'!J31)</f>
        <v>-</v>
      </c>
      <c r="J29" s="212" t="str">
        <f>CONCATENATE('3 pr-2'!K31)</f>
        <v>-</v>
      </c>
      <c r="K29" s="212">
        <v>12</v>
      </c>
      <c r="L29" s="212" t="s">
        <v>374</v>
      </c>
      <c r="M29" s="212" t="s">
        <v>66</v>
      </c>
      <c r="N29" s="212" t="s">
        <v>66</v>
      </c>
      <c r="O29" s="212" t="s">
        <v>66</v>
      </c>
      <c r="P29" s="212" t="s">
        <v>66</v>
      </c>
      <c r="Q29" s="212" t="s">
        <v>66</v>
      </c>
      <c r="R29" s="212" t="s">
        <v>66</v>
      </c>
      <c r="S29" s="212" t="s">
        <v>66</v>
      </c>
      <c r="T29" s="212" t="s">
        <v>66</v>
      </c>
      <c r="U29" s="522">
        <v>1</v>
      </c>
      <c r="V29" s="918">
        <f>SUM('3 pr-2'!L31)</f>
        <v>70991</v>
      </c>
      <c r="W29" s="918">
        <f>SUM('3 pr-2'!AA31)</f>
        <v>48274</v>
      </c>
    </row>
    <row r="30" spans="1:23" ht="39" thickBot="1" x14ac:dyDescent="0.3">
      <c r="A30" s="212" t="str">
        <f>CONCATENATE('3 pr-2'!A32)</f>
        <v>1.1.1.1.23</v>
      </c>
      <c r="B30" s="212" t="str">
        <f>CONCATENATE('3 pr-2'!B32)</f>
        <v>R01-ZM72-120000-1123</v>
      </c>
      <c r="C30" s="514" t="str">
        <f>CONCATENATE('3 pr-2'!D32)</f>
        <v>Varėnos r. Vazgirdonių kaimo Klevų gatvės įrengimas</v>
      </c>
      <c r="D30" s="514" t="str">
        <f>CONCATENATE('3 pr-2'!E32)</f>
        <v xml:space="preserve">Varėnos rajono savivaldybės administracija </v>
      </c>
      <c r="E30" s="514" t="str">
        <f>CONCATENATE('3 pr-2'!F32)</f>
        <v>Lietuvos Respublikos žemės ūkio ministerija</v>
      </c>
      <c r="F30" s="514" t="str">
        <f>CONCATENATE('3 pr-2'!G32)</f>
        <v>Varėnos rajono savivaldybė</v>
      </c>
      <c r="G30" s="514" t="str">
        <f>CONCATENATE('3 pr-2'!H32)</f>
        <v xml:space="preserve">Pagrindinės paslaugos ir kaimų atnaujinimas kaimo vietovėse </v>
      </c>
      <c r="H30" s="212" t="str">
        <f>CONCATENATE('3 pr-2'!I32)</f>
        <v>R</v>
      </c>
      <c r="I30" s="212" t="str">
        <f>CONCATENATE('3 pr-2'!J32)</f>
        <v>-</v>
      </c>
      <c r="J30" s="212" t="str">
        <f>CONCATENATE('3 pr-2'!K32)</f>
        <v>rez.***</v>
      </c>
      <c r="K30" s="212">
        <v>12</v>
      </c>
      <c r="L30" s="212" t="s">
        <v>374</v>
      </c>
      <c r="M30" s="212" t="s">
        <v>66</v>
      </c>
      <c r="N30" s="212" t="s">
        <v>66</v>
      </c>
      <c r="O30" s="212" t="s">
        <v>66</v>
      </c>
      <c r="P30" s="212" t="s">
        <v>66</v>
      </c>
      <c r="Q30" s="212" t="s">
        <v>66</v>
      </c>
      <c r="R30" s="212" t="s">
        <v>66</v>
      </c>
      <c r="S30" s="212" t="s">
        <v>66</v>
      </c>
      <c r="T30" s="212" t="s">
        <v>66</v>
      </c>
      <c r="U30" s="522">
        <v>1</v>
      </c>
      <c r="V30" s="918">
        <f>SUM('3 pr-2'!L32)</f>
        <v>160049</v>
      </c>
      <c r="W30" s="918">
        <f>SUM('3 pr-2'!AA32)</f>
        <v>108833</v>
      </c>
    </row>
    <row r="31" spans="1:23" ht="36" customHeight="1" thickBot="1" x14ac:dyDescent="0.3">
      <c r="A31" s="498" t="s">
        <v>14</v>
      </c>
      <c r="B31" s="1102"/>
      <c r="C31" s="1651" t="s">
        <v>889</v>
      </c>
      <c r="D31" s="1649"/>
      <c r="E31" s="1649"/>
      <c r="F31" s="1649"/>
      <c r="G31" s="1649"/>
      <c r="H31" s="1649"/>
      <c r="I31" s="1649"/>
      <c r="J31" s="1650"/>
      <c r="K31" s="492"/>
      <c r="L31" s="492"/>
      <c r="M31" s="492"/>
      <c r="N31" s="492"/>
      <c r="O31" s="492"/>
      <c r="P31" s="492"/>
      <c r="Q31" s="492"/>
      <c r="R31" s="492"/>
      <c r="S31" s="492"/>
      <c r="T31" s="492"/>
      <c r="U31" s="919"/>
      <c r="V31" s="916">
        <f>SUM(V32:V36)</f>
        <v>3386329</v>
      </c>
      <c r="W31" s="916">
        <f>SUM(W32:W36)</f>
        <v>2816453</v>
      </c>
    </row>
    <row r="32" spans="1:23" ht="84.75" thickBot="1" x14ac:dyDescent="0.3">
      <c r="A32" s="37" t="str">
        <f>CONCATENATE('3 pr-2'!A34)</f>
        <v>1.1.1.2.1</v>
      </c>
      <c r="B32" s="212" t="str">
        <f>CONCATENATE('3 pr-2'!B34)</f>
        <v>R01-9908-293400-1121</v>
      </c>
      <c r="C32" s="147" t="str">
        <f>CONCATENATE('3 pr-2'!D34)</f>
        <v>Matuizų kaimo viešosios infrastruktūros atnaujinimas ir pritaikymas bendruomenės poreikiams</v>
      </c>
      <c r="D32" s="147" t="str">
        <f>CONCATENATE('3 pr-2'!E34)</f>
        <v>Varėnos rajono savivaldybės administracija</v>
      </c>
      <c r="E32" s="147" t="str">
        <f>CONCATENATE('3 pr-2'!F34)</f>
        <v>Lietuvos Respublikos vidaus reikalų ministerija</v>
      </c>
      <c r="F32" s="147" t="str">
        <f>CONCATENATE('3 pr-2'!G34)</f>
        <v>Varėnos rajono savivaldybė</v>
      </c>
      <c r="G32" s="37" t="str">
        <f>CONCATENATE('3 pr-2'!H34)</f>
        <v>8.2.1-CPVA-R-908</v>
      </c>
      <c r="H32" s="37" t="str">
        <f>CONCATENATE('3 pr-2'!I34)</f>
        <v>R</v>
      </c>
      <c r="I32" s="37" t="str">
        <f>CONCATENATE('3 pr-2'!J34)</f>
        <v>-</v>
      </c>
      <c r="J32" s="37" t="str">
        <f>CONCATENATE('3 pr-2'!K34)</f>
        <v>-</v>
      </c>
      <c r="K32" s="920">
        <v>29</v>
      </c>
      <c r="L32" s="17" t="s">
        <v>358</v>
      </c>
      <c r="M32" s="920">
        <v>34</v>
      </c>
      <c r="N32" s="37" t="s">
        <v>355</v>
      </c>
      <c r="O32" s="920" t="s">
        <v>66</v>
      </c>
      <c r="P32" s="920" t="s">
        <v>66</v>
      </c>
      <c r="Q32" s="920" t="s">
        <v>66</v>
      </c>
      <c r="R32" s="920" t="s">
        <v>66</v>
      </c>
      <c r="S32" s="920" t="s">
        <v>66</v>
      </c>
      <c r="T32" s="920" t="s">
        <v>66</v>
      </c>
      <c r="U32" s="921">
        <v>1</v>
      </c>
      <c r="V32" s="918">
        <f>SUM('3 pr-2'!L34)</f>
        <v>646197</v>
      </c>
      <c r="W32" s="918">
        <f>SUM('3 pr-2'!AA34)</f>
        <v>487341</v>
      </c>
    </row>
    <row r="33" spans="1:23" ht="48.75" thickBot="1" x14ac:dyDescent="0.3">
      <c r="A33" s="37" t="str">
        <f>CONCATENATE('3 pr-2'!A35)</f>
        <v>1.1.1.2.2</v>
      </c>
      <c r="B33" s="212" t="str">
        <f>CONCATENATE('3 pr-2'!B35)</f>
        <v>R01-9908-290000-1122</v>
      </c>
      <c r="C33" s="147" t="str">
        <f>CONCATENATE('3 pr-2'!D35)</f>
        <v>Senosios Varėnos kaimo viešosios infrastruktūros atnaujinimas ir pritaikymas bendruomenės poreikiams</v>
      </c>
      <c r="D33" s="147" t="str">
        <f>CONCATENATE('3 pr-2'!E35)</f>
        <v>Varėnos rajono savivaldybės administracija</v>
      </c>
      <c r="E33" s="147" t="str">
        <f>CONCATENATE('3 pr-2'!F35)</f>
        <v>Lietuvos Respublikos vidaus reikalų ministerija</v>
      </c>
      <c r="F33" s="147" t="str">
        <f>CONCATENATE('3 pr-2'!G35)</f>
        <v>Varėnos rajono savivaldybė</v>
      </c>
      <c r="G33" s="37" t="str">
        <f>CONCATENATE('3 pr-2'!H35)</f>
        <v>8.2.1-CPVA-R-908</v>
      </c>
      <c r="H33" s="37" t="str">
        <f>CONCATENATE('3 pr-2'!I35)</f>
        <v>R</v>
      </c>
      <c r="I33" s="37" t="str">
        <f>CONCATENATE('3 pr-2'!J35)</f>
        <v>-</v>
      </c>
      <c r="J33" s="37" t="str">
        <f>CONCATENATE('3 pr-2'!K35)</f>
        <v>-</v>
      </c>
      <c r="K33" s="920">
        <v>29</v>
      </c>
      <c r="L33" s="37" t="s">
        <v>358</v>
      </c>
      <c r="M33" s="920" t="s">
        <v>66</v>
      </c>
      <c r="N33" s="37" t="s">
        <v>66</v>
      </c>
      <c r="O33" s="920" t="s">
        <v>66</v>
      </c>
      <c r="P33" s="920" t="s">
        <v>66</v>
      </c>
      <c r="Q33" s="920" t="s">
        <v>66</v>
      </c>
      <c r="R33" s="920" t="s">
        <v>66</v>
      </c>
      <c r="S33" s="920" t="s">
        <v>66</v>
      </c>
      <c r="T33" s="920" t="s">
        <v>66</v>
      </c>
      <c r="U33" s="921">
        <v>1</v>
      </c>
      <c r="V33" s="918">
        <f>SUM('3 pr-2'!L35)</f>
        <v>605025</v>
      </c>
      <c r="W33" s="918">
        <f>SUM('3 pr-2'!AA35)</f>
        <v>514271</v>
      </c>
    </row>
    <row r="34" spans="1:23" ht="60.75" thickBot="1" x14ac:dyDescent="0.3">
      <c r="A34" s="37" t="str">
        <f>CONCATENATE('3 pr-2'!A36)</f>
        <v>1.1.1.2.3</v>
      </c>
      <c r="B34" s="212" t="str">
        <f>CONCATENATE('3 pr-2'!B36)</f>
        <v>R01-9908-290000-1123</v>
      </c>
      <c r="C34" s="147" t="str">
        <f>CONCATENATE('3 pr-2'!D36)</f>
        <v>Kompleksinė Miklusėnų gyvenvietės plėtra</v>
      </c>
      <c r="D34" s="147" t="str">
        <f>CONCATENATE('3 pr-2'!E36)</f>
        <v>Alytaus rajono savivaldybės administracija</v>
      </c>
      <c r="E34" s="147" t="str">
        <f>CONCATENATE('3 pr-2'!F36)</f>
        <v>Lietuvos Respublikos vidaus reikalų ministerija</v>
      </c>
      <c r="F34" s="147" t="str">
        <f>CONCATENATE('3 pr-2'!G36)</f>
        <v>Alytaus rajono  savivaldybė</v>
      </c>
      <c r="G34" s="37" t="str">
        <f>CONCATENATE('3 pr-2'!H36)</f>
        <v>8.2.1-CPVA-R-908</v>
      </c>
      <c r="H34" s="37" t="str">
        <f>CONCATENATE('3 pr-2'!I36)</f>
        <v>R</v>
      </c>
      <c r="I34" s="37" t="str">
        <f>CONCATENATE('3 pr-2'!J36)</f>
        <v>-</v>
      </c>
      <c r="J34" s="37" t="str">
        <f>CONCATENATE('3 pr-2'!K36)</f>
        <v>-</v>
      </c>
      <c r="K34" s="920">
        <v>29</v>
      </c>
      <c r="L34" s="37" t="s">
        <v>356</v>
      </c>
      <c r="M34" s="920" t="s">
        <v>66</v>
      </c>
      <c r="N34" s="37" t="s">
        <v>66</v>
      </c>
      <c r="O34" s="920" t="s">
        <v>66</v>
      </c>
      <c r="P34" s="920" t="s">
        <v>66</v>
      </c>
      <c r="Q34" s="920" t="s">
        <v>66</v>
      </c>
      <c r="R34" s="920" t="s">
        <v>66</v>
      </c>
      <c r="S34" s="920" t="s">
        <v>66</v>
      </c>
      <c r="T34" s="920" t="s">
        <v>66</v>
      </c>
      <c r="U34" s="921">
        <v>1</v>
      </c>
      <c r="V34" s="918">
        <f>SUM('3 pr-2'!L36)</f>
        <v>1043467</v>
      </c>
      <c r="W34" s="918">
        <f>SUM('3 pr-2'!AA36)</f>
        <v>886947</v>
      </c>
    </row>
    <row r="35" spans="1:23" ht="48.75" thickBot="1" x14ac:dyDescent="0.3">
      <c r="A35" s="37" t="str">
        <f>CONCATENATE('3 pr-2'!A37)</f>
        <v>1.1.1.2.4</v>
      </c>
      <c r="B35" s="212" t="str">
        <f>CONCATENATE('3 pr-2'!B37)</f>
        <v>R01-9908-290000-1124</v>
      </c>
      <c r="C35" s="147" t="str">
        <f>CONCATENATE('3 pr-2'!D37)</f>
        <v>Leipalingio viešosios erdvės pritaikymas bendruomenės poreikiams</v>
      </c>
      <c r="D35" s="147" t="str">
        <f>CONCATENATE('3 pr-2'!E37)</f>
        <v xml:space="preserve">Druskininkų savivaldybės administracija  </v>
      </c>
      <c r="E35" s="147" t="str">
        <f>CONCATENATE('3 pr-2'!F37)</f>
        <v>Lietuvos Respublikos vidaus reikalų ministerija</v>
      </c>
      <c r="F35" s="147" t="str">
        <f>CONCATENATE('3 pr-2'!G37)</f>
        <v>Druskininkų savivaldybė, Leipalingio seniūnija</v>
      </c>
      <c r="G35" s="37" t="str">
        <f>CONCATENATE('3 pr-2'!H37)</f>
        <v>8.2.1-CPVA-R-908</v>
      </c>
      <c r="H35" s="37" t="str">
        <f>CONCATENATE('3 pr-2'!I37)</f>
        <v>R</v>
      </c>
      <c r="I35" s="37" t="str">
        <f>CONCATENATE('3 pr-2'!J37)</f>
        <v>-</v>
      </c>
      <c r="J35" s="37" t="str">
        <f>CONCATENATE('3 pr-2'!K37)</f>
        <v>-</v>
      </c>
      <c r="K35" s="920">
        <v>29</v>
      </c>
      <c r="L35" s="37" t="s">
        <v>354</v>
      </c>
      <c r="M35" s="920" t="s">
        <v>66</v>
      </c>
      <c r="N35" s="37" t="s">
        <v>66</v>
      </c>
      <c r="O35" s="920" t="s">
        <v>66</v>
      </c>
      <c r="P35" s="920" t="s">
        <v>66</v>
      </c>
      <c r="Q35" s="920" t="s">
        <v>66</v>
      </c>
      <c r="R35" s="920" t="s">
        <v>66</v>
      </c>
      <c r="S35" s="920" t="s">
        <v>66</v>
      </c>
      <c r="T35" s="920" t="s">
        <v>66</v>
      </c>
      <c r="U35" s="921">
        <v>1</v>
      </c>
      <c r="V35" s="918">
        <f>SUM('3 pr-2'!L37)</f>
        <v>417761</v>
      </c>
      <c r="W35" s="918">
        <f>SUM('3 pr-2'!AA37)</f>
        <v>355097</v>
      </c>
    </row>
    <row r="36" spans="1:23" ht="48.75" thickBot="1" x14ac:dyDescent="0.3">
      <c r="A36" s="37" t="str">
        <f>CONCATENATE('3 pr-2'!A38)</f>
        <v>1.1.1.2.5</v>
      </c>
      <c r="B36" s="212" t="str">
        <f>CONCATENATE('3 pr-2'!B38)</f>
        <v>R01-9908-290000-1125</v>
      </c>
      <c r="C36" s="147" t="str">
        <f>CONCATENATE('3 pr-2'!D38)</f>
        <v>Viečiūnų viešosios erdvės pritaikymas bendruomenės poreikiams</v>
      </c>
      <c r="D36" s="147" t="str">
        <f>CONCATENATE('3 pr-2'!E38)</f>
        <v xml:space="preserve">Druskininkų savivaldybės administracija  </v>
      </c>
      <c r="E36" s="147" t="str">
        <f>CONCATENATE('3 pr-2'!F38)</f>
        <v>Lietuvos Respublikos vidaus reikalų ministerija</v>
      </c>
      <c r="F36" s="147" t="str">
        <f>CONCATENATE('3 pr-2'!G38)</f>
        <v>Druskininkų savivaldybė, Viečiūnų seniūnija</v>
      </c>
      <c r="G36" s="37" t="str">
        <f>CONCATENATE('3 pr-2'!H38)</f>
        <v>8.2.1-CPVA-R-908</v>
      </c>
      <c r="H36" s="37" t="str">
        <f>CONCATENATE('3 pr-2'!I38)</f>
        <v>R</v>
      </c>
      <c r="I36" s="37" t="str">
        <f>CONCATENATE('3 pr-2'!J38)</f>
        <v>-</v>
      </c>
      <c r="J36" s="37" t="str">
        <f>CONCATENATE('3 pr-2'!K38)</f>
        <v>-</v>
      </c>
      <c r="K36" s="920">
        <v>29</v>
      </c>
      <c r="L36" s="37" t="s">
        <v>358</v>
      </c>
      <c r="M36" s="920"/>
      <c r="N36" s="37"/>
      <c r="O36" s="920" t="s">
        <v>66</v>
      </c>
      <c r="P36" s="920" t="s">
        <v>66</v>
      </c>
      <c r="Q36" s="920" t="s">
        <v>66</v>
      </c>
      <c r="R36" s="920" t="s">
        <v>66</v>
      </c>
      <c r="S36" s="920" t="s">
        <v>66</v>
      </c>
      <c r="T36" s="920" t="s">
        <v>66</v>
      </c>
      <c r="U36" s="921">
        <v>1</v>
      </c>
      <c r="V36" s="918">
        <f>SUM('3 pr-2'!L38)</f>
        <v>673879</v>
      </c>
      <c r="W36" s="918">
        <f>SUM('3 pr-2'!AA38)</f>
        <v>572797</v>
      </c>
    </row>
    <row r="37" spans="1:23" ht="32.25" customHeight="1" thickBot="1" x14ac:dyDescent="0.3">
      <c r="A37" s="499" t="s">
        <v>70</v>
      </c>
      <c r="B37" s="1103"/>
      <c r="C37" s="1646" t="s">
        <v>1504</v>
      </c>
      <c r="D37" s="1647"/>
      <c r="E37" s="1647"/>
      <c r="F37" s="1647"/>
      <c r="G37" s="1647"/>
      <c r="H37" s="1647"/>
      <c r="I37" s="1647"/>
      <c r="J37" s="1648"/>
      <c r="K37" s="492"/>
      <c r="L37" s="492"/>
      <c r="M37" s="492"/>
      <c r="N37" s="492"/>
      <c r="O37" s="492"/>
      <c r="P37" s="492"/>
      <c r="Q37" s="492"/>
      <c r="R37" s="492"/>
      <c r="S37" s="492"/>
      <c r="T37" s="492"/>
      <c r="U37" s="919"/>
      <c r="V37" s="916">
        <f>SUM(V38:V43)</f>
        <v>4402013.13</v>
      </c>
      <c r="W37" s="916">
        <f>SUM(W38:W43)</f>
        <v>3611595.5399999996</v>
      </c>
    </row>
    <row r="38" spans="1:23" ht="64.5" thickBot="1" x14ac:dyDescent="0.3">
      <c r="A38" s="212" t="str">
        <f>CONCATENATE('3 pr-2'!A40)</f>
        <v>1.1.1.3.1</v>
      </c>
      <c r="B38" s="212" t="str">
        <f>CONCATENATE('3 pr-2'!B40)</f>
        <v>R01-9905-290000-1131</v>
      </c>
      <c r="C38" s="514" t="str">
        <f>CONCATENATE('3 pr-2'!D40)</f>
        <v>Varėnos miesto centrinės dalies modernizavimas ir pritaikymas visuomenės poreikiams (I etapas)</v>
      </c>
      <c r="D38" s="514" t="str">
        <f>CONCATENATE('3 pr-2'!E40)</f>
        <v>Varėnos rajono savivaldybės administracija</v>
      </c>
      <c r="E38" s="514" t="str">
        <f>CONCATENATE('3 pr-2'!F40)</f>
        <v>Lietuvos Respublikos vidaus reikalų ministerija</v>
      </c>
      <c r="F38" s="514" t="str">
        <f>CONCATENATE('3 pr-2'!G40)</f>
        <v>Varėnos miestas</v>
      </c>
      <c r="G38" s="212" t="str">
        <f>CONCATENATE('3 pr-2'!H40)</f>
        <v xml:space="preserve">07.1.1-CPVA-R-905 </v>
      </c>
      <c r="H38" s="212" t="str">
        <f>CONCATENATE('3 pr-2'!I40)</f>
        <v>R</v>
      </c>
      <c r="I38" s="212" t="str">
        <f>CONCATENATE('3 pr-2'!J40)</f>
        <v>ITI</v>
      </c>
      <c r="J38" s="212" t="str">
        <f>CONCATENATE('3 pr-2'!K40)</f>
        <v>-</v>
      </c>
      <c r="K38" s="212">
        <v>29</v>
      </c>
      <c r="L38" s="212" t="s">
        <v>354</v>
      </c>
      <c r="M38" s="212" t="s">
        <v>66</v>
      </c>
      <c r="N38" s="212" t="s">
        <v>66</v>
      </c>
      <c r="O38" s="212" t="s">
        <v>66</v>
      </c>
      <c r="P38" s="212" t="s">
        <v>66</v>
      </c>
      <c r="Q38" s="212" t="s">
        <v>66</v>
      </c>
      <c r="R38" s="212" t="s">
        <v>66</v>
      </c>
      <c r="S38" s="212" t="s">
        <v>66</v>
      </c>
      <c r="T38" s="212" t="s">
        <v>66</v>
      </c>
      <c r="U38" s="522">
        <v>1</v>
      </c>
      <c r="V38" s="918">
        <f>SUM('3 pr-2'!L40)</f>
        <v>1516932.01</v>
      </c>
      <c r="W38" s="918">
        <f>SUM('3 pr-2'!AA40)</f>
        <v>1289392.2</v>
      </c>
    </row>
    <row r="39" spans="1:23" ht="102.75" thickBot="1" x14ac:dyDescent="0.3">
      <c r="A39" s="212" t="str">
        <f>CONCATENATE('3 pr-2'!A41)</f>
        <v>1.1.1.3.2</v>
      </c>
      <c r="B39" s="212" t="str">
        <f>CONCATENATE('3 pr-2'!B41)</f>
        <v>R01-9905-282900-1132</v>
      </c>
      <c r="C39" s="514" t="str">
        <f>CONCATENATE('3 pr-2'!D41)</f>
        <v>Varėnos miesto centrinės dalies modernizavimas ir pritaikymas visuomenės poreikiams (II etapas)</v>
      </c>
      <c r="D39" s="514" t="str">
        <f>CONCATENATE('3 pr-2'!E41)</f>
        <v>Varėnos rajono savivaldybės administracija</v>
      </c>
      <c r="E39" s="514" t="str">
        <f>CONCATENATE('3 pr-2'!F41)</f>
        <v>Lietuvos Respublikos vidaus reikalų ministerija</v>
      </c>
      <c r="F39" s="514" t="str">
        <f>CONCATENATE('3 pr-2'!G41)</f>
        <v>Varėnos miestas</v>
      </c>
      <c r="G39" s="212" t="str">
        <f>CONCATENATE('3 pr-2'!H41)</f>
        <v xml:space="preserve">07.1.1-CPVA-R-905 </v>
      </c>
      <c r="H39" s="212" t="str">
        <f>CONCATENATE('3 pr-2'!I41)</f>
        <v>R</v>
      </c>
      <c r="I39" s="212" t="str">
        <f>CONCATENATE('3 pr-2'!J41)</f>
        <v>ITI</v>
      </c>
      <c r="J39" s="212" t="str">
        <f>CONCATENATE('3 pr-2'!K41)</f>
        <v>-</v>
      </c>
      <c r="K39" s="212">
        <v>28</v>
      </c>
      <c r="L39" s="212" t="s">
        <v>357</v>
      </c>
      <c r="M39" s="212">
        <v>29</v>
      </c>
      <c r="N39" s="212" t="s">
        <v>358</v>
      </c>
      <c r="O39" s="212" t="s">
        <v>66</v>
      </c>
      <c r="P39" s="212" t="s">
        <v>66</v>
      </c>
      <c r="Q39" s="212" t="s">
        <v>66</v>
      </c>
      <c r="R39" s="212" t="s">
        <v>66</v>
      </c>
      <c r="S39" s="212" t="s">
        <v>66</v>
      </c>
      <c r="T39" s="212" t="s">
        <v>66</v>
      </c>
      <c r="U39" s="522">
        <v>1</v>
      </c>
      <c r="V39" s="918">
        <f>SUM('3 pr-2'!L41)</f>
        <v>995216.11</v>
      </c>
      <c r="W39" s="918">
        <f>SUM('3 pr-2'!AA41)</f>
        <v>845933.69</v>
      </c>
    </row>
    <row r="40" spans="1:23" ht="77.25" thickBot="1" x14ac:dyDescent="0.3">
      <c r="A40" s="212" t="str">
        <f>CONCATENATE('3 pr-2'!A42)</f>
        <v>1.1.1.3.3</v>
      </c>
      <c r="B40" s="212" t="str">
        <f>CONCATENATE('3 pr-2'!B42)</f>
        <v>R01-9905-292800-1133</v>
      </c>
      <c r="C40" s="514" t="str">
        <f>CONCATENATE('3 pr-2'!D42)</f>
        <v xml:space="preserve">Varėnos miesto Dainų slėnio infrastruktūros atnaujinimas ir pritaikymas visuomenės poreikiams </v>
      </c>
      <c r="D40" s="514" t="str">
        <f>CONCATENATE('3 pr-2'!E42)</f>
        <v>Varėnos rajono savivaldybės administracija</v>
      </c>
      <c r="E40" s="514" t="str">
        <f>CONCATENATE('3 pr-2'!F42)</f>
        <v>Lietuvos Respublikos vidaus reikalų ministerija</v>
      </c>
      <c r="F40" s="514" t="str">
        <f>CONCATENATE('3 pr-2'!G42)</f>
        <v>Varėnos miestas</v>
      </c>
      <c r="G40" s="212" t="str">
        <f>CONCATENATE('3 pr-2'!H42)</f>
        <v xml:space="preserve">07.1.1-CPVA-R-905 </v>
      </c>
      <c r="H40" s="212" t="str">
        <f>CONCATENATE('3 pr-2'!I42)</f>
        <v>R</v>
      </c>
      <c r="I40" s="212" t="str">
        <f>CONCATENATE('3 pr-2'!J42)</f>
        <v>ITI</v>
      </c>
      <c r="J40" s="212" t="str">
        <f>CONCATENATE('3 pr-2'!K42)</f>
        <v>-</v>
      </c>
      <c r="K40" s="212">
        <v>29</v>
      </c>
      <c r="L40" s="212" t="s">
        <v>354</v>
      </c>
      <c r="M40" s="212">
        <v>28</v>
      </c>
      <c r="N40" s="212" t="s">
        <v>359</v>
      </c>
      <c r="O40" s="212" t="s">
        <v>66</v>
      </c>
      <c r="P40" s="212" t="s">
        <v>66</v>
      </c>
      <c r="Q40" s="212" t="s">
        <v>66</v>
      </c>
      <c r="R40" s="212" t="s">
        <v>66</v>
      </c>
      <c r="S40" s="212" t="s">
        <v>66</v>
      </c>
      <c r="T40" s="212" t="s">
        <v>66</v>
      </c>
      <c r="U40" s="522">
        <v>1</v>
      </c>
      <c r="V40" s="918">
        <f>SUM('3 pr-2'!L42)</f>
        <v>630000</v>
      </c>
      <c r="W40" s="918">
        <f>SUM('3 pr-2'!AA42)</f>
        <v>535500</v>
      </c>
    </row>
    <row r="41" spans="1:23" ht="51.75" thickBot="1" x14ac:dyDescent="0.3">
      <c r="A41" s="212" t="str">
        <f>CONCATENATE('3 pr-2'!A43)</f>
        <v>1.1.1.3.4</v>
      </c>
      <c r="B41" s="212" t="str">
        <f>CONCATENATE('3 pr-2'!B43)</f>
        <v>R01-9905-280000-1134</v>
      </c>
      <c r="C41" s="514" t="str">
        <f>CONCATENATE('3 pr-2'!D43)</f>
        <v>Karloniškės ežero ir jo prieigų sutvarkymas ir pritaikymas aktyviam poilsiui</v>
      </c>
      <c r="D41" s="514" t="str">
        <f>CONCATENATE('3 pr-2'!E43)</f>
        <v>Varėnos rajono savivaldybės administracija</v>
      </c>
      <c r="E41" s="514" t="str">
        <f>CONCATENATE('3 pr-2'!F43)</f>
        <v>Lietuvos Respublikos vidaus reikalų ministerija</v>
      </c>
      <c r="F41" s="514" t="str">
        <f>CONCATENATE('3 pr-2'!G43)</f>
        <v>Varėnos miestas</v>
      </c>
      <c r="G41" s="212" t="str">
        <f>CONCATENATE('3 pr-2'!H43)</f>
        <v xml:space="preserve">07.1.1-CPVA-R-905 </v>
      </c>
      <c r="H41" s="212" t="str">
        <f>CONCATENATE('3 pr-2'!I43)</f>
        <v>R</v>
      </c>
      <c r="I41" s="212" t="str">
        <f>CONCATENATE('3 pr-2'!J43)</f>
        <v>ITI</v>
      </c>
      <c r="J41" s="212" t="str">
        <f>CONCATENATE('3 pr-2'!K43)</f>
        <v>-</v>
      </c>
      <c r="K41" s="212">
        <v>28</v>
      </c>
      <c r="L41" s="212" t="s">
        <v>359</v>
      </c>
      <c r="M41" s="212" t="s">
        <v>66</v>
      </c>
      <c r="N41" s="212" t="s">
        <v>66</v>
      </c>
      <c r="O41" s="212" t="s">
        <v>66</v>
      </c>
      <c r="P41" s="212" t="s">
        <v>66</v>
      </c>
      <c r="Q41" s="212" t="s">
        <v>66</v>
      </c>
      <c r="R41" s="212" t="s">
        <v>66</v>
      </c>
      <c r="S41" s="212" t="s">
        <v>66</v>
      </c>
      <c r="T41" s="212" t="s">
        <v>66</v>
      </c>
      <c r="U41" s="522">
        <v>1</v>
      </c>
      <c r="V41" s="918">
        <f>SUM('3 pr-2'!L43)</f>
        <v>757246.01</v>
      </c>
      <c r="W41" s="918">
        <f>SUM('3 pr-2'!AA43)</f>
        <v>513543.65</v>
      </c>
    </row>
    <row r="42" spans="1:23" ht="102.75" thickBot="1" x14ac:dyDescent="0.3">
      <c r="A42" s="518" t="str">
        <f>CONCATENATE('3 pr-2'!A44)</f>
        <v>1.1.1.3.5</v>
      </c>
      <c r="B42" s="212" t="str">
        <f>CONCATENATE('3 pr-2'!B44)</f>
        <v>R01-9905-362900-1135</v>
      </c>
      <c r="C42" s="515" t="str">
        <f>CONCATENATE('3 pr-2'!D44)</f>
        <v xml:space="preserve">Nenaudojamų teritorijų Varėnos mieste sutvarkymas ir pritaikymas verslui </v>
      </c>
      <c r="D42" s="515" t="str">
        <f>CONCATENATE('3 pr-2'!E44)</f>
        <v>Varėnos rajono savivaldybės administracija</v>
      </c>
      <c r="E42" s="515" t="str">
        <f>CONCATENATE('3 pr-2'!F44)</f>
        <v>Lietuvos Respublikos vidaus reikalų ministerija</v>
      </c>
      <c r="F42" s="515" t="str">
        <f>CONCATENATE('3 pr-2'!G44)</f>
        <v>Varėnos miestas</v>
      </c>
      <c r="G42" s="518" t="str">
        <f>CONCATENATE('3 pr-2'!H44)</f>
        <v xml:space="preserve">07.1.1-CPVA-R-905 </v>
      </c>
      <c r="H42" s="518" t="str">
        <f>CONCATENATE('3 pr-2'!I44)</f>
        <v>R</v>
      </c>
      <c r="I42" s="518" t="str">
        <f>CONCATENATE('3 pr-2'!J44)</f>
        <v>ITI</v>
      </c>
      <c r="J42" s="518" t="str">
        <f>CONCATENATE('3 pr-2'!K44)</f>
        <v>-</v>
      </c>
      <c r="K42" s="518">
        <v>36</v>
      </c>
      <c r="L42" s="518" t="s">
        <v>360</v>
      </c>
      <c r="M42" s="518">
        <v>29</v>
      </c>
      <c r="N42" s="518" t="s">
        <v>354</v>
      </c>
      <c r="O42" s="212" t="s">
        <v>66</v>
      </c>
      <c r="P42" s="212" t="s">
        <v>66</v>
      </c>
      <c r="Q42" s="212" t="s">
        <v>66</v>
      </c>
      <c r="R42" s="212" t="s">
        <v>66</v>
      </c>
      <c r="S42" s="212" t="s">
        <v>66</v>
      </c>
      <c r="T42" s="212" t="s">
        <v>66</v>
      </c>
      <c r="U42" s="522">
        <v>1</v>
      </c>
      <c r="V42" s="918">
        <f>SUM('3 pr-2'!L44)</f>
        <v>250000</v>
      </c>
      <c r="W42" s="918">
        <f>SUM('3 pr-2'!AA44)</f>
        <v>212500</v>
      </c>
    </row>
    <row r="43" spans="1:23" ht="64.5" thickBot="1" x14ac:dyDescent="0.3">
      <c r="A43" s="518" t="str">
        <f>CONCATENATE('3 pr-2'!A45)</f>
        <v>1.1.1.3.6</v>
      </c>
      <c r="B43" s="212" t="str">
        <f>CONCATENATE('3 pr-2'!B45)</f>
        <v>R01-9905-290000-1136</v>
      </c>
      <c r="C43" s="515" t="str">
        <f>CONCATENATE('3 pr-2'!D45)</f>
        <v xml:space="preserve">Teritorijų prie daugiabučių gyvenamųjų pastatų Varėnos mieste sutvarkymas ir pritaikymas visuomenės poreikiams  </v>
      </c>
      <c r="D43" s="515" t="str">
        <f>CONCATENATE('3 pr-2'!E45)</f>
        <v>Varėnos rajono savivaldybės administracija</v>
      </c>
      <c r="E43" s="515" t="str">
        <f>CONCATENATE('3 pr-2'!F45)</f>
        <v>Lietuvos Respublikos vidaus reikalų ministerija</v>
      </c>
      <c r="F43" s="515" t="str">
        <f>CONCATENATE('3 pr-2'!G45)</f>
        <v>Varėnos miestas</v>
      </c>
      <c r="G43" s="518" t="str">
        <f>CONCATENATE('3 pr-2'!H45)</f>
        <v xml:space="preserve">07.1.1-CPVA-R-905 </v>
      </c>
      <c r="H43" s="518" t="str">
        <f>CONCATENATE('3 pr-2'!I45)</f>
        <v>R</v>
      </c>
      <c r="I43" s="518" t="str">
        <f>CONCATENATE('3 pr-2'!J45)</f>
        <v>ITI</v>
      </c>
      <c r="J43" s="518" t="str">
        <f>CONCATENATE('3 pr-2'!K45)</f>
        <v>-</v>
      </c>
      <c r="K43" s="518">
        <v>29</v>
      </c>
      <c r="L43" s="518" t="s">
        <v>354</v>
      </c>
      <c r="M43" s="518"/>
      <c r="N43" s="518"/>
      <c r="O43" s="212" t="s">
        <v>66</v>
      </c>
      <c r="P43" s="212" t="s">
        <v>66</v>
      </c>
      <c r="Q43" s="212" t="s">
        <v>66</v>
      </c>
      <c r="R43" s="212" t="s">
        <v>66</v>
      </c>
      <c r="S43" s="212" t="s">
        <v>66</v>
      </c>
      <c r="T43" s="212" t="s">
        <v>66</v>
      </c>
      <c r="U43" s="522">
        <v>1</v>
      </c>
      <c r="V43" s="918">
        <f>SUM('3 pr-2'!L45)</f>
        <v>252619</v>
      </c>
      <c r="W43" s="918">
        <f>SUM('3 pr-2'!AA45)</f>
        <v>214726</v>
      </c>
    </row>
    <row r="44" spans="1:23" ht="44.25" customHeight="1" thickBot="1" x14ac:dyDescent="0.3">
      <c r="A44" s="499" t="s">
        <v>16</v>
      </c>
      <c r="B44" s="1104"/>
      <c r="C44" s="1651" t="s">
        <v>887</v>
      </c>
      <c r="D44" s="1660"/>
      <c r="E44" s="1660"/>
      <c r="F44" s="1660"/>
      <c r="G44" s="1660"/>
      <c r="H44" s="1660"/>
      <c r="I44" s="1660"/>
      <c r="J44" s="1661"/>
      <c r="K44" s="922"/>
      <c r="L44" s="923"/>
      <c r="M44" s="924"/>
      <c r="N44" s="923"/>
      <c r="O44" s="924"/>
      <c r="P44" s="923"/>
      <c r="Q44" s="924"/>
      <c r="R44" s="923"/>
      <c r="S44" s="924"/>
      <c r="T44" s="923"/>
      <c r="U44" s="915"/>
      <c r="V44" s="916">
        <f>SUM(V45:V47)</f>
        <v>2112023.5599999996</v>
      </c>
      <c r="W44" s="916">
        <f>SUM(W45:W47)</f>
        <v>1675157.5699999998</v>
      </c>
    </row>
    <row r="45" spans="1:23" s="58" customFormat="1" ht="77.25" thickBot="1" x14ac:dyDescent="0.3">
      <c r="A45" s="212" t="str">
        <f>CONCATENATE('3 pr-2'!A47)</f>
        <v>1.1.1.4.1</v>
      </c>
      <c r="B45" s="212" t="str">
        <f>CONCATENATE('3 pr-2'!B47)</f>
        <v>R01-9902-310000-1141</v>
      </c>
      <c r="C45" s="514" t="str">
        <f>CONCATENATE('3 pr-2'!D47)</f>
        <v>Buvusios pramoninės teritorijos Pramonės g. 1 Alytuje, pritaikymas verslo vystymui ir plėtrai.</v>
      </c>
      <c r="D45" s="514" t="str">
        <f>CONCATENATE('3 pr-2'!E47)</f>
        <v>Alytaus miesto savivaldybės administracija</v>
      </c>
      <c r="E45" s="514" t="str">
        <f>CONCATENATE('3 pr-2'!F47)</f>
        <v>Lietuvos Respublikos vidaus reikalų ministerija</v>
      </c>
      <c r="F45" s="514" t="str">
        <f>CONCATENATE('3 pr-2'!G47)</f>
        <v>Alytaus m.</v>
      </c>
      <c r="G45" s="514" t="str">
        <f>CONCATENATE('3 pr-2'!H47)</f>
        <v>07.1.1-CPVA-V-902</v>
      </c>
      <c r="H45" s="212" t="str">
        <f>CONCATENATE('3 pr-2'!I47)</f>
        <v>V</v>
      </c>
      <c r="I45" s="212" t="str">
        <f>CONCATENATE('3 pr-2'!J47)</f>
        <v>ITI</v>
      </c>
      <c r="J45" s="212" t="str">
        <f>CONCATENATE('3 pr-2'!K47)</f>
        <v>-</v>
      </c>
      <c r="K45" s="212">
        <v>31</v>
      </c>
      <c r="L45" s="212" t="s">
        <v>361</v>
      </c>
      <c r="M45" s="212"/>
      <c r="N45" s="212"/>
      <c r="O45" s="212"/>
      <c r="P45" s="212"/>
      <c r="Q45" s="212"/>
      <c r="R45" s="212"/>
      <c r="S45" s="212"/>
      <c r="T45" s="212"/>
      <c r="U45" s="522">
        <v>1</v>
      </c>
      <c r="V45" s="918">
        <f>SUM('3 pr-2'!L47)</f>
        <v>1293732.5699999998</v>
      </c>
      <c r="W45" s="918">
        <f>SUM('3 pr-2'!AA47)</f>
        <v>1099672.68</v>
      </c>
    </row>
    <row r="46" spans="1:23" ht="64.5" thickBot="1" x14ac:dyDescent="0.3">
      <c r="A46" s="212" t="str">
        <f>CONCATENATE('3 pr-2'!A48)</f>
        <v>1.1.1.4.2</v>
      </c>
      <c r="B46" s="212" t="str">
        <f>CONCATENATE('3 pr-2'!B48)</f>
        <v>R01-9903-290000-1142</v>
      </c>
      <c r="C46" s="514" t="str">
        <f>CONCATENATE('3 pr-2'!D48)</f>
        <v>Amatų centro „Menų kalvė“ Druskininkuose įkūrimas</v>
      </c>
      <c r="D46" s="514" t="str">
        <f>CONCATENATE('3 pr-2'!E48)</f>
        <v xml:space="preserve">Druskininkų savivaldybės administracija  </v>
      </c>
      <c r="E46" s="514" t="str">
        <f>CONCATENATE('3 pr-2'!F48)</f>
        <v>Lietuvos Respublikos vidaus reikalų ministerija</v>
      </c>
      <c r="F46" s="514" t="str">
        <f>CONCATENATE('3 pr-2'!G48)</f>
        <v>Druskininkų miestas</v>
      </c>
      <c r="G46" s="514" t="str">
        <f>CONCATENATE('3 pr-2'!H48)</f>
        <v>07.1.1-CPVA-R-903</v>
      </c>
      <c r="H46" s="212" t="str">
        <f>CONCATENATE('3 pr-2'!I48)</f>
        <v>R</v>
      </c>
      <c r="I46" s="212" t="str">
        <f>CONCATENATE('3 pr-2'!J48)</f>
        <v>ITI</v>
      </c>
      <c r="J46" s="212" t="str">
        <f>CONCATENATE('3 pr-2'!K48)</f>
        <v>-</v>
      </c>
      <c r="K46" s="212">
        <v>29</v>
      </c>
      <c r="L46" s="212" t="s">
        <v>354</v>
      </c>
      <c r="M46" s="212"/>
      <c r="N46" s="212"/>
      <c r="O46" s="212"/>
      <c r="P46" s="212"/>
      <c r="Q46" s="212"/>
      <c r="R46" s="212"/>
      <c r="S46" s="212"/>
      <c r="T46" s="212"/>
      <c r="U46" s="522">
        <v>1</v>
      </c>
      <c r="V46" s="918">
        <f>SUM('3 pr-2'!L48)</f>
        <v>474784</v>
      </c>
      <c r="W46" s="918">
        <f>SUM('3 pr-2'!AA48)</f>
        <v>283503.94</v>
      </c>
    </row>
    <row r="47" spans="1:23" ht="64.5" thickBot="1" x14ac:dyDescent="0.3">
      <c r="A47" s="212" t="str">
        <f>CONCATENATE('3 pr-2'!A49)</f>
        <v>1.1.1.4.3</v>
      </c>
      <c r="B47" s="212" t="str">
        <f>CONCATENATE('3 pr-2'!B49)</f>
        <v>R01-9903-290000-1143</v>
      </c>
      <c r="C47" s="514" t="str">
        <f>CONCATENATE('3 pr-2'!D49)</f>
        <v>Lazdijų miesto kompleksinė infrastruktūros plėtra, III etapas</v>
      </c>
      <c r="D47" s="514" t="str">
        <f>CONCATENATE('3 pr-2'!E49)</f>
        <v>Lazdijų rajono savivaldybės administracija</v>
      </c>
      <c r="E47" s="514" t="str">
        <f>CONCATENATE('3 pr-2'!F49)</f>
        <v>Lietuvos Respublikos vidaus reikalų ministerija</v>
      </c>
      <c r="F47" s="514" t="str">
        <f>CONCATENATE('3 pr-2'!G49)</f>
        <v>Lazdijų miestas</v>
      </c>
      <c r="G47" s="514" t="str">
        <f>CONCATENATE('3 pr-2'!H49)</f>
        <v>07.1.1-CPVA-R-903</v>
      </c>
      <c r="H47" s="212" t="str">
        <f>CONCATENATE('3 pr-2'!I49)</f>
        <v>R</v>
      </c>
      <c r="I47" s="212" t="str">
        <f>CONCATENATE('3 pr-2'!J49)</f>
        <v>ITI</v>
      </c>
      <c r="J47" s="212" t="str">
        <f>CONCATENATE('3 pr-2'!K49)</f>
        <v>-</v>
      </c>
      <c r="K47" s="212">
        <v>29</v>
      </c>
      <c r="L47" s="212" t="s">
        <v>354</v>
      </c>
      <c r="M47" s="212"/>
      <c r="N47" s="212"/>
      <c r="O47" s="212"/>
      <c r="P47" s="212"/>
      <c r="Q47" s="212"/>
      <c r="R47" s="212"/>
      <c r="S47" s="212"/>
      <c r="T47" s="212"/>
      <c r="U47" s="522">
        <v>1</v>
      </c>
      <c r="V47" s="918">
        <f>SUM('3 pr-2'!L49)</f>
        <v>343506.99</v>
      </c>
      <c r="W47" s="918">
        <f>SUM('3 pr-2'!AA49)</f>
        <v>291980.95</v>
      </c>
    </row>
    <row r="48" spans="1:23" ht="46.5" customHeight="1" thickBot="1" x14ac:dyDescent="0.3">
      <c r="A48" s="499" t="s">
        <v>76</v>
      </c>
      <c r="B48" s="1103"/>
      <c r="C48" s="1646" t="s">
        <v>668</v>
      </c>
      <c r="D48" s="1660"/>
      <c r="E48" s="1660"/>
      <c r="F48" s="1660"/>
      <c r="G48" s="1660"/>
      <c r="H48" s="1660"/>
      <c r="I48" s="1660"/>
      <c r="J48" s="1661"/>
      <c r="K48" s="922"/>
      <c r="L48" s="923"/>
      <c r="M48" s="924"/>
      <c r="N48" s="923"/>
      <c r="O48" s="924"/>
      <c r="P48" s="923"/>
      <c r="Q48" s="924"/>
      <c r="R48" s="923"/>
      <c r="S48" s="924"/>
      <c r="T48" s="923"/>
      <c r="U48" s="915"/>
      <c r="V48" s="916">
        <f>SUM(V49:V53)</f>
        <v>16427026.24</v>
      </c>
      <c r="W48" s="916">
        <f>SUM(W49:W53)</f>
        <v>8810673.5099999998</v>
      </c>
    </row>
    <row r="49" spans="1:23" ht="51.75" thickBot="1" x14ac:dyDescent="0.3">
      <c r="A49" s="212" t="str">
        <f>CONCATENATE('3 pr-2'!A51)</f>
        <v>1.1.1.5.1</v>
      </c>
      <c r="B49" s="212" t="str">
        <f>CONCATENATE('3 pr-2'!B51)</f>
        <v>R01-0014-060700-1151</v>
      </c>
      <c r="C49" s="514" t="str">
        <f>CONCATENATE('3 pr-2'!D51)</f>
        <v>Geriamojo vandens tiekimo ir nuotekų tvarkymo sistemų renovavimas ir plėtra Varėnos rajone</v>
      </c>
      <c r="D49" s="514" t="str">
        <f>CONCATENATE('3 pr-2'!E51)</f>
        <v>UAB „Varėnos vandenys“</v>
      </c>
      <c r="E49" s="514" t="str">
        <f>CONCATENATE('3 pr-2'!F51)</f>
        <v>Lietuvos Respublikos aplinkos ministerija</v>
      </c>
      <c r="F49" s="514" t="str">
        <f>CONCATENATE('3 pr-2'!G51)</f>
        <v>Varėnos rajono savivaldybė</v>
      </c>
      <c r="G49" s="212" t="str">
        <f>CONCATENATE('3 pr-2'!H51)</f>
        <v>05.3.2-APVA-R-014</v>
      </c>
      <c r="H49" s="212" t="str">
        <f>CONCATENATE('3 pr-2'!I51)</f>
        <v>R</v>
      </c>
      <c r="I49" s="212" t="str">
        <f>CONCATENATE('3 pr-2'!J51)</f>
        <v>ITI</v>
      </c>
      <c r="J49" s="212" t="str">
        <f>CONCATENATE('3 pr-2'!K51)</f>
        <v>-</v>
      </c>
      <c r="K49" s="212">
        <v>6</v>
      </c>
      <c r="L49" s="212" t="s">
        <v>362</v>
      </c>
      <c r="M49" s="212">
        <v>7</v>
      </c>
      <c r="N49" s="212" t="s">
        <v>363</v>
      </c>
      <c r="O49" s="212"/>
      <c r="P49" s="212"/>
      <c r="Q49" s="212"/>
      <c r="R49" s="212"/>
      <c r="S49" s="212"/>
      <c r="T49" s="212"/>
      <c r="U49" s="522">
        <v>1</v>
      </c>
      <c r="V49" s="918">
        <f>SUM('3 pr-2'!L51)</f>
        <v>2477103.23</v>
      </c>
      <c r="W49" s="918">
        <f>SUM('3 pr-2'!AA51)</f>
        <v>1614228.26</v>
      </c>
    </row>
    <row r="50" spans="1:23" ht="39" thickBot="1" x14ac:dyDescent="0.3">
      <c r="A50" s="212" t="str">
        <f>CONCATENATE('3 pr-2'!A52)</f>
        <v>1.1.1.5.2.</v>
      </c>
      <c r="B50" s="212" t="str">
        <f>CONCATENATE('3 pr-2'!B52)</f>
        <v>R01-0014-060700-1152</v>
      </c>
      <c r="C50" s="514" t="str">
        <f>CONCATENATE('3 pr-2'!D52)</f>
        <v>Geriamojo vandens ir nuotekų tvarkymo sistemų renovavimas Alytaus mieste</v>
      </c>
      <c r="D50" s="514" t="str">
        <f>CONCATENATE('3 pr-2'!E52)</f>
        <v>UAB “Dzūkijos vandenys“</v>
      </c>
      <c r="E50" s="514" t="str">
        <f>CONCATENATE('3 pr-2'!F52)</f>
        <v>Lietuvos Respublikos aplinkos ministerija</v>
      </c>
      <c r="F50" s="514" t="str">
        <f>CONCATENATE('3 pr-2'!G52)</f>
        <v>Alytaus miestas</v>
      </c>
      <c r="G50" s="212" t="str">
        <f>CONCATENATE('3 pr-2'!H52)</f>
        <v xml:space="preserve">05.3.2-APVA-R-014 </v>
      </c>
      <c r="H50" s="212" t="str">
        <f>CONCATENATE('3 pr-2'!I52)</f>
        <v>R</v>
      </c>
      <c r="I50" s="212" t="str">
        <f>CONCATENATE('3 pr-2'!J52)</f>
        <v>ITI</v>
      </c>
      <c r="J50" s="212" t="str">
        <f>CONCATENATE('3 pr-2'!K52)</f>
        <v>-</v>
      </c>
      <c r="K50" s="212">
        <v>6</v>
      </c>
      <c r="L50" s="212" t="s">
        <v>362</v>
      </c>
      <c r="M50" s="212">
        <v>7</v>
      </c>
      <c r="N50" s="212" t="s">
        <v>363</v>
      </c>
      <c r="O50" s="212"/>
      <c r="P50" s="212"/>
      <c r="Q50" s="212"/>
      <c r="R50" s="212"/>
      <c r="S50" s="212"/>
      <c r="T50" s="212"/>
      <c r="U50" s="522">
        <v>1</v>
      </c>
      <c r="V50" s="918">
        <f>SUM('3 pr-2'!L52)</f>
        <v>5993883</v>
      </c>
      <c r="W50" s="918">
        <f>SUM('3 pr-2'!AA52)</f>
        <v>2645996.25</v>
      </c>
    </row>
    <row r="51" spans="1:23" ht="51.75" thickBot="1" x14ac:dyDescent="0.3">
      <c r="A51" s="212" t="str">
        <f>CONCATENATE('3 pr-2'!A53)</f>
        <v>1.1.1.5.3</v>
      </c>
      <c r="B51" s="212" t="str">
        <f>CONCATENATE('3 pr-2'!B53)</f>
        <v>R01-0014-060700-1153</v>
      </c>
      <c r="C51" s="514" t="str">
        <f>CONCATENATE('3 pr-2'!D53)</f>
        <v>Geriamojo vandens tiekimo ir nuotekų tvarkymo sistemų renovavimas ir plėtra Lazdijų rajono savivaldybėje</v>
      </c>
      <c r="D51" s="514" t="str">
        <f>CONCATENATE('3 pr-2'!E53)</f>
        <v>UAB „Lazdijų vanduo“</v>
      </c>
      <c r="E51" s="514" t="str">
        <f>CONCATENATE('3 pr-2'!F53)</f>
        <v>Lietuvos Respublikos aplinkos ministerija</v>
      </c>
      <c r="F51" s="514" t="str">
        <f>CONCATENATE('3 pr-2'!G53)</f>
        <v>Lazdijų rajono savivaldybė</v>
      </c>
      <c r="G51" s="212" t="str">
        <f>CONCATENATE('3 pr-2'!H53)</f>
        <v>05.3.2-APVA-R-014</v>
      </c>
      <c r="H51" s="212" t="str">
        <f>CONCATENATE('3 pr-2'!I53)</f>
        <v>R</v>
      </c>
      <c r="I51" s="212" t="str">
        <f>CONCATENATE('3 pr-2'!J53)</f>
        <v>-</v>
      </c>
      <c r="J51" s="212" t="str">
        <f>CONCATENATE('3 pr-2'!K53)</f>
        <v>-</v>
      </c>
      <c r="K51" s="212">
        <v>6</v>
      </c>
      <c r="L51" s="212" t="s">
        <v>362</v>
      </c>
      <c r="M51" s="212">
        <v>7</v>
      </c>
      <c r="N51" s="212" t="s">
        <v>363</v>
      </c>
      <c r="O51" s="212"/>
      <c r="P51" s="212"/>
      <c r="Q51" s="212"/>
      <c r="R51" s="212"/>
      <c r="S51" s="212"/>
      <c r="T51" s="212"/>
      <c r="U51" s="522">
        <v>1</v>
      </c>
      <c r="V51" s="918">
        <f>SUM('3 pr-2'!L53)</f>
        <v>1288228.01</v>
      </c>
      <c r="W51" s="918">
        <f>SUM('3 pr-2'!AA53)</f>
        <v>790102</v>
      </c>
    </row>
    <row r="52" spans="1:23" ht="51.75" thickBot="1" x14ac:dyDescent="0.3">
      <c r="A52" s="212" t="str">
        <f>CONCATENATE('3 pr-2'!A54)</f>
        <v>1.1.1.5.4.</v>
      </c>
      <c r="B52" s="212" t="str">
        <f>CONCATENATE('3 pr-2'!B54)</f>
        <v>R01-0014-060700-1154</v>
      </c>
      <c r="C52" s="514" t="str">
        <f>CONCATENATE('3 pr-2'!D54)</f>
        <v>Vandens tiekimo ir nuotekų šalinimo infrastruktūros renovavimas ir plėtra Druskininkų savivaldybėje</v>
      </c>
      <c r="D52" s="514" t="str">
        <f>CONCATENATE('3 pr-2'!E54)</f>
        <v>UAB "Druskininkų vandenys"</v>
      </c>
      <c r="E52" s="514" t="str">
        <f>CONCATENATE('3 pr-2'!F54)</f>
        <v>Lietuvos Respublikos aplinkos ministerija</v>
      </c>
      <c r="F52" s="514" t="str">
        <f>CONCATENATE('3 pr-2'!G54)</f>
        <v>Druskininkų miestas</v>
      </c>
      <c r="G52" s="212" t="str">
        <f>CONCATENATE('3 pr-2'!H54)</f>
        <v>05.3.2-APVA-R-014</v>
      </c>
      <c r="H52" s="212" t="str">
        <f>CONCATENATE('3 pr-2'!I54)</f>
        <v>R</v>
      </c>
      <c r="I52" s="212" t="str">
        <f>CONCATENATE('3 pr-2'!J54)</f>
        <v>-</v>
      </c>
      <c r="J52" s="212" t="str">
        <f>CONCATENATE('3 pr-2'!K54)</f>
        <v>-</v>
      </c>
      <c r="K52" s="212">
        <v>6</v>
      </c>
      <c r="L52" s="212" t="s">
        <v>362</v>
      </c>
      <c r="M52" s="212">
        <v>7</v>
      </c>
      <c r="N52" s="212" t="s">
        <v>363</v>
      </c>
      <c r="O52" s="212"/>
      <c r="P52" s="212"/>
      <c r="Q52" s="212"/>
      <c r="R52" s="212"/>
      <c r="S52" s="212"/>
      <c r="T52" s="212"/>
      <c r="U52" s="522">
        <v>1</v>
      </c>
      <c r="V52" s="918">
        <f>SUM('3 pr-2'!L54)</f>
        <v>5186812</v>
      </c>
      <c r="W52" s="918">
        <f>SUM('3 pr-2'!AA54)</f>
        <v>2892603</v>
      </c>
    </row>
    <row r="53" spans="1:23" ht="39" thickBot="1" x14ac:dyDescent="0.3">
      <c r="A53" s="212" t="str">
        <f>CONCATENATE('3 pr-2'!A55)</f>
        <v>1.1.1.5.5.</v>
      </c>
      <c r="B53" s="212" t="str">
        <f>CONCATENATE('3 pr-2'!B55)</f>
        <v>R01-0014-060700-1155</v>
      </c>
      <c r="C53" s="514" t="str">
        <f>CONCATENATE('3 pr-2'!D55)</f>
        <v>Vandens tiekimo ir nuotekų tvarkymo infrastruktūros plėtra Alytaus rajone (Krokialaukyje)</v>
      </c>
      <c r="D53" s="514" t="str">
        <f>CONCATENATE('3 pr-2'!E55)</f>
        <v>SĮ „Simno komunalininkas“</v>
      </c>
      <c r="E53" s="514" t="str">
        <f>CONCATENATE('3 pr-2'!F55)</f>
        <v>Lietuvos Respublikos aplinkos ministerija</v>
      </c>
      <c r="F53" s="514" t="str">
        <f>CONCATENATE('3 pr-2'!G55)</f>
        <v>Alytaus  rajono savivaldybė</v>
      </c>
      <c r="G53" s="212" t="str">
        <f>CONCATENATE('3 pr-2'!H55)</f>
        <v>05.3.2-APVA-R-014</v>
      </c>
      <c r="H53" s="212" t="str">
        <f>CONCATENATE('3 pr-2'!I55)</f>
        <v>R</v>
      </c>
      <c r="I53" s="212" t="str">
        <f>CONCATENATE('3 pr-2'!J55)</f>
        <v>-</v>
      </c>
      <c r="J53" s="212" t="str">
        <f>CONCATENATE('3 pr-2'!K55)</f>
        <v>-</v>
      </c>
      <c r="K53" s="212">
        <v>6</v>
      </c>
      <c r="L53" s="212" t="s">
        <v>362</v>
      </c>
      <c r="M53" s="212">
        <v>7</v>
      </c>
      <c r="N53" s="212" t="s">
        <v>363</v>
      </c>
      <c r="O53" s="212"/>
      <c r="P53" s="212"/>
      <c r="Q53" s="212"/>
      <c r="R53" s="212"/>
      <c r="S53" s="212"/>
      <c r="T53" s="212"/>
      <c r="U53" s="522">
        <v>1</v>
      </c>
      <c r="V53" s="918">
        <f>SUM('3 pr-2'!L55)</f>
        <v>1481000</v>
      </c>
      <c r="W53" s="918">
        <f>SUM('3 pr-2'!AA55)</f>
        <v>867744</v>
      </c>
    </row>
    <row r="54" spans="1:23" ht="35.25" customHeight="1" thickBot="1" x14ac:dyDescent="0.3">
      <c r="A54" s="499" t="s">
        <v>79</v>
      </c>
      <c r="B54" s="1103"/>
      <c r="C54" s="1672" t="s">
        <v>890</v>
      </c>
      <c r="D54" s="1660"/>
      <c r="E54" s="1660"/>
      <c r="F54" s="1660"/>
      <c r="G54" s="1660"/>
      <c r="H54" s="1660"/>
      <c r="I54" s="1660"/>
      <c r="J54" s="1661"/>
      <c r="K54" s="922"/>
      <c r="L54" s="923"/>
      <c r="M54" s="924"/>
      <c r="N54" s="923"/>
      <c r="O54" s="924"/>
      <c r="P54" s="923"/>
      <c r="Q54" s="924"/>
      <c r="R54" s="923"/>
      <c r="S54" s="924"/>
      <c r="T54" s="923"/>
      <c r="U54" s="915"/>
      <c r="V54" s="916">
        <f>SUM(V55)</f>
        <v>3999404.09</v>
      </c>
      <c r="W54" s="916">
        <f>SUM(W55)</f>
        <v>3399493.48</v>
      </c>
    </row>
    <row r="55" spans="1:23" ht="26.25" thickBot="1" x14ac:dyDescent="0.3">
      <c r="A55" s="212" t="str">
        <f>CONCATENATE('3 pr-2'!A57)</f>
        <v>1.1.1.6.1</v>
      </c>
      <c r="B55" s="212" t="str">
        <f>CONCATENATE('3 pr-2'!B57)</f>
        <v>R01-0007-080000-1161</v>
      </c>
      <c r="C55" s="212" t="str">
        <f>CONCATENATE('3 pr-2'!D57)</f>
        <v>Paviršinių nuotekų sistemų tvarkymas Alytaus mieste</v>
      </c>
      <c r="D55" s="212" t="str">
        <f>CONCATENATE('3 pr-2'!E57)</f>
        <v>UAB “Dzūkijos vandenys“</v>
      </c>
      <c r="E55" s="212" t="str">
        <f>CONCATENATE('3 pr-2'!F57)</f>
        <v>Lietuvos Respublikos aplinkos ministerija</v>
      </c>
      <c r="F55" s="212" t="str">
        <f>CONCATENATE('3 pr-2'!G57)</f>
        <v>Alytaus  miestas</v>
      </c>
      <c r="G55" s="212" t="str">
        <f>CONCATENATE('3 pr-2'!H57)</f>
        <v>05.1.1-APVA-R-007</v>
      </c>
      <c r="H55" s="212" t="str">
        <f>CONCATENATE('3 pr-2'!I57)</f>
        <v>R</v>
      </c>
      <c r="I55" s="212" t="str">
        <f>CONCATENATE('3 pr-2'!J57)</f>
        <v>-</v>
      </c>
      <c r="J55" s="212" t="str">
        <f>CONCATENATE('3 pr-2'!K57)</f>
        <v xml:space="preserve"> -</v>
      </c>
      <c r="K55" s="212">
        <v>8</v>
      </c>
      <c r="L55" s="212" t="s">
        <v>364</v>
      </c>
      <c r="M55" s="212"/>
      <c r="N55" s="212"/>
      <c r="O55" s="212"/>
      <c r="P55" s="212"/>
      <c r="Q55" s="212"/>
      <c r="R55" s="212"/>
      <c r="S55" s="212"/>
      <c r="T55" s="212"/>
      <c r="U55" s="522">
        <v>1</v>
      </c>
      <c r="V55" s="918">
        <f>SUM('3 pr-2'!L57)</f>
        <v>3999404.09</v>
      </c>
      <c r="W55" s="918">
        <f>SUM('3 pr-2'!AA57)</f>
        <v>3399493.48</v>
      </c>
    </row>
    <row r="56" spans="1:23" ht="48" customHeight="1" thickBot="1" x14ac:dyDescent="0.3">
      <c r="A56" s="499" t="s">
        <v>81</v>
      </c>
      <c r="B56" s="1103"/>
      <c r="C56" s="1646" t="s">
        <v>891</v>
      </c>
      <c r="D56" s="1660"/>
      <c r="E56" s="1660"/>
      <c r="F56" s="1660"/>
      <c r="G56" s="1660"/>
      <c r="H56" s="1660"/>
      <c r="I56" s="1660"/>
      <c r="J56" s="1661"/>
      <c r="K56" s="922"/>
      <c r="L56" s="923"/>
      <c r="M56" s="924"/>
      <c r="N56" s="923"/>
      <c r="O56" s="924"/>
      <c r="P56" s="923"/>
      <c r="Q56" s="924"/>
      <c r="R56" s="923"/>
      <c r="S56" s="924"/>
      <c r="T56" s="923"/>
      <c r="U56" s="925"/>
      <c r="V56" s="926">
        <f>SUM(V57:V59)</f>
        <v>719317.64705882361</v>
      </c>
      <c r="W56" s="926">
        <f>SUM(W57:W59)</f>
        <v>611420</v>
      </c>
    </row>
    <row r="57" spans="1:23" ht="39" thickBot="1" x14ac:dyDescent="0.3">
      <c r="A57" s="212" t="str">
        <f>CONCATENATE('3 pr-2'!A59)</f>
        <v>1.1.1.7.1</v>
      </c>
      <c r="B57" s="212" t="str">
        <f>CONCATENATE('3 pr-2'!B59)</f>
        <v>R01-8821-420000-1171</v>
      </c>
      <c r="C57" s="514" t="str">
        <f>CONCATENATE('3 pr-2'!D59)</f>
        <v>Alytaus regiono turizmo informacinės infrastruktūros plėtra</v>
      </c>
      <c r="D57" s="514" t="str">
        <f>CONCATENATE('3 pr-2'!E59)</f>
        <v>Alytaus miesto savivaldybės administracija</v>
      </c>
      <c r="E57" s="514" t="str">
        <f>CONCATENATE('3 pr-2'!F59)</f>
        <v>Lietuvos Respublikos ūkio ministerija</v>
      </c>
      <c r="F57" s="514" t="str">
        <f>CONCATENATE('3 pr-2'!G59)</f>
        <v>Alytaus regionas</v>
      </c>
      <c r="G57" s="212" t="str">
        <f>CONCATENATE('3 pr-2'!H59)</f>
        <v>05.4.1-LVPA-R-821</v>
      </c>
      <c r="H57" s="212" t="str">
        <f>CONCATENATE('3 pr-2'!I59)</f>
        <v>R</v>
      </c>
      <c r="I57" s="212" t="str">
        <f>CONCATENATE('3 pr-2'!J59)</f>
        <v>-</v>
      </c>
      <c r="J57" s="212" t="str">
        <f>CONCATENATE('3 pr-2'!K59)</f>
        <v>-</v>
      </c>
      <c r="K57" s="212">
        <v>42</v>
      </c>
      <c r="L57" s="212" t="s">
        <v>366</v>
      </c>
      <c r="M57" s="212"/>
      <c r="N57" s="212"/>
      <c r="O57" s="212"/>
      <c r="P57" s="212"/>
      <c r="Q57" s="212"/>
      <c r="R57" s="212"/>
      <c r="S57" s="212"/>
      <c r="T57" s="212"/>
      <c r="U57" s="522">
        <v>1</v>
      </c>
      <c r="V57" s="918">
        <f>SUM('3 pr-2'!L59)</f>
        <v>208223.52941176473</v>
      </c>
      <c r="W57" s="918">
        <f>SUM('3 pr-2'!AA59)</f>
        <v>176990</v>
      </c>
    </row>
    <row r="58" spans="1:23" ht="64.5" thickBot="1" x14ac:dyDescent="0.3">
      <c r="A58" s="212" t="str">
        <f>CONCATENATE('3 pr-2'!A60)</f>
        <v>1.1.1.7.2</v>
      </c>
      <c r="B58" s="212" t="str">
        <f>CONCATENATE('3 pr-2'!B60)</f>
        <v>R01-8821-420000-1172</v>
      </c>
      <c r="C58" s="514" t="str">
        <f>CONCATENATE('3 pr-2'!D60)</f>
        <v>„Turizmo trasų ir maršrutų informacinės infrastruktūros plėtra  Lazdijų, Varėnos rajonų ir Druskininkų savivaldybėse“</v>
      </c>
      <c r="D58" s="514" t="str">
        <f>CONCATENATE('3 pr-2'!E60)</f>
        <v>Lazdijų rajono savivaldybės administracija</v>
      </c>
      <c r="E58" s="514" t="str">
        <f>CONCATENATE('3 pr-2'!F60)</f>
        <v>Lietuvos Respublikos ūkio ministerija</v>
      </c>
      <c r="F58" s="514" t="str">
        <f>CONCATENATE('3 pr-2'!G60)</f>
        <v xml:space="preserve">Lazdijų, Varėnos rajonų ir Druskininkų savivaldybės </v>
      </c>
      <c r="G58" s="212" t="str">
        <f>CONCATENATE('3 pr-2'!H60)</f>
        <v>05.4.1-LVPA-R-821</v>
      </c>
      <c r="H58" s="212" t="str">
        <f>CONCATENATE('3 pr-2'!I60)</f>
        <v>R</v>
      </c>
      <c r="I58" s="212" t="str">
        <f>CONCATENATE('3 pr-2'!J60)</f>
        <v>-</v>
      </c>
      <c r="J58" s="212" t="str">
        <f>CONCATENATE('3 pr-2'!K60)</f>
        <v>-</v>
      </c>
      <c r="K58" s="212">
        <v>42</v>
      </c>
      <c r="L58" s="212" t="s">
        <v>366</v>
      </c>
      <c r="M58" s="212"/>
      <c r="N58" s="212"/>
      <c r="O58" s="212"/>
      <c r="P58" s="212"/>
      <c r="Q58" s="212"/>
      <c r="R58" s="212"/>
      <c r="S58" s="212"/>
      <c r="T58" s="212"/>
      <c r="U58" s="522">
        <v>1</v>
      </c>
      <c r="V58" s="918">
        <f>SUM('3 pr-2'!L60)</f>
        <v>288105.8823529412</v>
      </c>
      <c r="W58" s="918">
        <f>SUM('3 pr-2'!AA60)</f>
        <v>244890</v>
      </c>
    </row>
    <row r="59" spans="1:23" ht="64.5" thickBot="1" x14ac:dyDescent="0.3">
      <c r="A59" s="212" t="str">
        <f>CONCATENATE('3 pr-2'!A61)</f>
        <v>1.1.1.7.3</v>
      </c>
      <c r="B59" s="212" t="str">
        <f>CONCATENATE('3 pr-2'!B61)</f>
        <v>R01-8821-420000-1173</v>
      </c>
      <c r="C59" s="514" t="str">
        <f>CONCATENATE('3 pr-2'!D61)</f>
        <v>„Turizmo trasų ir maršrutų informacinės infrastruktūros plėtra  Lazdijų, Varėnos rajonų ir Druskininkų savivaldybėse II etapas“</v>
      </c>
      <c r="D59" s="514" t="str">
        <f>CONCATENATE('3 pr-2'!E61)</f>
        <v>Lazdijų rajono savivaldybės administracija</v>
      </c>
      <c r="E59" s="514" t="str">
        <f>CONCATENATE('3 pr-2'!F61)</f>
        <v>Lietuvos Respublikos ūkio ministerija</v>
      </c>
      <c r="F59" s="514" t="str">
        <f>CONCATENATE('3 pr-2'!G61)</f>
        <v xml:space="preserve">Lazdijų, Varėnos rajonų ir Druskininkų savivaldybės </v>
      </c>
      <c r="G59" s="212" t="str">
        <f>CONCATENATE('3 pr-2'!H61)</f>
        <v>05.4.1-LVPA-R-821</v>
      </c>
      <c r="H59" s="212" t="str">
        <f>CONCATENATE('3 pr-2'!I61)</f>
        <v>R</v>
      </c>
      <c r="I59" s="212" t="str">
        <f>CONCATENATE('3 pr-2'!J61)</f>
        <v>-</v>
      </c>
      <c r="J59" s="212" t="str">
        <f>CONCATENATE('3 pr-2'!K61)</f>
        <v>-</v>
      </c>
      <c r="K59" s="212">
        <v>42</v>
      </c>
      <c r="L59" s="212" t="s">
        <v>366</v>
      </c>
      <c r="M59" s="212"/>
      <c r="N59" s="212"/>
      <c r="O59" s="212"/>
      <c r="P59" s="212"/>
      <c r="Q59" s="212"/>
      <c r="R59" s="212"/>
      <c r="S59" s="212"/>
      <c r="T59" s="212"/>
      <c r="U59" s="522">
        <v>1</v>
      </c>
      <c r="V59" s="918">
        <f>SUM('3 pr-2'!L61)</f>
        <v>222988.23529411765</v>
      </c>
      <c r="W59" s="918">
        <f>SUM('3 pr-2'!AA61)</f>
        <v>189540</v>
      </c>
    </row>
    <row r="60" spans="1:23" ht="35.25" customHeight="1" thickBot="1" x14ac:dyDescent="0.3">
      <c r="A60" s="927" t="s">
        <v>84</v>
      </c>
      <c r="B60" s="1105"/>
      <c r="C60" s="1646" t="s">
        <v>886</v>
      </c>
      <c r="D60" s="1660"/>
      <c r="E60" s="1660"/>
      <c r="F60" s="1660"/>
      <c r="G60" s="1660"/>
      <c r="H60" s="1660"/>
      <c r="I60" s="1660"/>
      <c r="J60" s="1661"/>
      <c r="K60" s="928"/>
      <c r="L60" s="929"/>
      <c r="M60" s="930"/>
      <c r="N60" s="929"/>
      <c r="O60" s="930"/>
      <c r="P60" s="929"/>
      <c r="Q60" s="930"/>
      <c r="R60" s="929"/>
      <c r="S60" s="930"/>
      <c r="T60" s="929"/>
      <c r="U60" s="931"/>
      <c r="V60" s="926">
        <f>SUM(V61:V64)</f>
        <v>1972835.5100000002</v>
      </c>
      <c r="W60" s="926">
        <f>SUM(W61:W64)</f>
        <v>1198163.7</v>
      </c>
    </row>
    <row r="61" spans="1:23" ht="39" thickBot="1" x14ac:dyDescent="0.3">
      <c r="A61" s="212" t="str">
        <f>CONCATENATE('3 pr-2'!A63)</f>
        <v>1.1.1.8.1</v>
      </c>
      <c r="B61" s="212" t="str">
        <f>CONCATENATE('3 pr-2'!B63)</f>
        <v>R01-3305-330000-1181</v>
      </c>
      <c r="C61" s="514" t="str">
        <f>CONCATENATE('3 pr-2'!D63)</f>
        <v>Kultūros įstaigų infrastruktūros modernizavimas Varėnos mieste</v>
      </c>
      <c r="D61" s="514" t="str">
        <f>CONCATENATE('3 pr-2'!E63)</f>
        <v>Varėnos rajono savivaldybės administracija</v>
      </c>
      <c r="E61" s="514" t="str">
        <f>CONCATENATE('3 pr-2'!F63)</f>
        <v>Lietuvos Respublikos kultūros ministerija</v>
      </c>
      <c r="F61" s="514" t="str">
        <f>CONCATENATE('3 pr-2'!G63)</f>
        <v>Varėnos miestas</v>
      </c>
      <c r="G61" s="212" t="str">
        <f>CONCATENATE('3 pr-2'!H63)</f>
        <v>07.1.1-CPVA-R-305</v>
      </c>
      <c r="H61" s="212" t="str">
        <f>CONCATENATE('3 pr-2'!I63)</f>
        <v>R</v>
      </c>
      <c r="I61" s="212" t="str">
        <f>CONCATENATE('3 pr-2'!J63)</f>
        <v>ITI</v>
      </c>
      <c r="J61" s="212" t="str">
        <f>CONCATENATE('3 pr-2'!K63)</f>
        <v>-</v>
      </c>
      <c r="K61" s="212">
        <v>33</v>
      </c>
      <c r="L61" s="212" t="s">
        <v>367</v>
      </c>
      <c r="M61" s="212"/>
      <c r="N61" s="212"/>
      <c r="O61" s="212"/>
      <c r="P61" s="212"/>
      <c r="Q61" s="212"/>
      <c r="R61" s="212"/>
      <c r="S61" s="212"/>
      <c r="T61" s="212"/>
      <c r="U61" s="522">
        <v>1</v>
      </c>
      <c r="V61" s="918">
        <f>SUM('3 pr-2'!L63)</f>
        <v>352401</v>
      </c>
      <c r="W61" s="918">
        <f>SUM('3 pr-2'!AA63)</f>
        <v>299540.84999999998</v>
      </c>
    </row>
    <row r="62" spans="1:23" s="58" customFormat="1" ht="51.75" thickBot="1" x14ac:dyDescent="0.3">
      <c r="A62" s="212" t="str">
        <f>CONCATENATE('3 pr-2'!A64)</f>
        <v>1.1.1.8.2</v>
      </c>
      <c r="B62" s="212" t="str">
        <f>CONCATENATE('3 pr-2'!B64)</f>
        <v>R01-3305-330000-1182</v>
      </c>
      <c r="C62" s="514" t="str">
        <f>CONCATENATE('3 pr-2'!D64)</f>
        <v>VšĮ Alytaus kultūros ir komunikacijos centro pastato Alytuje, Pramonės g. 1B, rekonstravimas</v>
      </c>
      <c r="D62" s="514" t="str">
        <f>CONCATENATE('3 pr-2'!E64)</f>
        <v>Alytaus miesto savivaldybės administracija</v>
      </c>
      <c r="E62" s="514" t="str">
        <f>CONCATENATE('3 pr-2'!F64)</f>
        <v>Lietuvos Respublikos kultūros ministerija</v>
      </c>
      <c r="F62" s="514" t="str">
        <f>CONCATENATE('3 pr-2'!G64)</f>
        <v>Alytaus miestas</v>
      </c>
      <c r="G62" s="212" t="str">
        <f>CONCATENATE('3 pr-2'!H64)</f>
        <v>07.1.1-CPVA-R-305</v>
      </c>
      <c r="H62" s="212" t="str">
        <f>CONCATENATE('3 pr-2'!I64)</f>
        <v>R</v>
      </c>
      <c r="I62" s="212" t="str">
        <f>CONCATENATE('3 pr-2'!J64)</f>
        <v>ITI</v>
      </c>
      <c r="J62" s="212" t="str">
        <f>CONCATENATE('3 pr-2'!K64)</f>
        <v>-</v>
      </c>
      <c r="K62" s="212">
        <v>33</v>
      </c>
      <c r="L62" s="212" t="s">
        <v>367</v>
      </c>
      <c r="M62" s="212"/>
      <c r="N62" s="212"/>
      <c r="O62" s="212"/>
      <c r="P62" s="212"/>
      <c r="Q62" s="212"/>
      <c r="R62" s="212"/>
      <c r="S62" s="212"/>
      <c r="T62" s="212"/>
      <c r="U62" s="522">
        <v>1</v>
      </c>
      <c r="V62" s="918">
        <f>SUM('3 pr-2'!L64)</f>
        <v>783264.16</v>
      </c>
      <c r="W62" s="918">
        <f>SUM('3 pr-2'!AA64)</f>
        <v>299541</v>
      </c>
    </row>
    <row r="63" spans="1:23" s="58" customFormat="1" ht="51.75" thickBot="1" x14ac:dyDescent="0.3">
      <c r="A63" s="212" t="str">
        <f>CONCATENATE('3 pr-2'!A65)</f>
        <v>1.1.1.8.3</v>
      </c>
      <c r="B63" s="212" t="str">
        <f>CONCATENATE('3 pr-2'!B65)</f>
        <v>R01-3305-330000-1183</v>
      </c>
      <c r="C63" s="514" t="str">
        <f>CONCATENATE('3 pr-2'!D65)</f>
        <v>Druskininkų kultūros centro lauko scenos, Vilniaus al. 24, Druskininkai, modernizavimas ir pritaikymas kultūros  poreikiams</v>
      </c>
      <c r="D63" s="514" t="str">
        <f>CONCATENATE('3 pr-2'!E65)</f>
        <v xml:space="preserve">Druskininkų savivaldybės administracija  </v>
      </c>
      <c r="E63" s="514" t="str">
        <f>CONCATENATE('3 pr-2'!F65)</f>
        <v>Lietuvos Respublikos kultūros ministerija</v>
      </c>
      <c r="F63" s="514" t="str">
        <f>CONCATENATE('3 pr-2'!G65)</f>
        <v>Druskininkų  miestas</v>
      </c>
      <c r="G63" s="212" t="str">
        <f>CONCATENATE('3 pr-2'!H65)</f>
        <v>07.1.1-CPVA-R-305</v>
      </c>
      <c r="H63" s="212" t="str">
        <f>CONCATENATE('3 pr-2'!I65)</f>
        <v>R</v>
      </c>
      <c r="I63" s="212" t="str">
        <f>CONCATENATE('3 pr-2'!J65)</f>
        <v>ITI</v>
      </c>
      <c r="J63" s="212" t="str">
        <f>CONCATENATE('3 pr-2'!K65)</f>
        <v>-</v>
      </c>
      <c r="K63" s="212">
        <v>33</v>
      </c>
      <c r="L63" s="212" t="s">
        <v>367</v>
      </c>
      <c r="M63" s="212"/>
      <c r="N63" s="212"/>
      <c r="O63" s="212"/>
      <c r="P63" s="212"/>
      <c r="Q63" s="212"/>
      <c r="R63" s="212"/>
      <c r="S63" s="212"/>
      <c r="T63" s="212"/>
      <c r="U63" s="522">
        <v>1</v>
      </c>
      <c r="V63" s="918">
        <f>SUM('3 pr-2'!L65)</f>
        <v>352401</v>
      </c>
      <c r="W63" s="918">
        <f>SUM('3 pr-2'!AA65)</f>
        <v>299540.84999999998</v>
      </c>
    </row>
    <row r="64" spans="1:23" s="58" customFormat="1" ht="51.75" thickBot="1" x14ac:dyDescent="0.3">
      <c r="A64" s="212" t="str">
        <f>CONCATENATE('3 pr-2'!A66)</f>
        <v>1.1.1.8.4</v>
      </c>
      <c r="B64" s="212" t="str">
        <f>CONCATENATE('3 pr-2'!B66)</f>
        <v>R01-3305-330200-1184</v>
      </c>
      <c r="C64" s="514" t="str">
        <f>CONCATENATE('3 pr-2'!D66)</f>
        <v>Pastato rekonstrukcija ir pritaikymas kultūrinėms, muziejinėms ir edukacinėms reikmėms</v>
      </c>
      <c r="D64" s="514" t="str">
        <f>CONCATENATE('3 pr-2'!E66)</f>
        <v>Lazdijų rajono savivaldybės administracija</v>
      </c>
      <c r="E64" s="514" t="str">
        <f>CONCATENATE('3 pr-2'!F66)</f>
        <v>Lietuvos Respublikos kultūros ministerija</v>
      </c>
      <c r="F64" s="514" t="str">
        <f>CONCATENATE('3 pr-2'!G66)</f>
        <v>Lazdijų miestas</v>
      </c>
      <c r="G64" s="212" t="str">
        <f>CONCATENATE('3 pr-2'!H66)</f>
        <v>07.1.1-CPVA-R-305</v>
      </c>
      <c r="H64" s="212" t="str">
        <f>CONCATENATE('3 pr-2'!I66)</f>
        <v>R</v>
      </c>
      <c r="I64" s="212" t="str">
        <f>CONCATENATE('3 pr-2'!J66)</f>
        <v>ITI</v>
      </c>
      <c r="J64" s="212" t="str">
        <f>CONCATENATE('3 pr-2'!K66)</f>
        <v>-</v>
      </c>
      <c r="K64" s="212">
        <v>33</v>
      </c>
      <c r="L64" s="212" t="s">
        <v>367</v>
      </c>
      <c r="M64" s="212">
        <v>2</v>
      </c>
      <c r="N64" s="212" t="s">
        <v>370</v>
      </c>
      <c r="O64" s="212"/>
      <c r="P64" s="212"/>
      <c r="Q64" s="212"/>
      <c r="R64" s="212"/>
      <c r="S64" s="212"/>
      <c r="T64" s="212"/>
      <c r="U64" s="522">
        <v>1</v>
      </c>
      <c r="V64" s="918">
        <f>SUM('3 pr-2'!L66)</f>
        <v>484769.35</v>
      </c>
      <c r="W64" s="918">
        <f>SUM('3 pr-2'!AA66)</f>
        <v>299541</v>
      </c>
    </row>
    <row r="65" spans="1:24" ht="39" customHeight="1" thickBot="1" x14ac:dyDescent="0.3">
      <c r="A65" s="499" t="s">
        <v>86</v>
      </c>
      <c r="B65" s="1105"/>
      <c r="C65" s="1651" t="s">
        <v>885</v>
      </c>
      <c r="D65" s="1660"/>
      <c r="E65" s="1660"/>
      <c r="F65" s="1660"/>
      <c r="G65" s="1660"/>
      <c r="H65" s="1660"/>
      <c r="I65" s="1660"/>
      <c r="J65" s="1661"/>
      <c r="K65" s="928"/>
      <c r="L65" s="929"/>
      <c r="M65" s="930"/>
      <c r="N65" s="929"/>
      <c r="O65" s="930"/>
      <c r="P65" s="929"/>
      <c r="Q65" s="930"/>
      <c r="R65" s="929"/>
      <c r="S65" s="930"/>
      <c r="T65" s="929"/>
      <c r="U65" s="931"/>
      <c r="V65" s="926">
        <f>SUM(V66:V70)</f>
        <v>1212868</v>
      </c>
      <c r="W65" s="926">
        <f>SUM(W66:W70)</f>
        <v>1030280</v>
      </c>
    </row>
    <row r="66" spans="1:24" ht="51.75" thickBot="1" x14ac:dyDescent="0.3">
      <c r="A66" s="212" t="str">
        <f>CONCATENATE('3 pr-2'!A68)</f>
        <v>1.1.1.9.1</v>
      </c>
      <c r="B66" s="212" t="str">
        <f>CONCATENATE('3 pr-2'!B68)</f>
        <v>R01-3302-440000-1191</v>
      </c>
      <c r="C66" s="514" t="str">
        <f>CONCATENATE('3 pr-2'!D68)</f>
        <v>Buvusios sinagogos pastato Kauno g. 9A Alytuje rekonstravimas ir aplinkinės teritorijos sutvarkymas</v>
      </c>
      <c r="D66" s="514" t="str">
        <f>CONCATENATE('3 pr-2'!E68)</f>
        <v>Alytaus miesto savivaldybės administracija</v>
      </c>
      <c r="E66" s="514" t="str">
        <f>CONCATENATE('3 pr-2'!F68)</f>
        <v>Lietuvos Respublikos kultūros ministerija</v>
      </c>
      <c r="F66" s="514" t="str">
        <f>CONCATENATE('3 pr-2'!G68)</f>
        <v>Alytaus  miestas</v>
      </c>
      <c r="G66" s="212" t="str">
        <f>CONCATENATE('3 pr-2'!H68)</f>
        <v>05.4.1-CPVA-R-302</v>
      </c>
      <c r="H66" s="212" t="str">
        <f>CONCATENATE('3 pr-2'!I68)</f>
        <v>R</v>
      </c>
      <c r="I66" s="212" t="str">
        <f>CONCATENATE('3 pr-2'!J68)</f>
        <v>ITI</v>
      </c>
      <c r="J66" s="212" t="str">
        <f>CONCATENATE('3 pr-2'!K68)</f>
        <v xml:space="preserve"> -</v>
      </c>
      <c r="K66" s="212">
        <v>44</v>
      </c>
      <c r="L66" s="212" t="s">
        <v>371</v>
      </c>
      <c r="M66" s="212"/>
      <c r="N66" s="212"/>
      <c r="O66" s="212"/>
      <c r="P66" s="212"/>
      <c r="Q66" s="212"/>
      <c r="R66" s="212"/>
      <c r="S66" s="212"/>
      <c r="T66" s="212"/>
      <c r="U66" s="522">
        <v>1</v>
      </c>
      <c r="V66" s="918">
        <f>SUM('3 pr-2'!L68)</f>
        <v>242419</v>
      </c>
      <c r="W66" s="918">
        <f>SUM('3 pr-2'!AA68)</f>
        <v>206056</v>
      </c>
    </row>
    <row r="67" spans="1:24" s="58" customFormat="1" ht="51.75" thickBot="1" x14ac:dyDescent="0.3">
      <c r="A67" s="212" t="str">
        <f>CONCATENATE('3 pr-2'!A69)</f>
        <v>1.1.1.9.2</v>
      </c>
      <c r="B67" s="212" t="str">
        <f>CONCATENATE('3 pr-2'!B69)</f>
        <v>R01-3302-440000-1192</v>
      </c>
      <c r="C67" s="514" t="str">
        <f>CONCATENATE('3 pr-2'!D69)</f>
        <v>Mažosios dailės galerijos, M.K.Čiurlionio g. 37, Druskininkai, modernizavimas ir pritaikymas kultūros poreikiams</v>
      </c>
      <c r="D67" s="514" t="str">
        <f>CONCATENATE('3 pr-2'!E69)</f>
        <v xml:space="preserve">Druskininkų savivaldybės administracija  </v>
      </c>
      <c r="E67" s="514" t="str">
        <f>CONCATENATE('3 pr-2'!F69)</f>
        <v>Lietuvos Respublikos kultūros ministerija</v>
      </c>
      <c r="F67" s="514" t="str">
        <f>CONCATENATE('3 pr-2'!G69)</f>
        <v>Druskininkų  miestas</v>
      </c>
      <c r="G67" s="212" t="str">
        <f>CONCATENATE('3 pr-2'!H69)</f>
        <v>05.4.1-CPVA-R-302</v>
      </c>
      <c r="H67" s="212" t="str">
        <f>CONCATENATE('3 pr-2'!I69)</f>
        <v>R</v>
      </c>
      <c r="I67" s="212" t="str">
        <f>CONCATENATE('3 pr-2'!J69)</f>
        <v>ITI</v>
      </c>
      <c r="J67" s="212" t="str">
        <f>CONCATENATE('3 pr-2'!K69)</f>
        <v/>
      </c>
      <c r="K67" s="212">
        <v>44</v>
      </c>
      <c r="L67" s="212" t="s">
        <v>371</v>
      </c>
      <c r="M67" s="212"/>
      <c r="N67" s="212"/>
      <c r="O67" s="212"/>
      <c r="P67" s="212"/>
      <c r="Q67" s="212"/>
      <c r="R67" s="212"/>
      <c r="S67" s="212"/>
      <c r="T67" s="212"/>
      <c r="U67" s="522">
        <v>1</v>
      </c>
      <c r="V67" s="918">
        <f>SUM('3 pr-2'!L69)</f>
        <v>242419</v>
      </c>
      <c r="W67" s="918">
        <f>SUM('3 pr-2'!AA69)</f>
        <v>206056</v>
      </c>
    </row>
    <row r="68" spans="1:24" s="58" customFormat="1" ht="39" thickBot="1" x14ac:dyDescent="0.3">
      <c r="A68" s="212" t="str">
        <f>CONCATENATE('3 pr-2'!A70)</f>
        <v>1.1.1.9.3</v>
      </c>
      <c r="B68" s="212" t="str">
        <f>CONCATENATE('3 pr-2'!B70)</f>
        <v>R01-3302-440200-1193</v>
      </c>
      <c r="C68" s="514" t="str">
        <f>CONCATENATE('3 pr-2'!D70)</f>
        <v>Motiejaus  Gustaičio  memorialinio  namo  kompleksinis sutvarkymas</v>
      </c>
      <c r="D68" s="514" t="str">
        <f>CONCATENATE('3 pr-2'!E70)</f>
        <v>Lazdijų rajono savivaldybės administracija</v>
      </c>
      <c r="E68" s="514" t="str">
        <f>CONCATENATE('3 pr-2'!F70)</f>
        <v>Lietuvos Respublikos kultūros ministerija</v>
      </c>
      <c r="F68" s="514" t="str">
        <f>CONCATENATE('3 pr-2'!G70)</f>
        <v>Lazdijų miestas</v>
      </c>
      <c r="G68" s="212" t="str">
        <f>CONCATENATE('3 pr-2'!H70)</f>
        <v>05.4.1-CPVA-R-302</v>
      </c>
      <c r="H68" s="212" t="str">
        <f>CONCATENATE('3 pr-2'!I70)</f>
        <v>R</v>
      </c>
      <c r="I68" s="212" t="str">
        <f>CONCATENATE('3 pr-2'!J70)</f>
        <v>ITI</v>
      </c>
      <c r="J68" s="212" t="str">
        <f>CONCATENATE('3 pr-2'!K70)</f>
        <v>-</v>
      </c>
      <c r="K68" s="212">
        <v>44</v>
      </c>
      <c r="L68" s="212" t="s">
        <v>371</v>
      </c>
      <c r="M68" s="212">
        <v>2</v>
      </c>
      <c r="N68" s="212" t="s">
        <v>370</v>
      </c>
      <c r="O68" s="212"/>
      <c r="P68" s="212"/>
      <c r="Q68" s="212"/>
      <c r="R68" s="212"/>
      <c r="S68" s="212"/>
      <c r="T68" s="212"/>
      <c r="U68" s="522">
        <v>1</v>
      </c>
      <c r="V68" s="918">
        <f>SUM('3 pr-2'!L70)</f>
        <v>242419</v>
      </c>
      <c r="W68" s="918">
        <f>SUM('3 pr-2'!AA70)</f>
        <v>206056</v>
      </c>
    </row>
    <row r="69" spans="1:24" s="58" customFormat="1" ht="39" thickBot="1" x14ac:dyDescent="0.3">
      <c r="A69" s="212" t="str">
        <f>CONCATENATE('3 pr-2'!A71)</f>
        <v>1.1.1.9.4</v>
      </c>
      <c r="B69" s="212" t="str">
        <f>CONCATENATE('3 pr-2'!B71)</f>
        <v>R01-3302-440000-1194</v>
      </c>
      <c r="C69" s="514" t="str">
        <f>CONCATENATE('3 pr-2'!D71)</f>
        <v>Kurnėnų Lauryno Radziukyno mokyklos pritaikymas kultūrinėms ir turistinėms reikmėms</v>
      </c>
      <c r="D69" s="514" t="str">
        <f>CONCATENATE('3 pr-2'!E71)</f>
        <v>Alytaus rajono savivaldybės administracija</v>
      </c>
      <c r="E69" s="514" t="str">
        <f>CONCATENATE('3 pr-2'!F71)</f>
        <v>Lietuvos Respublikos kultūros ministerija</v>
      </c>
      <c r="F69" s="514" t="str">
        <f>CONCATENATE('3 pr-2'!G71)</f>
        <v>Alytaus  rajono savivaldybė</v>
      </c>
      <c r="G69" s="212" t="str">
        <f>CONCATENATE('3 pr-2'!H71)</f>
        <v>05.4.1-CPVA-R-302</v>
      </c>
      <c r="H69" s="212" t="str">
        <f>CONCATENATE('3 pr-2'!I71)</f>
        <v>R</v>
      </c>
      <c r="I69" s="212" t="str">
        <f>CONCATENATE('3 pr-2'!J71)</f>
        <v>-</v>
      </c>
      <c r="J69" s="212" t="str">
        <f>CONCATENATE('3 pr-2'!K71)</f>
        <v>-</v>
      </c>
      <c r="K69" s="212">
        <v>44</v>
      </c>
      <c r="L69" s="212" t="s">
        <v>371</v>
      </c>
      <c r="M69" s="212"/>
      <c r="N69" s="212"/>
      <c r="O69" s="212"/>
      <c r="P69" s="212"/>
      <c r="Q69" s="212"/>
      <c r="R69" s="212"/>
      <c r="S69" s="212"/>
      <c r="T69" s="212"/>
      <c r="U69" s="522">
        <v>1</v>
      </c>
      <c r="V69" s="918">
        <f>SUM('3 pr-2'!L71)</f>
        <v>243192</v>
      </c>
      <c r="W69" s="918">
        <f>SUM('3 pr-2'!AA71)</f>
        <v>206056</v>
      </c>
    </row>
    <row r="70" spans="1:24" ht="39" thickBot="1" x14ac:dyDescent="0.3">
      <c r="A70" s="212" t="str">
        <f>CONCATENATE('3 pr-2'!A72)</f>
        <v>1.1.1.9.5</v>
      </c>
      <c r="B70" s="212" t="str">
        <f>CONCATENATE('3 pr-2'!B72)</f>
        <v>R01-3302-440000-1195</v>
      </c>
      <c r="C70" s="514" t="str">
        <f>CONCATENATE('3 pr-2'!D72)</f>
        <v>Vinco Krėvės-Mickevičiaus memorialinio muziejaus atnaujinimas</v>
      </c>
      <c r="D70" s="514" t="str">
        <f>CONCATENATE('3 pr-2'!E72)</f>
        <v>Varėnos rajono savivaldybės administracija</v>
      </c>
      <c r="E70" s="514" t="str">
        <f>CONCATENATE('3 pr-2'!F72)</f>
        <v>Lietuvos Respublikos kultūros ministerija</v>
      </c>
      <c r="F70" s="514" t="str">
        <f>CONCATENATE('3 pr-2'!G72)</f>
        <v>Varėnos rajono savivaldybė</v>
      </c>
      <c r="G70" s="212" t="str">
        <f>CONCATENATE('3 pr-2'!H72)</f>
        <v>05.4.1-CPVA-R-302</v>
      </c>
      <c r="H70" s="212" t="str">
        <f>CONCATENATE('3 pr-2'!I72)</f>
        <v>R</v>
      </c>
      <c r="I70" s="212" t="str">
        <f>CONCATENATE('3 pr-2'!J72)</f>
        <v>-</v>
      </c>
      <c r="J70" s="212" t="str">
        <f>CONCATENATE('3 pr-2'!K72)</f>
        <v>-</v>
      </c>
      <c r="K70" s="212">
        <v>44</v>
      </c>
      <c r="L70" s="212" t="s">
        <v>371</v>
      </c>
      <c r="M70" s="212"/>
      <c r="N70" s="212"/>
      <c r="O70" s="212"/>
      <c r="P70" s="212"/>
      <c r="Q70" s="212"/>
      <c r="R70" s="212"/>
      <c r="S70" s="212"/>
      <c r="T70" s="212"/>
      <c r="U70" s="522">
        <v>1</v>
      </c>
      <c r="V70" s="918">
        <f>SUM('3 pr-2'!L72)</f>
        <v>242419</v>
      </c>
      <c r="W70" s="918">
        <f>SUM('3 pr-2'!AA72)</f>
        <v>206056</v>
      </c>
    </row>
    <row r="71" spans="1:24" ht="60.75" customHeight="1" thickBot="1" x14ac:dyDescent="0.3">
      <c r="A71" s="216" t="s">
        <v>22</v>
      </c>
      <c r="B71" s="1106"/>
      <c r="C71" s="1643" t="s">
        <v>652</v>
      </c>
      <c r="D71" s="1658"/>
      <c r="E71" s="1658"/>
      <c r="F71" s="1658"/>
      <c r="G71" s="1658"/>
      <c r="H71" s="1658"/>
      <c r="I71" s="1658"/>
      <c r="J71" s="1659"/>
      <c r="K71" s="908"/>
      <c r="L71" s="909"/>
      <c r="M71" s="910"/>
      <c r="N71" s="909"/>
      <c r="O71" s="910"/>
      <c r="P71" s="909"/>
      <c r="Q71" s="910"/>
      <c r="R71" s="909"/>
      <c r="S71" s="910"/>
      <c r="T71" s="909"/>
      <c r="U71" s="909"/>
      <c r="V71" s="932"/>
      <c r="W71" s="933"/>
    </row>
    <row r="72" spans="1:24" ht="39" customHeight="1" thickBot="1" x14ac:dyDescent="0.3">
      <c r="A72" s="499" t="s">
        <v>88</v>
      </c>
      <c r="B72" s="1103"/>
      <c r="C72" s="1646" t="s">
        <v>892</v>
      </c>
      <c r="D72" s="1660"/>
      <c r="E72" s="1660"/>
      <c r="F72" s="1660"/>
      <c r="G72" s="1660"/>
      <c r="H72" s="1660"/>
      <c r="I72" s="1660"/>
      <c r="J72" s="1661"/>
      <c r="K72" s="928"/>
      <c r="L72" s="929"/>
      <c r="M72" s="930"/>
      <c r="N72" s="929"/>
      <c r="O72" s="930"/>
      <c r="P72" s="929"/>
      <c r="Q72" s="930"/>
      <c r="R72" s="929"/>
      <c r="S72" s="930"/>
      <c r="T72" s="929"/>
      <c r="U72" s="931"/>
      <c r="V72" s="926">
        <f>SUM(V73:V76)</f>
        <v>1835209.588235294</v>
      </c>
      <c r="W72" s="926">
        <f>SUM(W73:W76)</f>
        <v>1263272</v>
      </c>
    </row>
    <row r="73" spans="1:24" ht="39" thickBot="1" x14ac:dyDescent="0.3">
      <c r="A73" s="212" t="str">
        <f>CONCATENATE('3 pr-2'!A75)</f>
        <v>1.1.2.1.1</v>
      </c>
      <c r="B73" s="212" t="str">
        <f>CONCATENATE('3 pr-2'!B75)</f>
        <v>R01-5518-100000-1211</v>
      </c>
      <c r="C73" s="514" t="str">
        <f>CONCATENATE('3 pr-2'!D75)</f>
        <v xml:space="preserve">Nekenksmingų aplinkai viešojo transporto priemonių įsigijimas Alytaus mieste </v>
      </c>
      <c r="D73" s="514" t="str">
        <f>CONCATENATE('3 pr-2'!E75)</f>
        <v>Alytaus miesto savivaldybės administracija</v>
      </c>
      <c r="E73" s="514" t="str">
        <f>CONCATENATE('3 pr-2'!F75)</f>
        <v>Lietuvos Respublikos susisiekimo ministerija</v>
      </c>
      <c r="F73" s="514" t="str">
        <f>CONCATENATE('3 pr-2'!G75)</f>
        <v>Alytaus  miestas</v>
      </c>
      <c r="G73" s="212" t="str">
        <f>CONCATENATE('3 pr-2'!H75)</f>
        <v>04.5.1-TID-R-518</v>
      </c>
      <c r="H73" s="212" t="str">
        <f>CONCATENATE('3 pr-2'!I75)</f>
        <v>R</v>
      </c>
      <c r="I73" s="212" t="str">
        <f>CONCATENATE('3 pr-2'!J75)</f>
        <v>ITI</v>
      </c>
      <c r="J73" s="212" t="str">
        <f>CONCATENATE('3 pr-2'!K75)</f>
        <v>-</v>
      </c>
      <c r="K73" s="212">
        <v>10</v>
      </c>
      <c r="L73" s="212" t="s">
        <v>372</v>
      </c>
      <c r="M73" s="212"/>
      <c r="N73" s="212"/>
      <c r="O73" s="212"/>
      <c r="P73" s="212"/>
      <c r="Q73" s="212"/>
      <c r="R73" s="212"/>
      <c r="S73" s="212"/>
      <c r="T73" s="212"/>
      <c r="U73" s="522">
        <v>1</v>
      </c>
      <c r="V73" s="918">
        <f>SUM('3 pr-2'!L75)</f>
        <v>406090.5882352941</v>
      </c>
      <c r="W73" s="918">
        <f>SUM('3 pr-2'!AA75)</f>
        <v>345177</v>
      </c>
    </row>
    <row r="74" spans="1:24" ht="39" thickBot="1" x14ac:dyDescent="0.3">
      <c r="A74" s="212" t="str">
        <f>CONCATENATE('3 pr-2'!A76)</f>
        <v>1.1.2.1.2</v>
      </c>
      <c r="B74" s="212" t="str">
        <f>CONCATENATE('3 pr-2'!B76)</f>
        <v>R01-5518-100000-1212</v>
      </c>
      <c r="C74" s="514" t="str">
        <f>CONCATENATE('3 pr-2'!D76)</f>
        <v>Nekenksmingų aplinkai viešojo transporto priemonių įsigijimas Alytaus rajone</v>
      </c>
      <c r="D74" s="514" t="str">
        <f>CONCATENATE('3 pr-2'!E76)</f>
        <v>Alytaus rajono savivaldybės administracija</v>
      </c>
      <c r="E74" s="514" t="str">
        <f>CONCATENATE('3 pr-2'!F76)</f>
        <v>Lietuvos Respublikos susisiekimo ministerija</v>
      </c>
      <c r="F74" s="514" t="str">
        <f>CONCATENATE('3 pr-2'!G76)</f>
        <v>Alytaus  rajono savivaldybė</v>
      </c>
      <c r="G74" s="212" t="str">
        <f>CONCATENATE('3 pr-2'!H76)</f>
        <v>04.5.1-TID-R-518</v>
      </c>
      <c r="H74" s="212" t="str">
        <f>CONCATENATE('3 pr-2'!I76)</f>
        <v>R</v>
      </c>
      <c r="I74" s="212" t="str">
        <f>CONCATENATE('3 pr-2'!J76)</f>
        <v>-</v>
      </c>
      <c r="J74" s="212" t="str">
        <f>CONCATENATE('3 pr-2'!K76)</f>
        <v>-</v>
      </c>
      <c r="K74" s="212">
        <v>10</v>
      </c>
      <c r="L74" s="212" t="s">
        <v>372</v>
      </c>
      <c r="M74" s="212"/>
      <c r="N74" s="212"/>
      <c r="O74" s="212"/>
      <c r="P74" s="212"/>
      <c r="Q74" s="212"/>
      <c r="R74" s="212"/>
      <c r="S74" s="212"/>
      <c r="T74" s="212"/>
      <c r="U74" s="522">
        <v>1</v>
      </c>
      <c r="V74" s="918">
        <f>SUM('3 pr-2'!L76)</f>
        <v>326175</v>
      </c>
      <c r="W74" s="918">
        <f>SUM('3 pr-2'!AA76)</f>
        <v>277249</v>
      </c>
    </row>
    <row r="75" spans="1:24" ht="39" thickBot="1" x14ac:dyDescent="0.3">
      <c r="A75" s="212" t="str">
        <f>CONCATENATE('3 pr-2'!A77)</f>
        <v>1.1.2.1.3</v>
      </c>
      <c r="B75" s="212" t="str">
        <f>CONCATENATE('3 pr-2'!B77)</f>
        <v>R01-5518-100000-1213</v>
      </c>
      <c r="C75" s="514" t="str">
        <f>CONCATENATE('3 pr-2'!D77)</f>
        <v>Ekologiškų transporto priemonių įsigijimas Druskininkų savivaldybėje</v>
      </c>
      <c r="D75" s="514" t="str">
        <f>CONCATENATE('3 pr-2'!E77)</f>
        <v xml:space="preserve">Druskininkų savivaldybės administracija  </v>
      </c>
      <c r="E75" s="514" t="str">
        <f>CONCATENATE('3 pr-2'!F77)</f>
        <v>Lietuvos Respublikos susisiekimo ministerija</v>
      </c>
      <c r="F75" s="514" t="str">
        <f>CONCATENATE('3 pr-2'!G77)</f>
        <v>Druskininkų  miestas</v>
      </c>
      <c r="G75" s="212" t="str">
        <f>CONCATENATE('3 pr-2'!H77)</f>
        <v>04.5.1-TID-R-518</v>
      </c>
      <c r="H75" s="212" t="str">
        <f>CONCATENATE('3 pr-2'!I77)</f>
        <v>R</v>
      </c>
      <c r="I75" s="212" t="str">
        <f>CONCATENATE('3 pr-2'!J77)</f>
        <v>-</v>
      </c>
      <c r="J75" s="212" t="str">
        <f>CONCATENATE('3 pr-2'!K77)</f>
        <v>-</v>
      </c>
      <c r="K75" s="212">
        <v>10</v>
      </c>
      <c r="L75" s="212" t="s">
        <v>372</v>
      </c>
      <c r="M75" s="212"/>
      <c r="N75" s="212"/>
      <c r="O75" s="212"/>
      <c r="P75" s="212"/>
      <c r="Q75" s="212"/>
      <c r="R75" s="212"/>
      <c r="S75" s="212"/>
      <c r="T75" s="212"/>
      <c r="U75" s="522">
        <v>1</v>
      </c>
      <c r="V75" s="918">
        <f>SUM('3 pr-2'!L77)</f>
        <v>840240</v>
      </c>
      <c r="W75" s="918">
        <f>SUM('3 pr-2'!AA77)</f>
        <v>417548</v>
      </c>
    </row>
    <row r="76" spans="1:24" ht="39" thickBot="1" x14ac:dyDescent="0.3">
      <c r="A76" s="212" t="str">
        <f>CONCATENATE('3 pr-2'!A78)</f>
        <v>1.1.2.1.4</v>
      </c>
      <c r="B76" s="212" t="str">
        <f>CONCATENATE('3 pr-2'!B78)</f>
        <v>R01-5518-100000-1214</v>
      </c>
      <c r="C76" s="514" t="str">
        <f>CONCATENATE('3 pr-2'!D78)</f>
        <v>Ekologiškų transporto priemonių įsigijimas  Lazdijų rajono savivaldybėje</v>
      </c>
      <c r="D76" s="514" t="str">
        <f>CONCATENATE('3 pr-2'!E78)</f>
        <v>Lazdijų rajono savivaldybės administracija</v>
      </c>
      <c r="E76" s="514" t="str">
        <f>CONCATENATE('3 pr-2'!F78)</f>
        <v>Lietuvos Respublikos susisiekimo ministerija</v>
      </c>
      <c r="F76" s="514" t="str">
        <f>CONCATENATE('3 pr-2'!G78)</f>
        <v>Lazdijų rajono savivaldybė</v>
      </c>
      <c r="G76" s="212" t="str">
        <f>CONCATENATE('3 pr-2'!H78)</f>
        <v>04.5.1-TID-R-518</v>
      </c>
      <c r="H76" s="212" t="str">
        <f>CONCATENATE('3 pr-2'!I78)</f>
        <v>R</v>
      </c>
      <c r="I76" s="212" t="str">
        <f>CONCATENATE('3 pr-2'!J78)</f>
        <v>-</v>
      </c>
      <c r="J76" s="212" t="str">
        <f>CONCATENATE('3 pr-2'!K78)</f>
        <v>-</v>
      </c>
      <c r="K76" s="212">
        <v>10</v>
      </c>
      <c r="L76" s="212" t="s">
        <v>372</v>
      </c>
      <c r="M76" s="212"/>
      <c r="N76" s="212"/>
      <c r="O76" s="212"/>
      <c r="P76" s="212"/>
      <c r="Q76" s="212"/>
      <c r="R76" s="212"/>
      <c r="S76" s="212"/>
      <c r="T76" s="212"/>
      <c r="U76" s="522">
        <v>1</v>
      </c>
      <c r="V76" s="918">
        <f>SUM('3 pr-2'!L78)</f>
        <v>262704</v>
      </c>
      <c r="W76" s="918">
        <f>SUM('3 pr-2'!AA78)</f>
        <v>223298</v>
      </c>
    </row>
    <row r="77" spans="1:24" ht="40.5" customHeight="1" thickBot="1" x14ac:dyDescent="0.3">
      <c r="A77" s="499" t="s">
        <v>90</v>
      </c>
      <c r="B77" s="1103"/>
      <c r="C77" s="1651" t="s">
        <v>884</v>
      </c>
      <c r="D77" s="1649"/>
      <c r="E77" s="1649"/>
      <c r="F77" s="1649"/>
      <c r="G77" s="1649"/>
      <c r="H77" s="1649"/>
      <c r="I77" s="1649"/>
      <c r="J77" s="1650"/>
      <c r="K77" s="928"/>
      <c r="L77" s="929"/>
      <c r="M77" s="930"/>
      <c r="N77" s="929"/>
      <c r="O77" s="930"/>
      <c r="P77" s="929"/>
      <c r="Q77" s="930"/>
      <c r="R77" s="929"/>
      <c r="S77" s="930"/>
      <c r="T77" s="929"/>
      <c r="U77" s="931"/>
      <c r="V77" s="926">
        <f>SUM(V78:V83)</f>
        <v>1894943.89</v>
      </c>
      <c r="W77" s="926">
        <f>SUM(W78:W83)</f>
        <v>1610702.3</v>
      </c>
    </row>
    <row r="78" spans="1:24" ht="77.25" thickBot="1" x14ac:dyDescent="0.3">
      <c r="A78" s="212" t="str">
        <f>CONCATENATE('3 pr-2'!A80)</f>
        <v>1.1.2.2.1</v>
      </c>
      <c r="B78" s="212" t="str">
        <f>CONCATENATE('3 pr-2'!B80)</f>
        <v>R01-5514-190000-1221</v>
      </c>
      <c r="C78" s="514" t="str">
        <f>CONCATENATE('3 pr-2'!D80)</f>
        <v>Darnaus judumo priemonių diegimas Alytaus mieste</v>
      </c>
      <c r="D78" s="514" t="str">
        <f>CONCATENATE('3 pr-2'!E80)</f>
        <v>Alytaus miesto savivaldybės administracija</v>
      </c>
      <c r="E78" s="514" t="str">
        <f>CONCATENATE('3 pr-2'!F80)</f>
        <v>Lietuvos Respublikos susisiekimo ministerija</v>
      </c>
      <c r="F78" s="514" t="str">
        <f>CONCATENATE('3 pr-2'!G80)</f>
        <v>Alytaus  miestas</v>
      </c>
      <c r="G78" s="212" t="str">
        <f>CONCATENATE('3 pr-2'!H80)</f>
        <v>04.5.1.-TID-R-514</v>
      </c>
      <c r="H78" s="212" t="str">
        <f>CONCATENATE('3 pr-2'!I80)</f>
        <v>R</v>
      </c>
      <c r="I78" s="212" t="str">
        <f>CONCATENATE('3 pr-2'!J80)</f>
        <v>-</v>
      </c>
      <c r="J78" s="212"/>
      <c r="K78" s="212">
        <v>19</v>
      </c>
      <c r="L78" s="212" t="s">
        <v>373</v>
      </c>
      <c r="M78" s="212"/>
      <c r="N78" s="212"/>
      <c r="O78" s="212"/>
      <c r="P78" s="212"/>
      <c r="Q78" s="212"/>
      <c r="R78" s="212"/>
      <c r="S78" s="212"/>
      <c r="T78" s="212"/>
      <c r="U78" s="522">
        <v>1</v>
      </c>
      <c r="V78" s="918">
        <f>SUM('3 pr-2'!L80)</f>
        <v>1143469.6499999999</v>
      </c>
      <c r="W78" s="918">
        <f>SUM('3 pr-2'!AA80)</f>
        <v>971949.2</v>
      </c>
      <c r="X78" s="103"/>
    </row>
    <row r="79" spans="1:24" ht="77.25" thickBot="1" x14ac:dyDescent="0.3">
      <c r="A79" s="212" t="str">
        <f>CONCATENATE('3 pr-2'!A81)</f>
        <v>1.1.2.2.2</v>
      </c>
      <c r="B79" s="212" t="str">
        <f>CONCATENATE('3 pr-2'!B81)</f>
        <v>R01-5514-190000-1222</v>
      </c>
      <c r="C79" s="514" t="str">
        <f>CONCATENATE('3 pr-2'!D81)</f>
        <v>Alytaus miesto darnaus judumo plano parengimas</v>
      </c>
      <c r="D79" s="514" t="str">
        <f>CONCATENATE('3 pr-2'!E81)</f>
        <v>Alytaus miesto savivaldybės administracija</v>
      </c>
      <c r="E79" s="514" t="str">
        <f>CONCATENATE('3 pr-2'!F81)</f>
        <v>Lietuvos Respublikos susisiekimo ministerija</v>
      </c>
      <c r="F79" s="514" t="str">
        <f>CONCATENATE('3 pr-2'!G81)</f>
        <v>Alytaus  miestas</v>
      </c>
      <c r="G79" s="212" t="str">
        <f>CONCATENATE('3 pr-2'!H81)</f>
        <v>04.5.1-TID-V-513</v>
      </c>
      <c r="H79" s="212" t="str">
        <f>CONCATENATE('3 pr-2'!I81)</f>
        <v>V</v>
      </c>
      <c r="I79" s="212" t="str">
        <f>CONCATENATE('3 pr-2'!J81)</f>
        <v>ITI</v>
      </c>
      <c r="J79" s="212"/>
      <c r="K79" s="212">
        <v>19</v>
      </c>
      <c r="L79" s="212" t="s">
        <v>373</v>
      </c>
      <c r="M79" s="212"/>
      <c r="N79" s="212"/>
      <c r="O79" s="212"/>
      <c r="P79" s="212"/>
      <c r="Q79" s="212"/>
      <c r="R79" s="212"/>
      <c r="S79" s="212"/>
      <c r="T79" s="212"/>
      <c r="U79" s="522">
        <v>1</v>
      </c>
      <c r="V79" s="918">
        <f>SUM('3 pr-2'!L81)</f>
        <v>33638</v>
      </c>
      <c r="W79" s="918">
        <f>SUM('3 pr-2'!AA81)</f>
        <v>28592.3</v>
      </c>
    </row>
    <row r="80" spans="1:24" ht="77.25" thickBot="1" x14ac:dyDescent="0.3">
      <c r="A80" s="212" t="str">
        <f>CONCATENATE('3 pr-2'!A82)</f>
        <v>1.1.2.2.3</v>
      </c>
      <c r="B80" s="212" t="str">
        <f>CONCATENATE('3 pr-2'!B82)</f>
        <v>R01-5514-191800-1223</v>
      </c>
      <c r="C80" s="1440" t="str">
        <f>CONCATENATE('3 pr-2'!D82)</f>
        <v>Intelektinių transporto sistemų diegimas Druskininkuose</v>
      </c>
      <c r="D80" s="514" t="str">
        <f>CONCATENATE('3 pr-2'!E82)</f>
        <v>Druskininkų savivaldybės administracija</v>
      </c>
      <c r="E80" s="514" t="str">
        <f>CONCATENATE('3 pr-2'!F82)</f>
        <v>Lietuvos Respublikos susisiekimo ministerija</v>
      </c>
      <c r="F80" s="514" t="str">
        <f>CONCATENATE('3 pr-2'!G82)</f>
        <v>Druskininkų  miestas</v>
      </c>
      <c r="G80" s="212" t="str">
        <f>CONCATENATE('3 pr-2'!H82)</f>
        <v>04.5.1.-TID-R-514</v>
      </c>
      <c r="H80" s="212" t="str">
        <f>CONCATENATE('3 pr-2'!I82)</f>
        <v>R</v>
      </c>
      <c r="I80" s="212" t="str">
        <f>CONCATENATE('3 pr-2'!J82)</f>
        <v>-</v>
      </c>
      <c r="J80" s="212"/>
      <c r="K80" s="212">
        <v>19</v>
      </c>
      <c r="L80" s="212" t="s">
        <v>373</v>
      </c>
      <c r="M80" s="1439">
        <v>18</v>
      </c>
      <c r="N80" s="1439" t="s">
        <v>1712</v>
      </c>
      <c r="O80" s="212"/>
      <c r="P80" s="212"/>
      <c r="Q80" s="212"/>
      <c r="R80" s="212"/>
      <c r="S80" s="212"/>
      <c r="T80" s="212"/>
      <c r="U80" s="522">
        <v>1</v>
      </c>
      <c r="V80" s="918">
        <f>SUM('3 pr-2'!L82)</f>
        <v>160836.24</v>
      </c>
      <c r="W80" s="918">
        <f>SUM('3 pr-2'!AA82)</f>
        <v>136710.79999999999</v>
      </c>
    </row>
    <row r="81" spans="1:23" ht="77.25" thickBot="1" x14ac:dyDescent="0.3">
      <c r="A81" s="212" t="str">
        <f>CONCATENATE('3 pr-2'!A83)</f>
        <v>1.1.2.2.4</v>
      </c>
      <c r="B81" s="212" t="str">
        <f>CONCATENATE('3 pr-2'!B83)</f>
        <v>R01-5514-190000-1224</v>
      </c>
      <c r="C81" s="514" t="str">
        <f>CONCATENATE('3 pr-2'!D83)</f>
        <v>Darnaus judumo plano Druskininkuose parengimas</v>
      </c>
      <c r="D81" s="514" t="str">
        <f>CONCATENATE('3 pr-2'!E83)</f>
        <v>Druskininkų savivaldybės administracija</v>
      </c>
      <c r="E81" s="514" t="str">
        <f>CONCATENATE('3 pr-2'!F83)</f>
        <v>Lietuvos Respublikos susisiekimo ministerija</v>
      </c>
      <c r="F81" s="514" t="str">
        <f>CONCATENATE('3 pr-2'!G83)</f>
        <v>Druskininkų  miestas</v>
      </c>
      <c r="G81" s="212" t="str">
        <f>CONCATENATE('3 pr-2'!H83)</f>
        <v>04.5.1-TID-V-513</v>
      </c>
      <c r="H81" s="212" t="str">
        <f>CONCATENATE('3 pr-2'!I83)</f>
        <v>V</v>
      </c>
      <c r="I81" s="212" t="str">
        <f>CONCATENATE('3 pr-2'!J83)</f>
        <v>ITI</v>
      </c>
      <c r="J81" s="212"/>
      <c r="K81" s="212">
        <v>19</v>
      </c>
      <c r="L81" s="212" t="s">
        <v>373</v>
      </c>
      <c r="M81" s="212"/>
      <c r="N81" s="212"/>
      <c r="O81" s="212"/>
      <c r="P81" s="212"/>
      <c r="Q81" s="212"/>
      <c r="R81" s="212"/>
      <c r="S81" s="212"/>
      <c r="T81" s="212"/>
      <c r="U81" s="522">
        <v>1</v>
      </c>
      <c r="V81" s="918">
        <f>SUM('3 pr-2'!L83)</f>
        <v>17000</v>
      </c>
      <c r="W81" s="918">
        <f>SUM('3 pr-2'!AA83)</f>
        <v>14450</v>
      </c>
    </row>
    <row r="82" spans="1:23" ht="77.25" thickBot="1" x14ac:dyDescent="0.3">
      <c r="A82" s="1439" t="str">
        <f>CONCATENATE('3 pr-2'!A84)</f>
        <v>1.1.2.2.5</v>
      </c>
      <c r="B82" s="1439" t="str">
        <f>CONCATENATE('3 pr-2'!B84)</f>
        <v>R01-5514-190000-1225</v>
      </c>
      <c r="C82" s="1440" t="str">
        <f>CONCATENATE('3 pr-2'!D84)</f>
        <v>Viešojo transporto organizavimo tobulinimas rekonstruojant Druskininkų miesto gatvių infrastruktūrą</v>
      </c>
      <c r="D82" s="1440" t="str">
        <f>CONCATENATE('3 pr-2'!E84)</f>
        <v>Druskininkų savivaldybės administracija</v>
      </c>
      <c r="E82" s="1440" t="str">
        <f>CONCATENATE('3 pr-2'!F84)</f>
        <v>Lietuvos Respublikos susisiekimo ministerija</v>
      </c>
      <c r="F82" s="1440" t="str">
        <f>CONCATENATE('3 pr-2'!G84)</f>
        <v>Druskininkų  miestas</v>
      </c>
      <c r="G82" s="1439" t="str">
        <f>CONCATENATE('3 pr-2'!H84)</f>
        <v>04.5.1.-TID-R-514</v>
      </c>
      <c r="H82" s="1439" t="str">
        <f>CONCATENATE('3 pr-2'!I84)</f>
        <v>R</v>
      </c>
      <c r="I82" s="1439" t="str">
        <f>CONCATENATE('3 pr-2'!J84)</f>
        <v>-</v>
      </c>
      <c r="J82" s="1439"/>
      <c r="K82" s="1439">
        <v>19</v>
      </c>
      <c r="L82" s="1439" t="s">
        <v>373</v>
      </c>
      <c r="M82" s="212"/>
      <c r="N82" s="212"/>
      <c r="O82" s="212"/>
      <c r="P82" s="212"/>
      <c r="Q82" s="212"/>
      <c r="R82" s="212"/>
      <c r="S82" s="212"/>
      <c r="T82" s="212"/>
      <c r="U82" s="522">
        <v>1</v>
      </c>
      <c r="V82" s="918">
        <f>SUM('3 pr-2'!L84)</f>
        <v>290000</v>
      </c>
      <c r="W82" s="918">
        <f>SUM('3 pr-2'!AA84)</f>
        <v>246500</v>
      </c>
    </row>
    <row r="83" spans="1:23" ht="77.25" thickBot="1" x14ac:dyDescent="0.3">
      <c r="A83" s="1439" t="str">
        <f>CONCATENATE('3 pr-2'!A85)</f>
        <v>1.1.2.2.6</v>
      </c>
      <c r="B83" s="1439" t="str">
        <f>CONCATENATE('3 pr-2'!B85)</f>
        <v>R01-5514-190000-1226</v>
      </c>
      <c r="C83" s="1440" t="str">
        <f>CONCATENATE('3 pr-2'!D85)</f>
        <v>Vandens transporto infrastruktūros įrengimas skatinant kitų rūšių transportą</v>
      </c>
      <c r="D83" s="1440" t="str">
        <f>CONCATENATE('3 pr-2'!E85)</f>
        <v>Druskininkų savivaldybės administracija</v>
      </c>
      <c r="E83" s="1440" t="str">
        <f>CONCATENATE('3 pr-2'!F85)</f>
        <v>Lietuvos Respublikos susisiekimo ministerija</v>
      </c>
      <c r="F83" s="1440" t="str">
        <f>CONCATENATE('3 pr-2'!G85)</f>
        <v>Druskininkų  miestas</v>
      </c>
      <c r="G83" s="1439" t="str">
        <f>CONCATENATE('3 pr-2'!H85)</f>
        <v>04.5.1.-TID-R-514</v>
      </c>
      <c r="H83" s="1439" t="str">
        <f>CONCATENATE('3 pr-2'!I85)</f>
        <v>R</v>
      </c>
      <c r="I83" s="1439" t="str">
        <f>CONCATENATE('3 pr-2'!J85)</f>
        <v>-</v>
      </c>
      <c r="J83" s="1439"/>
      <c r="K83" s="1439">
        <v>19</v>
      </c>
      <c r="L83" s="1439" t="s">
        <v>373</v>
      </c>
      <c r="M83" s="212"/>
      <c r="N83" s="212"/>
      <c r="O83" s="212"/>
      <c r="P83" s="212"/>
      <c r="Q83" s="212"/>
      <c r="R83" s="212"/>
      <c r="S83" s="212"/>
      <c r="T83" s="212"/>
      <c r="U83" s="522">
        <v>1</v>
      </c>
      <c r="V83" s="918">
        <f>SUM('3 pr-2'!L85)</f>
        <v>250000</v>
      </c>
      <c r="W83" s="918">
        <f>SUM('3 pr-2'!AA85)</f>
        <v>212500</v>
      </c>
    </row>
    <row r="84" spans="1:23" ht="39.75" customHeight="1" thickBot="1" x14ac:dyDescent="0.3">
      <c r="A84" s="499" t="s">
        <v>92</v>
      </c>
      <c r="B84" s="1103"/>
      <c r="C84" s="1651" t="s">
        <v>883</v>
      </c>
      <c r="D84" s="1649"/>
      <c r="E84" s="1649"/>
      <c r="F84" s="1649"/>
      <c r="G84" s="1649"/>
      <c r="H84" s="1649"/>
      <c r="I84" s="1649"/>
      <c r="J84" s="1650"/>
      <c r="K84" s="489"/>
      <c r="L84" s="490"/>
      <c r="M84" s="491"/>
      <c r="N84" s="490"/>
      <c r="O84" s="491"/>
      <c r="P84" s="490"/>
      <c r="Q84" s="491"/>
      <c r="R84" s="490"/>
      <c r="S84" s="491"/>
      <c r="T84" s="490"/>
      <c r="U84" s="934"/>
      <c r="V84" s="935">
        <f>SUM(V85:V89)</f>
        <v>510837.07</v>
      </c>
      <c r="W84" s="935">
        <f>SUM(W85:W89)</f>
        <v>415723.56</v>
      </c>
    </row>
    <row r="85" spans="1:23" ht="77.25" thickBot="1" x14ac:dyDescent="0.3">
      <c r="A85" s="212" t="str">
        <f>CONCATENATE('3 pr-2'!A87)</f>
        <v>1.1.2.3.1</v>
      </c>
      <c r="B85" s="212" t="str">
        <f>CONCATENATE('3 pr-2'!B87)</f>
        <v>R01-5516-190000-1231</v>
      </c>
      <c r="C85" s="514" t="str">
        <f>CONCATENATE('3 pr-2'!D87)</f>
        <v>Dviračių ir pėsčiųjų takų įrengimas Varėnos miesto J. Basanavičiaus ir Žiedo gatvėse</v>
      </c>
      <c r="D85" s="514" t="str">
        <f>CONCATENATE('3 pr-2'!E87)</f>
        <v>Varėnos rajono savivaldybės administracija</v>
      </c>
      <c r="E85" s="514" t="str">
        <f>CONCATENATE('3 pr-2'!F87)</f>
        <v>Lietuvos Respublikos susisiekimo ministerija</v>
      </c>
      <c r="F85" s="514" t="str">
        <f>CONCATENATE('3 pr-2'!G87)</f>
        <v>Varėnos miestas</v>
      </c>
      <c r="G85" s="212" t="str">
        <f>CONCATENATE('3 pr-2'!H87)</f>
        <v>04.5.1-TID-R-516</v>
      </c>
      <c r="H85" s="212" t="str">
        <f>CONCATENATE('3 pr-2'!I87)</f>
        <v>R</v>
      </c>
      <c r="I85" s="212" t="str">
        <f>CONCATENATE('3 pr-2'!J87)</f>
        <v>ITI</v>
      </c>
      <c r="J85" s="212" t="str">
        <f>CONCATENATE('3 pr-2'!K87)</f>
        <v>-</v>
      </c>
      <c r="K85" s="212">
        <v>19</v>
      </c>
      <c r="L85" s="212" t="s">
        <v>373</v>
      </c>
      <c r="M85" s="212"/>
      <c r="N85" s="212"/>
      <c r="O85" s="212"/>
      <c r="P85" s="212"/>
      <c r="Q85" s="212"/>
      <c r="R85" s="212"/>
      <c r="S85" s="212"/>
      <c r="T85" s="212"/>
      <c r="U85" s="522">
        <v>1</v>
      </c>
      <c r="V85" s="918">
        <f>SUM('3 pr-2'!L87)</f>
        <v>95080</v>
      </c>
      <c r="W85" s="918">
        <f>SUM('3 pr-2'!AA87)</f>
        <v>80810</v>
      </c>
    </row>
    <row r="86" spans="1:23" ht="77.25" thickBot="1" x14ac:dyDescent="0.3">
      <c r="A86" s="520" t="str">
        <f>CONCATENATE('3 pr-2'!A88)</f>
        <v>1.1.2.3.2</v>
      </c>
      <c r="B86" s="212" t="str">
        <f>CONCATENATE('3 pr-2'!B88)</f>
        <v>R01-5516-190000-1232</v>
      </c>
      <c r="C86" s="936" t="str">
        <f>CONCATENATE('3 pr-2'!D88)</f>
        <v>Dviračių trasų infrastruktūros įrengimas nuo Putinų g. žiedo Pramonės gatvėje, Alytaus mieste</v>
      </c>
      <c r="D86" s="936" t="str">
        <f>CONCATENATE('3 pr-2'!E88)</f>
        <v>Alytaus miesto savivaldybės administracija</v>
      </c>
      <c r="E86" s="936" t="str">
        <f>CONCATENATE('3 pr-2'!F88)</f>
        <v>Lietuvos Respublikos susisiekimo ministerija</v>
      </c>
      <c r="F86" s="936" t="str">
        <f>CONCATENATE('3 pr-2'!G88)</f>
        <v>Alytaus  miestas</v>
      </c>
      <c r="G86" s="520" t="str">
        <f>CONCATENATE('3 pr-2'!H88)</f>
        <v>04.5.1-TID-R-516</v>
      </c>
      <c r="H86" s="520" t="str">
        <f>CONCATENATE('3 pr-2'!I88)</f>
        <v>R</v>
      </c>
      <c r="I86" s="520" t="str">
        <f>CONCATENATE('3 pr-2'!J88)</f>
        <v>ITI</v>
      </c>
      <c r="J86" s="520" t="str">
        <f>CONCATENATE('3 pr-2'!K88)</f>
        <v>-</v>
      </c>
      <c r="K86" s="520">
        <v>19</v>
      </c>
      <c r="L86" s="520" t="s">
        <v>373</v>
      </c>
      <c r="M86" s="520"/>
      <c r="N86" s="520"/>
      <c r="O86" s="520"/>
      <c r="P86" s="520"/>
      <c r="Q86" s="520"/>
      <c r="R86" s="520"/>
      <c r="S86" s="520"/>
      <c r="T86" s="520"/>
      <c r="U86" s="937">
        <v>1</v>
      </c>
      <c r="V86" s="938">
        <f>SUM('3 pr-2'!L88)</f>
        <v>133670.07</v>
      </c>
      <c r="W86" s="938">
        <f>SUM('3 pr-2'!AA88)</f>
        <v>113619.56</v>
      </c>
    </row>
    <row r="87" spans="1:23" s="939" customFormat="1" ht="77.25" thickBot="1" x14ac:dyDescent="0.3">
      <c r="A87" s="521" t="str">
        <f>CONCATENATE('3 pr-2'!A89)</f>
        <v>1.1.2.3.3</v>
      </c>
      <c r="B87" s="212" t="str">
        <f>CONCATENATE('3 pr-2'!B89)</f>
        <v>R01-5516-190000-1233</v>
      </c>
      <c r="C87" s="936" t="str">
        <f>CONCATENATE('3 pr-2'!D89)</f>
        <v>Dviračių ir pėsčiųjų takų plėtra Lazdijų miesto Turistų gatvėje iki sodų bendrijos „Baltasis“ Lazdijų seniūnijoje</v>
      </c>
      <c r="D87" s="936" t="str">
        <f>CONCATENATE('3 pr-2'!E89)</f>
        <v>Lazdijų rajono savivaldybės administracija</v>
      </c>
      <c r="E87" s="936" t="str">
        <f>CONCATENATE('3 pr-2'!F89)</f>
        <v>Lietuvos Respublikos susisiekimo ministerija</v>
      </c>
      <c r="F87" s="936" t="str">
        <f>CONCATENATE('3 pr-2'!G89)</f>
        <v>Lazdijų miestas</v>
      </c>
      <c r="G87" s="520" t="str">
        <f>CONCATENATE('3 pr-2'!H89)</f>
        <v>04.5.1-TID-R-516</v>
      </c>
      <c r="H87" s="520" t="str">
        <f>CONCATENATE('3 pr-2'!I89)</f>
        <v>R</v>
      </c>
      <c r="I87" s="520" t="str">
        <f>CONCATENATE('3 pr-2'!J89)</f>
        <v>ITI</v>
      </c>
      <c r="J87" s="520" t="str">
        <f>CONCATENATE('3 pr-2'!K89)</f>
        <v>-</v>
      </c>
      <c r="K87" s="520">
        <v>19</v>
      </c>
      <c r="L87" s="520" t="s">
        <v>376</v>
      </c>
      <c r="M87" s="520"/>
      <c r="N87" s="520"/>
      <c r="O87" s="520"/>
      <c r="P87" s="520"/>
      <c r="Q87" s="520"/>
      <c r="R87" s="520"/>
      <c r="S87" s="520"/>
      <c r="T87" s="520"/>
      <c r="U87" s="918">
        <v>1</v>
      </c>
      <c r="V87" s="918">
        <f>SUM('3 pr-2'!L89)</f>
        <v>100658</v>
      </c>
      <c r="W87" s="918">
        <f>SUM('3 pr-2'!AA89)</f>
        <v>73501</v>
      </c>
    </row>
    <row r="88" spans="1:23" s="939" customFormat="1" ht="39" thickBot="1" x14ac:dyDescent="0.3">
      <c r="A88" s="517" t="str">
        <f>CONCATENATE('3 pr-2'!A90)</f>
        <v>1.1.2.3.4</v>
      </c>
      <c r="B88" s="212" t="str">
        <f>CONCATENATE('3 pr-2'!B90)</f>
        <v>R01-5516-410000-1234</v>
      </c>
      <c r="C88" s="514" t="str">
        <f>CONCATENATE('3 pr-2'!D90)</f>
        <v>Pėsčiųjų ir dviračių takų plėtra Simno seniūnijoje</v>
      </c>
      <c r="D88" s="514" t="str">
        <f>CONCATENATE('3 pr-2'!E90)</f>
        <v>Alytaus rajono savivaldybės administracija</v>
      </c>
      <c r="E88" s="514" t="str">
        <f>CONCATENATE('3 pr-2'!F90)</f>
        <v>Lietuvos Respublikos susisiekimo ministerija</v>
      </c>
      <c r="F88" s="514" t="str">
        <f>CONCATENATE('3 pr-2'!G90)</f>
        <v>Alytaus rajonas</v>
      </c>
      <c r="G88" s="212" t="str">
        <f>CONCATENATE('3 pr-2'!H90)</f>
        <v>04.5.1-TID-R-516</v>
      </c>
      <c r="H88" s="212" t="str">
        <f>CONCATENATE('3 pr-2'!I90)</f>
        <v>R</v>
      </c>
      <c r="I88" s="212" t="str">
        <f>CONCATENATE('3 pr-2'!J90)</f>
        <v>-</v>
      </c>
      <c r="J88" s="212" t="str">
        <f>CONCATENATE('3 pr-2'!K90)</f>
        <v>-</v>
      </c>
      <c r="K88" s="212">
        <v>41</v>
      </c>
      <c r="L88" s="212" t="s">
        <v>377</v>
      </c>
      <c r="M88" s="212"/>
      <c r="N88" s="212"/>
      <c r="O88" s="212"/>
      <c r="P88" s="212"/>
      <c r="Q88" s="212"/>
      <c r="R88" s="212"/>
      <c r="S88" s="212"/>
      <c r="T88" s="212"/>
      <c r="U88" s="940">
        <v>1</v>
      </c>
      <c r="V88" s="941">
        <f>SUM('3 pr-2'!L90)</f>
        <v>110340</v>
      </c>
      <c r="W88" s="941">
        <f>SUM('3 pr-2'!AA90)</f>
        <v>91170</v>
      </c>
    </row>
    <row r="89" spans="1:23" s="939" customFormat="1" ht="77.25" thickBot="1" x14ac:dyDescent="0.3">
      <c r="A89" s="212" t="str">
        <f>CONCATENATE('3 pr-2'!A91)</f>
        <v>1.1.2.3.5</v>
      </c>
      <c r="B89" s="212" t="str">
        <f>CONCATENATE('3 pr-2'!B91)</f>
        <v>R01-5516-190000-1235</v>
      </c>
      <c r="C89" s="514" t="str">
        <f>CONCATENATE('3 pr-2'!D91)</f>
        <v>Dviračių ir pėsčiųjų tako, esančio šalia Ratnyčios upelio, Druskininkų mieste, rekonstrukcija</v>
      </c>
      <c r="D89" s="514" t="str">
        <f>CONCATENATE('3 pr-2'!E91)</f>
        <v xml:space="preserve">Druskininkų savivaldybės administracija  </v>
      </c>
      <c r="E89" s="514" t="str">
        <f>CONCATENATE('3 pr-2'!F91)</f>
        <v>Lietuvos Respublikos susisiekimo ministerija</v>
      </c>
      <c r="F89" s="514" t="str">
        <f>CONCATENATE('3 pr-2'!G91)</f>
        <v>Druskininkų miestas</v>
      </c>
      <c r="G89" s="212" t="str">
        <f>CONCATENATE('3 pr-2'!H91)</f>
        <v>04.5.1-TID-R-516</v>
      </c>
      <c r="H89" s="212" t="str">
        <f>CONCATENATE('3 pr-2'!I91)</f>
        <v>R</v>
      </c>
      <c r="I89" s="212" t="str">
        <f>CONCATENATE('3 pr-2'!J91)</f>
        <v>-</v>
      </c>
      <c r="J89" s="212" t="str">
        <f>CONCATENATE('3 pr-2'!K91)</f>
        <v>-</v>
      </c>
      <c r="K89" s="212">
        <v>19</v>
      </c>
      <c r="L89" s="212" t="s">
        <v>376</v>
      </c>
      <c r="M89" s="212"/>
      <c r="N89" s="212"/>
      <c r="O89" s="212"/>
      <c r="P89" s="212"/>
      <c r="Q89" s="212"/>
      <c r="R89" s="212"/>
      <c r="S89" s="212"/>
      <c r="T89" s="212"/>
      <c r="U89" s="522">
        <v>1</v>
      </c>
      <c r="V89" s="918">
        <f>SUM('3 pr-2'!L91)</f>
        <v>71089</v>
      </c>
      <c r="W89" s="918">
        <f>SUM('3 pr-2'!AA91)</f>
        <v>56623</v>
      </c>
    </row>
    <row r="90" spans="1:23" ht="37.5" customHeight="1" thickBot="1" x14ac:dyDescent="0.3">
      <c r="A90" s="942" t="s">
        <v>94</v>
      </c>
      <c r="B90" s="212" t="str">
        <f>CONCATENATE('3 pr-2'!B92)</f>
        <v>Priemonė:
Vietinių kelių techninių parametrų ir eismo saugos gerinimas</v>
      </c>
      <c r="C90" s="1656" t="s">
        <v>656</v>
      </c>
      <c r="D90" s="1662"/>
      <c r="E90" s="1662"/>
      <c r="F90" s="1662"/>
      <c r="G90" s="1662"/>
      <c r="H90" s="1662"/>
      <c r="I90" s="1662"/>
      <c r="J90" s="1662"/>
      <c r="K90" s="492"/>
      <c r="L90" s="493"/>
      <c r="M90" s="494"/>
      <c r="N90" s="495"/>
      <c r="O90" s="494"/>
      <c r="P90" s="495"/>
      <c r="Q90" s="494"/>
      <c r="R90" s="495"/>
      <c r="S90" s="494"/>
      <c r="T90" s="495"/>
      <c r="U90" s="943"/>
      <c r="V90" s="944">
        <f>SUM(V91:V96)</f>
        <v>4285998.9000000004</v>
      </c>
      <c r="W90" s="945">
        <f>SUM(W91:W96)</f>
        <v>2939818</v>
      </c>
    </row>
    <row r="91" spans="1:23" ht="39" thickBot="1" x14ac:dyDescent="0.3">
      <c r="A91" s="212" t="str">
        <f>CONCATENATE('3 pr-2'!A93)</f>
        <v>1.1.2.4.1</v>
      </c>
      <c r="B91" s="212" t="str">
        <f>CONCATENATE('3 pr-2'!B93)</f>
        <v>R01-5511-120000-1241</v>
      </c>
      <c r="C91" s="514" t="str">
        <f>CONCATENATE('3 pr-2'!D93)</f>
        <v>Varėnos miesto J. Basanavičiaus, Savanorių ir M. K. Čiurlionio gatvių rekonstrukcija</v>
      </c>
      <c r="D91" s="514" t="str">
        <f>CONCATENATE('3 pr-2'!E93)</f>
        <v>Varėnos rajono savivaldybės administracija</v>
      </c>
      <c r="E91" s="514" t="str">
        <f>CONCATENATE('3 pr-2'!F93)</f>
        <v>Lietuvos Respublikos susisiekimo ministerija</v>
      </c>
      <c r="F91" s="514" t="str">
        <f>CONCATENATE('3 pr-2'!G93)</f>
        <v>Varėnos miestas</v>
      </c>
      <c r="G91" s="212" t="str">
        <f>CONCATENATE('3 pr-2'!H93)</f>
        <v>06.2.1-TID-R-511</v>
      </c>
      <c r="H91" s="212" t="str">
        <f>CONCATENATE('3 pr-2'!I93)</f>
        <v>R</v>
      </c>
      <c r="I91" s="212" t="str">
        <f>CONCATENATE('3 pr-2'!J93)</f>
        <v>ITI</v>
      </c>
      <c r="J91" s="212" t="str">
        <f>CONCATENATE('3 pr-2'!K93)</f>
        <v>-</v>
      </c>
      <c r="K91" s="212">
        <v>12</v>
      </c>
      <c r="L91" s="212" t="s">
        <v>374</v>
      </c>
      <c r="M91" s="212"/>
      <c r="N91" s="212"/>
      <c r="O91" s="212"/>
      <c r="P91" s="212"/>
      <c r="Q91" s="212"/>
      <c r="R91" s="212"/>
      <c r="S91" s="212"/>
      <c r="T91" s="212"/>
      <c r="U91" s="522">
        <v>1</v>
      </c>
      <c r="V91" s="918">
        <f>SUM('3 pr-2'!L93)</f>
        <v>835464</v>
      </c>
      <c r="W91" s="918">
        <f>SUM('3 pr-2'!AA93)</f>
        <v>710144</v>
      </c>
    </row>
    <row r="92" spans="1:23" ht="39" thickBot="1" x14ac:dyDescent="0.3">
      <c r="A92" s="212" t="str">
        <f>CONCATENATE('3 pr-2'!A94)</f>
        <v>1.1.2.4.2</v>
      </c>
      <c r="B92" s="212" t="str">
        <f>CONCATENATE('3 pr-2'!B94)</f>
        <v>R01-5511-110000-1242</v>
      </c>
      <c r="C92" s="514" t="str">
        <f>CONCATENATE('3 pr-2'!D94)</f>
        <v>Perspektyvinės gatvės nuo Pramonės  g. iki Naujosios g. Alytuje įrengimas</v>
      </c>
      <c r="D92" s="514" t="str">
        <f>CONCATENATE('3 pr-2'!E94)</f>
        <v>Alytaus miesto savivaldybės administracija</v>
      </c>
      <c r="E92" s="514" t="str">
        <f>CONCATENATE('3 pr-2'!F94)</f>
        <v>Lietuvos Respublikos susisiekimo ministerija</v>
      </c>
      <c r="F92" s="514" t="str">
        <f>CONCATENATE('3 pr-2'!G94)</f>
        <v>Alytaus  miestas</v>
      </c>
      <c r="G92" s="212" t="str">
        <f>CONCATENATE('3 pr-2'!H94)</f>
        <v>06.2.1-TID-R-511</v>
      </c>
      <c r="H92" s="212" t="str">
        <f>CONCATENATE('3 pr-2'!I94)</f>
        <v>R</v>
      </c>
      <c r="I92" s="212" t="str">
        <f>CONCATENATE('3 pr-2'!J94)</f>
        <v>ITI</v>
      </c>
      <c r="J92" s="212" t="str">
        <f>CONCATENATE('3 pr-2'!K94)</f>
        <v>-</v>
      </c>
      <c r="K92" s="212">
        <v>11</v>
      </c>
      <c r="L92" s="212" t="s">
        <v>378</v>
      </c>
      <c r="M92" s="212"/>
      <c r="N92" s="212"/>
      <c r="O92" s="212"/>
      <c r="P92" s="212"/>
      <c r="Q92" s="212"/>
      <c r="R92" s="212"/>
      <c r="S92" s="212"/>
      <c r="T92" s="212"/>
      <c r="U92" s="522">
        <v>1</v>
      </c>
      <c r="V92" s="918">
        <f>SUM('3 pr-2'!L94)</f>
        <v>879927.06</v>
      </c>
      <c r="W92" s="918">
        <f>SUM('3 pr-2'!AA94)</f>
        <v>747938</v>
      </c>
    </row>
    <row r="93" spans="1:23" ht="39" thickBot="1" x14ac:dyDescent="0.3">
      <c r="A93" s="212" t="str">
        <f>CONCATENATE('3 pr-2'!A95)</f>
        <v>1.1.2.4.3.</v>
      </c>
      <c r="B93" s="212" t="str">
        <f>CONCATENATE('3 pr-2'!B95)</f>
        <v>R01-5511-500000-1243</v>
      </c>
      <c r="C93" s="514" t="str">
        <f>CONCATENATE('3 pr-2'!D95)</f>
        <v>Saugaus eismo priemonių diegimas, Alytuje</v>
      </c>
      <c r="D93" s="514" t="str">
        <f>CONCATENATE('3 pr-2'!E95)</f>
        <v>Alytaus miesto savivaldybės administracija</v>
      </c>
      <c r="E93" s="514" t="str">
        <f>CONCATENATE('3 pr-2'!F95)</f>
        <v>Lietuvos Respublikos susisiekimo ministerija</v>
      </c>
      <c r="F93" s="514" t="str">
        <f>CONCATENATE('3 pr-2'!G95)</f>
        <v>Alytaus  miestas</v>
      </c>
      <c r="G93" s="212" t="str">
        <f>CONCATENATE('3 pr-2'!H95)</f>
        <v>06.2.1-TID-R-511</v>
      </c>
      <c r="H93" s="212" t="str">
        <f>CONCATENATE('3 pr-2'!I95)</f>
        <v>R</v>
      </c>
      <c r="I93" s="212" t="str">
        <f>CONCATENATE('3 pr-2'!J95)</f>
        <v>-</v>
      </c>
      <c r="J93" s="212" t="str">
        <f>CONCATENATE('3 pr-2'!K95)</f>
        <v>-</v>
      </c>
      <c r="K93" s="212">
        <v>50</v>
      </c>
      <c r="L93" s="212" t="s">
        <v>379</v>
      </c>
      <c r="M93" s="212"/>
      <c r="N93" s="212"/>
      <c r="O93" s="212"/>
      <c r="P93" s="212"/>
      <c r="Q93" s="212"/>
      <c r="R93" s="212"/>
      <c r="S93" s="212"/>
      <c r="T93" s="212"/>
      <c r="U93" s="522">
        <v>1</v>
      </c>
      <c r="V93" s="918">
        <f>SUM('3 pr-2'!L95)</f>
        <v>315614.59999999998</v>
      </c>
      <c r="W93" s="918">
        <f>SUM('3 pr-2'!AA95)</f>
        <v>250299</v>
      </c>
    </row>
    <row r="94" spans="1:23" ht="39" thickBot="1" x14ac:dyDescent="0.3">
      <c r="A94" s="212" t="str">
        <f>CONCATENATE('3 pr-2'!A96)</f>
        <v>1.1.2.4.4</v>
      </c>
      <c r="B94" s="212" t="str">
        <f>CONCATENATE('3 pr-2'!B96)</f>
        <v>R01-5511-500000-1244</v>
      </c>
      <c r="C94" s="514" t="str">
        <f>CONCATENATE('3 pr-2'!D96)</f>
        <v>Eismo saugos priemonių diegimas Alytaus rajone</v>
      </c>
      <c r="D94" s="514" t="str">
        <f>CONCATENATE('3 pr-2'!E96)</f>
        <v>Alytaus rajono savivaldybės administracija</v>
      </c>
      <c r="E94" s="514" t="str">
        <f>CONCATENATE('3 pr-2'!F96)</f>
        <v>Lietuvos Respublikos susisiekimo ministerija</v>
      </c>
      <c r="F94" s="514" t="str">
        <f>CONCATENATE('3 pr-2'!G96)</f>
        <v>Alytaus  rajono savivaldybė</v>
      </c>
      <c r="G94" s="212" t="str">
        <f>CONCATENATE('3 pr-2'!H96)</f>
        <v>06.2.1-TID-R-511</v>
      </c>
      <c r="H94" s="212" t="str">
        <f>CONCATENATE('3 pr-2'!I96)</f>
        <v>R</v>
      </c>
      <c r="I94" s="212" t="str">
        <f>CONCATENATE('3 pr-2'!J96)</f>
        <v>-</v>
      </c>
      <c r="J94" s="212" t="str">
        <f>CONCATENATE('3 pr-2'!K96)</f>
        <v>-</v>
      </c>
      <c r="K94" s="212">
        <v>50</v>
      </c>
      <c r="L94" s="212" t="s">
        <v>379</v>
      </c>
      <c r="M94" s="212"/>
      <c r="N94" s="212"/>
      <c r="O94" s="212"/>
      <c r="P94" s="212"/>
      <c r="Q94" s="212"/>
      <c r="R94" s="212"/>
      <c r="S94" s="212"/>
      <c r="T94" s="212"/>
      <c r="U94" s="522">
        <v>1</v>
      </c>
      <c r="V94" s="918">
        <f>SUM('3 pr-2'!L96)</f>
        <v>236915</v>
      </c>
      <c r="W94" s="918">
        <f>SUM('3 pr-2'!AA96)</f>
        <v>200844</v>
      </c>
    </row>
    <row r="95" spans="1:23" ht="39" thickBot="1" x14ac:dyDescent="0.3">
      <c r="A95" s="212" t="str">
        <f>CONCATENATE('3 pr-2'!A97)</f>
        <v>1.1.2.4.5</v>
      </c>
      <c r="B95" s="212" t="str">
        <f>CONCATENATE('3 pr-2'!B97)</f>
        <v>R01-5511-120900-1245</v>
      </c>
      <c r="C95" s="514" t="str">
        <f>CONCATENATE('3 pr-2'!D97)</f>
        <v>M. K. Čiurlionio gatvės atkarpos Druskininkų m. rekonstrukcija</v>
      </c>
      <c r="D95" s="514" t="str">
        <f>CONCATENATE('3 pr-2'!E97)</f>
        <v xml:space="preserve">Druskininkų savivaldybės administracija  </v>
      </c>
      <c r="E95" s="514" t="str">
        <f>CONCATENATE('3 pr-2'!F97)</f>
        <v>Lietuvos Respublikos susisiekimo ministerija</v>
      </c>
      <c r="F95" s="514" t="str">
        <f>CONCATENATE('3 pr-2'!G97)</f>
        <v>Druskininkų miestas</v>
      </c>
      <c r="G95" s="212" t="str">
        <f>CONCATENATE('3 pr-2'!H97)</f>
        <v>06.2.1-TID-R-511</v>
      </c>
      <c r="H95" s="212" t="str">
        <f>CONCATENATE('3 pr-2'!I97)</f>
        <v>R</v>
      </c>
      <c r="I95" s="212" t="str">
        <f>CONCATENATE('3 pr-2'!J97)</f>
        <v>-</v>
      </c>
      <c r="J95" s="212" t="str">
        <f>CONCATENATE('3 pr-2'!K97)</f>
        <v>-</v>
      </c>
      <c r="K95" s="212">
        <v>12</v>
      </c>
      <c r="L95" s="212" t="s">
        <v>374</v>
      </c>
      <c r="M95" s="212">
        <v>9</v>
      </c>
      <c r="N95" s="212" t="s">
        <v>375</v>
      </c>
      <c r="O95" s="212"/>
      <c r="P95" s="212"/>
      <c r="Q95" s="212"/>
      <c r="R95" s="212"/>
      <c r="S95" s="212"/>
      <c r="T95" s="212"/>
      <c r="U95" s="522">
        <v>1</v>
      </c>
      <c r="V95" s="918">
        <f>SUM('3 pr-2'!L97)</f>
        <v>1258144.24</v>
      </c>
      <c r="W95" s="918">
        <f>SUM('3 pr-2'!AA97)</f>
        <v>384649</v>
      </c>
    </row>
    <row r="96" spans="1:23" ht="51.75" thickBot="1" x14ac:dyDescent="0.3">
      <c r="A96" s="212" t="str">
        <f>CONCATENATE('3 pr-2'!A98)</f>
        <v>1.1.2.4.6</v>
      </c>
      <c r="B96" s="212" t="str">
        <f>CONCATENATE('3 pr-2'!B98)</f>
        <v>R01-5511-120000-1246</v>
      </c>
      <c r="C96" s="514" t="str">
        <f>CONCATENATE('3 pr-2'!D98)</f>
        <v>Lazdijų miesto Seinų ir Lazdijos gatvių bei vietinės reikšmės kelio nuo Janonio gatvės iki Lazdijų hipodromo rekonstravimas</v>
      </c>
      <c r="D96" s="514" t="str">
        <f>CONCATENATE('3 pr-2'!E98)</f>
        <v>Lazdijų rajono savivaldybės administracija</v>
      </c>
      <c r="E96" s="514" t="str">
        <f>CONCATENATE('3 pr-2'!F98)</f>
        <v>Lietuvos Respublikos susisiekimo ministerija</v>
      </c>
      <c r="F96" s="514" t="str">
        <f>CONCATENATE('3 pr-2'!G98)</f>
        <v>Lazdijų miestas</v>
      </c>
      <c r="G96" s="212" t="str">
        <f>CONCATENATE('3 pr-2'!H98)</f>
        <v>06.2.1-TID-R-511</v>
      </c>
      <c r="H96" s="212" t="str">
        <f>CONCATENATE('3 pr-2'!I98)</f>
        <v>R</v>
      </c>
      <c r="I96" s="212" t="str">
        <f>CONCATENATE('3 pr-2'!J98)</f>
        <v>ITI</v>
      </c>
      <c r="J96" s="212" t="str">
        <f>CONCATENATE('3 pr-2'!K98)</f>
        <v>-</v>
      </c>
      <c r="K96" s="212">
        <v>12</v>
      </c>
      <c r="L96" s="212" t="s">
        <v>375</v>
      </c>
      <c r="M96" s="212"/>
      <c r="N96" s="212"/>
      <c r="O96" s="212"/>
      <c r="P96" s="212"/>
      <c r="Q96" s="212"/>
      <c r="R96" s="212"/>
      <c r="S96" s="212"/>
      <c r="T96" s="212"/>
      <c r="U96" s="522">
        <v>1</v>
      </c>
      <c r="V96" s="918">
        <f>SUM('3 pr-2'!L98)</f>
        <v>759934</v>
      </c>
      <c r="W96" s="918">
        <f>SUM('3 pr-2'!AA98)</f>
        <v>645944</v>
      </c>
    </row>
    <row r="97" spans="1:23" ht="39" thickBot="1" x14ac:dyDescent="0.3">
      <c r="A97" s="212" t="str">
        <f>CONCATENATE('3 pr-2'!A99)</f>
        <v>1.1.2.4.7</v>
      </c>
      <c r="B97" s="212" t="str">
        <f>CONCATENATE('3 pr-2'!B99)</f>
        <v>R01-5511-120000-1247</v>
      </c>
      <c r="C97" s="514" t="str">
        <f>CONCATENATE('3 pr-2'!D99)</f>
        <v>Eismo saugumo priemonių diegimas Druskininkų savivaldybėje</v>
      </c>
      <c r="D97" s="514" t="str">
        <f>CONCATENATE('3 pr-2'!E99)</f>
        <v xml:space="preserve">Druskininkų savivaldybės administracija  </v>
      </c>
      <c r="E97" s="514" t="str">
        <f>CONCATENATE('3 pr-2'!F99)</f>
        <v>Lietuvos Respublikos susisiekimo ministerija</v>
      </c>
      <c r="F97" s="514" t="str">
        <f>CONCATENATE('3 pr-2'!G99)</f>
        <v>Druskininkų miestas</v>
      </c>
      <c r="G97" s="212" t="str">
        <f>CONCATENATE('3 pr-2'!H99)</f>
        <v>06.2.1-TID-R-511</v>
      </c>
      <c r="H97" s="212" t="str">
        <f>CONCATENATE('3 pr-2'!I99)</f>
        <v>R</v>
      </c>
      <c r="I97" s="212" t="str">
        <f>CONCATENATE('3 pr-2'!J99)</f>
        <v>-</v>
      </c>
      <c r="J97" s="212" t="str">
        <f>CONCATENATE('3 pr-2'!K99)</f>
        <v>-</v>
      </c>
      <c r="K97" s="212">
        <v>50</v>
      </c>
      <c r="L97" s="212" t="s">
        <v>379</v>
      </c>
      <c r="M97" s="212"/>
      <c r="N97" s="581"/>
      <c r="O97" s="212"/>
      <c r="P97" s="581"/>
      <c r="Q97" s="212"/>
      <c r="R97" s="581"/>
      <c r="S97" s="212"/>
      <c r="T97" s="581"/>
      <c r="U97" s="522">
        <v>1</v>
      </c>
      <c r="V97" s="918">
        <f>SUM('3 pr-2'!L99)</f>
        <v>135352</v>
      </c>
      <c r="W97" s="918">
        <f>SUM('3 pr-2'!AA99)</f>
        <v>112989</v>
      </c>
    </row>
    <row r="98" spans="1:23" ht="49.5" customHeight="1" thickBot="1" x14ac:dyDescent="0.3">
      <c r="A98" s="224" t="s">
        <v>27</v>
      </c>
      <c r="B98" s="1107"/>
      <c r="C98" s="1663" t="str">
        <f>CONCATENATE('3 pr-2'!D100)</f>
        <v/>
      </c>
      <c r="D98" s="1664"/>
      <c r="E98" s="1664"/>
      <c r="F98" s="1664"/>
      <c r="G98" s="1664"/>
      <c r="H98" s="1664"/>
      <c r="I98" s="1664"/>
      <c r="J98" s="1665"/>
      <c r="K98" s="904"/>
      <c r="L98" s="946"/>
      <c r="M98" s="907"/>
      <c r="N98" s="946"/>
      <c r="O98" s="907"/>
      <c r="P98" s="946"/>
      <c r="Q98" s="907"/>
      <c r="R98" s="946"/>
      <c r="S98" s="907"/>
      <c r="T98" s="907"/>
      <c r="U98" s="946"/>
      <c r="V98" s="947"/>
      <c r="W98" s="947"/>
    </row>
    <row r="99" spans="1:23" ht="61.5" customHeight="1" thickBot="1" x14ac:dyDescent="0.3">
      <c r="A99" s="216" t="s">
        <v>28</v>
      </c>
      <c r="B99" s="1106"/>
      <c r="C99" s="1653" t="s">
        <v>658</v>
      </c>
      <c r="D99" s="1666"/>
      <c r="E99" s="1666"/>
      <c r="F99" s="1666"/>
      <c r="G99" s="1666"/>
      <c r="H99" s="1666"/>
      <c r="I99" s="1666"/>
      <c r="J99" s="1667"/>
      <c r="K99" s="908"/>
      <c r="L99" s="948"/>
      <c r="M99" s="911"/>
      <c r="N99" s="948"/>
      <c r="O99" s="911"/>
      <c r="P99" s="948"/>
      <c r="Q99" s="949"/>
      <c r="R99" s="948"/>
      <c r="S99" s="949"/>
      <c r="T99" s="911"/>
      <c r="U99" s="948"/>
      <c r="V99" s="950"/>
      <c r="W99" s="951"/>
    </row>
    <row r="100" spans="1:23" ht="41.25" customHeight="1" thickBot="1" x14ac:dyDescent="0.3">
      <c r="A100" s="499" t="s">
        <v>96</v>
      </c>
      <c r="B100" s="1103"/>
      <c r="C100" s="1651" t="s">
        <v>882</v>
      </c>
      <c r="D100" s="1649"/>
      <c r="E100" s="1649"/>
      <c r="F100" s="1649"/>
      <c r="G100" s="1649"/>
      <c r="H100" s="1649"/>
      <c r="I100" s="1649"/>
      <c r="J100" s="1649"/>
      <c r="K100" s="492"/>
      <c r="L100" s="493"/>
      <c r="M100" s="494"/>
      <c r="N100" s="495"/>
      <c r="O100" s="494"/>
      <c r="P100" s="495"/>
      <c r="Q100" s="494"/>
      <c r="R100" s="495"/>
      <c r="S100" s="494"/>
      <c r="T100" s="495"/>
      <c r="U100" s="943"/>
      <c r="V100" s="944">
        <f>SUM(V101:V105)</f>
        <v>1343974.82</v>
      </c>
      <c r="W100" s="945">
        <f>SUM(W101:W105)</f>
        <v>1142377</v>
      </c>
    </row>
    <row r="101" spans="1:23" ht="64.5" thickBot="1" x14ac:dyDescent="0.3">
      <c r="A101" s="212" t="str">
        <f>CONCATENATE('3 pr-2'!A103)</f>
        <v>2.1.1.1.1</v>
      </c>
      <c r="B101" s="212" t="str">
        <f>CONCATENATE('3 pr-2'!B103)</f>
        <v>R01-7724-220000-2111</v>
      </c>
      <c r="C101" s="514" t="str">
        <f>CONCATENATE('3 pr-2'!D103)</f>
        <v>Varėnos r. Merkinės Vinco Krėvės gimnazijos laisvų patalpų pritaikymas ikimokyklinio ir priešmokyklinio ugdymo grupėms įrengti</v>
      </c>
      <c r="D101" s="514" t="str">
        <f>CONCATENATE('3 pr-2'!E103)</f>
        <v>Varėnos rajono savivaldybės administracija</v>
      </c>
      <c r="E101" s="514" t="str">
        <f>CONCATENATE('3 pr-2'!F103)</f>
        <v>Lietuvos Respublikos švietimo ir mokslo ministerija</v>
      </c>
      <c r="F101" s="514" t="str">
        <f>CONCATENATE('3 pr-2'!G103)</f>
        <v>Varėnos miestas</v>
      </c>
      <c r="G101" s="212" t="str">
        <f>CONCATENATE('3 pr-2'!H103)</f>
        <v>09.1.3-CPVA-R-724</v>
      </c>
      <c r="H101" s="212" t="str">
        <f>CONCATENATE('3 pr-2'!I103)</f>
        <v>R</v>
      </c>
      <c r="I101" s="212" t="str">
        <f>CONCATENATE('3 pr-2'!J103)</f>
        <v>-</v>
      </c>
      <c r="J101" s="212" t="str">
        <f>CONCATENATE('3 pr-2'!K103)</f>
        <v>-</v>
      </c>
      <c r="K101" s="212">
        <v>22</v>
      </c>
      <c r="L101" s="212" t="s">
        <v>380</v>
      </c>
      <c r="M101" s="212"/>
      <c r="N101" s="212"/>
      <c r="O101" s="212"/>
      <c r="P101" s="212"/>
      <c r="Q101" s="212"/>
      <c r="R101" s="212"/>
      <c r="S101" s="212"/>
      <c r="T101" s="212"/>
      <c r="U101" s="522">
        <v>1</v>
      </c>
      <c r="V101" s="918">
        <f>SUM('3 pr-2'!L103)</f>
        <v>220453</v>
      </c>
      <c r="W101" s="918">
        <f>SUM('3 pr-2'!AA103)</f>
        <v>187385</v>
      </c>
    </row>
    <row r="102" spans="1:23" ht="51.75" thickBot="1" x14ac:dyDescent="0.3">
      <c r="A102" s="212" t="str">
        <f>CONCATENATE('3 pr-2'!A104)</f>
        <v>2.1.1.1.2</v>
      </c>
      <c r="B102" s="212" t="str">
        <f>CONCATENATE('3 pr-2'!B104)</f>
        <v>R01-7724-220000-2112</v>
      </c>
      <c r="C102" s="514" t="str">
        <f>CONCATENATE('3 pr-2'!D104)</f>
        <v>Alytaus rajono bendrojo ugdymo įstaigų aprūpinimas gamtos, technologijų, menų ir kitų mokslų laboratorijų įranga</v>
      </c>
      <c r="D102" s="514" t="str">
        <f>CONCATENATE('3 pr-2'!E104)</f>
        <v>Alytaus rajono savivaldybės administracija</v>
      </c>
      <c r="E102" s="514" t="str">
        <f>CONCATENATE('3 pr-2'!F104)</f>
        <v>Lietuvos Respublikos švietimo ir mokslo ministerija</v>
      </c>
      <c r="F102" s="514" t="str">
        <f>CONCATENATE('3 pr-2'!G104)</f>
        <v>Alytaus  rajono savivaldybė</v>
      </c>
      <c r="G102" s="212" t="str">
        <f>CONCATENATE('3 pr-2'!H104)</f>
        <v>09.1.3-CPVA-R-724</v>
      </c>
      <c r="H102" s="212" t="str">
        <f>CONCATENATE('3 pr-2'!I104)</f>
        <v>R</v>
      </c>
      <c r="I102" s="212" t="str">
        <f>CONCATENATE('3 pr-2'!J104)</f>
        <v>-</v>
      </c>
      <c r="J102" s="212" t="str">
        <f>CONCATENATE('3 pr-2'!K104)</f>
        <v>-</v>
      </c>
      <c r="K102" s="212">
        <v>22</v>
      </c>
      <c r="L102" s="212" t="s">
        <v>380</v>
      </c>
      <c r="M102" s="212"/>
      <c r="N102" s="212"/>
      <c r="O102" s="212"/>
      <c r="P102" s="212"/>
      <c r="Q102" s="212"/>
      <c r="R102" s="212"/>
      <c r="S102" s="212"/>
      <c r="T102" s="212"/>
      <c r="U102" s="522">
        <v>1</v>
      </c>
      <c r="V102" s="918">
        <f>SUM('3 pr-2'!L104)</f>
        <v>106844.82</v>
      </c>
      <c r="W102" s="918">
        <f>SUM('3 pr-2'!AA104)</f>
        <v>90818</v>
      </c>
    </row>
    <row r="103" spans="1:23" ht="39" thickBot="1" x14ac:dyDescent="0.3">
      <c r="A103" s="212" t="str">
        <f>CONCATENATE('3 pr-2'!A105)</f>
        <v>2.1.1.1.3</v>
      </c>
      <c r="B103" s="212" t="str">
        <f>CONCATENATE('3 pr-2'!B105)</f>
        <v>R01-7724-220000-2113</v>
      </c>
      <c r="C103" s="514" t="str">
        <f>CONCATENATE('3 pr-2'!D105)</f>
        <v>Modernių ir saugių erdvių kūrimas Dzūkijos pagrindinėje mokykloje, Alytuje</v>
      </c>
      <c r="D103" s="514" t="str">
        <f>CONCATENATE('3 pr-2'!E105)</f>
        <v>Alytaus miesto savivaldybės administracija</v>
      </c>
      <c r="E103" s="514" t="str">
        <f>CONCATENATE('3 pr-2'!F105)</f>
        <v>Lietuvos Respublikos švietimo ir mokslo ministerija</v>
      </c>
      <c r="F103" s="514" t="str">
        <f>CONCATENATE('3 pr-2'!G105)</f>
        <v>Alytaus  miestas</v>
      </c>
      <c r="G103" s="212" t="str">
        <f>CONCATENATE('3 pr-2'!H105)</f>
        <v>09.1.3-CPVA-R-724</v>
      </c>
      <c r="H103" s="212" t="str">
        <f>CONCATENATE('3 pr-2'!I105)</f>
        <v>R</v>
      </c>
      <c r="I103" s="212" t="str">
        <f>CONCATENATE('3 pr-2'!J105)</f>
        <v>-</v>
      </c>
      <c r="J103" s="212" t="str">
        <f>CONCATENATE('3 pr-2'!K105)</f>
        <v>-</v>
      </c>
      <c r="K103" s="212">
        <v>22</v>
      </c>
      <c r="L103" s="212" t="s">
        <v>380</v>
      </c>
      <c r="M103" s="212"/>
      <c r="N103" s="212"/>
      <c r="O103" s="212"/>
      <c r="P103" s="212"/>
      <c r="Q103" s="212"/>
      <c r="R103" s="212"/>
      <c r="S103" s="212"/>
      <c r="T103" s="212"/>
      <c r="U103" s="522">
        <v>1</v>
      </c>
      <c r="V103" s="918">
        <f>SUM('3 pr-2'!L105)</f>
        <v>657021</v>
      </c>
      <c r="W103" s="918">
        <f>SUM('3 pr-2'!AA105)</f>
        <v>558467</v>
      </c>
    </row>
    <row r="104" spans="1:23" ht="39" thickBot="1" x14ac:dyDescent="0.3">
      <c r="A104" s="212" t="str">
        <f>CONCATENATE('3 pr-2'!A106)</f>
        <v>2.1.1.1.4</v>
      </c>
      <c r="B104" s="212" t="str">
        <f>CONCATENATE('3 pr-2'!B106)</f>
        <v>R01-7724-220000-2114</v>
      </c>
      <c r="C104" s="514" t="str">
        <f>CONCATENATE('3 pr-2'!D106)</f>
        <v>Modernių ir saugių erdvių sukūrimas bendrojo ugdymo mokyklose Druskininkų sav.</v>
      </c>
      <c r="D104" s="514" t="str">
        <f>CONCATENATE('3 pr-2'!E106)</f>
        <v>Druskininkų savivaldybės administracija</v>
      </c>
      <c r="E104" s="514" t="str">
        <f>CONCATENATE('3 pr-2'!F106)</f>
        <v>Lietuvos Respublikos švietimo ir mokslo ministerija</v>
      </c>
      <c r="F104" s="514" t="str">
        <f>CONCATENATE('3 pr-2'!G106)</f>
        <v>Druskininkų savivaldybė</v>
      </c>
      <c r="G104" s="212" t="str">
        <f>CONCATENATE('3 pr-2'!H106)</f>
        <v>09.1.3-CPVA-R-724</v>
      </c>
      <c r="H104" s="212" t="str">
        <f>CONCATENATE('3 pr-2'!I106)</f>
        <v>R</v>
      </c>
      <c r="I104" s="212" t="str">
        <f>CONCATENATE('3 pr-2'!J106)</f>
        <v>-</v>
      </c>
      <c r="J104" s="212" t="str">
        <f>CONCATENATE('3 pr-2'!K106)</f>
        <v>-</v>
      </c>
      <c r="K104" s="212">
        <v>22</v>
      </c>
      <c r="L104" s="212" t="s">
        <v>380</v>
      </c>
      <c r="M104" s="212"/>
      <c r="N104" s="212"/>
      <c r="O104" s="212"/>
      <c r="P104" s="212"/>
      <c r="Q104" s="212"/>
      <c r="R104" s="212"/>
      <c r="S104" s="212"/>
      <c r="T104" s="212"/>
      <c r="U104" s="522">
        <v>1</v>
      </c>
      <c r="V104" s="918">
        <f>SUM('3 pr-2'!L106)</f>
        <v>163877</v>
      </c>
      <c r="W104" s="918">
        <f>SUM('3 pr-2'!AA106)</f>
        <v>139295</v>
      </c>
    </row>
    <row r="105" spans="1:23" ht="51.75" thickBot="1" x14ac:dyDescent="0.3">
      <c r="A105" s="212" t="str">
        <f>CONCATENATE('3 pr-2'!A107)</f>
        <v>2.1.1.1.5</v>
      </c>
      <c r="B105" s="212" t="str">
        <f>CONCATENATE('3 pr-2'!B107)</f>
        <v>R01-7724-220000-2115</v>
      </c>
      <c r="C105" s="514" t="str">
        <f>CONCATENATE('3 pr-2'!D107)</f>
        <v>Modernių ir saugių erdvių sukūrimas bendrojo ugdymo įstaigose Lazdijų rajono savivaldybėje</v>
      </c>
      <c r="D105" s="514" t="str">
        <f>CONCATENATE('3 pr-2'!E107)</f>
        <v>Lazdijų rajono savivaldybės administracija</v>
      </c>
      <c r="E105" s="514" t="str">
        <f>CONCATENATE('3 pr-2'!F107)</f>
        <v>Lietuvos Respublikos švietimo ir mokslo ministerija</v>
      </c>
      <c r="F105" s="514" t="str">
        <f>CONCATENATE('3 pr-2'!G107)</f>
        <v>Lazdijų rajono savivaldybė</v>
      </c>
      <c r="G105" s="212" t="str">
        <f>CONCATENATE('3 pr-2'!H107)</f>
        <v>09.1.3-CPVA-R-724</v>
      </c>
      <c r="H105" s="212" t="str">
        <f>CONCATENATE('3 pr-2'!I107)</f>
        <v>R</v>
      </c>
      <c r="I105" s="212" t="str">
        <f>CONCATENATE('3 pr-2'!J107)</f>
        <v>-</v>
      </c>
      <c r="J105" s="212" t="str">
        <f>CONCATENATE('3 pr-2'!K107)</f>
        <v>-</v>
      </c>
      <c r="K105" s="212">
        <v>22</v>
      </c>
      <c r="L105" s="212" t="s">
        <v>380</v>
      </c>
      <c r="M105" s="212"/>
      <c r="N105" s="212"/>
      <c r="O105" s="212"/>
      <c r="P105" s="212"/>
      <c r="Q105" s="212"/>
      <c r="R105" s="212"/>
      <c r="S105" s="212"/>
      <c r="T105" s="212"/>
      <c r="U105" s="522">
        <v>1</v>
      </c>
      <c r="V105" s="918">
        <f>SUM('3 pr-2'!L107)</f>
        <v>195779</v>
      </c>
      <c r="W105" s="918">
        <f>SUM('3 pr-2'!AA107)</f>
        <v>166412</v>
      </c>
    </row>
    <row r="106" spans="1:23" ht="39" customHeight="1" thickBot="1" x14ac:dyDescent="0.3">
      <c r="A106" s="499" t="s">
        <v>99</v>
      </c>
      <c r="B106" s="1103"/>
      <c r="C106" s="1651" t="s">
        <v>881</v>
      </c>
      <c r="D106" s="1649"/>
      <c r="E106" s="1649"/>
      <c r="F106" s="1649"/>
      <c r="G106" s="1649"/>
      <c r="H106" s="1649"/>
      <c r="I106" s="1649"/>
      <c r="J106" s="1650"/>
      <c r="K106" s="492"/>
      <c r="L106" s="493"/>
      <c r="M106" s="494"/>
      <c r="N106" s="495"/>
      <c r="O106" s="494"/>
      <c r="P106" s="495"/>
      <c r="Q106" s="494"/>
      <c r="R106" s="495"/>
      <c r="S106" s="494"/>
      <c r="T106" s="495"/>
      <c r="U106" s="943"/>
      <c r="V106" s="944">
        <f>SUM(V107:V111)</f>
        <v>1973901.3</v>
      </c>
      <c r="W106" s="945">
        <f>SUM(W107:W111)</f>
        <v>1486008</v>
      </c>
    </row>
    <row r="107" spans="1:23" ht="39" thickBot="1" x14ac:dyDescent="0.3">
      <c r="A107" s="212" t="str">
        <f>CONCATENATE('3 pr-2'!A109)</f>
        <v>2.1.1.2.1</v>
      </c>
      <c r="B107" s="212" t="str">
        <f>CONCATENATE('3 pr-2'!B109)</f>
        <v>R01-7725-240000-2121</v>
      </c>
      <c r="C107" s="514" t="str">
        <f>CONCATENATE('3 pr-2'!D109)</f>
        <v>Varėnos moksleivių kūrybos centro pastato J. Basanavičiaus g. 38, Varėnoje, modernizavimas</v>
      </c>
      <c r="D107" s="514" t="str">
        <f>CONCATENATE('3 pr-2'!E109)</f>
        <v>Varėnos rajono savivaldybės administracija</v>
      </c>
      <c r="E107" s="514" t="str">
        <f>CONCATENATE('3 pr-2'!F109)</f>
        <v>Lietuvos Respublikos švietimo ir mokslo ministerija</v>
      </c>
      <c r="F107" s="514" t="str">
        <f>CONCATENATE('3 pr-2'!G109)</f>
        <v>Varėnos miestas</v>
      </c>
      <c r="G107" s="212" t="str">
        <f>CONCATENATE('3 pr-2'!H109)</f>
        <v>09.13.CPVA-R-725</v>
      </c>
      <c r="H107" s="212" t="str">
        <f>CONCATENATE('3 pr-2'!I109)</f>
        <v>R</v>
      </c>
      <c r="I107" s="212" t="str">
        <f>CONCATENATE('3 pr-2'!J109)</f>
        <v>-</v>
      </c>
      <c r="J107" s="212" t="str">
        <f>CONCATENATE('3 pr-2'!K109)</f>
        <v>-</v>
      </c>
      <c r="K107" s="212">
        <v>24</v>
      </c>
      <c r="L107" s="212" t="s">
        <v>381</v>
      </c>
      <c r="M107" s="212"/>
      <c r="N107" s="212"/>
      <c r="O107" s="212"/>
      <c r="P107" s="212"/>
      <c r="Q107" s="212"/>
      <c r="R107" s="212"/>
      <c r="S107" s="212"/>
      <c r="T107" s="212"/>
      <c r="U107" s="522">
        <v>1</v>
      </c>
      <c r="V107" s="918">
        <f>SUM('3 pr-2'!L109)</f>
        <v>437551</v>
      </c>
      <c r="W107" s="918">
        <f>SUM('3 pr-2'!AA109)</f>
        <v>371918</v>
      </c>
    </row>
    <row r="108" spans="1:23" ht="39" thickBot="1" x14ac:dyDescent="0.3">
      <c r="A108" s="212" t="str">
        <f>CONCATENATE('3 pr-2'!A110)</f>
        <v>2.1.1.2.2</v>
      </c>
      <c r="B108" s="212" t="str">
        <f>CONCATENATE('3 pr-2'!B110)</f>
        <v>R01-7725-240000-2122</v>
      </c>
      <c r="C108" s="514" t="str">
        <f>CONCATENATE('3 pr-2'!D110)</f>
        <v>Alytaus r. meno ir sporto mokyklos edukacinių erdvių įkūrimas ir atnaujinimas</v>
      </c>
      <c r="D108" s="514" t="str">
        <f>CONCATENATE('3 pr-2'!E110)</f>
        <v>Alytaus rajono savivaldybės administracija</v>
      </c>
      <c r="E108" s="514" t="str">
        <f>CONCATENATE('3 pr-2'!F110)</f>
        <v>Lietuvos Respublikos švietimo ir mokslo ministerija</v>
      </c>
      <c r="F108" s="514" t="str">
        <f>CONCATENATE('3 pr-2'!G110)</f>
        <v>Alytaus  rajono savivaldybė</v>
      </c>
      <c r="G108" s="212" t="str">
        <f>CONCATENATE('3 pr-2'!H110)</f>
        <v>09.13.CPVA-R-725</v>
      </c>
      <c r="H108" s="212" t="str">
        <f>CONCATENATE('3 pr-2'!I110)</f>
        <v>R</v>
      </c>
      <c r="I108" s="212" t="str">
        <f>CONCATENATE('3 pr-2'!J110)</f>
        <v>-</v>
      </c>
      <c r="J108" s="212" t="str">
        <f>CONCATENATE('3 pr-2'!K110)</f>
        <v>-</v>
      </c>
      <c r="K108" s="212">
        <v>24</v>
      </c>
      <c r="L108" s="212" t="s">
        <v>381</v>
      </c>
      <c r="M108" s="212"/>
      <c r="N108" s="212"/>
      <c r="O108" s="212"/>
      <c r="P108" s="212"/>
      <c r="Q108" s="212"/>
      <c r="R108" s="212"/>
      <c r="S108" s="212"/>
      <c r="T108" s="212"/>
      <c r="U108" s="522">
        <v>1</v>
      </c>
      <c r="V108" s="918">
        <f>SUM('3 pr-2'!L110)</f>
        <v>856456</v>
      </c>
      <c r="W108" s="918">
        <f>SUM('3 pr-2'!AA110)</f>
        <v>536611</v>
      </c>
    </row>
    <row r="109" spans="1:23" ht="39" thickBot="1" x14ac:dyDescent="0.3">
      <c r="A109" s="212" t="str">
        <f>CONCATENATE('3 pr-2'!A111)</f>
        <v>2.1.1.2.3</v>
      </c>
      <c r="B109" s="212" t="str">
        <f>CONCATENATE('3 pr-2'!B111)</f>
        <v>R01-7725-240000-2123</v>
      </c>
      <c r="C109" s="514" t="str">
        <f>CONCATENATE('3 pr-2'!D111)</f>
        <v>Alytaus muzikos mokyklos pastato modernizavimas ir ugdymo aplinkos gerinimas</v>
      </c>
      <c r="D109" s="514" t="str">
        <f>CONCATENATE('3 pr-2'!E111)</f>
        <v>Alytaus miesto savivaldybės administracija</v>
      </c>
      <c r="E109" s="514" t="str">
        <f>CONCATENATE('3 pr-2'!F111)</f>
        <v>Lietuvos Respublikos švietimo ir mokslo ministerija</v>
      </c>
      <c r="F109" s="514" t="str">
        <f>CONCATENATE('3 pr-2'!G111)</f>
        <v>Alytaus  miestas</v>
      </c>
      <c r="G109" s="212" t="str">
        <f>CONCATENATE('3 pr-2'!H111)</f>
        <v>09.13.CPVA-R-725</v>
      </c>
      <c r="H109" s="212" t="str">
        <f>CONCATENATE('3 pr-2'!I111)</f>
        <v>R</v>
      </c>
      <c r="I109" s="212" t="str">
        <f>CONCATENATE('3 pr-2'!J111)</f>
        <v>-</v>
      </c>
      <c r="J109" s="212" t="str">
        <f>CONCATENATE('3 pr-2'!K111)</f>
        <v>-</v>
      </c>
      <c r="K109" s="212">
        <v>24</v>
      </c>
      <c r="L109" s="212" t="s">
        <v>381</v>
      </c>
      <c r="M109" s="212"/>
      <c r="N109" s="212"/>
      <c r="O109" s="212"/>
      <c r="P109" s="212"/>
      <c r="Q109" s="212"/>
      <c r="R109" s="212"/>
      <c r="S109" s="212"/>
      <c r="T109" s="212"/>
      <c r="U109" s="522">
        <v>1</v>
      </c>
      <c r="V109" s="918">
        <f>SUM('3 pr-2'!L111)</f>
        <v>397378</v>
      </c>
      <c r="W109" s="918">
        <f>SUM('3 pr-2'!AA111)</f>
        <v>337771</v>
      </c>
    </row>
    <row r="110" spans="1:23" ht="39" thickBot="1" x14ac:dyDescent="0.3">
      <c r="A110" s="212" t="str">
        <f>CONCATENATE('3 pr-2'!A112)</f>
        <v>2.1.1.2.4</v>
      </c>
      <c r="B110" s="212" t="str">
        <f>CONCATENATE('3 pr-2'!B112)</f>
        <v>R01-7725-240000-2124</v>
      </c>
      <c r="C110" s="514" t="str">
        <f>CONCATENATE('3 pr-2'!D112)</f>
        <v>Druskininkų M. K. Čiurlionio meno mokyklos infrastruktūros tobulinimas</v>
      </c>
      <c r="D110" s="514" t="str">
        <f>CONCATENATE('3 pr-2'!E112)</f>
        <v xml:space="preserve">Druskininkų savivaldybės administracija  </v>
      </c>
      <c r="E110" s="514" t="str">
        <f>CONCATENATE('3 pr-2'!F112)</f>
        <v>Lietuvos Respublikos švietimo ir mokslo ministerija</v>
      </c>
      <c r="F110" s="514" t="str">
        <f>CONCATENATE('3 pr-2'!G112)</f>
        <v>Druskininkų miestas</v>
      </c>
      <c r="G110" s="212" t="str">
        <f>CONCATENATE('3 pr-2'!H112)</f>
        <v>09.13.CPVA-R-725</v>
      </c>
      <c r="H110" s="212" t="str">
        <f>CONCATENATE('3 pr-2'!I112)</f>
        <v>R</v>
      </c>
      <c r="I110" s="212" t="str">
        <f>CONCATENATE('3 pr-2'!J112)</f>
        <v>-</v>
      </c>
      <c r="J110" s="212" t="str">
        <f>CONCATENATE('3 pr-2'!K112)</f>
        <v>-</v>
      </c>
      <c r="K110" s="212">
        <v>24</v>
      </c>
      <c r="L110" s="212" t="s">
        <v>381</v>
      </c>
      <c r="M110" s="212"/>
      <c r="N110" s="212"/>
      <c r="O110" s="212"/>
      <c r="P110" s="212"/>
      <c r="Q110" s="212"/>
      <c r="R110" s="212"/>
      <c r="S110" s="212"/>
      <c r="T110" s="212"/>
      <c r="U110" s="522">
        <v>1</v>
      </c>
      <c r="V110" s="918">
        <f>SUM('3 pr-2'!L112)</f>
        <v>146702.29999999999</v>
      </c>
      <c r="W110" s="918">
        <f>SUM('3 pr-2'!AA112)</f>
        <v>124266</v>
      </c>
    </row>
    <row r="111" spans="1:23" ht="39" thickBot="1" x14ac:dyDescent="0.3">
      <c r="A111" s="212" t="str">
        <f>CONCATENATE('3 pr-2'!A113)</f>
        <v>2.1.1.2.5</v>
      </c>
      <c r="B111" s="212" t="str">
        <f>CONCATENATE('3 pr-2'!B113)</f>
        <v>R01-7725-240000-2125</v>
      </c>
      <c r="C111" s="514" t="str">
        <f>CONCATENATE('3 pr-2'!D113)</f>
        <v>Neformaliojo švietimo įstaigų Lazdijų rajono savivaldybėje infrastruktūros tobulinimas</v>
      </c>
      <c r="D111" s="514" t="str">
        <f>CONCATENATE('3 pr-2'!E113)</f>
        <v>VšĮ „Lazdijų sporto centras“</v>
      </c>
      <c r="E111" s="514" t="str">
        <f>CONCATENATE('3 pr-2'!F113)</f>
        <v>Lietuvos Respublikos švietimo ir mokslo ministerija</v>
      </c>
      <c r="F111" s="514" t="str">
        <f>CONCATENATE('3 pr-2'!G113)</f>
        <v>Lazdijų rajono savivaldybė</v>
      </c>
      <c r="G111" s="212" t="str">
        <f>CONCATENATE('3 pr-2'!H113)</f>
        <v>09.13.CPVA-R-725</v>
      </c>
      <c r="H111" s="212" t="str">
        <f>CONCATENATE('3 pr-2'!I113)</f>
        <v>R</v>
      </c>
      <c r="I111" s="212" t="str">
        <f>CONCATENATE('3 pr-2'!J113)</f>
        <v>-</v>
      </c>
      <c r="J111" s="212" t="str">
        <f>CONCATENATE('3 pr-2'!K113)</f>
        <v>-</v>
      </c>
      <c r="K111" s="212">
        <v>24</v>
      </c>
      <c r="L111" s="212" t="s">
        <v>381</v>
      </c>
      <c r="M111" s="212"/>
      <c r="N111" s="212"/>
      <c r="O111" s="212"/>
      <c r="P111" s="212"/>
      <c r="Q111" s="212"/>
      <c r="R111" s="212"/>
      <c r="S111" s="212"/>
      <c r="T111" s="212"/>
      <c r="U111" s="522">
        <v>1</v>
      </c>
      <c r="V111" s="918">
        <f>SUM('3 pr-2'!L113)</f>
        <v>135814</v>
      </c>
      <c r="W111" s="918">
        <f>SUM('3 pr-2'!AA113)</f>
        <v>115442</v>
      </c>
    </row>
    <row r="112" spans="1:23" ht="40.5" customHeight="1" thickBot="1" x14ac:dyDescent="0.3">
      <c r="A112" s="499" t="s">
        <v>101</v>
      </c>
      <c r="B112" s="1103"/>
      <c r="C112" s="1646" t="s">
        <v>1385</v>
      </c>
      <c r="D112" s="1649"/>
      <c r="E112" s="1649"/>
      <c r="F112" s="1649"/>
      <c r="G112" s="1649"/>
      <c r="H112" s="1649"/>
      <c r="I112" s="1649"/>
      <c r="J112" s="1650"/>
      <c r="K112" s="492"/>
      <c r="L112" s="493"/>
      <c r="M112" s="494"/>
      <c r="N112" s="495"/>
      <c r="O112" s="494"/>
      <c r="P112" s="495"/>
      <c r="Q112" s="494"/>
      <c r="R112" s="495"/>
      <c r="S112" s="494"/>
      <c r="T112" s="495"/>
      <c r="U112" s="943"/>
      <c r="V112" s="944">
        <f>SUM(V113:V117)</f>
        <v>1387789.0699999996</v>
      </c>
      <c r="W112" s="945">
        <f>SUM(W113:W117)</f>
        <v>1138588.2162162161</v>
      </c>
    </row>
    <row r="113" spans="1:23" ht="39" thickBot="1" x14ac:dyDescent="0.3">
      <c r="A113" s="212" t="str">
        <f>CONCATENATE('3 pr-2'!A115)</f>
        <v>2.1.1.3.1</v>
      </c>
      <c r="B113" s="212" t="str">
        <f>CONCATENATE('3 pr-2'!B115)</f>
        <v>R01-7705-230000-2131</v>
      </c>
      <c r="C113" s="514" t="str">
        <f>CONCATENATE('3 pr-2'!D115)</f>
        <v>Varėnos "Pasakos" vaikų lopšelio-darželio pastato modernizavimas</v>
      </c>
      <c r="D113" s="514" t="str">
        <f>CONCATENATE('3 pr-2'!E115)</f>
        <v>Varėnos rajono savivaldybės administracija</v>
      </c>
      <c r="E113" s="514" t="str">
        <f>CONCATENATE('3 pr-2'!F115)</f>
        <v>Lietuvos Respublikos švietimo ir mokslo ministerija</v>
      </c>
      <c r="F113" s="514" t="str">
        <f>CONCATENATE('3 pr-2'!G115)</f>
        <v>Varėnos miestas</v>
      </c>
      <c r="G113" s="212" t="str">
        <f>CONCATENATE('3 pr-2'!H115)</f>
        <v>09.1.3-CPVA-R-705</v>
      </c>
      <c r="H113" s="212" t="str">
        <f>CONCATENATE('3 pr-2'!I115)</f>
        <v>R</v>
      </c>
      <c r="I113" s="212" t="str">
        <f>CONCATENATE('3 pr-2'!J115)</f>
        <v>-</v>
      </c>
      <c r="J113" s="212" t="str">
        <f>CONCATENATE('3 pr-2'!K115)</f>
        <v>-</v>
      </c>
      <c r="K113" s="212">
        <v>23</v>
      </c>
      <c r="L113" s="212" t="s">
        <v>382</v>
      </c>
      <c r="M113" s="212"/>
      <c r="N113" s="212"/>
      <c r="O113" s="212"/>
      <c r="P113" s="212"/>
      <c r="Q113" s="212"/>
      <c r="R113" s="212"/>
      <c r="S113" s="212"/>
      <c r="T113" s="212"/>
      <c r="U113" s="522">
        <v>1</v>
      </c>
      <c r="V113" s="918">
        <f>SUM('3 pr-2'!L115)</f>
        <v>370000</v>
      </c>
      <c r="W113" s="918">
        <f>SUM('3 pr-2'!AA115)</f>
        <v>287307</v>
      </c>
    </row>
    <row r="114" spans="1:23" ht="51.75" thickBot="1" x14ac:dyDescent="0.3">
      <c r="A114" s="212" t="str">
        <f>CONCATENATE('3 pr-2'!A116)</f>
        <v>2.1.1.3.2</v>
      </c>
      <c r="B114" s="212" t="str">
        <f>CONCATENATE('3 pr-2'!B116)</f>
        <v>R01-7705-230000-2132</v>
      </c>
      <c r="C114" s="514" t="str">
        <f>CONCATENATE('3 pr-2'!D116)</f>
        <v>Alytaus r. ikimokyklinio ir priešmokyklinio ugdymo prieinamumo didinimas įkuriant ir atnaujinant edukacines erdves</v>
      </c>
      <c r="D114" s="514" t="str">
        <f>CONCATENATE('3 pr-2'!E116)</f>
        <v>Alytaus rajono savivaldybės administracija</v>
      </c>
      <c r="E114" s="514" t="str">
        <f>CONCATENATE('3 pr-2'!F116)</f>
        <v>Lietuvos Respublikos švietimo ir mokslo ministerija</v>
      </c>
      <c r="F114" s="514" t="str">
        <f>CONCATENATE('3 pr-2'!G116)</f>
        <v>Alytaus  rajono savivaldybė</v>
      </c>
      <c r="G114" s="212" t="str">
        <f>CONCATENATE('3 pr-2'!H116)</f>
        <v>09.1.3-CPVA-R-705</v>
      </c>
      <c r="H114" s="212" t="str">
        <f>CONCATENATE('3 pr-2'!I116)</f>
        <v>R</v>
      </c>
      <c r="I114" s="212" t="str">
        <f>CONCATENATE('3 pr-2'!J116)</f>
        <v/>
      </c>
      <c r="J114" s="212" t="str">
        <f>CONCATENATE('3 pr-2'!K116)</f>
        <v/>
      </c>
      <c r="K114" s="212">
        <v>23</v>
      </c>
      <c r="L114" s="212" t="s">
        <v>382</v>
      </c>
      <c r="M114" s="212"/>
      <c r="N114" s="212"/>
      <c r="O114" s="212"/>
      <c r="P114" s="212"/>
      <c r="Q114" s="212"/>
      <c r="R114" s="212"/>
      <c r="S114" s="212"/>
      <c r="T114" s="212"/>
      <c r="U114" s="522">
        <v>1</v>
      </c>
      <c r="V114" s="918">
        <f>SUM('3 pr-2'!L116)</f>
        <v>597456.86</v>
      </c>
      <c r="W114" s="918">
        <f>SUM('3 pr-2'!AA116)</f>
        <v>494007</v>
      </c>
    </row>
    <row r="115" spans="1:23" ht="39" thickBot="1" x14ac:dyDescent="0.3">
      <c r="A115" s="212" t="str">
        <f>CONCATENATE('3 pr-2'!A117)</f>
        <v>2.1.1.3.3</v>
      </c>
      <c r="B115" s="212" t="str">
        <f>CONCATENATE('3 pr-2'!B117)</f>
        <v>R01-7705-230000-2133</v>
      </c>
      <c r="C115" s="514" t="str">
        <f>CONCATENATE('3 pr-2'!D117)</f>
        <v>Alytaus lopšelio-darželio " Girinukas" ugdymo aplinkos modernizavimas</v>
      </c>
      <c r="D115" s="514" t="str">
        <f>CONCATENATE('3 pr-2'!E117)</f>
        <v>Alytaus miesto savivaldybės administracija</v>
      </c>
      <c r="E115" s="514" t="str">
        <f>CONCATENATE('3 pr-2'!F117)</f>
        <v>Lietuvos Respublikos švietimo ir mokslo ministerija</v>
      </c>
      <c r="F115" s="514" t="str">
        <f>CONCATENATE('3 pr-2'!G117)</f>
        <v>Alytaus  miestas</v>
      </c>
      <c r="G115" s="212" t="str">
        <f>CONCATENATE('3 pr-2'!H117)</f>
        <v>09.1.3-CPVA-R-705</v>
      </c>
      <c r="H115" s="212" t="str">
        <f>CONCATENATE('3 pr-2'!I117)</f>
        <v>R</v>
      </c>
      <c r="I115" s="212" t="str">
        <f>CONCATENATE('3 pr-2'!J117)</f>
        <v>-</v>
      </c>
      <c r="J115" s="212" t="str">
        <f>CONCATENATE('3 pr-2'!K117)</f>
        <v>-</v>
      </c>
      <c r="K115" s="212">
        <v>23</v>
      </c>
      <c r="L115" s="212" t="s">
        <v>382</v>
      </c>
      <c r="M115" s="212"/>
      <c r="N115" s="212"/>
      <c r="O115" s="212"/>
      <c r="P115" s="212"/>
      <c r="Q115" s="212"/>
      <c r="R115" s="212"/>
      <c r="S115" s="212"/>
      <c r="T115" s="212"/>
      <c r="U115" s="522">
        <v>1</v>
      </c>
      <c r="V115" s="918">
        <f>SUM('3 pr-2'!L117)</f>
        <v>181986</v>
      </c>
      <c r="W115" s="918">
        <f>SUM('3 pr-2'!AA117)</f>
        <v>154688</v>
      </c>
    </row>
    <row r="116" spans="1:23" ht="51.75" thickBot="1" x14ac:dyDescent="0.3">
      <c r="A116" s="212" t="str">
        <f>CONCATENATE('3 pr-2'!A118)</f>
        <v>2.1.1.3.4</v>
      </c>
      <c r="B116" s="212" t="str">
        <f>CONCATENATE('3 pr-2'!B118)</f>
        <v>R01-7705-230000-2134</v>
      </c>
      <c r="C116" s="514" t="str">
        <f>CONCATENATE('3 pr-2'!D118)</f>
        <v>Druskininkų sav. Viečiūnų progimnazijos ikimokyklinio ugdymo skyriaus „Linelis“ ugdymo prieinamumo didinimas</v>
      </c>
      <c r="D116" s="514" t="str">
        <f>CONCATENATE('3 pr-2'!E118)</f>
        <v xml:space="preserve">Druskininkų savivaldybės administracija  </v>
      </c>
      <c r="E116" s="514" t="str">
        <f>CONCATENATE('3 pr-2'!F118)</f>
        <v>Lietuvos Respublikos švietimo ir mokslo ministerija</v>
      </c>
      <c r="F116" s="514" t="str">
        <f>CONCATENATE('3 pr-2'!G118)</f>
        <v>Druskininkų savivaldybė</v>
      </c>
      <c r="G116" s="212" t="str">
        <f>CONCATENATE('3 pr-2'!H118)</f>
        <v>09.1.3-CPVA-R-705</v>
      </c>
      <c r="H116" s="212" t="str">
        <f>CONCATENATE('3 pr-2'!I118)</f>
        <v>R</v>
      </c>
      <c r="I116" s="212" t="str">
        <f>CONCATENATE('3 pr-2'!J118)</f>
        <v>-</v>
      </c>
      <c r="J116" s="212" t="str">
        <f>CONCATENATE('3 pr-2'!K118)</f>
        <v>-</v>
      </c>
      <c r="K116" s="212">
        <v>23</v>
      </c>
      <c r="L116" s="212" t="s">
        <v>382</v>
      </c>
      <c r="M116" s="212"/>
      <c r="N116" s="212"/>
      <c r="O116" s="212"/>
      <c r="P116" s="212"/>
      <c r="Q116" s="212"/>
      <c r="R116" s="212"/>
      <c r="S116" s="212"/>
      <c r="T116" s="212"/>
      <c r="U116" s="522">
        <v>1</v>
      </c>
      <c r="V116" s="918">
        <f>SUM('3 pr-2'!L118)</f>
        <v>104792</v>
      </c>
      <c r="W116" s="918">
        <f>SUM('3 pr-2'!AA118)</f>
        <v>89074</v>
      </c>
    </row>
    <row r="117" spans="1:23" ht="39" thickBot="1" x14ac:dyDescent="0.3">
      <c r="A117" s="212" t="str">
        <f>CONCATENATE('3 pr-2'!A119)</f>
        <v>2.1.1.3.5</v>
      </c>
      <c r="B117" s="212" t="str">
        <f>CONCATENATE('3 pr-2'!B119)</f>
        <v>R01-7705-230000-2135</v>
      </c>
      <c r="C117" s="514" t="str">
        <f>CONCATENATE('3 pr-2'!D119)</f>
        <v>Ikimokyklinio ir priešmokyklinio ugdymo įstaigų Lazdijų rajono savivaldybėje modernizavimas</v>
      </c>
      <c r="D117" s="514" t="str">
        <f>CONCATENATE('3 pr-2'!E119)</f>
        <v>Lazdijų rajono savivaldybės administracija</v>
      </c>
      <c r="E117" s="514" t="str">
        <f>CONCATENATE('3 pr-2'!F119)</f>
        <v>Lietuvos Respublikos švietimo ir mokslo ministerija</v>
      </c>
      <c r="F117" s="514" t="str">
        <f>CONCATENATE('3 pr-2'!G119)</f>
        <v>Lazdijų rajono savivaldybė</v>
      </c>
      <c r="G117" s="212" t="str">
        <f>CONCATENATE('3 pr-2'!H119)</f>
        <v>09.1.3-CPVA-R-705</v>
      </c>
      <c r="H117" s="212" t="str">
        <f>CONCATENATE('3 pr-2'!I119)</f>
        <v>R</v>
      </c>
      <c r="I117" s="212" t="str">
        <f>CONCATENATE('3 pr-2'!J119)</f>
        <v>-</v>
      </c>
      <c r="J117" s="212" t="str">
        <f>CONCATENATE('3 pr-2'!K119)</f>
        <v>-</v>
      </c>
      <c r="K117" s="212">
        <v>23</v>
      </c>
      <c r="L117" s="212" t="s">
        <v>382</v>
      </c>
      <c r="M117" s="212"/>
      <c r="N117" s="212"/>
      <c r="O117" s="212"/>
      <c r="P117" s="212"/>
      <c r="Q117" s="212"/>
      <c r="R117" s="212"/>
      <c r="S117" s="212"/>
      <c r="T117" s="212"/>
      <c r="U117" s="522">
        <v>1</v>
      </c>
      <c r="V117" s="918">
        <f>SUM('3 pr-2'!L119)</f>
        <v>133554.20999999979</v>
      </c>
      <c r="W117" s="918">
        <f>SUM('3 pr-2'!AA119)</f>
        <v>113512.21621621599</v>
      </c>
    </row>
    <row r="118" spans="1:23" ht="55.5" customHeight="1" thickBot="1" x14ac:dyDescent="0.3">
      <c r="A118" s="216" t="s">
        <v>32</v>
      </c>
      <c r="B118" s="1106"/>
      <c r="C118" s="1653" t="s">
        <v>661</v>
      </c>
      <c r="D118" s="1654"/>
      <c r="E118" s="1654"/>
      <c r="F118" s="1654"/>
      <c r="G118" s="1654"/>
      <c r="H118" s="1654"/>
      <c r="I118" s="1654"/>
      <c r="J118" s="1655"/>
      <c r="K118" s="908"/>
      <c r="L118" s="909"/>
      <c r="M118" s="910"/>
      <c r="N118" s="909"/>
      <c r="O118" s="910"/>
      <c r="P118" s="909"/>
      <c r="Q118" s="910"/>
      <c r="R118" s="909"/>
      <c r="S118" s="910"/>
      <c r="T118" s="909"/>
      <c r="U118" s="909"/>
      <c r="V118" s="932"/>
      <c r="W118" s="933"/>
    </row>
    <row r="119" spans="1:23" ht="44.25" customHeight="1" thickBot="1" x14ac:dyDescent="0.3">
      <c r="A119" s="498" t="s">
        <v>33</v>
      </c>
      <c r="B119" s="1102"/>
      <c r="C119" s="1651" t="s">
        <v>880</v>
      </c>
      <c r="D119" s="1649"/>
      <c r="E119" s="1649"/>
      <c r="F119" s="1649"/>
      <c r="G119" s="1649"/>
      <c r="H119" s="1649"/>
      <c r="I119" s="1649"/>
      <c r="J119" s="1650"/>
      <c r="K119" s="922"/>
      <c r="L119" s="923"/>
      <c r="M119" s="924"/>
      <c r="N119" s="923"/>
      <c r="O119" s="924"/>
      <c r="P119" s="923"/>
      <c r="Q119" s="924"/>
      <c r="R119" s="923"/>
      <c r="S119" s="924"/>
      <c r="T119" s="923"/>
      <c r="U119" s="952"/>
      <c r="V119" s="926">
        <f>SUM(V120:V127)</f>
        <v>1000941</v>
      </c>
      <c r="W119" s="926">
        <f>SUM(W120:W127)</f>
        <v>850799</v>
      </c>
    </row>
    <row r="120" spans="1:23" ht="51.75" thickBot="1" x14ac:dyDescent="0.3">
      <c r="A120" s="212" t="str">
        <f>CONCATENATE('3 pr-2'!A122)</f>
        <v>2.1.2.1.1</v>
      </c>
      <c r="B120" s="212" t="str">
        <f>CONCATENATE('3 pr-2'!B122)</f>
        <v>R01-6609-274710-2211</v>
      </c>
      <c r="C120" s="514" t="str">
        <f>CONCATENATE('3 pr-2'!D122)</f>
        <v xml:space="preserve">Alytaus poliklinikos teikiamų pirminės sveikatos priežiūros paslaugų prieinamumo didinimas ir kokybės gerinimas </v>
      </c>
      <c r="D120" s="514" t="str">
        <f>CONCATENATE('3 pr-2'!E122)</f>
        <v>VšĮ Alytaus poliklinika</v>
      </c>
      <c r="E120" s="514" t="str">
        <f>CONCATENATE('3 pr-2'!F122)</f>
        <v>Lietuvos Respublikos Sveikatos apsaugos ministerija</v>
      </c>
      <c r="F120" s="514" t="str">
        <f>CONCATENATE('3 pr-2'!G122)</f>
        <v>Alytaus  miestas</v>
      </c>
      <c r="G120" s="212" t="str">
        <f>CONCATENATE('3 pr-2'!H122)</f>
        <v>08.1.3-CPVA-R-609</v>
      </c>
      <c r="H120" s="212" t="str">
        <f>CONCATENATE('3 pr-2'!I122)</f>
        <v>R</v>
      </c>
      <c r="I120" s="212" t="str">
        <f>CONCATENATE('3 pr-2'!J122)</f>
        <v>-</v>
      </c>
      <c r="J120" s="212" t="str">
        <f>CONCATENATE('3 pr-2'!K122)</f>
        <v>-</v>
      </c>
      <c r="K120" s="212">
        <v>27</v>
      </c>
      <c r="L120" s="212" t="s">
        <v>1739</v>
      </c>
      <c r="M120" s="212" t="s">
        <v>1740</v>
      </c>
      <c r="N120" s="212" t="s">
        <v>385</v>
      </c>
      <c r="O120" s="212">
        <v>10</v>
      </c>
      <c r="P120" s="212" t="s">
        <v>372</v>
      </c>
      <c r="Q120" s="212"/>
      <c r="R120" s="212"/>
      <c r="S120" s="212"/>
      <c r="T120" s="212"/>
      <c r="U120" s="522">
        <v>1</v>
      </c>
      <c r="V120" s="918">
        <f>SUM('3 pr-2'!L122)</f>
        <v>458183</v>
      </c>
      <c r="W120" s="918">
        <f>SUM('3 pr-2'!AA122)</f>
        <v>389456</v>
      </c>
    </row>
    <row r="121" spans="1:23" ht="90" thickBot="1" x14ac:dyDescent="0.3">
      <c r="A121" s="212" t="str">
        <f>CONCATENATE('3 pr-2'!A123)</f>
        <v>2.1.2.1.2</v>
      </c>
      <c r="B121" s="212" t="str">
        <f>CONCATENATE('3 pr-2'!B123)</f>
        <v>R01-6609-274710-2212</v>
      </c>
      <c r="C121" s="514" t="str">
        <f>CONCATENATE('3 pr-2'!D123)</f>
        <v>Sveikatos priežiūros paslaugų modernizavimas bei optimizavimas pirminės sveikatos priežiūros centre</v>
      </c>
      <c r="D121" s="514" t="str">
        <f>CONCATENATE('3 pr-2'!E123)</f>
        <v xml:space="preserve">VšĮ Alytaus miesto savivaldybės pirminės sveikatos priežiūros centras </v>
      </c>
      <c r="E121" s="514" t="str">
        <f>CONCATENATE('3 pr-2'!F123)</f>
        <v>Lietuvos Respublikos Sveikatos apsaugos ministerija</v>
      </c>
      <c r="F121" s="514" t="str">
        <f>CONCATENATE('3 pr-2'!G123)</f>
        <v>Alytaus  miestas</v>
      </c>
      <c r="G121" s="212" t="str">
        <f>CONCATENATE('3 pr-2'!H123)</f>
        <v>08.1.3-CPVA-R-609</v>
      </c>
      <c r="H121" s="212" t="str">
        <f>CONCATENATE('3 pr-2'!I123)</f>
        <v>R</v>
      </c>
      <c r="I121" s="212" t="str">
        <f>CONCATENATE('3 pr-2'!J123)</f>
        <v>-</v>
      </c>
      <c r="J121" s="212" t="str">
        <f>CONCATENATE('3 pr-2'!K123)</f>
        <v>-</v>
      </c>
      <c r="K121" s="212">
        <v>27</v>
      </c>
      <c r="L121" s="212" t="s">
        <v>1739</v>
      </c>
      <c r="M121" s="212" t="s">
        <v>1740</v>
      </c>
      <c r="N121" s="212" t="s">
        <v>385</v>
      </c>
      <c r="O121" s="212">
        <v>10</v>
      </c>
      <c r="P121" s="212" t="s">
        <v>372</v>
      </c>
      <c r="Q121" s="212"/>
      <c r="R121" s="212"/>
      <c r="S121" s="212"/>
      <c r="T121" s="212"/>
      <c r="U121" s="522">
        <v>1</v>
      </c>
      <c r="V121" s="918">
        <f>SUM('3 pr-2'!L123)</f>
        <v>50356</v>
      </c>
      <c r="W121" s="918">
        <f>SUM('3 pr-2'!AA123)</f>
        <v>42802</v>
      </c>
    </row>
    <row r="122" spans="1:23" ht="64.5" thickBot="1" x14ac:dyDescent="0.3">
      <c r="A122" s="212" t="str">
        <f>CONCATENATE('3 pr-2'!A124)</f>
        <v>2.1.2.1.3</v>
      </c>
      <c r="B122" s="212" t="str">
        <f>CONCATENATE('3 pr-2'!B124)</f>
        <v>R01-6609-274700-2213</v>
      </c>
      <c r="C122" s="514" t="str">
        <f>CONCATENATE('3 pr-2'!D124)</f>
        <v>UAB „MediCA klinika“ teikiamų pirminės asmens sveikatos priežiūros paslaugų efektyvumo didinimas Alytaus miesto savivaldybėje</v>
      </c>
      <c r="D122" s="514" t="str">
        <f>CONCATENATE('3 pr-2'!E124)</f>
        <v>UAB „MediCA klinika“</v>
      </c>
      <c r="E122" s="514" t="str">
        <f>CONCATENATE('3 pr-2'!F124)</f>
        <v>Lietuvos Respublikos Sveikatos apsaugos ministerija</v>
      </c>
      <c r="F122" s="514" t="str">
        <f>CONCATENATE('3 pr-2'!G124)</f>
        <v>Alytaus  miestas</v>
      </c>
      <c r="G122" s="212" t="str">
        <f>CONCATENATE('3 pr-2'!H124)</f>
        <v>08.1.3-CPVA-R-609</v>
      </c>
      <c r="H122" s="212" t="str">
        <f>CONCATENATE('3 pr-2'!I124)</f>
        <v>R</v>
      </c>
      <c r="I122" s="212" t="str">
        <f>CONCATENATE('3 pr-2'!J124)</f>
        <v>-</v>
      </c>
      <c r="J122" s="212" t="str">
        <f>CONCATENATE('3 pr-2'!K124)</f>
        <v>-</v>
      </c>
      <c r="K122" s="212">
        <v>27</v>
      </c>
      <c r="L122" s="212" t="s">
        <v>1739</v>
      </c>
      <c r="M122" s="212" t="s">
        <v>1740</v>
      </c>
      <c r="N122" s="212" t="s">
        <v>385</v>
      </c>
      <c r="O122" s="212"/>
      <c r="P122" s="212"/>
      <c r="Q122" s="212"/>
      <c r="R122" s="212"/>
      <c r="S122" s="212"/>
      <c r="T122" s="212"/>
      <c r="U122" s="522">
        <v>1</v>
      </c>
      <c r="V122" s="918">
        <f>SUM('3 pr-2'!L124)</f>
        <v>83468</v>
      </c>
      <c r="W122" s="918">
        <f>SUM('3 pr-2'!AA124)</f>
        <v>70948</v>
      </c>
    </row>
    <row r="123" spans="1:23" ht="39" thickBot="1" x14ac:dyDescent="0.3">
      <c r="A123" s="212" t="str">
        <f>CONCATENATE('3 pr-2'!A125)</f>
        <v>2.1.2.1.4</v>
      </c>
      <c r="B123" s="212" t="str">
        <f>CONCATENATE('3 pr-2'!B125)</f>
        <v>R01-6609-274710-2214</v>
      </c>
      <c r="C123" s="514" t="str">
        <f>CONCATENATE('3 pr-2'!D125)</f>
        <v>UAB "Pagalba ligoniui" teikiamų paslaugų efektyvumo didinimas</v>
      </c>
      <c r="D123" s="514" t="str">
        <f>CONCATENATE('3 pr-2'!E125)</f>
        <v>UAB „Pagalba ligoniui“, Alytaus filialas</v>
      </c>
      <c r="E123" s="514" t="str">
        <f>CONCATENATE('3 pr-2'!F125)</f>
        <v>Lietuvos Respublikos Sveikatos apsaugos ministerija</v>
      </c>
      <c r="F123" s="514" t="str">
        <f>CONCATENATE('3 pr-2'!G125)</f>
        <v>Alytaus  miestas</v>
      </c>
      <c r="G123" s="212" t="str">
        <f>CONCATENATE('3 pr-2'!H125)</f>
        <v>08.1.3-CPVA-R-609</v>
      </c>
      <c r="H123" s="212" t="str">
        <f>CONCATENATE('3 pr-2'!I125)</f>
        <v>R</v>
      </c>
      <c r="I123" s="212" t="str">
        <f>CONCATENATE('3 pr-2'!J125)</f>
        <v>-</v>
      </c>
      <c r="J123" s="212" t="str">
        <f>CONCATENATE('3 pr-2'!K125)</f>
        <v>-</v>
      </c>
      <c r="K123" s="212">
        <v>27</v>
      </c>
      <c r="L123" s="212" t="s">
        <v>1739</v>
      </c>
      <c r="M123" s="212" t="s">
        <v>1740</v>
      </c>
      <c r="N123" s="212" t="s">
        <v>385</v>
      </c>
      <c r="O123" s="212">
        <v>10</v>
      </c>
      <c r="P123" s="212" t="s">
        <v>372</v>
      </c>
      <c r="Q123" s="212"/>
      <c r="R123" s="212"/>
      <c r="S123" s="212"/>
      <c r="T123" s="212"/>
      <c r="U123" s="522">
        <v>1</v>
      </c>
      <c r="V123" s="918">
        <f>SUM('3 pr-2'!L125)</f>
        <v>44091</v>
      </c>
      <c r="W123" s="918">
        <f>SUM('3 pr-2'!AA125)</f>
        <v>37478</v>
      </c>
    </row>
    <row r="124" spans="1:23" ht="90" thickBot="1" x14ac:dyDescent="0.3">
      <c r="A124" s="212" t="str">
        <f>CONCATENATE('3 pr-2'!A126)</f>
        <v>2.1.2.1.5</v>
      </c>
      <c r="B124" s="212" t="str">
        <f>CONCATENATE('3 pr-2'!B126)</f>
        <v>R01-6609-274710-2215</v>
      </c>
      <c r="C124" s="514" t="str">
        <f>CONCATENATE('3 pr-2'!D126)</f>
        <v>Pirminės asmens sveikatos priežiūros veiklos efektyvumo didinimas Alytaus rajono savivaldybėje</v>
      </c>
      <c r="D124" s="514" t="str">
        <f>CONCATENATE('3 pr-2'!E126)</f>
        <v>VšĮ Alytaus rajono savivaldybės pirminės sveikatos priežiūros centras</v>
      </c>
      <c r="E124" s="514" t="str">
        <f>CONCATENATE('3 pr-2'!F126)</f>
        <v>Lietuvos Respublikos Sveikatos apsaugos ministerija</v>
      </c>
      <c r="F124" s="514" t="str">
        <f>CONCATENATE('3 pr-2'!G126)</f>
        <v>Alytaus rajonas</v>
      </c>
      <c r="G124" s="212" t="str">
        <f>CONCATENATE('3 pr-2'!H126)</f>
        <v>08.1.3-CPVA-R-609</v>
      </c>
      <c r="H124" s="212" t="str">
        <f>CONCATENATE('3 pr-2'!I126)</f>
        <v>R</v>
      </c>
      <c r="I124" s="212" t="str">
        <f>CONCATENATE('3 pr-2'!J126)</f>
        <v>-</v>
      </c>
      <c r="J124" s="212" t="str">
        <f>CONCATENATE('3 pr-2'!K126)</f>
        <v>-</v>
      </c>
      <c r="K124" s="212">
        <v>27</v>
      </c>
      <c r="L124" s="212" t="s">
        <v>1739</v>
      </c>
      <c r="M124" s="212" t="s">
        <v>1740</v>
      </c>
      <c r="N124" s="212" t="s">
        <v>385</v>
      </c>
      <c r="O124" s="212">
        <v>10</v>
      </c>
      <c r="P124" s="212" t="s">
        <v>372</v>
      </c>
      <c r="Q124" s="212"/>
      <c r="R124" s="212"/>
      <c r="S124" s="212"/>
      <c r="T124" s="212"/>
      <c r="U124" s="522">
        <v>1</v>
      </c>
      <c r="V124" s="918">
        <f>SUM('3 pr-2'!L126)</f>
        <v>171636</v>
      </c>
      <c r="W124" s="918">
        <f>SUM('3 pr-2'!AA126)</f>
        <v>145890</v>
      </c>
    </row>
    <row r="125" spans="1:23" ht="39" thickBot="1" x14ac:dyDescent="0.3">
      <c r="A125" s="212" t="str">
        <f>CONCATENATE('3 pr-2'!A127)</f>
        <v>2.1.2.1.6</v>
      </c>
      <c r="B125" s="212" t="str">
        <f>CONCATENATE('3 pr-2'!B127)</f>
        <v>R01-6609-471000-2216</v>
      </c>
      <c r="C125" s="514" t="str">
        <f>CONCATENATE('3 pr-2'!D127)</f>
        <v>Sveikatos priežiūros paslaugų gerinimas "UAB "Disolis"</v>
      </c>
      <c r="D125" s="514" t="str">
        <f>CONCATENATE('3 pr-2'!E127)</f>
        <v>UAB „Disolis“</v>
      </c>
      <c r="E125" s="514" t="str">
        <f>CONCATENATE('3 pr-2'!F127)</f>
        <v>Lietuvos Respublikos Sveikatos apsaugos ministerija</v>
      </c>
      <c r="F125" s="514" t="str">
        <f>CONCATENATE('3 pr-2'!G127)</f>
        <v>Alytaus rajonas</v>
      </c>
      <c r="G125" s="212" t="str">
        <f>CONCATENATE('3 pr-2'!H127)</f>
        <v>08.1.3-CPVA-R-609</v>
      </c>
      <c r="H125" s="212" t="str">
        <f>CONCATENATE('3 pr-2'!I127)</f>
        <v>R</v>
      </c>
      <c r="I125" s="212" t="str">
        <f>CONCATENATE('3 pr-2'!J127)</f>
        <v>-</v>
      </c>
      <c r="J125" s="212" t="str">
        <f>CONCATENATE('3 pr-2'!K127)</f>
        <v>-</v>
      </c>
      <c r="K125" s="212" t="s">
        <v>1740</v>
      </c>
      <c r="L125" s="212" t="s">
        <v>385</v>
      </c>
      <c r="M125" s="212">
        <v>10</v>
      </c>
      <c r="N125" s="212" t="s">
        <v>372</v>
      </c>
      <c r="O125" s="212"/>
      <c r="P125" s="212"/>
      <c r="Q125" s="212"/>
      <c r="R125" s="212"/>
      <c r="S125" s="212"/>
      <c r="T125" s="212"/>
      <c r="U125" s="522">
        <v>1</v>
      </c>
      <c r="V125" s="918">
        <f>SUM('3 pr-2'!L127)</f>
        <v>17386</v>
      </c>
      <c r="W125" s="918">
        <f>SUM('3 pr-2'!AA127)</f>
        <v>14778</v>
      </c>
    </row>
    <row r="126" spans="1:23" ht="64.5" thickBot="1" x14ac:dyDescent="0.3">
      <c r="A126" s="212" t="str">
        <f>CONCATENATE('3 pr-2'!A128)</f>
        <v>2.1.2.1.7</v>
      </c>
      <c r="B126" s="212" t="str">
        <f>CONCATENATE('3 pr-2'!B128)</f>
        <v>R01-6609-274710-2217</v>
      </c>
      <c r="C126" s="514" t="str">
        <f>CONCATENATE('3 pr-2'!D128)</f>
        <v>Pirminės asmens sveikatos priežiūros kokybės ir prieinamumo gerinimas Druskininkų savivaldybėje</v>
      </c>
      <c r="D126" s="514" t="str">
        <f>CONCATENATE('3 pr-2'!E128)</f>
        <v>VšĮ Druskininkų pirminės sveikatos priežiūros centras</v>
      </c>
      <c r="E126" s="514" t="str">
        <f>CONCATENATE('3 pr-2'!F128)</f>
        <v>Lietuvos Respublikos Sveikatos apsaugos ministerija</v>
      </c>
      <c r="F126" s="514" t="str">
        <f>CONCATENATE('3 pr-2'!G128)</f>
        <v>Druskininkų sav.</v>
      </c>
      <c r="G126" s="212" t="str">
        <f>CONCATENATE('3 pr-2'!H128)</f>
        <v>08.1.3-CPVA-R-609</v>
      </c>
      <c r="H126" s="212" t="str">
        <f>CONCATENATE('3 pr-2'!I128)</f>
        <v>R</v>
      </c>
      <c r="I126" s="212" t="str">
        <f>CONCATENATE('3 pr-2'!J128)</f>
        <v>-</v>
      </c>
      <c r="J126" s="212" t="str">
        <f>CONCATENATE('3 pr-2'!K128)</f>
        <v>-</v>
      </c>
      <c r="K126" s="212">
        <v>27</v>
      </c>
      <c r="L126" s="212" t="s">
        <v>1739</v>
      </c>
      <c r="M126" s="212" t="s">
        <v>1740</v>
      </c>
      <c r="N126" s="212" t="s">
        <v>385</v>
      </c>
      <c r="O126" s="1439">
        <v>10</v>
      </c>
      <c r="P126" s="1439" t="s">
        <v>372</v>
      </c>
      <c r="Q126" s="212"/>
      <c r="R126" s="212"/>
      <c r="S126" s="212"/>
      <c r="T126" s="212"/>
      <c r="U126" s="522">
        <v>1</v>
      </c>
      <c r="V126" s="918">
        <f>SUM('3 pr-2'!L128)</f>
        <v>163532</v>
      </c>
      <c r="W126" s="918">
        <f>SUM('3 pr-2'!AA128)</f>
        <v>139002</v>
      </c>
    </row>
    <row r="127" spans="1:23" ht="51.75" thickBot="1" x14ac:dyDescent="0.3">
      <c r="A127" s="212" t="str">
        <f>CONCATENATE('3 pr-2'!A129)</f>
        <v>2.1.2.1.8</v>
      </c>
      <c r="B127" s="212" t="str">
        <f>CONCATENATE('3 pr-2'!B129)</f>
        <v>R01-6609-104700-2218</v>
      </c>
      <c r="C127" s="514" t="str">
        <f>CONCATENATE('3 pr-2'!D129)</f>
        <v>UAB "Druskininkų šeimos klinika" asmens sveikatos priežiūros paslaugų prieinamumo ir efektyvumo didinimas</v>
      </c>
      <c r="D127" s="514" t="str">
        <f>CONCATENATE('3 pr-2'!E129)</f>
        <v>UAB „Druskininkų šeimos klinika“</v>
      </c>
      <c r="E127" s="514" t="str">
        <f>CONCATENATE('3 pr-2'!F129)</f>
        <v>Lietuvos Respublikos Sveikatos apsaugos ministerija</v>
      </c>
      <c r="F127" s="514" t="str">
        <f>CONCATENATE('3 pr-2'!G129)</f>
        <v>Druskininkų sav.</v>
      </c>
      <c r="G127" s="212" t="str">
        <f>CONCATENATE('3 pr-2'!H129)</f>
        <v>08.1.3-CPVA-R-609</v>
      </c>
      <c r="H127" s="212" t="str">
        <f>CONCATENATE('3 pr-2'!I129)</f>
        <v>R</v>
      </c>
      <c r="I127" s="212" t="str">
        <f>CONCATENATE('3 pr-2'!J129)</f>
        <v>-</v>
      </c>
      <c r="J127" s="212" t="str">
        <f>CONCATENATE('3 pr-2'!K129)</f>
        <v>-</v>
      </c>
      <c r="K127" s="212">
        <v>10</v>
      </c>
      <c r="L127" s="212" t="s">
        <v>372</v>
      </c>
      <c r="M127" s="212" t="s">
        <v>1740</v>
      </c>
      <c r="N127" s="212" t="s">
        <v>385</v>
      </c>
      <c r="O127" s="212"/>
      <c r="P127" s="212"/>
      <c r="Q127" s="212"/>
      <c r="R127" s="212"/>
      <c r="S127" s="212"/>
      <c r="T127" s="212"/>
      <c r="U127" s="522">
        <v>1</v>
      </c>
      <c r="V127" s="918">
        <f>SUM('3 pr-2'!L129)</f>
        <v>12289</v>
      </c>
      <c r="W127" s="918">
        <f>SUM('3 pr-2'!AA129)</f>
        <v>10445</v>
      </c>
    </row>
    <row r="128" spans="1:23" ht="64.5" thickBot="1" x14ac:dyDescent="0.3">
      <c r="A128" s="212" t="str">
        <f>CONCATENATE('3 pr-2'!A130)</f>
        <v>2.1.2.1.9</v>
      </c>
      <c r="B128" s="212" t="str">
        <f>CONCATENATE('3 pr-2'!B130)</f>
        <v>R01-6609-274710-2219</v>
      </c>
      <c r="C128" s="514" t="str">
        <f>CONCATENATE('3 pr-2'!D130)</f>
        <v>I. S. Kavaliauskienės įmonės teikiamų pirminės ambulatorinės asmens sveikatos priežiūros paslaugų kokybės ir prieinamumo gerinimas.</v>
      </c>
      <c r="D128" s="514" t="str">
        <f>CONCATENATE('3 pr-2'!E130)</f>
        <v>Irenos Stanislavos Kavaliauskienės įmonė</v>
      </c>
      <c r="E128" s="514" t="str">
        <f>CONCATENATE('3 pr-2'!F130)</f>
        <v>Lietuvos Respublikos Sveikatos apsaugos ministerija</v>
      </c>
      <c r="F128" s="514" t="str">
        <f>CONCATENATE('3 pr-2'!G130)</f>
        <v>Druskininkų sav.</v>
      </c>
      <c r="G128" s="212" t="str">
        <f>CONCATENATE('3 pr-2'!H130)</f>
        <v>08.1.3-CPVA-R-609</v>
      </c>
      <c r="H128" s="212" t="str">
        <f>CONCATENATE('3 pr-2'!I130)</f>
        <v>R</v>
      </c>
      <c r="I128" s="212" t="str">
        <f>CONCATENATE('3 pr-2'!J130)</f>
        <v>-</v>
      </c>
      <c r="J128" s="212" t="str">
        <f>CONCATENATE('3 pr-2'!K130)</f>
        <v>-</v>
      </c>
      <c r="K128" s="212">
        <v>27</v>
      </c>
      <c r="L128" s="212" t="s">
        <v>1739</v>
      </c>
      <c r="M128" s="212" t="s">
        <v>1740</v>
      </c>
      <c r="N128" s="212" t="s">
        <v>385</v>
      </c>
      <c r="O128" s="212">
        <v>10</v>
      </c>
      <c r="P128" s="212" t="s">
        <v>372</v>
      </c>
      <c r="Q128" s="212"/>
      <c r="R128" s="212"/>
      <c r="S128" s="212"/>
      <c r="T128" s="212"/>
      <c r="U128" s="522">
        <v>1</v>
      </c>
      <c r="V128" s="918">
        <f>SUM('3 pr-2'!L130)</f>
        <v>25517</v>
      </c>
      <c r="W128" s="918">
        <f>SUM('3 pr-2'!AA130)</f>
        <v>21689</v>
      </c>
    </row>
    <row r="129" spans="1:23" ht="64.5" thickBot="1" x14ac:dyDescent="0.3">
      <c r="A129" s="212" t="str">
        <f>CONCATENATE('3 pr-2'!A131)</f>
        <v>2.1.2.1.10</v>
      </c>
      <c r="B129" s="212" t="str">
        <f>CONCATENATE('3 pr-2'!B131)</f>
        <v>R01-6609-274710-2220</v>
      </c>
      <c r="C129" s="514" t="str">
        <f>CONCATENATE('3 pr-2'!D131)</f>
        <v>Pirminės ambulatorinės asmens sveikatos priežiūros efektyvumo didinimas R.Ambrazaitienės ir L. Puzinovienės šeimos gydytojų kabinetuose</v>
      </c>
      <c r="D129" s="514" t="str">
        <f>CONCATENATE('3 pr-2'!E131)</f>
        <v>UAB „Rasos Ambrazaitienės šeimos gydytojo kabinetas“</v>
      </c>
      <c r="E129" s="514" t="str">
        <f>CONCATENATE('3 pr-2'!F131)</f>
        <v>Lietuvos Respublikos Sveikatos apsaugos ministerija</v>
      </c>
      <c r="F129" s="514" t="str">
        <f>CONCATENATE('3 pr-2'!G131)</f>
        <v>Druskininkų sav.</v>
      </c>
      <c r="G129" s="212" t="str">
        <f>CONCATENATE('3 pr-2'!H131)</f>
        <v>08.1.3-CPVA-R-609</v>
      </c>
      <c r="H129" s="212" t="str">
        <f>CONCATENATE('3 pr-2'!I131)</f>
        <v>R</v>
      </c>
      <c r="I129" s="212" t="str">
        <f>CONCATENATE('3 pr-2'!J131)</f>
        <v>-</v>
      </c>
      <c r="J129" s="212" t="str">
        <f>CONCATENATE('3 pr-2'!K131)</f>
        <v>-</v>
      </c>
      <c r="K129" s="212">
        <v>27</v>
      </c>
      <c r="L129" s="212" t="s">
        <v>1739</v>
      </c>
      <c r="M129" s="212" t="s">
        <v>1740</v>
      </c>
      <c r="N129" s="212" t="s">
        <v>385</v>
      </c>
      <c r="O129" s="212">
        <v>10</v>
      </c>
      <c r="P129" s="212" t="s">
        <v>372</v>
      </c>
      <c r="Q129" s="212"/>
      <c r="R129" s="212"/>
      <c r="S129" s="212"/>
      <c r="T129" s="212"/>
      <c r="U129" s="522">
        <v>1</v>
      </c>
      <c r="V129" s="918">
        <f>SUM('3 pr-2'!L131)</f>
        <v>27906</v>
      </c>
      <c r="W129" s="918">
        <f>SUM('3 pr-2'!AA131)</f>
        <v>23720</v>
      </c>
    </row>
    <row r="130" spans="1:23" ht="51.75" thickBot="1" x14ac:dyDescent="0.3">
      <c r="A130" s="212" t="str">
        <f>CONCATENATE('3 pr-2'!A132)</f>
        <v>2.1.2.1.11</v>
      </c>
      <c r="B130" s="212" t="str">
        <f>CONCATENATE('3 pr-2'!B132)</f>
        <v>R01-6609-274700-2221</v>
      </c>
      <c r="C130" s="514" t="str">
        <f>CONCATENATE('3 pr-2'!D132)</f>
        <v xml:space="preserve">Pirminės asmens sveikatos priežiūros veiklos efektyvumo didinimas Lazdijų rajono savivaldybėje </v>
      </c>
      <c r="D130" s="514" t="str">
        <f>CONCATENATE('3 pr-2'!E132)</f>
        <v>Lazdijų rajono savivaldybės administracija</v>
      </c>
      <c r="E130" s="514" t="str">
        <f>CONCATENATE('3 pr-2'!F132)</f>
        <v>Lietuvos Respublikos Sveikatos apsaugos ministerija</v>
      </c>
      <c r="F130" s="514" t="str">
        <f>CONCATENATE('3 pr-2'!G132)</f>
        <v>Lazdijai</v>
      </c>
      <c r="G130" s="212" t="str">
        <f>CONCATENATE('3 pr-2'!H132)</f>
        <v>08.1.3-CPVA-R-609</v>
      </c>
      <c r="H130" s="212" t="str">
        <f>CONCATENATE('3 pr-2'!I132)</f>
        <v>R</v>
      </c>
      <c r="I130" s="212" t="str">
        <f>CONCATENATE('3 pr-2'!J132)</f>
        <v>-</v>
      </c>
      <c r="J130" s="212" t="str">
        <f>CONCATENATE('3 pr-2'!K132)</f>
        <v>-</v>
      </c>
      <c r="K130" s="212">
        <v>27</v>
      </c>
      <c r="L130" s="212" t="s">
        <v>1739</v>
      </c>
      <c r="M130" s="212" t="s">
        <v>1740</v>
      </c>
      <c r="N130" s="212" t="s">
        <v>385</v>
      </c>
      <c r="O130" s="212"/>
      <c r="P130" s="212"/>
      <c r="Q130" s="212"/>
      <c r="R130" s="212"/>
      <c r="S130" s="212"/>
      <c r="T130" s="212"/>
      <c r="U130" s="522">
        <v>1</v>
      </c>
      <c r="V130" s="918">
        <f>SUM('3 pr-2'!L132)</f>
        <v>192719</v>
      </c>
      <c r="W130" s="918">
        <f>SUM('3 pr-2'!AA132)</f>
        <v>163811</v>
      </c>
    </row>
    <row r="131" spans="1:23" ht="64.5" thickBot="1" x14ac:dyDescent="0.3">
      <c r="A131" s="212" t="str">
        <f>CONCATENATE('3 pr-2'!A133)</f>
        <v>2.1.2.1.12</v>
      </c>
      <c r="B131" s="212" t="str">
        <f>CONCATENATE('3 pr-2'!B133)</f>
        <v>R01-6609-274710-2222</v>
      </c>
      <c r="C131" s="514" t="str">
        <f>CONCATENATE('3 pr-2'!D133)</f>
        <v>Pirminės asmens sveikatos priežiūros veiklos efektyvumo didinimas Varėnos rajono savivaldybėje</v>
      </c>
      <c r="D131" s="514" t="str">
        <f>CONCATENATE('3 pr-2'!E133)</f>
        <v>VšĮ Varėnos pirminės sveikatos priežiūros centras</v>
      </c>
      <c r="E131" s="514" t="str">
        <f>CONCATENATE('3 pr-2'!F133)</f>
        <v>Lietuvos Respublikos Sveikatos apsaugos ministerija</v>
      </c>
      <c r="F131" s="514" t="str">
        <f>CONCATENATE('3 pr-2'!G133)</f>
        <v>Varėnos r. sav.</v>
      </c>
      <c r="G131" s="212" t="str">
        <f>CONCATENATE('3 pr-2'!H133)</f>
        <v>08.1.3-CPVA-R-609</v>
      </c>
      <c r="H131" s="212" t="str">
        <f>CONCATENATE('3 pr-2'!I133)</f>
        <v>R</v>
      </c>
      <c r="I131" s="212" t="str">
        <f>CONCATENATE('3 pr-2'!J133)</f>
        <v>-</v>
      </c>
      <c r="J131" s="212" t="str">
        <f>CONCATENATE('3 pr-2'!K133)</f>
        <v>-</v>
      </c>
      <c r="K131" s="212">
        <v>27</v>
      </c>
      <c r="L131" s="212" t="s">
        <v>1739</v>
      </c>
      <c r="M131" s="212" t="s">
        <v>1740</v>
      </c>
      <c r="N131" s="212" t="s">
        <v>385</v>
      </c>
      <c r="O131" s="212">
        <v>10</v>
      </c>
      <c r="P131" s="212" t="s">
        <v>372</v>
      </c>
      <c r="Q131" s="212"/>
      <c r="R131" s="212"/>
      <c r="S131" s="212"/>
      <c r="T131" s="212"/>
      <c r="U131" s="522">
        <v>1</v>
      </c>
      <c r="V131" s="918">
        <f>SUM('3 pr-2'!L133)</f>
        <v>192678</v>
      </c>
      <c r="W131" s="918">
        <f>SUM('3 pr-2'!AA133)</f>
        <v>163776</v>
      </c>
    </row>
    <row r="132" spans="1:23" ht="51.75" thickBot="1" x14ac:dyDescent="0.3">
      <c r="A132" s="1439" t="str">
        <f>CONCATENATE('3 pr-2'!A134)</f>
        <v>2.1.2.1.13</v>
      </c>
      <c r="B132" s="1439" t="str">
        <f>CONCATENATE('3 pr-2'!B134)</f>
        <v>R01-6609-470000-2223</v>
      </c>
      <c r="C132" s="1440" t="str">
        <f>CONCATENATE('3 pr-2'!D134)</f>
        <v>Pirminės asmens sveikatos priežiūros veiklos efektyvumo didinimas N. Jarašienės personalinėje įmonėje</v>
      </c>
      <c r="D132" s="1440" t="str">
        <f>CONCATENATE('3 pr-2'!E134)</f>
        <v>N. Jarašienės personalinė įmonė</v>
      </c>
      <c r="E132" s="1440" t="str">
        <f>CONCATENATE('3 pr-2'!F134)</f>
        <v>Lietuvos Respublikos Sveikatos apsaugos ministerija</v>
      </c>
      <c r="F132" s="1440" t="str">
        <f>CONCATENATE('3 pr-2'!G134)</f>
        <v>Varėnos r. sav.</v>
      </c>
      <c r="G132" s="1439" t="str">
        <f>CONCATENATE('3 pr-2'!H134)</f>
        <v>08.1.3-CPVA-R-609</v>
      </c>
      <c r="H132" s="1439" t="str">
        <f>CONCATENATE('3 pr-2'!I134)</f>
        <v>R</v>
      </c>
      <c r="I132" s="1439" t="str">
        <f>CONCATENATE('3 pr-2'!J134)</f>
        <v>-</v>
      </c>
      <c r="J132" s="1439" t="str">
        <f>CONCATENATE('3 pr-2'!K134)</f>
        <v>-</v>
      </c>
      <c r="K132" s="1439" t="s">
        <v>1740</v>
      </c>
      <c r="L132" s="1439" t="s">
        <v>385</v>
      </c>
      <c r="M132" s="1547"/>
      <c r="N132" s="212"/>
      <c r="O132" s="212"/>
      <c r="P132" s="212"/>
      <c r="Q132" s="212"/>
      <c r="R132" s="212"/>
      <c r="S132" s="212"/>
      <c r="T132" s="212"/>
      <c r="U132" s="522">
        <v>1</v>
      </c>
      <c r="V132" s="918">
        <f>SUM('3 pr-2'!L134)</f>
        <v>8305</v>
      </c>
      <c r="W132" s="918">
        <f>SUM('3 pr-2'!AA134)</f>
        <v>7059</v>
      </c>
    </row>
    <row r="133" spans="1:23" ht="38.25" customHeight="1" thickBot="1" x14ac:dyDescent="0.3">
      <c r="A133" s="496" t="s">
        <v>34</v>
      </c>
      <c r="B133" s="790"/>
      <c r="C133" s="1651" t="str">
        <f>CONCATENATE('3 pr-2'!D135)</f>
        <v/>
      </c>
      <c r="D133" s="1649"/>
      <c r="E133" s="1649"/>
      <c r="F133" s="1649"/>
      <c r="G133" s="1649"/>
      <c r="H133" s="1649"/>
      <c r="I133" s="1649"/>
      <c r="J133" s="1650"/>
      <c r="K133" s="922"/>
      <c r="L133" s="923"/>
      <c r="M133" s="924"/>
      <c r="N133" s="923"/>
      <c r="O133" s="924"/>
      <c r="P133" s="923"/>
      <c r="Q133" s="924"/>
      <c r="R133" s="923"/>
      <c r="S133" s="924"/>
      <c r="T133" s="923"/>
      <c r="U133" s="952"/>
      <c r="V133" s="916">
        <f>SUM(V134:V138)</f>
        <v>994985.89999999991</v>
      </c>
      <c r="W133" s="916">
        <f>SUM(W134:W138)</f>
        <v>845738</v>
      </c>
    </row>
    <row r="134" spans="1:23" ht="64.5" thickBot="1" x14ac:dyDescent="0.3">
      <c r="A134" s="212" t="str">
        <f>CONCATENATE('3 pr-2'!A136)</f>
        <v>2.1.2.2.1</v>
      </c>
      <c r="B134" s="212" t="str">
        <f>CONCATENATE('3 pr-2'!B136)</f>
        <v>R01-6630-475000-2221</v>
      </c>
      <c r="C134" s="514" t="str">
        <f>CONCATENATE('3 pr-2'!D136)</f>
        <v>Sveikos gyvensenos skatinimas Alytaus rajone</v>
      </c>
      <c r="D134" s="514" t="str">
        <f>CONCATENATE('3 pr-2'!E136)</f>
        <v>Alytaus rajono savivaldybės visuomenės sveikatos biuras</v>
      </c>
      <c r="E134" s="514" t="str">
        <f>CONCATENATE('3 pr-2'!F136)</f>
        <v>Lietuvos Respublikos Sveikatos apsaugos ministerija</v>
      </c>
      <c r="F134" s="514" t="str">
        <f>CONCATENATE('3 pr-2'!G136)</f>
        <v>Alytaus rajono savivaldybė</v>
      </c>
      <c r="G134" s="212" t="str">
        <f>CONCATENATE('3 pr-2'!H136)</f>
        <v>08.4.2-ESFA-R-630</v>
      </c>
      <c r="H134" s="212" t="str">
        <f>CONCATENATE('3 pr-2'!I136)</f>
        <v>R</v>
      </c>
      <c r="I134" s="212" t="str">
        <f>CONCATENATE('3 pr-2'!J136)</f>
        <v>-</v>
      </c>
      <c r="J134" s="212" t="str">
        <f>CONCATENATE('3 pr-2'!K136)</f>
        <v>-</v>
      </c>
      <c r="K134" s="212">
        <v>47</v>
      </c>
      <c r="L134" s="212" t="s">
        <v>385</v>
      </c>
      <c r="M134" s="212">
        <v>50</v>
      </c>
      <c r="N134" s="212" t="s">
        <v>379</v>
      </c>
      <c r="O134" s="212"/>
      <c r="P134" s="212"/>
      <c r="Q134" s="212"/>
      <c r="R134" s="212"/>
      <c r="S134" s="212"/>
      <c r="T134" s="212"/>
      <c r="U134" s="522">
        <v>1</v>
      </c>
      <c r="V134" s="918">
        <f>SUM('3 pr-2'!L136)</f>
        <v>198997.18</v>
      </c>
      <c r="W134" s="918">
        <f>SUM('3 pr-2'!AA136)</f>
        <v>169147.6</v>
      </c>
    </row>
    <row r="135" spans="1:23" ht="39" thickBot="1" x14ac:dyDescent="0.3">
      <c r="A135" s="212" t="str">
        <f>CONCATENATE('3 pr-2'!A137)</f>
        <v>2.1.2.2.2</v>
      </c>
      <c r="B135" s="212" t="str">
        <f>CONCATENATE('3 pr-2'!B137)</f>
        <v>R01-6630-470000-2222</v>
      </c>
      <c r="C135" s="514" t="str">
        <f>CONCATENATE('3 pr-2'!D137)</f>
        <v>Mažais žingsneliais – sveikos gyvensenos link</v>
      </c>
      <c r="D135" s="514" t="str">
        <f>CONCATENATE('3 pr-2'!E137)</f>
        <v>Alytaus miesto savivaldybės administracija</v>
      </c>
      <c r="E135" s="514" t="str">
        <f>CONCATENATE('3 pr-2'!F137)</f>
        <v>Lietuvos Respublikos Sveikatos apsaugos ministerija</v>
      </c>
      <c r="F135" s="514" t="str">
        <f>CONCATENATE('3 pr-2'!G137)</f>
        <v>Alytaus  miestas</v>
      </c>
      <c r="G135" s="212" t="str">
        <f>CONCATENATE('3 pr-2'!H137)</f>
        <v>08.4.2-ESFA-R-630</v>
      </c>
      <c r="H135" s="212" t="str">
        <f>CONCATENATE('3 pr-2'!I137)</f>
        <v>R</v>
      </c>
      <c r="I135" s="212" t="str">
        <f>CONCATENATE('3 pr-2'!J137)</f>
        <v>-</v>
      </c>
      <c r="J135" s="212" t="str">
        <f>CONCATENATE('3 pr-2'!K137)</f>
        <v>-</v>
      </c>
      <c r="K135" s="212">
        <v>47</v>
      </c>
      <c r="L135" s="212" t="s">
        <v>385</v>
      </c>
      <c r="M135" s="212"/>
      <c r="N135" s="212"/>
      <c r="O135" s="212"/>
      <c r="P135" s="212"/>
      <c r="Q135" s="212"/>
      <c r="R135" s="212"/>
      <c r="S135" s="212"/>
      <c r="T135" s="212"/>
      <c r="U135" s="522">
        <v>1</v>
      </c>
      <c r="V135" s="918">
        <f>SUM('3 pr-2'!L137)</f>
        <v>198997.18</v>
      </c>
      <c r="W135" s="918">
        <f>SUM('3 pr-2'!AA137)</f>
        <v>169147.6</v>
      </c>
    </row>
    <row r="136" spans="1:23" ht="64.5" thickBot="1" x14ac:dyDescent="0.3">
      <c r="A136" s="212" t="str">
        <f>CONCATENATE('3 pr-2'!A138)</f>
        <v>2.1.2.2.3</v>
      </c>
      <c r="B136" s="212" t="str">
        <f>CONCATENATE('3 pr-2'!B138)</f>
        <v>R01-6630-470000-2223</v>
      </c>
      <c r="C136" s="514" t="str">
        <f>CONCATENATE('3 pr-2'!D138)</f>
        <v>Sveikos gyvensenos skatinimas Varėnos rajono savivaldybėje</v>
      </c>
      <c r="D136" s="514" t="str">
        <f>CONCATENATE('3 pr-2'!E138)</f>
        <v>Varėnos rajono savivaldybės visuomenės sveikatos biuras</v>
      </c>
      <c r="E136" s="514" t="str">
        <f>CONCATENATE('3 pr-2'!F138)</f>
        <v>Lietuvos Respublikos Sveikatos apsaugos ministerija</v>
      </c>
      <c r="F136" s="514" t="str">
        <f>CONCATENATE('3 pr-2'!G138)</f>
        <v>Varėnos rajono savivaldybė</v>
      </c>
      <c r="G136" s="212" t="str">
        <f>CONCATENATE('3 pr-2'!H138)</f>
        <v>08.4.2-ESFA-R-630</v>
      </c>
      <c r="H136" s="212" t="str">
        <f>CONCATENATE('3 pr-2'!I138)</f>
        <v>R</v>
      </c>
      <c r="I136" s="212" t="str">
        <f>CONCATENATE('3 pr-2'!J138)</f>
        <v>-</v>
      </c>
      <c r="J136" s="212" t="str">
        <f>CONCATENATE('3 pr-2'!K138)</f>
        <v>-</v>
      </c>
      <c r="K136" s="212">
        <v>47</v>
      </c>
      <c r="L136" s="212" t="s">
        <v>385</v>
      </c>
      <c r="M136" s="212"/>
      <c r="N136" s="212"/>
      <c r="O136" s="212"/>
      <c r="P136" s="212"/>
      <c r="Q136" s="212"/>
      <c r="R136" s="212"/>
      <c r="S136" s="212"/>
      <c r="T136" s="212"/>
      <c r="U136" s="522">
        <v>1</v>
      </c>
      <c r="V136" s="918">
        <f>SUM('3 pr-2'!L138)</f>
        <v>198997.18</v>
      </c>
      <c r="W136" s="918">
        <f>SUM('3 pr-2'!AA138)</f>
        <v>169147.6</v>
      </c>
    </row>
    <row r="137" spans="1:23" ht="64.5" thickBot="1" x14ac:dyDescent="0.3">
      <c r="A137" s="212" t="str">
        <f>CONCATENATE('3 pr-2'!A139)</f>
        <v>2.1.2.2.4.</v>
      </c>
      <c r="B137" s="212" t="str">
        <f>CONCATENATE('3 pr-2'!B139)</f>
        <v>R01-6630-470000-2224</v>
      </c>
      <c r="C137" s="514" t="str">
        <f>CONCATENATE('3 pr-2'!D139)</f>
        <v>Sveika bendruomenė – stipri visuomenė</v>
      </c>
      <c r="D137" s="514" t="str">
        <f>CONCATENATE('3 pr-2'!E139)</f>
        <v>Druskininkų savivaldybės visuomenės sveikatos biuras</v>
      </c>
      <c r="E137" s="514" t="str">
        <f>CONCATENATE('3 pr-2'!F139)</f>
        <v>Lietuvos Respublikos Sveikatos apsaugos ministerija</v>
      </c>
      <c r="F137" s="514" t="str">
        <f>CONCATENATE('3 pr-2'!G139)</f>
        <v>Druskininkų savivaldybė</v>
      </c>
      <c r="G137" s="212" t="str">
        <f>CONCATENATE('3 pr-2'!H139)</f>
        <v>08.4.2-ESFA-R-630</v>
      </c>
      <c r="H137" s="212" t="str">
        <f>CONCATENATE('3 pr-2'!I139)</f>
        <v>R</v>
      </c>
      <c r="I137" s="212" t="str">
        <f>CONCATENATE('3 pr-2'!J139)</f>
        <v>-</v>
      </c>
      <c r="J137" s="212" t="str">
        <f>CONCATENATE('3 pr-2'!K139)</f>
        <v>-</v>
      </c>
      <c r="K137" s="212">
        <v>47</v>
      </c>
      <c r="L137" s="212" t="s">
        <v>385</v>
      </c>
      <c r="M137" s="212"/>
      <c r="N137" s="212"/>
      <c r="O137" s="212"/>
      <c r="P137" s="212"/>
      <c r="Q137" s="212"/>
      <c r="R137" s="212"/>
      <c r="S137" s="212"/>
      <c r="T137" s="212"/>
      <c r="U137" s="522">
        <v>1</v>
      </c>
      <c r="V137" s="918">
        <f>SUM('3 pr-2'!L139)</f>
        <v>198997.18</v>
      </c>
      <c r="W137" s="918">
        <f>SUM('3 pr-2'!AA139)</f>
        <v>169147.6</v>
      </c>
    </row>
    <row r="138" spans="1:23" ht="64.5" thickBot="1" x14ac:dyDescent="0.3">
      <c r="A138" s="212" t="str">
        <f>CONCATENATE('3 pr-2'!A140)</f>
        <v>2.1.2.2.5</v>
      </c>
      <c r="B138" s="212" t="str">
        <f>CONCATENATE('3 pr-2'!B140)</f>
        <v>R01-6630-470000-2225</v>
      </c>
      <c r="C138" s="514" t="str">
        <f>CONCATENATE('3 pr-2'!D140)</f>
        <v>Sveikos gyvensenos skatinimas Lazdijų rajono savivaldybėje</v>
      </c>
      <c r="D138" s="514" t="str">
        <f>CONCATENATE('3 pr-2'!E140)</f>
        <v>Lazdijų rajono savivaldybės visuomenės sveikatos biuras</v>
      </c>
      <c r="E138" s="514" t="str">
        <f>CONCATENATE('3 pr-2'!F140)</f>
        <v>Lietuvos Respublikos Sveikatos apsaugos ministerija</v>
      </c>
      <c r="F138" s="514" t="str">
        <f>CONCATENATE('3 pr-2'!G140)</f>
        <v>Lazdijų rajono savivaldybė</v>
      </c>
      <c r="G138" s="212" t="str">
        <f>CONCATENATE('3 pr-2'!H140)</f>
        <v>08.4.2-ESFA-R-630</v>
      </c>
      <c r="H138" s="212" t="str">
        <f>CONCATENATE('3 pr-2'!I140)</f>
        <v>R</v>
      </c>
      <c r="I138" s="212" t="str">
        <f>CONCATENATE('3 pr-2'!J140)</f>
        <v>-</v>
      </c>
      <c r="J138" s="212" t="str">
        <f>CONCATENATE('3 pr-2'!K140)</f>
        <v>-</v>
      </c>
      <c r="K138" s="212">
        <v>47</v>
      </c>
      <c r="L138" s="212" t="s">
        <v>385</v>
      </c>
      <c r="M138" s="212"/>
      <c r="N138" s="212"/>
      <c r="O138" s="212"/>
      <c r="P138" s="212"/>
      <c r="Q138" s="212"/>
      <c r="R138" s="212"/>
      <c r="S138" s="212"/>
      <c r="T138" s="212"/>
      <c r="U138" s="522">
        <v>1</v>
      </c>
      <c r="V138" s="918">
        <f>SUM('3 pr-2'!L140)</f>
        <v>198997.18</v>
      </c>
      <c r="W138" s="918">
        <f>SUM('3 pr-2'!AA140)</f>
        <v>169147.6</v>
      </c>
    </row>
    <row r="139" spans="1:23" ht="38.25" customHeight="1" thickBot="1" x14ac:dyDescent="0.3">
      <c r="A139" s="496" t="str">
        <f>CONCATENATE('3 pr-2'!A141)</f>
        <v>2.1.2.3</v>
      </c>
      <c r="B139" s="212" t="str">
        <f>CONCATENATE('3 pr-2'!B141)</f>
        <v>Priemonė:
Priemonių, gerinančių ambulatorinių sveikatos priežiūros paslaugų prieinamumą tuberkulioze sergantiems pacientams, įgyvendinimas</v>
      </c>
      <c r="C139" s="1651" t="str">
        <f>CONCATENATE('3 pr-2'!D141)</f>
        <v/>
      </c>
      <c r="D139" s="1649"/>
      <c r="E139" s="1649"/>
      <c r="F139" s="1649"/>
      <c r="G139" s="1649"/>
      <c r="H139" s="1649"/>
      <c r="I139" s="1649"/>
      <c r="J139" s="1650"/>
      <c r="K139" s="922"/>
      <c r="L139" s="923"/>
      <c r="M139" s="924"/>
      <c r="N139" s="923"/>
      <c r="O139" s="924"/>
      <c r="P139" s="923"/>
      <c r="Q139" s="924"/>
      <c r="R139" s="923"/>
      <c r="S139" s="924"/>
      <c r="T139" s="923"/>
      <c r="U139" s="952"/>
      <c r="V139" s="916">
        <f>SUM(V140:V150)</f>
        <v>2463872.75</v>
      </c>
      <c r="W139" s="916">
        <f>SUM(W140:W150)</f>
        <v>1702581.6</v>
      </c>
    </row>
    <row r="140" spans="1:23" ht="90" thickBot="1" x14ac:dyDescent="0.3">
      <c r="A140" s="212" t="str">
        <f>CONCATENATE('3 pr-2'!A142)</f>
        <v>2.1.2.3.1</v>
      </c>
      <c r="B140" s="212" t="str">
        <f>CONCATENATE('3 pr-2'!B142)</f>
        <v>R01-6615-475000-2231</v>
      </c>
      <c r="C140" s="514" t="str">
        <f>CONCATENATE('3 pr-2'!D142)</f>
        <v>Priemonių gerinančių ambulatorinių sveikatos priežiūros paslaugų prieinamumą tuberkulioze sergantiems asmenims, Alytaus rajone įgyvendinimas</v>
      </c>
      <c r="D140" s="514" t="str">
        <f>CONCATENATE('3 pr-2'!E142)</f>
        <v>VšĮ Alytaus rajono savivaldybės pirminės sveikatos priežiūros centras</v>
      </c>
      <c r="E140" s="514" t="str">
        <f>CONCATENATE('3 pr-2'!F142)</f>
        <v>Lietuvos Respublikos Sveikatos apsaugos ministerija</v>
      </c>
      <c r="F140" s="514" t="str">
        <f>CONCATENATE('3 pr-2'!G142)</f>
        <v>Alytaus rajono savivaldybė</v>
      </c>
      <c r="G140" s="212" t="str">
        <f>CONCATENATE('3 pr-2'!H142)</f>
        <v>08.4.2-ESFA-R-615</v>
      </c>
      <c r="H140" s="212" t="str">
        <f>CONCATENATE('3 pr-2'!I142)</f>
        <v>R</v>
      </c>
      <c r="I140" s="212" t="str">
        <f>CONCATENATE('3 pr-2'!J142)</f>
        <v>-</v>
      </c>
      <c r="J140" s="212" t="str">
        <f>CONCATENATE('3 pr-2'!K142)</f>
        <v>-</v>
      </c>
      <c r="K140" s="212">
        <v>47</v>
      </c>
      <c r="L140" s="212" t="s">
        <v>385</v>
      </c>
      <c r="M140" s="212">
        <v>50</v>
      </c>
      <c r="N140" s="212" t="s">
        <v>379</v>
      </c>
      <c r="O140" s="212"/>
      <c r="P140" s="212"/>
      <c r="Q140" s="212"/>
      <c r="R140" s="212"/>
      <c r="S140" s="212"/>
      <c r="T140" s="212"/>
      <c r="U140" s="522">
        <v>1</v>
      </c>
      <c r="V140" s="918">
        <f>SUM('3 pr-2'!L142)</f>
        <v>10452.94</v>
      </c>
      <c r="W140" s="918">
        <f>SUM('3 pr-2'!AA142)</f>
        <v>8885</v>
      </c>
    </row>
    <row r="141" spans="1:23" ht="39" thickBot="1" x14ac:dyDescent="0.3">
      <c r="A141" s="212" t="str">
        <f>CONCATENATE('3 pr-2'!A143)</f>
        <v>2.1.2.3.2</v>
      </c>
      <c r="B141" s="212" t="str">
        <f>CONCATENATE('3 pr-2'!B143)</f>
        <v>R01-6615-470000-2232</v>
      </c>
      <c r="C141" s="514" t="str">
        <f>CONCATENATE('3 pr-2'!D143)</f>
        <v>Ambulatorinių sveikatos priežiūros paslaugų gerinimas tuberkulioze sergantiems asmenims</v>
      </c>
      <c r="D141" s="514" t="str">
        <f>CONCATENATE('3 pr-2'!E143)</f>
        <v>Alytaus miesto savivaldybės administracija</v>
      </c>
      <c r="E141" s="514" t="str">
        <f>CONCATENATE('3 pr-2'!F143)</f>
        <v>Lietuvos Respublikos Sveikatos apsaugos ministerija</v>
      </c>
      <c r="F141" s="514" t="str">
        <f>CONCATENATE('3 pr-2'!G143)</f>
        <v>Alytaus  miestas</v>
      </c>
      <c r="G141" s="212" t="str">
        <f>CONCATENATE('3 pr-2'!H143)</f>
        <v>08.4.2-ESFA-R-615</v>
      </c>
      <c r="H141" s="212" t="str">
        <f>CONCATENATE('3 pr-2'!I143)</f>
        <v>R</v>
      </c>
      <c r="I141" s="212" t="str">
        <f>CONCATENATE('3 pr-2'!J143)</f>
        <v>-</v>
      </c>
      <c r="J141" s="212" t="str">
        <f>CONCATENATE('3 pr-2'!K143)</f>
        <v>-</v>
      </c>
      <c r="K141" s="212">
        <v>47</v>
      </c>
      <c r="L141" s="212" t="s">
        <v>385</v>
      </c>
      <c r="M141" s="212"/>
      <c r="N141" s="212"/>
      <c r="O141" s="212"/>
      <c r="P141" s="212"/>
      <c r="Q141" s="212"/>
      <c r="R141" s="212"/>
      <c r="S141" s="212"/>
      <c r="T141" s="212"/>
      <c r="U141" s="522">
        <v>1</v>
      </c>
      <c r="V141" s="918">
        <f>SUM('3 pr-2'!L143)</f>
        <v>17041.18</v>
      </c>
      <c r="W141" s="918">
        <f>SUM('3 pr-2'!AA143)</f>
        <v>14485</v>
      </c>
    </row>
    <row r="142" spans="1:23" ht="39" thickBot="1" x14ac:dyDescent="0.3">
      <c r="A142" s="212" t="str">
        <f>CONCATENATE('3 pr-2'!A144)</f>
        <v>2.1.2.3.3</v>
      </c>
      <c r="B142" s="212" t="str">
        <f>CONCATENATE('3 pr-2'!B144)</f>
        <v>R01-6615-470000-2233</v>
      </c>
      <c r="C142" s="514" t="str">
        <f>CONCATENATE('3 pr-2'!D144)</f>
        <v xml:space="preserve">Paslaugų tuberkulioze sergantiems asmenims gerinimas Lazdijų rajono savivaldybėje </v>
      </c>
      <c r="D142" s="514" t="str">
        <f>CONCATENATE('3 pr-2'!E144)</f>
        <v>Lazdijų rajono savivaldybės administracija</v>
      </c>
      <c r="E142" s="514" t="str">
        <f>CONCATENATE('3 pr-2'!F144)</f>
        <v>Lietuvos Respublikos Sveikatos apsaugos ministerija</v>
      </c>
      <c r="F142" s="514" t="str">
        <f>CONCATENATE('3 pr-2'!G144)</f>
        <v>Lazdijų rajono savivaldybė</v>
      </c>
      <c r="G142" s="212" t="str">
        <f>CONCATENATE('3 pr-2'!H144)</f>
        <v>08.4.2-ESFA-R-615</v>
      </c>
      <c r="H142" s="212" t="str">
        <f>CONCATENATE('3 pr-2'!I144)</f>
        <v>R</v>
      </c>
      <c r="I142" s="212" t="str">
        <f>CONCATENATE('3 pr-2'!J144)</f>
        <v>-</v>
      </c>
      <c r="J142" s="212" t="str">
        <f>CONCATENATE('3 pr-2'!K144)</f>
        <v>-</v>
      </c>
      <c r="K142" s="212">
        <v>47</v>
      </c>
      <c r="L142" s="212" t="s">
        <v>385</v>
      </c>
      <c r="M142" s="212"/>
      <c r="N142" s="212"/>
      <c r="O142" s="212"/>
      <c r="P142" s="212"/>
      <c r="Q142" s="212"/>
      <c r="R142" s="212"/>
      <c r="S142" s="212"/>
      <c r="T142" s="212"/>
      <c r="U142" s="522">
        <v>1</v>
      </c>
      <c r="V142" s="918">
        <f>SUM('3 pr-2'!L144)</f>
        <v>15223.53</v>
      </c>
      <c r="W142" s="918">
        <f>SUM('3 pr-2'!AA144)</f>
        <v>12940</v>
      </c>
    </row>
    <row r="143" spans="1:23" ht="64.5" thickBot="1" x14ac:dyDescent="0.3">
      <c r="A143" s="212" t="str">
        <f>CONCATENATE('3 pr-2'!A145)</f>
        <v>2.1.2.3.4</v>
      </c>
      <c r="B143" s="212" t="str">
        <f>CONCATENATE('3 pr-2'!B145)</f>
        <v>R01-6615-470000-2234</v>
      </c>
      <c r="C143" s="514" t="str">
        <f>CONCATENATE('3 pr-2'!D145)</f>
        <v>Ambulatorinių sveikatos priežiūros paslaugų tuberkulioze sergantiems asmenims prieinamumo gerinimas Druskininkų savivaldybėje</v>
      </c>
      <c r="D143" s="514" t="str">
        <f>CONCATENATE('3 pr-2'!E145)</f>
        <v>Druskininkų pirminės sveikatos priežiūros centras</v>
      </c>
      <c r="E143" s="514" t="str">
        <f>CONCATENATE('3 pr-2'!F145)</f>
        <v>Lietuvos Respublikos Sveikatos apsaugos ministerija</v>
      </c>
      <c r="F143" s="514" t="str">
        <f>CONCATENATE('3 pr-2'!G145)</f>
        <v>Druskininkų savivaldybė</v>
      </c>
      <c r="G143" s="212" t="str">
        <f>CONCATENATE('3 pr-2'!H145)</f>
        <v>08.4.2-ESFA-R-615</v>
      </c>
      <c r="H143" s="212" t="str">
        <f>CONCATENATE('3 pr-2'!I145)</f>
        <v>R</v>
      </c>
      <c r="I143" s="212" t="str">
        <f>CONCATENATE('3 pr-2'!J145)</f>
        <v>-</v>
      </c>
      <c r="J143" s="212" t="str">
        <f>CONCATENATE('3 pr-2'!K145)</f>
        <v>-</v>
      </c>
      <c r="K143" s="212">
        <v>47</v>
      </c>
      <c r="L143" s="212" t="s">
        <v>385</v>
      </c>
      <c r="M143" s="212"/>
      <c r="N143" s="212"/>
      <c r="O143" s="212"/>
      <c r="P143" s="212"/>
      <c r="Q143" s="212"/>
      <c r="R143" s="212"/>
      <c r="S143" s="212"/>
      <c r="T143" s="212"/>
      <c r="U143" s="522">
        <v>1</v>
      </c>
      <c r="V143" s="918">
        <f>SUM('3 pr-2'!L145)</f>
        <v>6816</v>
      </c>
      <c r="W143" s="918">
        <f>SUM('3 pr-2'!AA145)</f>
        <v>5793.6</v>
      </c>
    </row>
    <row r="144" spans="1:23" ht="51.75" thickBot="1" x14ac:dyDescent="0.3">
      <c r="A144" s="212" t="str">
        <f>CONCATENATE('3 pr-2'!A146)</f>
        <v>2.1.2.3.5</v>
      </c>
      <c r="B144" s="212" t="str">
        <f>CONCATENATE('3 pr-2'!B146)</f>
        <v>R01-6615-470000-2235</v>
      </c>
      <c r="C144" s="514" t="str">
        <f>CONCATENATE('3 pr-2'!D146)</f>
        <v>Ambulatorinių sveikatos priežiūros paslaugų prieinamumo gerinimas tuberkulioze sergantiems asmenims Varėnos rajono savivaldybėje</v>
      </c>
      <c r="D144" s="514" t="str">
        <f>CONCATENATE('3 pr-2'!E146)</f>
        <v>Varėnos rajono savivaldybės administracija</v>
      </c>
      <c r="E144" s="514" t="str">
        <f>CONCATENATE('3 pr-2'!F146)</f>
        <v>Lietuvos Respublikos Sveikatos apsaugos ministerija</v>
      </c>
      <c r="F144" s="514" t="str">
        <f>CONCATENATE('3 pr-2'!G146)</f>
        <v>Varėnos rajono savivaldybė</v>
      </c>
      <c r="G144" s="212" t="str">
        <f>CONCATENATE('3 pr-2'!H146)</f>
        <v>08.4.2-ESFA-R-615</v>
      </c>
      <c r="H144" s="212" t="str">
        <f>CONCATENATE('3 pr-2'!I146)</f>
        <v>R</v>
      </c>
      <c r="I144" s="212" t="str">
        <f>CONCATENATE('3 pr-2'!J146)</f>
        <v>-</v>
      </c>
      <c r="J144" s="212" t="str">
        <f>CONCATENATE('3 pr-2'!K146)</f>
        <v>-</v>
      </c>
      <c r="K144" s="212">
        <v>47</v>
      </c>
      <c r="L144" s="212" t="s">
        <v>385</v>
      </c>
      <c r="M144" s="212"/>
      <c r="N144" s="212"/>
      <c r="O144" s="212"/>
      <c r="P144" s="212"/>
      <c r="Q144" s="212"/>
      <c r="R144" s="212"/>
      <c r="S144" s="212"/>
      <c r="T144" s="212"/>
      <c r="U144" s="522">
        <v>1</v>
      </c>
      <c r="V144" s="918">
        <f>SUM('3 pr-2'!L146)</f>
        <v>15679</v>
      </c>
      <c r="W144" s="918">
        <f>SUM('3 pr-2'!AA146)</f>
        <v>13327</v>
      </c>
    </row>
    <row r="145" spans="1:23" ht="40.5" customHeight="1" thickBot="1" x14ac:dyDescent="0.3">
      <c r="A145" s="216" t="s">
        <v>35</v>
      </c>
      <c r="B145" s="1106"/>
      <c r="C145" s="1653" t="s">
        <v>667</v>
      </c>
      <c r="D145" s="1654"/>
      <c r="E145" s="1654"/>
      <c r="F145" s="1654"/>
      <c r="G145" s="1654"/>
      <c r="H145" s="1654"/>
      <c r="I145" s="1654"/>
      <c r="J145" s="1655"/>
      <c r="K145" s="908"/>
      <c r="L145" s="948"/>
      <c r="M145" s="911"/>
      <c r="N145" s="948"/>
      <c r="O145" s="911"/>
      <c r="P145" s="948"/>
      <c r="Q145" s="911"/>
      <c r="R145" s="948"/>
      <c r="S145" s="911"/>
      <c r="T145" s="948"/>
      <c r="U145" s="948"/>
      <c r="V145" s="950"/>
      <c r="W145" s="950"/>
    </row>
    <row r="146" spans="1:23" ht="27.75" customHeight="1" thickBot="1" x14ac:dyDescent="0.3">
      <c r="A146" s="497" t="s">
        <v>36</v>
      </c>
      <c r="B146" s="506"/>
      <c r="C146" s="1656" t="s">
        <v>663</v>
      </c>
      <c r="D146" s="1657"/>
      <c r="E146" s="1657"/>
      <c r="F146" s="1657"/>
      <c r="G146" s="1657"/>
      <c r="H146" s="1657"/>
      <c r="I146" s="1657"/>
      <c r="J146" s="1657"/>
      <c r="K146" s="492"/>
      <c r="L146" s="953"/>
      <c r="M146" s="494"/>
      <c r="N146" s="953"/>
      <c r="O146" s="494"/>
      <c r="P146" s="953"/>
      <c r="Q146" s="494"/>
      <c r="R146" s="953"/>
      <c r="S146" s="494"/>
      <c r="T146" s="953"/>
      <c r="U146" s="954"/>
      <c r="V146" s="944">
        <f>SUM(V147:V151)</f>
        <v>1272489.55</v>
      </c>
      <c r="W146" s="944">
        <f>SUM(W147:W151)</f>
        <v>885761</v>
      </c>
    </row>
    <row r="147" spans="1:23" ht="39" thickBot="1" x14ac:dyDescent="0.3">
      <c r="A147" s="212" t="str">
        <f>CONCATENATE('3 pr-2'!A149)</f>
        <v>2.1.3.1.1</v>
      </c>
      <c r="B147" s="212" t="str">
        <f>CONCATENATE('3 pr-2'!B149)</f>
        <v>R01-4407-270000-2311</v>
      </c>
      <c r="C147" s="514" t="str">
        <f>CONCATENATE('3 pr-2'!D149)</f>
        <v>Socialinių paslaugų infrastruktūros plėtra Varėnos rajono savivaldybėje</v>
      </c>
      <c r="D147" s="514" t="str">
        <f>CONCATENATE('3 pr-2'!E149)</f>
        <v>Varėnos rajono savivaldybės administracija</v>
      </c>
      <c r="E147" s="514" t="str">
        <f>CONCATENATE('3 pr-2'!F149)</f>
        <v>Lietuvos Respublikos socialinės apsaugos ir darbo ministerija</v>
      </c>
      <c r="F147" s="514" t="str">
        <f>CONCATENATE('3 pr-2'!G149)</f>
        <v>Varėnos rajono savivaldybė</v>
      </c>
      <c r="G147" s="212" t="str">
        <f>CONCATENATE('3 pr-2'!H149)</f>
        <v>08.1.2-CPVA-R-407</v>
      </c>
      <c r="H147" s="212" t="str">
        <f>CONCATENATE('3 pr-2'!I149)</f>
        <v>R</v>
      </c>
      <c r="I147" s="212" t="str">
        <f>CONCATENATE('3 pr-2'!J149)</f>
        <v>-</v>
      </c>
      <c r="J147" s="212" t="str">
        <f>CONCATENATE('3 pr-2'!K149)</f>
        <v>-</v>
      </c>
      <c r="K147" s="212">
        <v>27</v>
      </c>
      <c r="L147" s="212" t="s">
        <v>386</v>
      </c>
      <c r="M147" s="212"/>
      <c r="N147" s="212"/>
      <c r="O147" s="212"/>
      <c r="P147" s="212"/>
      <c r="Q147" s="212"/>
      <c r="R147" s="212"/>
      <c r="S147" s="212"/>
      <c r="T147" s="212"/>
      <c r="U147" s="522">
        <v>1</v>
      </c>
      <c r="V147" s="918">
        <f>SUM('3 pr-2'!L149)</f>
        <v>148480</v>
      </c>
      <c r="W147" s="918">
        <f>SUM('3 pr-2'!AA149)</f>
        <v>126208</v>
      </c>
    </row>
    <row r="148" spans="1:23" ht="39" thickBot="1" x14ac:dyDescent="0.3">
      <c r="A148" s="212" t="str">
        <f>CONCATENATE('3 pr-2'!A150)</f>
        <v>2.1.3.1.2</v>
      </c>
      <c r="B148" s="212" t="str">
        <f>CONCATENATE('3 pr-2'!B150)</f>
        <v>R01-4407-274800-2312</v>
      </c>
      <c r="C148" s="514" t="str">
        <f>CONCATENATE('3 pr-2'!D150)</f>
        <v>Psichosocialinės pagalbos centro įkūrimas</v>
      </c>
      <c r="D148" s="514" t="str">
        <f>CONCATENATE('3 pr-2'!E150)</f>
        <v>Alytaus rajono savivaldybės administracija</v>
      </c>
      <c r="E148" s="514" t="str">
        <f>CONCATENATE('3 pr-2'!F150)</f>
        <v>Lietuvos Respublikos socialinės apsaugos ir darbo ministerija</v>
      </c>
      <c r="F148" s="514" t="str">
        <f>CONCATENATE('3 pr-2'!G150)</f>
        <v>Alytaus  miestas</v>
      </c>
      <c r="G148" s="212" t="str">
        <f>CONCATENATE('3 pr-2'!H150)</f>
        <v>08.1.2-CPVA-R-407</v>
      </c>
      <c r="H148" s="212" t="str">
        <f>CONCATENATE('3 pr-2'!I150)</f>
        <v>R</v>
      </c>
      <c r="I148" s="212" t="str">
        <f>CONCATENATE('3 pr-2'!J150)</f>
        <v/>
      </c>
      <c r="J148" s="212" t="str">
        <f>CONCATENATE('3 pr-2'!K150)</f>
        <v>-</v>
      </c>
      <c r="K148" s="212">
        <v>27</v>
      </c>
      <c r="L148" s="212" t="s">
        <v>386</v>
      </c>
      <c r="M148" s="212">
        <v>48</v>
      </c>
      <c r="N148" s="212" t="s">
        <v>387</v>
      </c>
      <c r="O148" s="212"/>
      <c r="P148" s="212"/>
      <c r="Q148" s="212"/>
      <c r="R148" s="212"/>
      <c r="S148" s="212"/>
      <c r="T148" s="212"/>
      <c r="U148" s="522">
        <v>1</v>
      </c>
      <c r="V148" s="918">
        <f>SUM('3 pr-2'!L150)</f>
        <v>188353</v>
      </c>
      <c r="W148" s="918">
        <f>SUM('3 pr-2'!AA150)</f>
        <v>160100</v>
      </c>
    </row>
    <row r="149" spans="1:23" ht="39" thickBot="1" x14ac:dyDescent="0.3">
      <c r="A149" s="212" t="str">
        <f>CONCATENATE('3 pr-2'!A151)</f>
        <v>2.1.3.1.3</v>
      </c>
      <c r="B149" s="212" t="str">
        <f>CONCATENATE('3 pr-2'!B151)</f>
        <v>R01-4407-270000-2313</v>
      </c>
      <c r="C149" s="514" t="str">
        <f>CONCATENATE('3 pr-2'!D151)</f>
        <v>Socialinių paslaugų plėtra Alytaus mieste</v>
      </c>
      <c r="D149" s="514" t="str">
        <f>CONCATENATE('3 pr-2'!E151)</f>
        <v>Alytaus miesto savivaldybės administracija</v>
      </c>
      <c r="E149" s="514" t="str">
        <f>CONCATENATE('3 pr-2'!F151)</f>
        <v>Lietuvos Respublikos socialinės apsaugos ir darbo ministerija</v>
      </c>
      <c r="F149" s="514" t="str">
        <f>CONCATENATE('3 pr-2'!G151)</f>
        <v>Alytaus  miestas</v>
      </c>
      <c r="G149" s="212" t="str">
        <f>CONCATENATE('3 pr-2'!H151)</f>
        <v>08.1.2-CPVA-R-407</v>
      </c>
      <c r="H149" s="212" t="str">
        <f>CONCATENATE('3 pr-2'!I151)</f>
        <v>R</v>
      </c>
      <c r="I149" s="212" t="str">
        <f>CONCATENATE('3 pr-2'!J151)</f>
        <v>-</v>
      </c>
      <c r="J149" s="212" t="str">
        <f>CONCATENATE('3 pr-2'!K151)</f>
        <v>-</v>
      </c>
      <c r="K149" s="212">
        <v>27</v>
      </c>
      <c r="L149" s="212" t="s">
        <v>386</v>
      </c>
      <c r="M149" s="212"/>
      <c r="N149" s="212"/>
      <c r="O149" s="212"/>
      <c r="P149" s="212"/>
      <c r="Q149" s="212"/>
      <c r="R149" s="212"/>
      <c r="S149" s="212"/>
      <c r="T149" s="212"/>
      <c r="U149" s="522">
        <v>1</v>
      </c>
      <c r="V149" s="918">
        <f>SUM('3 pr-2'!L151)</f>
        <v>637900.55000000005</v>
      </c>
      <c r="W149" s="918">
        <f>SUM('3 pr-2'!AA151)</f>
        <v>346361</v>
      </c>
    </row>
    <row r="150" spans="1:23" ht="39" thickBot="1" x14ac:dyDescent="0.3">
      <c r="A150" s="212" t="str">
        <f>CONCATENATE('3 pr-2'!A152)</f>
        <v>2.1.3.1.4</v>
      </c>
      <c r="B150" s="212" t="str">
        <f>CONCATENATE('3 pr-2'!B152)</f>
        <v>R01-4407-270000-2314</v>
      </c>
      <c r="C150" s="514" t="str">
        <f>CONCATENATE('3 pr-2'!D152)</f>
        <v>Socialinių paslaugų infrastruktūros plėtra Druskininkų savivaldybėje</v>
      </c>
      <c r="D150" s="514" t="str">
        <f>CONCATENATE('3 pr-2'!E152)</f>
        <v>Druskininkų savivaldybės administracija</v>
      </c>
      <c r="E150" s="514" t="str">
        <f>CONCATENATE('3 pr-2'!F152)</f>
        <v>Lietuvos Respublikos socialinės apsaugos ir darbo ministerija</v>
      </c>
      <c r="F150" s="514" t="str">
        <f>CONCATENATE('3 pr-2'!G152)</f>
        <v>Druskininkų savivaldybė</v>
      </c>
      <c r="G150" s="212" t="str">
        <f>CONCATENATE('3 pr-2'!H152)</f>
        <v>08.1.2-CPVA-R-407</v>
      </c>
      <c r="H150" s="212" t="str">
        <f>CONCATENATE('3 pr-2'!I152)</f>
        <v>R</v>
      </c>
      <c r="I150" s="212" t="str">
        <f>CONCATENATE('3 pr-2'!J152)</f>
        <v>-</v>
      </c>
      <c r="J150" s="212" t="str">
        <f>CONCATENATE('3 pr-2'!K152)</f>
        <v>-</v>
      </c>
      <c r="K150" s="212">
        <v>27</v>
      </c>
      <c r="L150" s="212" t="s">
        <v>386</v>
      </c>
      <c r="M150" s="212"/>
      <c r="N150" s="212"/>
      <c r="O150" s="212"/>
      <c r="P150" s="212"/>
      <c r="Q150" s="212"/>
      <c r="R150" s="212"/>
      <c r="S150" s="212"/>
      <c r="T150" s="212"/>
      <c r="U150" s="522">
        <v>1</v>
      </c>
      <c r="V150" s="918">
        <f>SUM('3 pr-2'!L152)</f>
        <v>151437</v>
      </c>
      <c r="W150" s="918">
        <f>SUM('3 pr-2'!AA152)</f>
        <v>128721</v>
      </c>
    </row>
    <row r="151" spans="1:23" ht="39" thickBot="1" x14ac:dyDescent="0.3">
      <c r="A151" s="212" t="str">
        <f>CONCATENATE('3 pr-2'!A153)</f>
        <v>2.1.3.1.5</v>
      </c>
      <c r="B151" s="212" t="str">
        <f>CONCATENATE('3 pr-2'!B153)</f>
        <v>R01-4407-270000-2315</v>
      </c>
      <c r="C151" s="514" t="str">
        <f>CONCATENATE('3 pr-2'!D153)</f>
        <v>Socialinių paslaugų infrastruktūros modernizavimas ir plėtra VšĮ Kapčiamiesčio globos namuose</v>
      </c>
      <c r="D151" s="514" t="str">
        <f>CONCATENATE('3 pr-2'!E153)</f>
        <v>VšĮ Kapčiamiesčio globos namai</v>
      </c>
      <c r="E151" s="514" t="str">
        <f>CONCATENATE('3 pr-2'!F153)</f>
        <v>Lietuvos Respublikos socialinės apsaugos ir darbo ministerija</v>
      </c>
      <c r="F151" s="514" t="str">
        <f>CONCATENATE('3 pr-2'!G153)</f>
        <v>Lazdijų rajono savivaldybė</v>
      </c>
      <c r="G151" s="212" t="str">
        <f>CONCATENATE('3 pr-2'!H153)</f>
        <v>08.1.2-CPVA-R-407</v>
      </c>
      <c r="H151" s="212" t="str">
        <f>CONCATENATE('3 pr-2'!I153)</f>
        <v>R</v>
      </c>
      <c r="I151" s="212" t="str">
        <f>CONCATENATE('3 pr-2'!J153)</f>
        <v>-</v>
      </c>
      <c r="J151" s="212" t="str">
        <f>CONCATENATE('3 pr-2'!K153)</f>
        <v>-</v>
      </c>
      <c r="K151" s="212">
        <v>27</v>
      </c>
      <c r="L151" s="212" t="s">
        <v>386</v>
      </c>
      <c r="M151" s="212"/>
      <c r="N151" s="212"/>
      <c r="O151" s="212"/>
      <c r="P151" s="212"/>
      <c r="Q151" s="212"/>
      <c r="R151" s="212"/>
      <c r="S151" s="212"/>
      <c r="T151" s="212"/>
      <c r="U151" s="522">
        <v>1</v>
      </c>
      <c r="V151" s="918">
        <f>SUM('3 pr-2'!L153)</f>
        <v>146319</v>
      </c>
      <c r="W151" s="918">
        <f>SUM('3 pr-2'!AA153)</f>
        <v>124371</v>
      </c>
    </row>
    <row r="152" spans="1:23" ht="38.25" customHeight="1" thickBot="1" x14ac:dyDescent="0.3">
      <c r="A152" s="501" t="s">
        <v>37</v>
      </c>
      <c r="B152" s="526"/>
      <c r="C152" s="1651" t="s">
        <v>879</v>
      </c>
      <c r="D152" s="1649"/>
      <c r="E152" s="1649"/>
      <c r="F152" s="1649"/>
      <c r="G152" s="1649"/>
      <c r="H152" s="1649"/>
      <c r="I152" s="1649"/>
      <c r="J152" s="1650"/>
      <c r="K152" s="922"/>
      <c r="L152" s="955"/>
      <c r="M152" s="494"/>
      <c r="N152" s="955"/>
      <c r="O152" s="494"/>
      <c r="P152" s="955"/>
      <c r="Q152" s="494"/>
      <c r="R152" s="955"/>
      <c r="S152" s="494"/>
      <c r="T152" s="955"/>
      <c r="U152" s="956"/>
      <c r="V152" s="944">
        <f>SUM(V153:V157)</f>
        <v>2966201</v>
      </c>
      <c r="W152" s="926">
        <f>SUM(W153:W157)</f>
        <v>2520974</v>
      </c>
    </row>
    <row r="153" spans="1:23" ht="39" thickBot="1" x14ac:dyDescent="0.3">
      <c r="A153" s="212" t="str">
        <f>CONCATENATE('3 pr-2'!A155)</f>
        <v>2.1.3.2.1</v>
      </c>
      <c r="B153" s="212" t="str">
        <f>CONCATENATE('3 pr-2'!B155)</f>
        <v>R01-4408-260000-2321</v>
      </c>
      <c r="C153" s="514" t="str">
        <f>CONCATENATE('3 pr-2'!D155)</f>
        <v>Socialinio būsto plėtra Varėnos rajone</v>
      </c>
      <c r="D153" s="514" t="str">
        <f>CONCATENATE('3 pr-2'!E155)</f>
        <v>Varėnos rajono savivaldybės administracija</v>
      </c>
      <c r="E153" s="514" t="str">
        <f>CONCATENATE('3 pr-2'!F155)</f>
        <v>Lietuvos Respublikos socialinės apsaugos ir darbo ministerija</v>
      </c>
      <c r="F153" s="514" t="str">
        <f>CONCATENATE('3 pr-2'!G155)</f>
        <v>Varėnos rajono savivaldybė</v>
      </c>
      <c r="G153" s="212" t="str">
        <f>CONCATENATE('3 pr-2'!H155)</f>
        <v>08.1.1-CPVA·R-408</v>
      </c>
      <c r="H153" s="212" t="str">
        <f>CONCATENATE('3 pr-2'!I155)</f>
        <v>R</v>
      </c>
      <c r="I153" s="212" t="str">
        <f>CONCATENATE('3 pr-2'!J155)</f>
        <v>-</v>
      </c>
      <c r="J153" s="212" t="str">
        <f>CONCATENATE('3 pr-2'!K155)</f>
        <v>-</v>
      </c>
      <c r="K153" s="212">
        <v>26</v>
      </c>
      <c r="L153" s="212" t="s">
        <v>388</v>
      </c>
      <c r="M153" s="212"/>
      <c r="N153" s="212"/>
      <c r="O153" s="212"/>
      <c r="P153" s="212"/>
      <c r="Q153" s="212"/>
      <c r="R153" s="212"/>
      <c r="S153" s="212"/>
      <c r="T153" s="212"/>
      <c r="U153" s="522">
        <v>1</v>
      </c>
      <c r="V153" s="918">
        <f>SUM('3 pr-2'!L155)</f>
        <v>736499</v>
      </c>
      <c r="W153" s="918">
        <f>SUM('3 pr-2'!AA155)</f>
        <v>626024</v>
      </c>
    </row>
    <row r="154" spans="1:23" ht="39" thickBot="1" x14ac:dyDescent="0.3">
      <c r="A154" s="212" t="str">
        <f>CONCATENATE('3 pr-2'!A156)</f>
        <v>2.1.3.2.2</v>
      </c>
      <c r="B154" s="212" t="str">
        <f>CONCATENATE('3 pr-2'!B156)</f>
        <v>R01-4408-250000-2322</v>
      </c>
      <c r="C154" s="514" t="str">
        <f>CONCATENATE('3 pr-2'!D156)</f>
        <v>Būsto prieinamumo pažeidžiamoms gyventojų grupėms didinimas Alytaus rajone</v>
      </c>
      <c r="D154" s="514" t="str">
        <f>CONCATENATE('3 pr-2'!E156)</f>
        <v>Alytaus rajono savivaldybės administracija</v>
      </c>
      <c r="E154" s="514" t="str">
        <f>CONCATENATE('3 pr-2'!F156)</f>
        <v>Lietuvos Respublikos socialinės apsaugos ir darbo ministerija</v>
      </c>
      <c r="F154" s="514" t="str">
        <f>CONCATENATE('3 pr-2'!G156)</f>
        <v>Alytaus  rajono savivaldybė</v>
      </c>
      <c r="G154" s="212" t="str">
        <f>CONCATENATE('3 pr-2'!H156)</f>
        <v>08.1.1-CPVA·R-408</v>
      </c>
      <c r="H154" s="212" t="str">
        <f>CONCATENATE('3 pr-2'!I156)</f>
        <v>R</v>
      </c>
      <c r="I154" s="212" t="str">
        <f>CONCATENATE('3 pr-2'!J156)</f>
        <v>-</v>
      </c>
      <c r="J154" s="212" t="str">
        <f>CONCATENATE('3 pr-2'!K156)</f>
        <v>-</v>
      </c>
      <c r="K154" s="212">
        <v>25</v>
      </c>
      <c r="L154" s="212" t="s">
        <v>389</v>
      </c>
      <c r="M154" s="212"/>
      <c r="N154" s="212"/>
      <c r="O154" s="212"/>
      <c r="P154" s="212"/>
      <c r="Q154" s="212"/>
      <c r="R154" s="212"/>
      <c r="S154" s="212"/>
      <c r="T154" s="212"/>
      <c r="U154" s="522">
        <v>1</v>
      </c>
      <c r="V154" s="918">
        <f>SUM('3 pr-2'!L156)</f>
        <v>241889</v>
      </c>
      <c r="W154" s="918">
        <f>SUM('3 pr-2'!AA156)</f>
        <v>205606</v>
      </c>
    </row>
    <row r="155" spans="1:23" ht="39" thickBot="1" x14ac:dyDescent="0.3">
      <c r="A155" s="212" t="str">
        <f>CONCATENATE('3 pr-2'!A157)</f>
        <v>2.1.3.1.3</v>
      </c>
      <c r="B155" s="212" t="str">
        <f>CONCATENATE('3 pr-2'!B157)</f>
        <v>R01-4408-260000-2323</v>
      </c>
      <c r="C155" s="514" t="str">
        <f>CONCATENATE('3 pr-2'!D157)</f>
        <v>Socialinio būsto plėtra Alytaus mieste</v>
      </c>
      <c r="D155" s="514" t="str">
        <f>CONCATENATE('3 pr-2'!E157)</f>
        <v>Alytaus miesto savivaldybės administracija</v>
      </c>
      <c r="E155" s="514" t="str">
        <f>CONCATENATE('3 pr-2'!F157)</f>
        <v>Lietuvos Respublikos socialinės apsaugos ir darbo ministerija</v>
      </c>
      <c r="F155" s="514" t="str">
        <f>CONCATENATE('3 pr-2'!G157)</f>
        <v>Alytaus miestas</v>
      </c>
      <c r="G155" s="212" t="str">
        <f>CONCATENATE('3 pr-2'!H157)</f>
        <v>08.1.1-CPVA·R-408</v>
      </c>
      <c r="H155" s="212" t="str">
        <f>CONCATENATE('3 pr-2'!I157)</f>
        <v>R</v>
      </c>
      <c r="I155" s="212" t="str">
        <f>CONCATENATE('3 pr-2'!J157)</f>
        <v>-</v>
      </c>
      <c r="J155" s="212" t="str">
        <f>CONCATENATE('3 pr-2'!K157)</f>
        <v>-</v>
      </c>
      <c r="K155" s="212">
        <v>26</v>
      </c>
      <c r="L155" s="212" t="s">
        <v>388</v>
      </c>
      <c r="M155" s="212"/>
      <c r="N155" s="212"/>
      <c r="O155" s="212"/>
      <c r="P155" s="212"/>
      <c r="Q155" s="212"/>
      <c r="R155" s="212"/>
      <c r="S155" s="212"/>
      <c r="T155" s="212"/>
      <c r="U155" s="522">
        <v>1</v>
      </c>
      <c r="V155" s="918">
        <f>SUM('3 pr-2'!L157)</f>
        <v>891741</v>
      </c>
      <c r="W155" s="918">
        <f>SUM('3 pr-2'!AA157)</f>
        <v>757980</v>
      </c>
    </row>
    <row r="156" spans="1:23" ht="39" thickBot="1" x14ac:dyDescent="0.3">
      <c r="A156" s="212" t="str">
        <f>CONCATENATE('3 pr-2'!A158)</f>
        <v>2.1.3.2.4</v>
      </c>
      <c r="B156" s="212" t="str">
        <f>CONCATENATE('3 pr-2'!B158)</f>
        <v>R01-4408-260000-2324</v>
      </c>
      <c r="C156" s="514" t="str">
        <f>CONCATENATE('3 pr-2'!D158)</f>
        <v>Socialinio būsto fondo plėtra Druskininkų savivaldybėje</v>
      </c>
      <c r="D156" s="514" t="str">
        <f>CONCATENATE('3 pr-2'!E158)</f>
        <v>Druskininkų savivaldybės administracija</v>
      </c>
      <c r="E156" s="514" t="str">
        <f>CONCATENATE('3 pr-2'!F158)</f>
        <v>Lietuvos Respublikos socialinės apsaugos ir darbo ministerija</v>
      </c>
      <c r="F156" s="514" t="str">
        <f>CONCATENATE('3 pr-2'!G158)</f>
        <v>Druskininkų savivaldybė</v>
      </c>
      <c r="G156" s="212" t="str">
        <f>CONCATENATE('3 pr-2'!H158)</f>
        <v>08.1.1-CPVA·R-408</v>
      </c>
      <c r="H156" s="212" t="str">
        <f>CONCATENATE('3 pr-2'!I158)</f>
        <v>R</v>
      </c>
      <c r="I156" s="212" t="str">
        <f>CONCATENATE('3 pr-2'!J158)</f>
        <v>-</v>
      </c>
      <c r="J156" s="212" t="str">
        <f>CONCATENATE('3 pr-2'!K158)</f>
        <v>-</v>
      </c>
      <c r="K156" s="212">
        <v>26</v>
      </c>
      <c r="L156" s="212" t="s">
        <v>388</v>
      </c>
      <c r="M156" s="212"/>
      <c r="N156" s="212"/>
      <c r="O156" s="212"/>
      <c r="P156" s="212"/>
      <c r="Q156" s="212"/>
      <c r="R156" s="212"/>
      <c r="S156" s="212"/>
      <c r="T156" s="212"/>
      <c r="U156" s="522">
        <v>1</v>
      </c>
      <c r="V156" s="918">
        <f>SUM('3 pr-2'!L158)</f>
        <v>727473</v>
      </c>
      <c r="W156" s="918">
        <f>SUM('3 pr-2'!AA158)</f>
        <v>618352</v>
      </c>
    </row>
    <row r="157" spans="1:23" ht="39" thickBot="1" x14ac:dyDescent="0.3">
      <c r="A157" s="212" t="str">
        <f>CONCATENATE('3 pr-2'!A159)</f>
        <v>2.1.3.2.5</v>
      </c>
      <c r="B157" s="212" t="str">
        <f>CONCATENATE('3 pr-2'!B159)</f>
        <v>R01-4408-252600-2325</v>
      </c>
      <c r="C157" s="514" t="str">
        <f>CONCATENATE('3 pr-2'!D159)</f>
        <v>Socialinio būsto fondo plėtra Lazdijų rajono savivaldybėje</v>
      </c>
      <c r="D157" s="514" t="str">
        <f>CONCATENATE('3 pr-2'!E159)</f>
        <v>Lazdijų rajono savivaldybės administracija</v>
      </c>
      <c r="E157" s="514" t="str">
        <f>CONCATENATE('3 pr-2'!F159)</f>
        <v>Lietuvos Respublikos socialinės apsaugos ir darbo ministerija</v>
      </c>
      <c r="F157" s="514" t="str">
        <f>CONCATENATE('3 pr-2'!G159)</f>
        <v>Lazdijų rajono savivaldybė</v>
      </c>
      <c r="G157" s="212" t="str">
        <f>CONCATENATE('3 pr-2'!H159)</f>
        <v>08.1.1-CPVA·R-408</v>
      </c>
      <c r="H157" s="212" t="str">
        <f>CONCATENATE('3 pr-2'!I159)</f>
        <v>R</v>
      </c>
      <c r="I157" s="212" t="str">
        <f>CONCATENATE('3 pr-2'!J159)</f>
        <v>-</v>
      </c>
      <c r="J157" s="212" t="str">
        <f>CONCATENATE('3 pr-2'!K159)</f>
        <v>-</v>
      </c>
      <c r="K157" s="212">
        <v>25</v>
      </c>
      <c r="L157" s="212" t="s">
        <v>389</v>
      </c>
      <c r="M157" s="212">
        <v>26</v>
      </c>
      <c r="N157" s="212" t="s">
        <v>388</v>
      </c>
      <c r="O157" s="212"/>
      <c r="P157" s="212"/>
      <c r="Q157" s="212"/>
      <c r="R157" s="212"/>
      <c r="S157" s="212"/>
      <c r="T157" s="212"/>
      <c r="U157" s="522">
        <v>1</v>
      </c>
      <c r="V157" s="918">
        <f>SUM('3 pr-2'!L159)</f>
        <v>368599</v>
      </c>
      <c r="W157" s="918">
        <f>SUM('3 pr-2'!AA159)</f>
        <v>313012</v>
      </c>
    </row>
    <row r="158" spans="1:23" ht="46.5" customHeight="1" thickBot="1" x14ac:dyDescent="0.3">
      <c r="A158" s="216" t="s">
        <v>38</v>
      </c>
      <c r="B158" s="1106"/>
      <c r="C158" s="1653" t="s">
        <v>665</v>
      </c>
      <c r="D158" s="1654"/>
      <c r="E158" s="1654"/>
      <c r="F158" s="1654"/>
      <c r="G158" s="1654"/>
      <c r="H158" s="1654"/>
      <c r="I158" s="1654"/>
      <c r="J158" s="1655"/>
      <c r="K158" s="950"/>
      <c r="L158" s="948"/>
      <c r="M158" s="911"/>
      <c r="N158" s="948"/>
      <c r="O158" s="911"/>
      <c r="P158" s="948"/>
      <c r="Q158" s="911"/>
      <c r="R158" s="948"/>
      <c r="S158" s="911"/>
      <c r="T158" s="948"/>
      <c r="U158" s="948"/>
      <c r="V158" s="950"/>
      <c r="W158" s="950"/>
    </row>
    <row r="159" spans="1:23" ht="36.75" customHeight="1" thickBot="1" x14ac:dyDescent="0.3">
      <c r="A159" s="498" t="s">
        <v>109</v>
      </c>
      <c r="B159" s="1102"/>
      <c r="C159" s="1651" t="s">
        <v>878</v>
      </c>
      <c r="D159" s="1649"/>
      <c r="E159" s="1649"/>
      <c r="F159" s="1649"/>
      <c r="G159" s="1649"/>
      <c r="H159" s="1649"/>
      <c r="I159" s="1649"/>
      <c r="J159" s="1650"/>
      <c r="K159" s="957"/>
      <c r="L159" s="955"/>
      <c r="M159" s="958"/>
      <c r="N159" s="955"/>
      <c r="O159" s="958"/>
      <c r="P159" s="955"/>
      <c r="Q159" s="958"/>
      <c r="R159" s="955"/>
      <c r="S159" s="958"/>
      <c r="T159" s="955"/>
      <c r="U159" s="956"/>
      <c r="V159" s="944">
        <f>SUM(V160:V164)</f>
        <v>944134.52</v>
      </c>
      <c r="W159" s="944">
        <f>SUM(W160:W164)</f>
        <v>802514.49</v>
      </c>
    </row>
    <row r="160" spans="1:23" ht="39" thickBot="1" x14ac:dyDescent="0.3">
      <c r="A160" s="212" t="str">
        <f>CONCATENATE('3 pr-2'!A162)</f>
        <v>2.1.4.1.1</v>
      </c>
      <c r="B160" s="212" t="str">
        <f>CONCATENATE('3 pr-2'!B162)</f>
        <v>R01-9920-490000-2411</v>
      </c>
      <c r="C160" s="514" t="str">
        <f>CONCATENATE('3 pr-2'!D162)</f>
        <v>Paslaugų teikimo ir asmenų aptarnavimo kokybės gerinimas Varėnos rajono savivaldybėje</v>
      </c>
      <c r="D160" s="514" t="str">
        <f>CONCATENATE('3 pr-2'!E162)</f>
        <v>Varėnos rajono savivaldybės administracija</v>
      </c>
      <c r="E160" s="514" t="str">
        <f>CONCATENATE('3 pr-2'!F162)</f>
        <v>Lietuvos Respublikos vidaus reikalų ministerija</v>
      </c>
      <c r="F160" s="514" t="str">
        <f>CONCATENATE('3 pr-2'!G162)</f>
        <v>Varėnos miestas</v>
      </c>
      <c r="G160" s="212" t="str">
        <f>CONCATENATE('3 pr-2'!H162)</f>
        <v>10.1.3-ESFA-R-920</v>
      </c>
      <c r="H160" s="212" t="str">
        <f>CONCATENATE('3 pr-2'!I162)</f>
        <v>R</v>
      </c>
      <c r="I160" s="212" t="str">
        <f>CONCATENATE('3 pr-2'!J162)</f>
        <v>-</v>
      </c>
      <c r="J160" s="212" t="str">
        <f>CONCATENATE('3 pr-2'!K162)</f>
        <v>-</v>
      </c>
      <c r="K160" s="212">
        <v>49</v>
      </c>
      <c r="L160" s="212" t="s">
        <v>390</v>
      </c>
      <c r="M160" s="212"/>
      <c r="N160" s="212"/>
      <c r="O160" s="212"/>
      <c r="P160" s="212"/>
      <c r="Q160" s="212"/>
      <c r="R160" s="212"/>
      <c r="S160" s="212"/>
      <c r="T160" s="212"/>
      <c r="U160" s="522">
        <v>1</v>
      </c>
      <c r="V160" s="918">
        <f>SUM('3 pr-2'!L162)</f>
        <v>172733.52</v>
      </c>
      <c r="W160" s="918">
        <f>SUM('3 pr-2'!AA162)</f>
        <v>146823.49</v>
      </c>
    </row>
    <row r="161" spans="1:23" ht="39" thickBot="1" x14ac:dyDescent="0.3">
      <c r="A161" s="212" t="str">
        <f>CONCATENATE('3 pr-2'!A163)</f>
        <v>2.1.4.1.2</v>
      </c>
      <c r="B161" s="212" t="str">
        <f>CONCATENATE('3 pr-2'!B163)</f>
        <v>R01-9920-490000-2412</v>
      </c>
      <c r="C161" s="514" t="str">
        <f>CONCATENATE('3 pr-2'!D163)</f>
        <v>Paslaugų ir asmenų aptarnavimo kokybės gerinimas Alytaus rajono savivaldybėje</v>
      </c>
      <c r="D161" s="514" t="str">
        <f>CONCATENATE('3 pr-2'!E163)</f>
        <v>Alytaus rajono savivaldybės administracija</v>
      </c>
      <c r="E161" s="514" t="str">
        <f>CONCATENATE('3 pr-2'!F163)</f>
        <v>Lietuvos Respublikos vidaus reikalų ministerija</v>
      </c>
      <c r="F161" s="514" t="str">
        <f>CONCATENATE('3 pr-2'!G163)</f>
        <v>Alytaus  rajono savivaldybė</v>
      </c>
      <c r="G161" s="212" t="str">
        <f>CONCATENATE('3 pr-2'!H163)</f>
        <v>10.1.3-ESFA-R-920</v>
      </c>
      <c r="H161" s="212" t="str">
        <f>CONCATENATE('3 pr-2'!I163)</f>
        <v>R</v>
      </c>
      <c r="I161" s="212" t="str">
        <f>CONCATENATE('3 pr-2'!J163)</f>
        <v>-</v>
      </c>
      <c r="J161" s="212" t="str">
        <f>CONCATENATE('3 pr-2'!K163)</f>
        <v>-</v>
      </c>
      <c r="K161" s="212">
        <v>49</v>
      </c>
      <c r="L161" s="212" t="s">
        <v>390</v>
      </c>
      <c r="M161" s="212"/>
      <c r="N161" s="212"/>
      <c r="O161" s="212"/>
      <c r="P161" s="212"/>
      <c r="Q161" s="212"/>
      <c r="R161" s="212"/>
      <c r="S161" s="212"/>
      <c r="T161" s="212"/>
      <c r="U161" s="522">
        <v>1</v>
      </c>
      <c r="V161" s="918">
        <f>SUM('3 pr-2'!L163)</f>
        <v>210999</v>
      </c>
      <c r="W161" s="918">
        <f>SUM('3 pr-2'!AA163)</f>
        <v>179349</v>
      </c>
    </row>
    <row r="162" spans="1:23" s="58" customFormat="1" ht="51.75" thickBot="1" x14ac:dyDescent="0.3">
      <c r="A162" s="212" t="str">
        <f>CONCATENATE('3 pr-2'!A164)</f>
        <v>2.1.4.1.3</v>
      </c>
      <c r="B162" s="212" t="str">
        <f>CONCATENATE('3 pr-2'!B164)</f>
        <v>R01-9920-490000-2413</v>
      </c>
      <c r="C162" s="514" t="str">
        <f>CONCATENATE('3 pr-2'!D164)</f>
        <v>Lazdijų rajono savivaldybės administracijos ir jos viešojo valdymo institucijų teikiamų paslaugų procesų tobulinimas</v>
      </c>
      <c r="D162" s="514" t="str">
        <f>CONCATENATE('3 pr-2'!E164)</f>
        <v>Lazdijų rajono savivaldybės administracija</v>
      </c>
      <c r="E162" s="514" t="str">
        <f>CONCATENATE('3 pr-2'!F164)</f>
        <v>Lietuvos Respublikos vidaus reikalų ministerija</v>
      </c>
      <c r="F162" s="514" t="str">
        <f>CONCATENATE('3 pr-2'!G164)</f>
        <v>Lazdijų rajono savivaldybė</v>
      </c>
      <c r="G162" s="212" t="str">
        <f>CONCATENATE('3 pr-2'!H164)</f>
        <v>10.1.3-ESFA-R-920</v>
      </c>
      <c r="H162" s="212" t="str">
        <f>CONCATENATE('3 pr-2'!I164)</f>
        <v>R</v>
      </c>
      <c r="I162" s="212" t="str">
        <f>CONCATENATE('3 pr-2'!J164)</f>
        <v>-</v>
      </c>
      <c r="J162" s="212" t="str">
        <f>CONCATENATE('3 pr-2'!K164)</f>
        <v>-</v>
      </c>
      <c r="K162" s="212">
        <v>49</v>
      </c>
      <c r="L162" s="212" t="s">
        <v>390</v>
      </c>
      <c r="M162" s="212"/>
      <c r="N162" s="212"/>
      <c r="O162" s="212"/>
      <c r="P162" s="212"/>
      <c r="Q162" s="212"/>
      <c r="R162" s="212"/>
      <c r="S162" s="212"/>
      <c r="T162" s="212"/>
      <c r="U162" s="522">
        <v>1</v>
      </c>
      <c r="V162" s="918">
        <f>SUM('3 pr-2'!L164)</f>
        <v>163987</v>
      </c>
      <c r="W162" s="918">
        <f>SUM('3 pr-2'!AA164)</f>
        <v>139389</v>
      </c>
    </row>
    <row r="163" spans="1:23" s="58" customFormat="1" ht="64.5" thickBot="1" x14ac:dyDescent="0.3">
      <c r="A163" s="518" t="str">
        <f>CONCATENATE('3 pr-2'!A165)</f>
        <v>2.1.4.1.4</v>
      </c>
      <c r="B163" s="212" t="str">
        <f>CONCATENATE('3 pr-2'!B165)</f>
        <v>R01-9920-490000-2414</v>
      </c>
      <c r="C163" s="515" t="str">
        <f>CONCATENATE('3 pr-2'!D165)</f>
        <v>Teikiamų paslaugų procesų tobulinimas ir asmenų aptarnavimo kokybės gerinimas Alytaus miesto savivaldybės administracijoje ir jai pavaldžiose įstaigose. I etapas</v>
      </c>
      <c r="D163" s="515" t="str">
        <f>CONCATENATE('3 pr-2'!E165)</f>
        <v>Alytaus miesto savivaldybės administracija</v>
      </c>
      <c r="E163" s="515" t="str">
        <f>CONCATENATE('3 pr-2'!F165)</f>
        <v>Lietuvos Respublikos vidaus reikalų ministerija</v>
      </c>
      <c r="F163" s="515" t="str">
        <f>CONCATENATE('3 pr-2'!G165)</f>
        <v>Alytaus miestas</v>
      </c>
      <c r="G163" s="518" t="str">
        <f>CONCATENATE('3 pr-2'!H165)</f>
        <v>10.1.3-ESFA-R-920</v>
      </c>
      <c r="H163" s="518" t="str">
        <f>CONCATENATE('3 pr-2'!I165)</f>
        <v>R</v>
      </c>
      <c r="I163" s="518" t="str">
        <f>CONCATENATE('3 pr-2'!J165)</f>
        <v>-</v>
      </c>
      <c r="J163" s="518" t="str">
        <f>CONCATENATE('3 pr-2'!K165)</f>
        <v>-</v>
      </c>
      <c r="K163" s="518">
        <v>49</v>
      </c>
      <c r="L163" s="518" t="s">
        <v>390</v>
      </c>
      <c r="M163" s="212"/>
      <c r="N163" s="212"/>
      <c r="O163" s="212"/>
      <c r="P163" s="212"/>
      <c r="Q163" s="212"/>
      <c r="R163" s="212"/>
      <c r="S163" s="212"/>
      <c r="T163" s="212"/>
      <c r="U163" s="522">
        <v>1</v>
      </c>
      <c r="V163" s="918">
        <f>SUM('3 pr-2'!L165)</f>
        <v>234827</v>
      </c>
      <c r="W163" s="918">
        <f>SUM('3 pr-2'!AA165)</f>
        <v>199603</v>
      </c>
    </row>
    <row r="164" spans="1:23" s="58" customFormat="1" ht="39" thickBot="1" x14ac:dyDescent="0.3">
      <c r="A164" s="518" t="str">
        <f>CONCATENATE('3 pr-2'!A166)</f>
        <v>2.1.4.1.5</v>
      </c>
      <c r="B164" s="212" t="str">
        <f>CONCATENATE('3 pr-2'!B166)</f>
        <v>R01-9920-490000-2415</v>
      </c>
      <c r="C164" s="515" t="str">
        <f>CONCATENATE('3 pr-2'!D166)</f>
        <v>Paslaugų teikimo ir asmenų aptarnavimo kokybės gerinimas Druskininkų savivaldybėje</v>
      </c>
      <c r="D164" s="515" t="str">
        <f>CONCATENATE('3 pr-2'!E166)</f>
        <v>Druskininkų savivaldybės administracija</v>
      </c>
      <c r="E164" s="515" t="str">
        <f>CONCATENATE('3 pr-2'!F166)</f>
        <v>Lietuvos Respublikos vidaus reikalų ministerija</v>
      </c>
      <c r="F164" s="515" t="str">
        <f>CONCATENATE('3 pr-2'!G166)</f>
        <v>Druskininkų savivaldybė</v>
      </c>
      <c r="G164" s="518" t="str">
        <f>CONCATENATE('3 pr-2'!H166)</f>
        <v>10.1.3-ESFA-R-920</v>
      </c>
      <c r="H164" s="518" t="str">
        <f>CONCATENATE('3 pr-2'!I166)</f>
        <v>R</v>
      </c>
      <c r="I164" s="518" t="str">
        <f>CONCATENATE('3 pr-2'!J166)</f>
        <v>-</v>
      </c>
      <c r="J164" s="518" t="str">
        <f>CONCATENATE('3 pr-2'!K166)</f>
        <v>-</v>
      </c>
      <c r="K164" s="518">
        <v>49</v>
      </c>
      <c r="L164" s="518" t="s">
        <v>390</v>
      </c>
      <c r="M164" s="212"/>
      <c r="N164" s="212"/>
      <c r="O164" s="212"/>
      <c r="P164" s="212"/>
      <c r="Q164" s="212"/>
      <c r="R164" s="212"/>
      <c r="S164" s="212"/>
      <c r="T164" s="212"/>
      <c r="U164" s="522">
        <v>1</v>
      </c>
      <c r="V164" s="918">
        <f>SUM('3 pr-2'!L166)</f>
        <v>161588</v>
      </c>
      <c r="W164" s="918">
        <f>SUM('3 pr-2'!AA166)</f>
        <v>137350</v>
      </c>
    </row>
    <row r="165" spans="1:23" s="58" customFormat="1" ht="64.5" thickBot="1" x14ac:dyDescent="0.3">
      <c r="A165" s="518" t="str">
        <f>CONCATENATE('3 pr-2'!A167)</f>
        <v>2.1.4.1.6</v>
      </c>
      <c r="B165" s="212" t="str">
        <f>CONCATENATE('3 pr-2'!B167)</f>
        <v>R01-9920-490000-2416</v>
      </c>
      <c r="C165" s="515" t="str">
        <f>CONCATENATE('3 pr-2'!D167)</f>
        <v>Teikiamų paslaugų procesų tobulinimas ir asmenų aptarnavimo kokybės gerinimas Alytaus miesto savivaldybės administracijoje ir jai pavaldžiose įstaigose. II etapas</v>
      </c>
      <c r="D165" s="515" t="str">
        <f>CONCATENATE('3 pr-2'!E167)</f>
        <v>Alytaus miesto savivaldybės administracija</v>
      </c>
      <c r="E165" s="515" t="str">
        <f>CONCATENATE('3 pr-2'!F167)</f>
        <v>Lietuvos Respublikos vidaus reikalų ministerija</v>
      </c>
      <c r="F165" s="515" t="str">
        <f>CONCATENATE('3 pr-2'!G167)</f>
        <v>Alytaus miestas</v>
      </c>
      <c r="G165" s="518" t="str">
        <f>CONCATENATE('3 pr-2'!H167)</f>
        <v>10.1.3-ESFA-R-920</v>
      </c>
      <c r="H165" s="518" t="str">
        <f>CONCATENATE('3 pr-2'!I167)</f>
        <v>R</v>
      </c>
      <c r="I165" s="518" t="str">
        <f>CONCATENATE('3 pr-2'!J167)</f>
        <v>-</v>
      </c>
      <c r="J165" s="518" t="str">
        <f>CONCATENATE('3 pr-2'!K167)</f>
        <v>-</v>
      </c>
      <c r="K165" s="518">
        <v>49</v>
      </c>
      <c r="L165" s="518" t="s">
        <v>390</v>
      </c>
      <c r="M165" s="212"/>
      <c r="N165" s="212"/>
      <c r="O165" s="212"/>
      <c r="P165" s="212"/>
      <c r="Q165" s="212"/>
      <c r="R165" s="212"/>
      <c r="S165" s="212"/>
      <c r="T165" s="212"/>
      <c r="U165" s="522">
        <v>1</v>
      </c>
      <c r="V165" s="918">
        <f>SUM('3 pr-2'!L167)</f>
        <v>200000</v>
      </c>
      <c r="W165" s="918">
        <f>SUM('3 pr-2'!AA167)</f>
        <v>170000</v>
      </c>
    </row>
    <row r="166" spans="1:23" ht="54" customHeight="1" thickBot="1" x14ac:dyDescent="0.3">
      <c r="A166" s="214" t="s">
        <v>40</v>
      </c>
      <c r="B166" s="1108"/>
      <c r="C166" s="1652" t="s">
        <v>638</v>
      </c>
      <c r="D166" s="1644"/>
      <c r="E166" s="1644"/>
      <c r="F166" s="1644"/>
      <c r="G166" s="1644"/>
      <c r="H166" s="1644"/>
      <c r="I166" s="1644"/>
      <c r="J166" s="1645"/>
      <c r="K166" s="959"/>
      <c r="L166" s="960"/>
      <c r="M166" s="961"/>
      <c r="N166" s="962"/>
      <c r="O166" s="961"/>
      <c r="P166" s="962"/>
      <c r="Q166" s="961"/>
      <c r="R166" s="962"/>
      <c r="S166" s="961"/>
      <c r="T166" s="962"/>
      <c r="U166" s="962"/>
      <c r="V166" s="963"/>
      <c r="W166" s="963"/>
    </row>
    <row r="167" spans="1:23" ht="41.25" customHeight="1" thickBot="1" x14ac:dyDescent="0.3">
      <c r="A167" s="216" t="s">
        <v>41</v>
      </c>
      <c r="B167" s="1106"/>
      <c r="C167" s="1643" t="s">
        <v>639</v>
      </c>
      <c r="D167" s="1644"/>
      <c r="E167" s="1644"/>
      <c r="F167" s="1644"/>
      <c r="G167" s="1644"/>
      <c r="H167" s="1644"/>
      <c r="I167" s="1644"/>
      <c r="J167" s="1645"/>
      <c r="K167" s="584"/>
      <c r="L167" s="964"/>
      <c r="M167" s="910"/>
      <c r="N167" s="909"/>
      <c r="O167" s="910"/>
      <c r="P167" s="909"/>
      <c r="Q167" s="910"/>
      <c r="R167" s="909"/>
      <c r="S167" s="910"/>
      <c r="T167" s="909"/>
      <c r="U167" s="909"/>
      <c r="V167" s="932"/>
      <c r="W167" s="933"/>
    </row>
    <row r="168" spans="1:23" ht="39" customHeight="1" thickBot="1" x14ac:dyDescent="0.3">
      <c r="A168" s="498" t="s">
        <v>42</v>
      </c>
      <c r="B168" s="1102"/>
      <c r="C168" s="1646" t="s">
        <v>876</v>
      </c>
      <c r="D168" s="1647"/>
      <c r="E168" s="1647"/>
      <c r="F168" s="1647"/>
      <c r="G168" s="1647"/>
      <c r="H168" s="1647"/>
      <c r="I168" s="1647"/>
      <c r="J168" s="1648"/>
      <c r="K168" s="965"/>
      <c r="L168" s="966"/>
      <c r="M168" s="924"/>
      <c r="N168" s="923"/>
      <c r="O168" s="924"/>
      <c r="P168" s="923"/>
      <c r="Q168" s="924"/>
      <c r="R168" s="923"/>
      <c r="S168" s="924"/>
      <c r="T168" s="923"/>
      <c r="U168" s="952"/>
      <c r="V168" s="926">
        <f>SUM(V169:V169)</f>
        <v>4130687.05</v>
      </c>
      <c r="W168" s="926">
        <f>SUM(W169:W169)</f>
        <v>3352807.77</v>
      </c>
    </row>
    <row r="169" spans="1:23" ht="51.75" thickBot="1" x14ac:dyDescent="0.3">
      <c r="A169" s="212" t="str">
        <f>CONCATENATE('3 pr-2'!A171)</f>
        <v>3.1.1.1.1</v>
      </c>
      <c r="B169" s="212" t="str">
        <f>CONCATENATE('3 pr-2'!B171)</f>
        <v>R01-0008-050000-3111</v>
      </c>
      <c r="C169" s="514" t="str">
        <f>CONCATENATE('3 pr-2'!D171)</f>
        <v>Komunalinių atliekų tvarkymo sistemos plėtra Alytaus regione</v>
      </c>
      <c r="D169" s="514" t="str">
        <f>CONCATENATE('3 pr-2'!E171)</f>
        <v>Alytaus regiono atliekų tvarkymo centras</v>
      </c>
      <c r="E169" s="514" t="str">
        <f>CONCATENATE('3 pr-2'!F171)</f>
        <v>Lietuvos Respublikos aplinkos ministerija</v>
      </c>
      <c r="F169" s="514" t="str">
        <f>CONCATENATE('3 pr-2'!G171)</f>
        <v>Alytaus atliekų tvarkymo regionas</v>
      </c>
      <c r="G169" s="212" t="str">
        <f>CONCATENATE('3 pr-2'!H171)</f>
        <v>05.2.1-APVA-R-008</v>
      </c>
      <c r="H169" s="212" t="str">
        <f>CONCATENATE('3 pr-2'!I171)</f>
        <v>R</v>
      </c>
      <c r="I169" s="212" t="str">
        <f>CONCATENATE('3 pr-2'!J171)</f>
        <v>-</v>
      </c>
      <c r="J169" s="212" t="str">
        <f>CONCATENATE('3 pr-2'!K171)</f>
        <v>-</v>
      </c>
      <c r="K169" s="212">
        <v>5</v>
      </c>
      <c r="L169" s="212" t="s">
        <v>391</v>
      </c>
      <c r="M169" s="212"/>
      <c r="N169" s="212"/>
      <c r="O169" s="212"/>
      <c r="P169" s="212"/>
      <c r="Q169" s="212"/>
      <c r="R169" s="212"/>
      <c r="S169" s="212"/>
      <c r="T169" s="212"/>
      <c r="U169" s="522">
        <v>1</v>
      </c>
      <c r="V169" s="918">
        <f>SUM('3 pr-2'!L171)</f>
        <v>4130687.05</v>
      </c>
      <c r="W169" s="918">
        <f>SUM('3 pr-2'!AA171)</f>
        <v>3352807.77</v>
      </c>
    </row>
    <row r="170" spans="1:23" ht="39" customHeight="1" thickBot="1" x14ac:dyDescent="0.3">
      <c r="A170" s="216" t="s">
        <v>43</v>
      </c>
      <c r="B170" s="1106"/>
      <c r="C170" s="1643" t="s">
        <v>640</v>
      </c>
      <c r="D170" s="1644"/>
      <c r="E170" s="1644"/>
      <c r="F170" s="1644"/>
      <c r="G170" s="1644"/>
      <c r="H170" s="1644"/>
      <c r="I170" s="1644"/>
      <c r="J170" s="1645"/>
      <c r="K170" s="967"/>
      <c r="L170" s="968"/>
      <c r="M170" s="911"/>
      <c r="N170" s="969"/>
      <c r="O170" s="911"/>
      <c r="P170" s="969"/>
      <c r="Q170" s="911"/>
      <c r="R170" s="969"/>
      <c r="S170" s="911"/>
      <c r="T170" s="969"/>
      <c r="U170" s="969"/>
      <c r="V170" s="950"/>
      <c r="W170" s="932"/>
    </row>
    <row r="171" spans="1:23" ht="36.75" customHeight="1" thickBot="1" x14ac:dyDescent="0.3">
      <c r="A171" s="498" t="s">
        <v>113</v>
      </c>
      <c r="B171" s="1102"/>
      <c r="C171" s="1646" t="s">
        <v>877</v>
      </c>
      <c r="D171" s="1649"/>
      <c r="E171" s="1649"/>
      <c r="F171" s="1649"/>
      <c r="G171" s="1649"/>
      <c r="H171" s="1649"/>
      <c r="I171" s="1649"/>
      <c r="J171" s="1650"/>
      <c r="K171" s="970"/>
      <c r="L171" s="971"/>
      <c r="M171" s="958"/>
      <c r="N171" s="955"/>
      <c r="O171" s="958"/>
      <c r="P171" s="955"/>
      <c r="Q171" s="958"/>
      <c r="R171" s="955"/>
      <c r="S171" s="958"/>
      <c r="T171" s="955"/>
      <c r="U171" s="956"/>
      <c r="V171" s="972">
        <f>SUM(V172:V177)</f>
        <v>1532944.1400000001</v>
      </c>
      <c r="W171" s="916">
        <f>SUM(W172:W177)</f>
        <v>1303002.1800000002</v>
      </c>
    </row>
    <row r="172" spans="1:23" ht="39" thickBot="1" x14ac:dyDescent="0.3">
      <c r="A172" s="212" t="str">
        <f>CONCATENATE('3 pr-2'!A174)</f>
        <v>3.1.2.1.1</v>
      </c>
      <c r="B172" s="212" t="str">
        <f>CONCATENATE('3 pr-2'!B174)</f>
        <v>R01-0019-380000-3211</v>
      </c>
      <c r="C172" s="514" t="str">
        <f>CONCATENATE('3 pr-2'!D174)</f>
        <v>Kraštovaizdžio formavimas ir tvarkymas Varėnos r. savivaldybėje (I etapas)</v>
      </c>
      <c r="D172" s="514" t="str">
        <f>CONCATENATE('3 pr-2'!E174)</f>
        <v>Varėnos rajono savivaldybės administracija</v>
      </c>
      <c r="E172" s="514" t="str">
        <f>CONCATENATE('3 pr-2'!F174)</f>
        <v>Lietuvos Respublikos aplinkos ministerija</v>
      </c>
      <c r="F172" s="514" t="str">
        <f>CONCATENATE('3 pr-2'!G174)</f>
        <v>Varėnos  rajono savivaldybė</v>
      </c>
      <c r="G172" s="212" t="str">
        <f>CONCATENATE('3 pr-2'!H174)</f>
        <v>05.5.1-APVA-R-019</v>
      </c>
      <c r="H172" s="212" t="str">
        <f>CONCATENATE('3 pr-2'!I174)</f>
        <v>R</v>
      </c>
      <c r="I172" s="212" t="str">
        <f>CONCATENATE('3 pr-2'!J174)</f>
        <v>-</v>
      </c>
      <c r="J172" s="212" t="str">
        <f>CONCATENATE('3 pr-2'!K174)</f>
        <v>-</v>
      </c>
      <c r="K172" s="212">
        <v>38</v>
      </c>
      <c r="L172" s="212" t="s">
        <v>392</v>
      </c>
      <c r="M172" s="212"/>
      <c r="N172" s="212"/>
      <c r="O172" s="212"/>
      <c r="P172" s="212"/>
      <c r="Q172" s="212"/>
      <c r="R172" s="212"/>
      <c r="S172" s="212"/>
      <c r="T172" s="212"/>
      <c r="U172" s="522">
        <v>1</v>
      </c>
      <c r="V172" s="918">
        <f>SUM('3 pr-2'!L174)</f>
        <v>566501</v>
      </c>
      <c r="W172" s="918">
        <f>SUM('3 pr-2'!AA174)</f>
        <v>481526</v>
      </c>
    </row>
    <row r="173" spans="1:23" ht="39" thickBot="1" x14ac:dyDescent="0.3">
      <c r="A173" s="212" t="str">
        <f>CONCATENATE('3 pr-2'!A175)</f>
        <v>3.1.2.1.2</v>
      </c>
      <c r="B173" s="212" t="str">
        <f>CONCATENATE('3 pr-2'!B175)</f>
        <v>R01-0019-380000-3212</v>
      </c>
      <c r="C173" s="514" t="str">
        <f>CONCATENATE('3 pr-2'!D175)</f>
        <v>Kraštovaizdžio formavimas ir tvarkymas Varėnos r. savivaldybėje (II etapas)</v>
      </c>
      <c r="D173" s="514" t="str">
        <f>CONCATENATE('3 pr-2'!E175)</f>
        <v>Varėnos rajono savivaldybės administracija</v>
      </c>
      <c r="E173" s="514" t="str">
        <f>CONCATENATE('3 pr-2'!F175)</f>
        <v>Lietuvos Respublikos aplinkos ministerija</v>
      </c>
      <c r="F173" s="514" t="str">
        <f>CONCATENATE('3 pr-2'!G175)</f>
        <v>Varėnos  rajono savivaldybė</v>
      </c>
      <c r="G173" s="212" t="str">
        <f>CONCATENATE('3 pr-2'!H175)</f>
        <v>05.5.1-APVA-R-019</v>
      </c>
      <c r="H173" s="212" t="str">
        <f>CONCATENATE('3 pr-2'!I175)</f>
        <v>R</v>
      </c>
      <c r="I173" s="212" t="str">
        <f>CONCATENATE('3 pr-2'!J175)</f>
        <v>-</v>
      </c>
      <c r="J173" s="212" t="str">
        <f>CONCATENATE('3 pr-2'!K175)</f>
        <v>-</v>
      </c>
      <c r="K173" s="212">
        <v>38</v>
      </c>
      <c r="L173" s="212" t="s">
        <v>392</v>
      </c>
      <c r="M173" s="212"/>
      <c r="N173" s="212"/>
      <c r="O173" s="212"/>
      <c r="P173" s="212"/>
      <c r="Q173" s="212"/>
      <c r="R173" s="212"/>
      <c r="S173" s="212"/>
      <c r="T173" s="212"/>
      <c r="U173" s="522">
        <v>1</v>
      </c>
      <c r="V173" s="918">
        <f>SUM('3 pr-2'!L175)</f>
        <v>297232</v>
      </c>
      <c r="W173" s="918">
        <f>SUM('3 pr-2'!AA175)</f>
        <v>252647</v>
      </c>
    </row>
    <row r="174" spans="1:23" ht="39" thickBot="1" x14ac:dyDescent="0.3">
      <c r="A174" s="212" t="str">
        <f>CONCATENATE('3 pr-2'!A176)</f>
        <v>3.1.2.1.3</v>
      </c>
      <c r="B174" s="212" t="str">
        <f>CONCATENATE('3 pr-2'!B176)</f>
        <v>R01-0019-380000-3213</v>
      </c>
      <c r="C174" s="514" t="str">
        <f>CONCATENATE('3 pr-2'!D176)</f>
        <v>Bešeimininkių apleistų pastatų ir įrenginių tvarkymas Alytaus rajono savivaldybėje</v>
      </c>
      <c r="D174" s="514" t="str">
        <f>CONCATENATE('3 pr-2'!E176)</f>
        <v>Alytaus rajono savivaldybės administracija</v>
      </c>
      <c r="E174" s="514" t="str">
        <f>CONCATENATE('3 pr-2'!F176)</f>
        <v>Lietuvos Respublikos aplinkos ministerija</v>
      </c>
      <c r="F174" s="514" t="str">
        <f>CONCATENATE('3 pr-2'!G176)</f>
        <v>Alytaus rajonas</v>
      </c>
      <c r="G174" s="212" t="str">
        <f>CONCATENATE('3 pr-2'!H176)</f>
        <v>05.5.1-APVA-R-019</v>
      </c>
      <c r="H174" s="212" t="str">
        <f>CONCATENATE('3 pr-2'!I176)</f>
        <v>R</v>
      </c>
      <c r="I174" s="212" t="str">
        <f>CONCATENATE('3 pr-2'!J176)</f>
        <v/>
      </c>
      <c r="J174" s="212" t="str">
        <f>CONCATENATE('3 pr-2'!K176)</f>
        <v/>
      </c>
      <c r="K174" s="212">
        <v>38</v>
      </c>
      <c r="L174" s="212" t="s">
        <v>392</v>
      </c>
      <c r="M174" s="212"/>
      <c r="N174" s="212"/>
      <c r="O174" s="212"/>
      <c r="P174" s="212"/>
      <c r="Q174" s="212"/>
      <c r="R174" s="212"/>
      <c r="S174" s="212"/>
      <c r="T174" s="212"/>
      <c r="U174" s="522">
        <v>1</v>
      </c>
      <c r="V174" s="918">
        <f>SUM('3 pr-2'!L176)</f>
        <v>101766</v>
      </c>
      <c r="W174" s="918">
        <f>SUM('3 pr-2'!AA176)</f>
        <v>86500.800000000003</v>
      </c>
    </row>
    <row r="175" spans="1:23" ht="51.75" thickBot="1" x14ac:dyDescent="0.3">
      <c r="A175" s="212" t="str">
        <f>CONCATENATE('3 pr-2'!A177)</f>
        <v>3.1.2.1.4</v>
      </c>
      <c r="B175" s="212" t="str">
        <f>CONCATENATE('3 pr-2'!B177)</f>
        <v>R01-0019-380000-3214</v>
      </c>
      <c r="C175" s="514" t="str">
        <f>CONCATENATE('3 pr-2'!D177)</f>
        <v>Alytaus miesto bendrojo plano korektūra zonuojant kraštovaizdžio struktūrą, nustatant reglamentus ir principus</v>
      </c>
      <c r="D175" s="514" t="str">
        <f>CONCATENATE('3 pr-2'!E177)</f>
        <v>Alytaus miesto savivaldybės administracija</v>
      </c>
      <c r="E175" s="514" t="str">
        <f>CONCATENATE('3 pr-2'!F177)</f>
        <v>Lietuvos Respublikos aplinkos ministerija</v>
      </c>
      <c r="F175" s="514" t="str">
        <f>CONCATENATE('3 pr-2'!G177)</f>
        <v>Alytaus miestas</v>
      </c>
      <c r="G175" s="212" t="str">
        <f>CONCATENATE('3 pr-2'!H177)</f>
        <v>05.5.1-APVA-R-019</v>
      </c>
      <c r="H175" s="212" t="str">
        <f>CONCATENATE('3 pr-2'!I177)</f>
        <v>R</v>
      </c>
      <c r="I175" s="212" t="str">
        <f>CONCATENATE('3 pr-2'!J177)</f>
        <v/>
      </c>
      <c r="J175" s="212" t="str">
        <f>CONCATENATE('3 pr-2'!K177)</f>
        <v>-</v>
      </c>
      <c r="K175" s="212">
        <v>38</v>
      </c>
      <c r="L175" s="212" t="s">
        <v>392</v>
      </c>
      <c r="M175" s="212"/>
      <c r="N175" s="212"/>
      <c r="O175" s="212"/>
      <c r="P175" s="212"/>
      <c r="Q175" s="212"/>
      <c r="R175" s="212"/>
      <c r="S175" s="212"/>
      <c r="T175" s="212"/>
      <c r="U175" s="522">
        <v>1</v>
      </c>
      <c r="V175" s="918">
        <f>SUM('3 pr-2'!L177)</f>
        <v>3993</v>
      </c>
      <c r="W175" s="918">
        <f>SUM('3 pr-2'!AA177)</f>
        <v>3394.05</v>
      </c>
    </row>
    <row r="176" spans="1:23" ht="39" thickBot="1" x14ac:dyDescent="0.3">
      <c r="A176" s="212" t="str">
        <f>CONCATENATE('3 pr-2'!A178)</f>
        <v>3.1.2.1.5</v>
      </c>
      <c r="B176" s="212" t="str">
        <f>CONCATENATE('3 pr-2'!B178)</f>
        <v>R01-0019-380000-3215</v>
      </c>
      <c r="C176" s="514" t="str">
        <f>CONCATENATE('3 pr-2'!D178)</f>
        <v>Bešeimininkių apleistų pastatų Druskininkų savivaldybės teritorijoje likvidavimas</v>
      </c>
      <c r="D176" s="514" t="str">
        <f>CONCATENATE('3 pr-2'!E178)</f>
        <v>Druskininkų savivaldybės administracija</v>
      </c>
      <c r="E176" s="514" t="str">
        <f>CONCATENATE('3 pr-2'!F178)</f>
        <v>Lietuvos Respublikos aplinkos ministerija</v>
      </c>
      <c r="F176" s="514" t="str">
        <f>CONCATENATE('3 pr-2'!G178)</f>
        <v>Druskininkų savivaldybė</v>
      </c>
      <c r="G176" s="212" t="str">
        <f>CONCATENATE('3 pr-2'!H178)</f>
        <v>05.5.1-APVA-R-019</v>
      </c>
      <c r="H176" s="212" t="str">
        <f>CONCATENATE('3 pr-2'!I178)</f>
        <v>R</v>
      </c>
      <c r="I176" s="212" t="str">
        <f>CONCATENATE('3 pr-2'!J178)</f>
        <v>-</v>
      </c>
      <c r="J176" s="212" t="str">
        <f>CONCATENATE('3 pr-2'!K178)</f>
        <v>-</v>
      </c>
      <c r="K176" s="212">
        <v>38</v>
      </c>
      <c r="L176" s="212" t="s">
        <v>392</v>
      </c>
      <c r="M176" s="212"/>
      <c r="N176" s="212"/>
      <c r="O176" s="212"/>
      <c r="P176" s="212"/>
      <c r="Q176" s="212"/>
      <c r="R176" s="212"/>
      <c r="S176" s="212"/>
      <c r="T176" s="212"/>
      <c r="U176" s="522">
        <v>1</v>
      </c>
      <c r="V176" s="918">
        <f>SUM('3 pr-2'!L178)</f>
        <v>121153.55</v>
      </c>
      <c r="W176" s="918">
        <f>SUM('3 pr-2'!AA178)</f>
        <v>102980.52</v>
      </c>
    </row>
    <row r="177" spans="1:23" ht="39" thickBot="1" x14ac:dyDescent="0.3">
      <c r="A177" s="212" t="str">
        <f>CONCATENATE('3 pr-2'!A179)</f>
        <v>3.1.2.1.6</v>
      </c>
      <c r="B177" s="212" t="str">
        <f>CONCATENATE('3 pr-2'!B179)</f>
        <v>R01-0019-380000-3216</v>
      </c>
      <c r="C177" s="514" t="str">
        <f>CONCATENATE('3 pr-2'!D179)</f>
        <v>Kraštovaizdžio formavimas Lazdijų rajono savivaldybėje</v>
      </c>
      <c r="D177" s="514" t="str">
        <f>CONCATENATE('3 pr-2'!E179)</f>
        <v>Lazdijų rajono savivaldybės administracija</v>
      </c>
      <c r="E177" s="514" t="str">
        <f>CONCATENATE('3 pr-2'!F179)</f>
        <v>Lietuvos Respublikos aplinkos ministerija</v>
      </c>
      <c r="F177" s="514" t="str">
        <f>CONCATENATE('3 pr-2'!G179)</f>
        <v>Lazdijų rajono savivaldybė</v>
      </c>
      <c r="G177" s="212" t="str">
        <f>CONCATENATE('3 pr-2'!H179)</f>
        <v>05.5.1-APVA-R-019</v>
      </c>
      <c r="H177" s="212" t="str">
        <f>CONCATENATE('3 pr-2'!I179)</f>
        <v>R</v>
      </c>
      <c r="I177" s="212" t="str">
        <f>CONCATENATE('3 pr-2'!J179)</f>
        <v>-</v>
      </c>
      <c r="J177" s="212" t="str">
        <f>CONCATENATE('3 pr-2'!K179)</f>
        <v>-</v>
      </c>
      <c r="K177" s="212">
        <v>38</v>
      </c>
      <c r="L177" s="212" t="s">
        <v>392</v>
      </c>
      <c r="M177" s="212"/>
      <c r="N177" s="212"/>
      <c r="O177" s="212"/>
      <c r="P177" s="212"/>
      <c r="Q177" s="212"/>
      <c r="R177" s="212"/>
      <c r="S177" s="212"/>
      <c r="T177" s="212"/>
      <c r="U177" s="522">
        <v>1</v>
      </c>
      <c r="V177" s="918">
        <f>SUM('3 pr-2'!L179)</f>
        <v>442298.58999999997</v>
      </c>
      <c r="W177" s="918">
        <f>SUM('3 pr-2'!AA179)</f>
        <v>375953.81</v>
      </c>
    </row>
    <row r="178" spans="1:23" ht="51.75" thickBot="1" x14ac:dyDescent="0.3">
      <c r="A178" s="212" t="str">
        <f>CONCATENATE('3 pr-2'!A180)</f>
        <v>3.1.2.1.7</v>
      </c>
      <c r="B178" s="212" t="str">
        <f>CONCATENATE('3 pr-2'!B180)</f>
        <v>R01-019-283800-3217</v>
      </c>
      <c r="C178" s="514" t="str">
        <f>CONCATENATE('3 pr-2'!D180)</f>
        <v>Kraštovaizdžio formavimas Lazdijų rajono savivaldybėje (II etapas)</v>
      </c>
      <c r="D178" s="514" t="str">
        <f>CONCATENATE('3 pr-2'!E180)</f>
        <v>Lazdijų rajono savivaldybės administracija</v>
      </c>
      <c r="E178" s="514" t="str">
        <f>CONCATENATE('3 pr-2'!F180)</f>
        <v>Lietuvos Respublikos aplinkos ministerija</v>
      </c>
      <c r="F178" s="514" t="str">
        <f>CONCATENATE('3 pr-2'!G180)</f>
        <v>Lazdijų rajono savivaldybė</v>
      </c>
      <c r="G178" s="212" t="str">
        <f>CONCATENATE('3 pr-2'!H180)</f>
        <v>05.5.1-APVA-R-019</v>
      </c>
      <c r="H178" s="212" t="str">
        <f>CONCATENATE('3 pr-2'!I180)</f>
        <v>R</v>
      </c>
      <c r="I178" s="212" t="str">
        <f>CONCATENATE('3 pr-2'!J180)</f>
        <v>-</v>
      </c>
      <c r="J178" s="212" t="str">
        <f>CONCATENATE('3 pr-2'!K180)</f>
        <v>-</v>
      </c>
      <c r="K178" s="1439">
        <v>28</v>
      </c>
      <c r="L178" s="1439" t="s">
        <v>359</v>
      </c>
      <c r="M178" s="212">
        <v>38</v>
      </c>
      <c r="N178" s="212" t="s">
        <v>392</v>
      </c>
      <c r="O178" s="212"/>
      <c r="P178" s="212"/>
      <c r="Q178" s="212"/>
      <c r="R178" s="212"/>
      <c r="S178" s="212"/>
      <c r="T178" s="212"/>
      <c r="U178" s="522">
        <v>1</v>
      </c>
      <c r="V178" s="918">
        <f>SUM('3 pr-2'!L180)</f>
        <v>149792.22</v>
      </c>
      <c r="W178" s="918">
        <f>SUM('3 pr-2'!AA180)</f>
        <v>127323.39</v>
      </c>
    </row>
    <row r="179" spans="1:23" ht="39" thickBot="1" x14ac:dyDescent="0.3">
      <c r="A179" s="212" t="str">
        <f>CONCATENATE('3 pr-2'!A181)</f>
        <v>3.1.2.1.8</v>
      </c>
      <c r="B179" s="212" t="str">
        <f>CONCATENATE('3 pr-2'!B181)</f>
        <v>R01-0019-380000-3218</v>
      </c>
      <c r="C179" s="514" t="str">
        <f>CONCATENATE('3 pr-2'!D181)</f>
        <v>Bešeimininkių apleistų pastatų ir įrenginių tvarkymas Alytaus rajono savivaldybėje (II etapas)</v>
      </c>
      <c r="D179" s="514" t="str">
        <f>CONCATENATE('3 pr-2'!E181)</f>
        <v>Alytaus rajono savivaldybės administracija</v>
      </c>
      <c r="E179" s="514" t="str">
        <f>CONCATENATE('3 pr-2'!F181)</f>
        <v>Lietuvos Respublikos aplinkos ministerija</v>
      </c>
      <c r="F179" s="514" t="str">
        <f>CONCATENATE('3 pr-2'!G181)</f>
        <v>Alytaus rajono savivaldybė</v>
      </c>
      <c r="G179" s="212" t="str">
        <f>CONCATENATE('3 pr-2'!H181)</f>
        <v>05.5.1-APVA-R-019</v>
      </c>
      <c r="H179" s="212" t="str">
        <f>CONCATENATE('3 pr-2'!I181)</f>
        <v>R</v>
      </c>
      <c r="I179" s="212" t="str">
        <f>CONCATENATE('3 pr-2'!J181)</f>
        <v>-</v>
      </c>
      <c r="J179" s="212" t="str">
        <f>CONCATENATE('3 pr-2'!K181)</f>
        <v>-</v>
      </c>
      <c r="K179" s="212">
        <v>38</v>
      </c>
      <c r="L179" s="212" t="s">
        <v>392</v>
      </c>
      <c r="M179" s="212"/>
      <c r="N179" s="212"/>
      <c r="O179" s="212"/>
      <c r="P179" s="212"/>
      <c r="Q179" s="212"/>
      <c r="R179" s="212"/>
      <c r="S179" s="212"/>
      <c r="T179" s="212"/>
      <c r="U179" s="522">
        <v>1</v>
      </c>
      <c r="V179" s="918">
        <f>SUM('3 pr-2'!L181)</f>
        <v>736537.6470588235</v>
      </c>
      <c r="W179" s="918">
        <f>SUM('3 pr-2'!AA181)</f>
        <v>626057</v>
      </c>
    </row>
    <row r="180" spans="1:23" ht="39" thickBot="1" x14ac:dyDescent="0.3">
      <c r="A180" s="1439" t="str">
        <f>CONCATENATE('3 pr-2'!A182)</f>
        <v>3.1.2.1.9</v>
      </c>
      <c r="B180" s="212" t="str">
        <f>CONCATENATE('3 pr-2'!B182)</f>
        <v>R01-0019-380000-3219</v>
      </c>
      <c r="C180" s="1440" t="str">
        <f>CONCATENATE('3 pr-2'!D182)</f>
        <v>Etaloninio kraštovaizdžio formavimas Druskininkų savivaldybės pasienyje</v>
      </c>
      <c r="D180" s="1440" t="str">
        <f>CONCATENATE('3 pr-2'!E182)</f>
        <v>Druskininkų savivaldybės administracija</v>
      </c>
      <c r="E180" s="1440" t="str">
        <f>CONCATENATE('3 pr-2'!F182)</f>
        <v>Lietuvos Respublikos aplinkos ministerija</v>
      </c>
      <c r="F180" s="1440" t="str">
        <f>CONCATENATE('3 pr-2'!G182)</f>
        <v>Druskininkų savivaldybė</v>
      </c>
      <c r="G180" s="1439" t="str">
        <f>CONCATENATE('3 pr-2'!H182)</f>
        <v>05.5.1-APVA-R-019</v>
      </c>
      <c r="H180" s="1439" t="str">
        <f>CONCATENATE('3 pr-2'!I182)</f>
        <v>R</v>
      </c>
      <c r="I180" s="1439" t="str">
        <f>CONCATENATE('3 pr-2'!J182)</f>
        <v>-</v>
      </c>
      <c r="J180" s="1439" t="str">
        <f>CONCATENATE('3 pr-2'!K182)</f>
        <v>-</v>
      </c>
      <c r="K180" s="1439">
        <v>38</v>
      </c>
      <c r="L180" s="1439" t="s">
        <v>392</v>
      </c>
      <c r="M180" s="212"/>
      <c r="N180" s="212"/>
      <c r="O180" s="212"/>
      <c r="P180" s="212"/>
      <c r="Q180" s="212"/>
      <c r="R180" s="212"/>
      <c r="S180" s="212"/>
      <c r="T180" s="212"/>
      <c r="U180" s="522">
        <v>1</v>
      </c>
      <c r="V180" s="918">
        <f>SUM('3 pr-2'!L182)</f>
        <v>88524.094117647051</v>
      </c>
      <c r="W180" s="918">
        <f>SUM('3 pr-2'!AA182)</f>
        <v>75245.48</v>
      </c>
    </row>
    <row r="182" spans="1:23" x14ac:dyDescent="0.25">
      <c r="C182" s="85" t="s">
        <v>1540</v>
      </c>
    </row>
    <row r="183" spans="1:23" x14ac:dyDescent="0.25">
      <c r="C183" s="85" t="s">
        <v>1541</v>
      </c>
    </row>
    <row r="184" spans="1:23" x14ac:dyDescent="0.25">
      <c r="C184" s="85" t="s">
        <v>1542</v>
      </c>
    </row>
    <row r="185" spans="1:23" x14ac:dyDescent="0.25">
      <c r="C185" s="85" t="s">
        <v>1543</v>
      </c>
    </row>
  </sheetData>
  <autoFilter ref="A1:W179"/>
  <mergeCells count="35">
    <mergeCell ref="C65:J65"/>
    <mergeCell ref="C7:J7"/>
    <mergeCell ref="C6:J6"/>
    <mergeCell ref="C5:J5"/>
    <mergeCell ref="C31:J31"/>
    <mergeCell ref="C37:J37"/>
    <mergeCell ref="C44:J44"/>
    <mergeCell ref="C48:J48"/>
    <mergeCell ref="C54:J54"/>
    <mergeCell ref="C56:J56"/>
    <mergeCell ref="C60:J60"/>
    <mergeCell ref="C119:J119"/>
    <mergeCell ref="C71:J71"/>
    <mergeCell ref="C72:J72"/>
    <mergeCell ref="C77:J77"/>
    <mergeCell ref="C84:J84"/>
    <mergeCell ref="C90:J90"/>
    <mergeCell ref="C98:J98"/>
    <mergeCell ref="C99:J99"/>
    <mergeCell ref="C100:J100"/>
    <mergeCell ref="C106:J106"/>
    <mergeCell ref="C112:J112"/>
    <mergeCell ref="C118:J118"/>
    <mergeCell ref="C133:J133"/>
    <mergeCell ref="C145:J145"/>
    <mergeCell ref="C146:J146"/>
    <mergeCell ref="C159:J159"/>
    <mergeCell ref="C158:J158"/>
    <mergeCell ref="C139:J139"/>
    <mergeCell ref="C167:J167"/>
    <mergeCell ref="C168:J168"/>
    <mergeCell ref="C170:J170"/>
    <mergeCell ref="C171:J171"/>
    <mergeCell ref="C152:J152"/>
    <mergeCell ref="C166:J166"/>
  </mergeCells>
  <pageMargins left="0.25" right="0.25" top="0.75" bottom="0.75" header="0.3" footer="0.3"/>
  <pageSetup paperSize="8" scale="33" fitToHeight="0" orientation="landscape" r:id="rId1"/>
  <headerFooter>
    <oddHeader>&amp;C&amp;"Times New Roman,Paprastas"&amp;12Alytaus regiono 2014 – 2020 metų plėtros planas</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DH185"/>
  <sheetViews>
    <sheetView showGridLines="0" showRuler="0" zoomScaleNormal="100" zoomScalePageLayoutView="95" workbookViewId="0">
      <pane ySplit="2205" topLeftCell="A127" activePane="bottomLeft"/>
      <selection activeCell="CY1" sqref="CY1:CY1048576"/>
      <selection pane="bottomLeft" activeCell="AR130" sqref="AR130"/>
    </sheetView>
  </sheetViews>
  <sheetFormatPr defaultColWidth="9.140625" defaultRowHeight="15" x14ac:dyDescent="0.25"/>
  <cols>
    <col min="1" max="1" width="8.7109375" style="152" customWidth="1"/>
    <col min="2" max="2" width="12.7109375" style="152" customWidth="1"/>
    <col min="3" max="3" width="13.42578125" style="152" hidden="1" customWidth="1"/>
    <col min="4" max="4" width="18.140625" style="1161" customWidth="1"/>
    <col min="5" max="5" width="11.7109375" style="152" customWidth="1"/>
    <col min="6" max="6" width="13.28515625" style="152" customWidth="1"/>
    <col min="7" max="7" width="11.42578125" style="152" customWidth="1"/>
    <col min="8" max="8" width="14.7109375" style="152" customWidth="1"/>
    <col min="9" max="9" width="4.140625" style="152" bestFit="1" customWidth="1"/>
    <col min="10" max="10" width="3.28515625" style="152" bestFit="1" customWidth="1"/>
    <col min="11" max="11" width="5.140625" style="152" customWidth="1"/>
    <col min="12" max="12" width="8.28515625" style="152" customWidth="1"/>
    <col min="13" max="13" width="16.5703125" style="152" customWidth="1"/>
    <col min="14" max="14" width="5.28515625" style="152" hidden="1" customWidth="1"/>
    <col min="15" max="19" width="4.42578125" style="152" hidden="1" customWidth="1"/>
    <col min="20" max="20" width="4.85546875" style="152" hidden="1" customWidth="1"/>
    <col min="21" max="21" width="7" style="152" hidden="1" customWidth="1"/>
    <col min="22" max="22" width="7.85546875" style="152" customWidth="1"/>
    <col min="23" max="24" width="9.28515625" style="152" hidden="1" customWidth="1"/>
    <col min="25" max="26" width="6.140625" style="152" hidden="1" customWidth="1"/>
    <col min="27" max="27" width="7.7109375" style="152" hidden="1" customWidth="1"/>
    <col min="28" max="28" width="6.140625" style="152" hidden="1" customWidth="1"/>
    <col min="29" max="29" width="6.5703125" style="152" hidden="1" customWidth="1"/>
    <col min="30" max="31" width="6.140625" style="152" hidden="1" customWidth="1"/>
    <col min="32" max="32" width="8.28515625" style="152" customWidth="1"/>
    <col min="33" max="33" width="17.28515625" style="152" customWidth="1"/>
    <col min="34" max="40" width="4.42578125" style="152" hidden="1" customWidth="1"/>
    <col min="41" max="41" width="4.5703125" style="152" hidden="1" customWidth="1"/>
    <col min="42" max="42" width="7.42578125" style="152" customWidth="1"/>
    <col min="43" max="43" width="8" style="152" customWidth="1"/>
    <col min="44" max="44" width="9.42578125" style="152" customWidth="1"/>
    <col min="45" max="45" width="4.5703125" style="152" hidden="1" customWidth="1"/>
    <col min="46" max="46" width="6.28515625" style="152" hidden="1" customWidth="1"/>
    <col min="47" max="51" width="5.85546875" style="152" hidden="1" customWidth="1"/>
    <col min="52" max="52" width="7.85546875" style="152" customWidth="1"/>
    <col min="53" max="53" width="15.140625" style="152" customWidth="1"/>
    <col min="54" max="60" width="4.42578125" style="152" hidden="1" customWidth="1"/>
    <col min="61" max="61" width="4.5703125" style="152" hidden="1" customWidth="1"/>
    <col min="62" max="62" width="9.28515625" style="152" customWidth="1"/>
    <col min="63" max="64" width="9.140625" style="152" hidden="1" customWidth="1"/>
    <col min="65" max="66" width="4.85546875" style="152" hidden="1" customWidth="1"/>
    <col min="67" max="67" width="5.7109375" style="152" hidden="1" customWidth="1"/>
    <col min="68" max="68" width="5.140625" style="152" hidden="1" customWidth="1"/>
    <col min="69" max="71" width="4.85546875" style="152" hidden="1" customWidth="1"/>
    <col min="72" max="72" width="7.7109375" style="152" customWidth="1"/>
    <col min="73" max="73" width="15.42578125" style="152" customWidth="1"/>
    <col min="74" max="80" width="4.42578125" style="152" hidden="1" customWidth="1"/>
    <col min="81" max="81" width="4.5703125" style="152" hidden="1" customWidth="1"/>
    <col min="82" max="82" width="9.140625" style="152" customWidth="1"/>
    <col min="83" max="84" width="9.140625" style="152" hidden="1" customWidth="1"/>
    <col min="85" max="91" width="5.28515625" style="152" hidden="1" customWidth="1"/>
    <col min="92" max="92" width="9.140625" style="152"/>
    <col min="93" max="93" width="14.140625" style="152" customWidth="1"/>
    <col min="94" max="100" width="4.42578125" style="152" hidden="1" customWidth="1"/>
    <col min="101" max="101" width="4.5703125" style="152" hidden="1" customWidth="1"/>
    <col min="102" max="102" width="9.42578125" style="152" customWidth="1"/>
    <col min="103" max="104" width="10.7109375" style="152" hidden="1" customWidth="1"/>
    <col min="105" max="105" width="5.28515625" style="152" hidden="1" customWidth="1"/>
    <col min="106" max="106" width="7.85546875" style="152" hidden="1" customWidth="1"/>
    <col min="107" max="111" width="5.28515625" style="152" hidden="1" customWidth="1"/>
    <col min="112" max="16384" width="9.140625" style="152"/>
  </cols>
  <sheetData>
    <row r="2" spans="1:111" x14ac:dyDescent="0.25">
      <c r="A2" s="1312"/>
      <c r="B2" s="1312"/>
      <c r="C2" s="1312"/>
    </row>
    <row r="3" spans="1:111" ht="16.5" thickBot="1" x14ac:dyDescent="0.3">
      <c r="A3" s="1313" t="s">
        <v>1670</v>
      </c>
      <c r="B3" s="1313"/>
      <c r="C3" s="1313"/>
    </row>
    <row r="4" spans="1:111" ht="54" thickTop="1" thickBot="1" x14ac:dyDescent="0.3">
      <c r="A4" s="1690" t="s">
        <v>7</v>
      </c>
      <c r="B4" s="1690" t="str">
        <f>CONCATENATE('3 pr-2'!B4)</f>
        <v xml:space="preserve">Unikalus numeris**** </v>
      </c>
      <c r="C4" s="1232" t="str">
        <f>CONCATENATE('ketv. 2lent'!B3)</f>
        <v>Projekto kodas</v>
      </c>
      <c r="D4" s="1698" t="s">
        <v>49</v>
      </c>
      <c r="E4" s="1673" t="s">
        <v>50</v>
      </c>
      <c r="F4" s="1673" t="s">
        <v>51</v>
      </c>
      <c r="G4" s="1673" t="s">
        <v>52</v>
      </c>
      <c r="H4" s="1679" t="s">
        <v>53</v>
      </c>
      <c r="I4" s="1673" t="s">
        <v>341</v>
      </c>
      <c r="J4" s="1673" t="s">
        <v>168</v>
      </c>
      <c r="K4" s="1673" t="s">
        <v>342</v>
      </c>
      <c r="L4" s="1678" t="s">
        <v>467</v>
      </c>
      <c r="M4" s="226" t="s">
        <v>896</v>
      </c>
      <c r="N4" s="1686" t="s">
        <v>831</v>
      </c>
      <c r="O4" s="1684"/>
      <c r="P4" s="1684"/>
      <c r="Q4" s="1684"/>
      <c r="R4" s="1684"/>
      <c r="S4" s="1684"/>
      <c r="T4" s="1684"/>
      <c r="U4" s="1685"/>
      <c r="V4" s="1678" t="s">
        <v>468</v>
      </c>
      <c r="W4" s="230" t="s">
        <v>855</v>
      </c>
      <c r="X4" s="226" t="s">
        <v>860</v>
      </c>
      <c r="Y4" s="227">
        <v>2017</v>
      </c>
      <c r="Z4" s="228">
        <v>2018</v>
      </c>
      <c r="AA4" s="228">
        <v>2019</v>
      </c>
      <c r="AB4" s="228">
        <v>2020</v>
      </c>
      <c r="AC4" s="228">
        <v>2021</v>
      </c>
      <c r="AD4" s="228">
        <v>2022</v>
      </c>
      <c r="AE4" s="228">
        <v>2023</v>
      </c>
      <c r="AF4" s="1678" t="s">
        <v>347</v>
      </c>
      <c r="AG4" s="226" t="s">
        <v>469</v>
      </c>
      <c r="AH4" s="1686" t="s">
        <v>831</v>
      </c>
      <c r="AI4" s="1684"/>
      <c r="AJ4" s="1684"/>
      <c r="AK4" s="1684"/>
      <c r="AL4" s="1684"/>
      <c r="AM4" s="1684"/>
      <c r="AN4" s="1684"/>
      <c r="AO4" s="1685"/>
      <c r="AP4" s="1678" t="s">
        <v>470</v>
      </c>
      <c r="AQ4" s="227" t="s">
        <v>856</v>
      </c>
      <c r="AR4" s="226" t="s">
        <v>861</v>
      </c>
      <c r="AS4" s="228">
        <v>2017</v>
      </c>
      <c r="AT4" s="228">
        <v>2018</v>
      </c>
      <c r="AU4" s="228">
        <v>2019</v>
      </c>
      <c r="AV4" s="228">
        <v>2020</v>
      </c>
      <c r="AW4" s="228">
        <v>2021</v>
      </c>
      <c r="AX4" s="228">
        <v>2022</v>
      </c>
      <c r="AY4" s="229">
        <v>2023</v>
      </c>
      <c r="AZ4" s="1678" t="s">
        <v>349</v>
      </c>
      <c r="BA4" s="230" t="s">
        <v>471</v>
      </c>
      <c r="BB4" s="1686" t="s">
        <v>831</v>
      </c>
      <c r="BC4" s="1684"/>
      <c r="BD4" s="1684"/>
      <c r="BE4" s="1684"/>
      <c r="BF4" s="1684"/>
      <c r="BG4" s="1684"/>
      <c r="BH4" s="1684"/>
      <c r="BI4" s="1685"/>
      <c r="BJ4" s="1678" t="s">
        <v>472</v>
      </c>
      <c r="BK4" s="227" t="s">
        <v>857</v>
      </c>
      <c r="BL4" s="226" t="s">
        <v>862</v>
      </c>
      <c r="BM4" s="227">
        <v>2017</v>
      </c>
      <c r="BN4" s="228">
        <v>2018</v>
      </c>
      <c r="BO4" s="228">
        <v>2019</v>
      </c>
      <c r="BP4" s="228">
        <v>2020</v>
      </c>
      <c r="BQ4" s="228">
        <v>2021</v>
      </c>
      <c r="BR4" s="228">
        <v>2022</v>
      </c>
      <c r="BS4" s="228">
        <v>2023</v>
      </c>
      <c r="BT4" s="1678" t="s">
        <v>473</v>
      </c>
      <c r="BU4" s="226" t="s">
        <v>474</v>
      </c>
      <c r="BV4" s="1686" t="s">
        <v>831</v>
      </c>
      <c r="BW4" s="1684"/>
      <c r="BX4" s="1684"/>
      <c r="BY4" s="1684"/>
      <c r="BZ4" s="1684"/>
      <c r="CA4" s="1684"/>
      <c r="CB4" s="1684"/>
      <c r="CC4" s="1685"/>
      <c r="CD4" s="1678" t="s">
        <v>475</v>
      </c>
      <c r="CE4" s="227" t="s">
        <v>858</v>
      </c>
      <c r="CF4" s="226" t="s">
        <v>863</v>
      </c>
      <c r="CG4" s="228">
        <v>2017</v>
      </c>
      <c r="CH4" s="228">
        <v>2018</v>
      </c>
      <c r="CI4" s="228">
        <v>2019</v>
      </c>
      <c r="CJ4" s="228">
        <v>2020</v>
      </c>
      <c r="CK4" s="228">
        <v>2021</v>
      </c>
      <c r="CL4" s="228">
        <v>2022</v>
      </c>
      <c r="CM4" s="228">
        <v>2023</v>
      </c>
      <c r="CN4" s="1678" t="s">
        <v>899</v>
      </c>
      <c r="CO4" s="226" t="s">
        <v>900</v>
      </c>
      <c r="CP4" s="1683" t="s">
        <v>831</v>
      </c>
      <c r="CQ4" s="1684"/>
      <c r="CR4" s="1684"/>
      <c r="CS4" s="1684"/>
      <c r="CT4" s="1684"/>
      <c r="CU4" s="1684"/>
      <c r="CV4" s="1684"/>
      <c r="CW4" s="1685"/>
      <c r="CX4" s="1678" t="s">
        <v>901</v>
      </c>
      <c r="CY4" s="227" t="s">
        <v>859</v>
      </c>
      <c r="CZ4" s="226" t="s">
        <v>864</v>
      </c>
      <c r="DA4" s="1314">
        <v>2017</v>
      </c>
      <c r="DB4" s="1315">
        <v>2018</v>
      </c>
      <c r="DC4" s="1315">
        <v>2019</v>
      </c>
      <c r="DD4" s="1315">
        <v>2020</v>
      </c>
      <c r="DE4" s="1315">
        <v>2021</v>
      </c>
      <c r="DF4" s="1315">
        <v>2022</v>
      </c>
      <c r="DG4" s="1315">
        <v>2023</v>
      </c>
    </row>
    <row r="5" spans="1:111" ht="24.75" customHeight="1" thickTop="1" thickBot="1" x14ac:dyDescent="0.3">
      <c r="A5" s="1691"/>
      <c r="B5" s="1691"/>
      <c r="C5" s="1239" t="str">
        <f>CONCATENATE('ketv. 2lent'!B4)</f>
        <v/>
      </c>
      <c r="D5" s="1699"/>
      <c r="E5" s="1674"/>
      <c r="F5" s="1674"/>
      <c r="G5" s="1674"/>
      <c r="H5" s="1674"/>
      <c r="I5" s="1674"/>
      <c r="J5" s="1674"/>
      <c r="K5" s="1674"/>
      <c r="L5" s="1674"/>
      <c r="M5" s="1548" t="s">
        <v>476</v>
      </c>
      <c r="N5" s="1548"/>
      <c r="O5" s="1548"/>
      <c r="P5" s="1548"/>
      <c r="Q5" s="1548"/>
      <c r="R5" s="1548"/>
      <c r="S5" s="1548"/>
      <c r="T5" s="1548"/>
      <c r="U5" s="1548"/>
      <c r="V5" s="1674"/>
      <c r="W5" s="1552"/>
      <c r="X5" s="1552"/>
      <c r="Y5" s="1675" t="s">
        <v>895</v>
      </c>
      <c r="Z5" s="1676"/>
      <c r="AA5" s="1676"/>
      <c r="AB5" s="1676"/>
      <c r="AC5" s="1676"/>
      <c r="AD5" s="1676"/>
      <c r="AE5" s="1677"/>
      <c r="AF5" s="1674"/>
      <c r="AG5" s="1548" t="s">
        <v>476</v>
      </c>
      <c r="AH5" s="1548"/>
      <c r="AI5" s="1548"/>
      <c r="AJ5" s="1548"/>
      <c r="AK5" s="1548"/>
      <c r="AL5" s="1548"/>
      <c r="AM5" s="1548"/>
      <c r="AN5" s="1548"/>
      <c r="AO5" s="1548"/>
      <c r="AP5" s="1674"/>
      <c r="AQ5" s="1553"/>
      <c r="AR5" s="1553"/>
      <c r="AS5" s="1675" t="s">
        <v>895</v>
      </c>
      <c r="AT5" s="1676"/>
      <c r="AU5" s="1676"/>
      <c r="AV5" s="1676"/>
      <c r="AW5" s="1676"/>
      <c r="AX5" s="1676"/>
      <c r="AY5" s="1677"/>
      <c r="AZ5" s="1674"/>
      <c r="BA5" s="1554" t="s">
        <v>476</v>
      </c>
      <c r="BB5" s="1548"/>
      <c r="BC5" s="1548"/>
      <c r="BD5" s="1548"/>
      <c r="BE5" s="1548"/>
      <c r="BF5" s="1548"/>
      <c r="BG5" s="1548"/>
      <c r="BH5" s="1548"/>
      <c r="BI5" s="1548"/>
      <c r="BJ5" s="1674"/>
      <c r="BK5" s="1554"/>
      <c r="BL5" s="1554"/>
      <c r="BM5" s="1675" t="s">
        <v>895</v>
      </c>
      <c r="BN5" s="1676"/>
      <c r="BO5" s="1676"/>
      <c r="BP5" s="1676"/>
      <c r="BQ5" s="1676"/>
      <c r="BR5" s="1676"/>
      <c r="BS5" s="1677"/>
      <c r="BT5" s="1674"/>
      <c r="BU5" s="1548" t="s">
        <v>476</v>
      </c>
      <c r="BV5" s="1548"/>
      <c r="BW5" s="1548"/>
      <c r="BX5" s="1548"/>
      <c r="BY5" s="1548"/>
      <c r="BZ5" s="1548"/>
      <c r="CA5" s="1548"/>
      <c r="CB5" s="1548"/>
      <c r="CC5" s="1548"/>
      <c r="CD5" s="1674"/>
      <c r="CE5" s="1553"/>
      <c r="CF5" s="1553"/>
      <c r="CG5" s="1675" t="s">
        <v>895</v>
      </c>
      <c r="CH5" s="1676"/>
      <c r="CI5" s="1676"/>
      <c r="CJ5" s="1676"/>
      <c r="CK5" s="1676"/>
      <c r="CL5" s="1676"/>
      <c r="CM5" s="1677"/>
      <c r="CN5" s="1674"/>
      <c r="CO5" s="1548" t="s">
        <v>476</v>
      </c>
      <c r="CP5" s="1555"/>
      <c r="CQ5" s="1548"/>
      <c r="CR5" s="1548"/>
      <c r="CS5" s="1548"/>
      <c r="CT5" s="1548"/>
      <c r="CU5" s="1548"/>
      <c r="CV5" s="1548"/>
      <c r="CW5" s="1548"/>
      <c r="CX5" s="1674"/>
      <c r="CY5" s="477"/>
      <c r="CZ5" s="477"/>
      <c r="DA5" s="1680" t="s">
        <v>895</v>
      </c>
      <c r="DB5" s="1681"/>
      <c r="DC5" s="1681"/>
      <c r="DD5" s="1681"/>
      <c r="DE5" s="1681"/>
      <c r="DF5" s="1681"/>
      <c r="DG5" s="1682"/>
    </row>
    <row r="6" spans="1:111" ht="15.75" thickBot="1" x14ac:dyDescent="0.3">
      <c r="A6" s="1680" t="str">
        <f>CONCATENATE('3 pr-2'!B6)</f>
        <v/>
      </c>
      <c r="B6" s="1692"/>
      <c r="C6" s="1692"/>
      <c r="D6" s="1692"/>
      <c r="E6" s="1692"/>
      <c r="F6" s="1692"/>
      <c r="G6" s="1692"/>
      <c r="H6" s="1692"/>
      <c r="I6" s="1692"/>
      <c r="J6" s="1692"/>
      <c r="K6" s="1692"/>
      <c r="L6" s="1692"/>
      <c r="M6" s="1692"/>
      <c r="N6" s="1692"/>
      <c r="O6" s="1692"/>
      <c r="P6" s="1692"/>
      <c r="Q6" s="1692"/>
      <c r="R6" s="1692"/>
      <c r="S6" s="1692"/>
      <c r="T6" s="1692"/>
      <c r="U6" s="1692"/>
      <c r="V6" s="1692"/>
      <c r="W6" s="1692"/>
      <c r="X6" s="1692"/>
      <c r="Y6" s="1692"/>
      <c r="Z6" s="1692"/>
      <c r="AA6" s="1692"/>
      <c r="AB6" s="1692"/>
      <c r="AC6" s="1692"/>
      <c r="AD6" s="1692"/>
      <c r="AE6" s="1692"/>
      <c r="AF6" s="1692"/>
      <c r="AG6" s="1692"/>
      <c r="AH6" s="1692"/>
      <c r="AI6" s="1692"/>
      <c r="AJ6" s="1692"/>
      <c r="AK6" s="1692"/>
      <c r="AL6" s="1692"/>
      <c r="AM6" s="1692"/>
      <c r="AN6" s="1692"/>
      <c r="AO6" s="1692"/>
      <c r="AP6" s="1692"/>
      <c r="AQ6" s="1692"/>
      <c r="AR6" s="1692"/>
      <c r="AS6" s="1692"/>
      <c r="AT6" s="1692"/>
      <c r="AU6" s="1692"/>
      <c r="AV6" s="1692"/>
      <c r="AW6" s="1692"/>
      <c r="AX6" s="1692"/>
      <c r="AY6" s="1692"/>
      <c r="AZ6" s="1692"/>
      <c r="BA6" s="1692"/>
      <c r="BB6" s="1692"/>
      <c r="BC6" s="1692"/>
      <c r="BD6" s="1692"/>
      <c r="BE6" s="1692"/>
      <c r="BF6" s="1692"/>
      <c r="BG6" s="1692"/>
      <c r="BH6" s="1692"/>
      <c r="BI6" s="1692"/>
      <c r="BJ6" s="1692"/>
      <c r="BK6" s="1692"/>
      <c r="BL6" s="1692"/>
      <c r="BM6" s="1692"/>
      <c r="BN6" s="1692"/>
      <c r="BO6" s="1692"/>
      <c r="BP6" s="1692"/>
      <c r="BQ6" s="1692"/>
      <c r="BR6" s="1692"/>
      <c r="BS6" s="1692"/>
      <c r="BT6" s="1692"/>
      <c r="BU6" s="1692"/>
      <c r="BV6" s="1692"/>
      <c r="BW6" s="1692"/>
      <c r="BX6" s="1692"/>
      <c r="BY6" s="1692"/>
      <c r="BZ6" s="1692"/>
      <c r="CA6" s="1692"/>
      <c r="CB6" s="1692"/>
      <c r="CC6" s="1692"/>
      <c r="CD6" s="1692"/>
      <c r="CE6" s="1692"/>
      <c r="CF6" s="1692"/>
      <c r="CG6" s="1692"/>
      <c r="CH6" s="1692"/>
      <c r="CI6" s="1692"/>
      <c r="CJ6" s="1692"/>
      <c r="CK6" s="1692"/>
      <c r="CL6" s="1692"/>
      <c r="CM6" s="1692"/>
      <c r="CN6" s="1692"/>
      <c r="CO6" s="1692"/>
      <c r="CP6" s="1692"/>
      <c r="CQ6" s="1692"/>
      <c r="CR6" s="1692"/>
      <c r="CS6" s="1692"/>
      <c r="CT6" s="1692"/>
      <c r="CU6" s="1692"/>
      <c r="CV6" s="1692"/>
      <c r="CW6" s="1692"/>
      <c r="CX6" s="1693"/>
      <c r="CY6" s="478"/>
      <c r="CZ6" s="478"/>
      <c r="DA6" s="478"/>
      <c r="DB6" s="1259"/>
      <c r="DC6" s="1259"/>
      <c r="DD6" s="1259"/>
      <c r="DE6" s="1259"/>
      <c r="DF6" s="1259"/>
      <c r="DG6" s="1259"/>
    </row>
    <row r="7" spans="1:111" ht="75.75" customHeight="1" thickBot="1" x14ac:dyDescent="0.3">
      <c r="A7" s="1558" t="s">
        <v>11</v>
      </c>
      <c r="B7" s="1694" t="str">
        <f>CONCATENATE('3 pr-2'!B7)</f>
        <v>Tikslas: 
DIDINTI ŪKINĖS VEIKLOS ĮVAIROVĘ IR PAGERINTI SĄLYGAS INVESTICIJŲ PRITRAUKIMUI, MAŽINANT GEOGRAFINIŲ SĄLYGŲ IR DEMOGRAFINIŲ PROCESŲ SUKELIAMUS GYVENIMO KOKYBĖS NETOLYGUMUS</v>
      </c>
      <c r="C7" s="1616"/>
      <c r="D7" s="1616"/>
      <c r="E7" s="1616"/>
      <c r="F7" s="1616"/>
      <c r="G7" s="1616"/>
      <c r="H7" s="1616"/>
      <c r="I7" s="1616"/>
      <c r="J7" s="1616"/>
      <c r="K7" s="1617"/>
      <c r="L7" s="507" t="s">
        <v>66</v>
      </c>
      <c r="M7" s="508"/>
      <c r="N7" s="1318"/>
      <c r="O7" s="1319"/>
      <c r="P7" s="1319"/>
      <c r="Q7" s="1319"/>
      <c r="R7" s="1319"/>
      <c r="S7" s="1319"/>
      <c r="T7" s="1319"/>
      <c r="U7" s="1320"/>
      <c r="V7" s="507" t="s">
        <v>66</v>
      </c>
      <c r="W7" s="510"/>
      <c r="X7" s="507"/>
      <c r="Y7" s="1321"/>
      <c r="Z7" s="512"/>
      <c r="AA7" s="512"/>
      <c r="AB7" s="512"/>
      <c r="AC7" s="512"/>
      <c r="AD7" s="512"/>
      <c r="AE7" s="1322"/>
      <c r="AF7" s="510"/>
      <c r="AG7" s="508" t="s">
        <v>66</v>
      </c>
      <c r="AH7" s="1556"/>
      <c r="AI7" s="1319"/>
      <c r="AJ7" s="1319"/>
      <c r="AK7" s="1319"/>
      <c r="AL7" s="1319"/>
      <c r="AM7" s="1319"/>
      <c r="AN7" s="1319"/>
      <c r="AO7" s="1320"/>
      <c r="AP7" s="507"/>
      <c r="AQ7" s="511"/>
      <c r="AR7" s="507"/>
      <c r="AS7" s="512"/>
      <c r="AT7" s="512"/>
      <c r="AU7" s="512"/>
      <c r="AV7" s="512"/>
      <c r="AW7" s="512"/>
      <c r="AX7" s="512"/>
      <c r="AY7" s="513"/>
      <c r="AZ7" s="507" t="s">
        <v>66</v>
      </c>
      <c r="BA7" s="510"/>
      <c r="BB7" s="1556"/>
      <c r="BC7" s="1319"/>
      <c r="BD7" s="1319"/>
      <c r="BE7" s="1319"/>
      <c r="BF7" s="1319"/>
      <c r="BG7" s="1319"/>
      <c r="BH7" s="1319"/>
      <c r="BI7" s="1320"/>
      <c r="BJ7" s="507" t="s">
        <v>66</v>
      </c>
      <c r="BK7" s="511"/>
      <c r="BL7" s="507"/>
      <c r="BM7" s="511"/>
      <c r="BN7" s="512"/>
      <c r="BO7" s="512"/>
      <c r="BP7" s="512"/>
      <c r="BQ7" s="512"/>
      <c r="BR7" s="512"/>
      <c r="BS7" s="512"/>
      <c r="BT7" s="513"/>
      <c r="BU7" s="883"/>
      <c r="BV7" s="1556"/>
      <c r="BW7" s="1319"/>
      <c r="BX7" s="1319"/>
      <c r="BY7" s="1319"/>
      <c r="BZ7" s="1319"/>
      <c r="CA7" s="1319"/>
      <c r="CB7" s="1319"/>
      <c r="CC7" s="1320"/>
      <c r="CD7" s="507"/>
      <c r="CE7" s="511"/>
      <c r="CF7" s="507"/>
      <c r="CG7" s="512"/>
      <c r="CH7" s="512"/>
      <c r="CI7" s="512"/>
      <c r="CJ7" s="512"/>
      <c r="CK7" s="512"/>
      <c r="CL7" s="512"/>
      <c r="CM7" s="512"/>
      <c r="CN7" s="513"/>
      <c r="CO7" s="885"/>
      <c r="CP7" s="1326"/>
      <c r="CQ7" s="1319"/>
      <c r="CR7" s="1319"/>
      <c r="CS7" s="1319"/>
      <c r="CT7" s="1319"/>
      <c r="CU7" s="1319"/>
      <c r="CV7" s="1319"/>
      <c r="CW7" s="1327"/>
      <c r="CX7" s="509"/>
      <c r="CY7" s="505"/>
      <c r="CZ7" s="505"/>
      <c r="DA7" s="505"/>
      <c r="DB7" s="1259"/>
      <c r="DC7" s="1259"/>
      <c r="DD7" s="1259"/>
      <c r="DE7" s="1259"/>
      <c r="DF7" s="1259"/>
      <c r="DG7" s="1259"/>
    </row>
    <row r="8" spans="1:111" ht="65.25" customHeight="1" thickBot="1" x14ac:dyDescent="0.3">
      <c r="A8" s="1255" t="s">
        <v>12</v>
      </c>
      <c r="B8" s="1695" t="str">
        <f>CONCATENATE('3 pr-2'!B8)</f>
        <v>Uždavinys: 
Sudaryti sąlygas darbo vietų kūrimui, kuriant ir atnaujinant viešąją ir ekoinžinerinę  infrastruktūrą,  gamtos, kultūros paveldo objektus ir kultūros įstaigas</v>
      </c>
      <c r="C8" s="1696"/>
      <c r="D8" s="1696"/>
      <c r="E8" s="1696"/>
      <c r="F8" s="1696"/>
      <c r="G8" s="1696"/>
      <c r="H8" s="1696"/>
      <c r="I8" s="1696"/>
      <c r="J8" s="1696"/>
      <c r="K8" s="1697"/>
      <c r="L8" s="507" t="s">
        <v>66</v>
      </c>
      <c r="M8" s="508"/>
      <c r="N8" s="1318"/>
      <c r="O8" s="1319"/>
      <c r="P8" s="1319"/>
      <c r="Q8" s="1319"/>
      <c r="R8" s="1319"/>
      <c r="S8" s="1319"/>
      <c r="T8" s="1319"/>
      <c r="U8" s="1320"/>
      <c r="V8" s="507" t="s">
        <v>66</v>
      </c>
      <c r="W8" s="510"/>
      <c r="X8" s="507"/>
      <c r="Y8" s="1321"/>
      <c r="Z8" s="512"/>
      <c r="AA8" s="512"/>
      <c r="AB8" s="512"/>
      <c r="AC8" s="512"/>
      <c r="AD8" s="512"/>
      <c r="AE8" s="1322"/>
      <c r="AF8" s="510"/>
      <c r="AG8" s="508" t="s">
        <v>66</v>
      </c>
      <c r="AH8" s="1323"/>
      <c r="AI8" s="1324"/>
      <c r="AJ8" s="1324"/>
      <c r="AK8" s="1324"/>
      <c r="AL8" s="1324"/>
      <c r="AM8" s="1324"/>
      <c r="AN8" s="1324"/>
      <c r="AO8" s="1325"/>
      <c r="AP8" s="507"/>
      <c r="AQ8" s="511"/>
      <c r="AR8" s="507"/>
      <c r="AS8" s="512"/>
      <c r="AT8" s="512"/>
      <c r="AU8" s="512"/>
      <c r="AV8" s="512"/>
      <c r="AW8" s="512"/>
      <c r="AX8" s="512"/>
      <c r="AY8" s="513"/>
      <c r="AZ8" s="507" t="s">
        <v>66</v>
      </c>
      <c r="BA8" s="510"/>
      <c r="BB8" s="1323"/>
      <c r="BC8" s="1324"/>
      <c r="BD8" s="1324"/>
      <c r="BE8" s="1324"/>
      <c r="BF8" s="1324"/>
      <c r="BG8" s="1324"/>
      <c r="BH8" s="1324"/>
      <c r="BI8" s="1325"/>
      <c r="BJ8" s="507" t="s">
        <v>66</v>
      </c>
      <c r="BK8" s="511"/>
      <c r="BL8" s="507"/>
      <c r="BM8" s="511"/>
      <c r="BN8" s="512"/>
      <c r="BO8" s="512"/>
      <c r="BP8" s="512"/>
      <c r="BQ8" s="512"/>
      <c r="BR8" s="512"/>
      <c r="BS8" s="512"/>
      <c r="BT8" s="513"/>
      <c r="BU8" s="883"/>
      <c r="BV8" s="1323"/>
      <c r="BW8" s="1324"/>
      <c r="BX8" s="1324"/>
      <c r="BY8" s="1324"/>
      <c r="BZ8" s="1324"/>
      <c r="CA8" s="1324"/>
      <c r="CB8" s="1324"/>
      <c r="CC8" s="1325"/>
      <c r="CD8" s="507"/>
      <c r="CE8" s="511"/>
      <c r="CF8" s="507"/>
      <c r="CG8" s="512"/>
      <c r="CH8" s="512"/>
      <c r="CI8" s="512"/>
      <c r="CJ8" s="512"/>
      <c r="CK8" s="512"/>
      <c r="CL8" s="512"/>
      <c r="CM8" s="512"/>
      <c r="CN8" s="513"/>
      <c r="CO8" s="885"/>
      <c r="CP8" s="1326"/>
      <c r="CQ8" s="1319"/>
      <c r="CR8" s="1319"/>
      <c r="CS8" s="1319"/>
      <c r="CT8" s="1319"/>
      <c r="CU8" s="1319"/>
      <c r="CV8" s="1319"/>
      <c r="CW8" s="1327"/>
      <c r="CX8" s="509"/>
      <c r="CY8" s="505"/>
      <c r="CZ8" s="505"/>
      <c r="DA8" s="505"/>
      <c r="DB8" s="1259"/>
      <c r="DC8" s="1259"/>
      <c r="DD8" s="1259"/>
      <c r="DE8" s="1259"/>
      <c r="DF8" s="1259"/>
      <c r="DG8" s="1259"/>
    </row>
    <row r="9" spans="1:111" ht="74.25" thickBot="1" x14ac:dyDescent="0.3">
      <c r="A9" s="1257" t="s">
        <v>67</v>
      </c>
      <c r="B9" s="1687" t="str">
        <f>CONCATENATE('3 pr-2'!B9)</f>
        <v>Priemonė:
Kaimo gyvenamųjų vietovių (turinčių iki 1 tūkst. gyventojų) atnaujinimas</v>
      </c>
      <c r="C9" s="1688"/>
      <c r="D9" s="1688"/>
      <c r="E9" s="1688"/>
      <c r="F9" s="1688"/>
      <c r="G9" s="1688"/>
      <c r="H9" s="1688"/>
      <c r="I9" s="1688"/>
      <c r="J9" s="1688"/>
      <c r="K9" s="1689"/>
      <c r="L9" s="1328" t="s">
        <v>477</v>
      </c>
      <c r="M9" s="884" t="s">
        <v>478</v>
      </c>
      <c r="N9" s="505">
        <f>SUM(N10:N32)</f>
        <v>0</v>
      </c>
      <c r="O9" s="505">
        <f t="shared" ref="O9:T9" si="0">SUM(O10:O32)</f>
        <v>0</v>
      </c>
      <c r="P9" s="505">
        <f t="shared" si="0"/>
        <v>0</v>
      </c>
      <c r="Q9" s="505">
        <f t="shared" si="0"/>
        <v>0</v>
      </c>
      <c r="R9" s="505">
        <f t="shared" si="0"/>
        <v>0</v>
      </c>
      <c r="S9" s="505">
        <f t="shared" si="0"/>
        <v>0</v>
      </c>
      <c r="T9" s="505">
        <f t="shared" si="0"/>
        <v>0</v>
      </c>
      <c r="U9" s="1329">
        <f>SUM(N9:T9)</f>
        <v>0</v>
      </c>
      <c r="V9" s="1299">
        <f>SUM(V10:V32)</f>
        <v>36</v>
      </c>
      <c r="W9" s="1317"/>
      <c r="X9" s="1316"/>
      <c r="Y9" s="505">
        <f>SUM(Y10:Y32)</f>
        <v>0</v>
      </c>
      <c r="Z9" s="505">
        <f t="shared" ref="Z9:AE9" si="1">SUM(Z10:Z32)</f>
        <v>31</v>
      </c>
      <c r="AA9" s="505">
        <f t="shared" si="1"/>
        <v>5</v>
      </c>
      <c r="AB9" s="505">
        <f t="shared" si="1"/>
        <v>0</v>
      </c>
      <c r="AC9" s="505">
        <f t="shared" si="1"/>
        <v>0</v>
      </c>
      <c r="AD9" s="505">
        <f t="shared" si="1"/>
        <v>0</v>
      </c>
      <c r="AE9" s="505">
        <f t="shared" si="1"/>
        <v>0</v>
      </c>
      <c r="AF9" s="1330" t="s">
        <v>479</v>
      </c>
      <c r="AG9" s="884" t="s">
        <v>480</v>
      </c>
      <c r="AH9" s="505">
        <f>SUM(AH10:AH32)</f>
        <v>0</v>
      </c>
      <c r="AI9" s="505">
        <f t="shared" ref="AI9" si="2">SUM(AI10:AI32)</f>
        <v>0</v>
      </c>
      <c r="AJ9" s="505">
        <f t="shared" ref="AJ9" si="3">SUM(AJ10:AJ32)</f>
        <v>0</v>
      </c>
      <c r="AK9" s="505">
        <f t="shared" ref="AK9" si="4">SUM(AK10:AK32)</f>
        <v>0</v>
      </c>
      <c r="AL9" s="505">
        <f t="shared" ref="AL9" si="5">SUM(AL10:AL32)</f>
        <v>0</v>
      </c>
      <c r="AM9" s="505">
        <f t="shared" ref="AM9" si="6">SUM(AM10:AM32)</f>
        <v>0</v>
      </c>
      <c r="AN9" s="505">
        <f t="shared" ref="AN9" si="7">SUM(AN10:AN32)</f>
        <v>0</v>
      </c>
      <c r="AO9" s="1299">
        <f>SUM(AH9:AN9)</f>
        <v>0</v>
      </c>
      <c r="AP9" s="1299">
        <f>SUM(AP10:AP32)</f>
        <v>7557</v>
      </c>
      <c r="AQ9" s="505"/>
      <c r="AR9" s="505"/>
      <c r="AS9" s="505">
        <f>SUM(AS10:AS32)</f>
        <v>0</v>
      </c>
      <c r="AT9" s="505">
        <f t="shared" ref="AT9" si="8">SUM(AT10:AT32)</f>
        <v>6394</v>
      </c>
      <c r="AU9" s="505">
        <f t="shared" ref="AU9" si="9">SUM(AU10:AU32)</f>
        <v>1163</v>
      </c>
      <c r="AV9" s="505">
        <f t="shared" ref="AV9" si="10">SUM(AV10:AV32)</f>
        <v>0</v>
      </c>
      <c r="AW9" s="505">
        <f t="shared" ref="AW9" si="11">SUM(AW10:AW32)</f>
        <v>0</v>
      </c>
      <c r="AX9" s="505">
        <f t="shared" ref="AX9" si="12">SUM(AX10:AX32)</f>
        <v>0</v>
      </c>
      <c r="AY9" s="505">
        <f t="shared" ref="AY9" si="13">SUM(AY10:AY32)</f>
        <v>0</v>
      </c>
      <c r="AZ9" s="501" t="s">
        <v>481</v>
      </c>
      <c r="BA9" s="1495" t="s">
        <v>482</v>
      </c>
      <c r="BB9" s="1498">
        <f>SUM(BB10:BB32)</f>
        <v>0</v>
      </c>
      <c r="BC9" s="1498">
        <f t="shared" ref="BC9:BH9" si="14">SUM(BC10:BC32)</f>
        <v>0</v>
      </c>
      <c r="BD9" s="1498">
        <f t="shared" si="14"/>
        <v>0</v>
      </c>
      <c r="BE9" s="1498">
        <f t="shared" si="14"/>
        <v>0</v>
      </c>
      <c r="BF9" s="1498">
        <f t="shared" si="14"/>
        <v>0</v>
      </c>
      <c r="BG9" s="1498">
        <f t="shared" si="14"/>
        <v>0</v>
      </c>
      <c r="BH9" s="1498">
        <f t="shared" si="14"/>
        <v>0</v>
      </c>
      <c r="BI9" s="501">
        <f>SUM(BB9:BH9)</f>
        <v>0</v>
      </c>
      <c r="BJ9" s="501">
        <f>SUM(BJ10:BJ32)</f>
        <v>23</v>
      </c>
      <c r="BK9" s="1496"/>
      <c r="BL9" s="1496"/>
      <c r="BM9" s="1496">
        <f>SUM(BM10:BM32)</f>
        <v>0</v>
      </c>
      <c r="BN9" s="1496">
        <f t="shared" ref="BN9" si="15">SUM(BN10:BN32)</f>
        <v>18</v>
      </c>
      <c r="BO9" s="1496">
        <f t="shared" ref="BO9" si="16">SUM(BO10:BO32)</f>
        <v>5</v>
      </c>
      <c r="BP9" s="1496">
        <f t="shared" ref="BP9" si="17">SUM(BP10:BP32)</f>
        <v>0</v>
      </c>
      <c r="BQ9" s="1496">
        <f t="shared" ref="BQ9" si="18">SUM(BQ10:BQ32)</f>
        <v>0</v>
      </c>
      <c r="BR9" s="1496">
        <f t="shared" ref="BR9" si="19">SUM(BR10:BR32)</f>
        <v>0</v>
      </c>
      <c r="BS9" s="1496">
        <f t="shared" ref="BS9" si="20">SUM(BS10:BS32)</f>
        <v>0</v>
      </c>
      <c r="BT9" s="1496"/>
      <c r="BU9" s="1497"/>
      <c r="BV9" s="1496">
        <f>SUM(BV10:BV32)</f>
        <v>0</v>
      </c>
      <c r="BW9" s="1496">
        <f t="shared" ref="BW9:CB9" si="21">SUM(BW10:BW32)</f>
        <v>0</v>
      </c>
      <c r="BX9" s="1496">
        <f t="shared" si="21"/>
        <v>0</v>
      </c>
      <c r="BY9" s="1496">
        <f t="shared" si="21"/>
        <v>0</v>
      </c>
      <c r="BZ9" s="1496">
        <f t="shared" si="21"/>
        <v>0</v>
      </c>
      <c r="CA9" s="1496">
        <f t="shared" si="21"/>
        <v>0</v>
      </c>
      <c r="CB9" s="1496">
        <f t="shared" si="21"/>
        <v>0</v>
      </c>
      <c r="CC9" s="497">
        <f>SUM(BV9:CB9)</f>
        <v>0</v>
      </c>
      <c r="CD9" s="1496"/>
      <c r="CE9" s="1496"/>
      <c r="CF9" s="1496"/>
      <c r="CG9" s="1496">
        <f>SUM(CG10:CG32)</f>
        <v>0</v>
      </c>
      <c r="CH9" s="1496">
        <f t="shared" ref="CH9:CM9" si="22">SUM(CH10:CH32)</f>
        <v>0</v>
      </c>
      <c r="CI9" s="1496">
        <f t="shared" si="22"/>
        <v>0</v>
      </c>
      <c r="CJ9" s="1496">
        <f t="shared" si="22"/>
        <v>0</v>
      </c>
      <c r="CK9" s="1496">
        <f t="shared" si="22"/>
        <v>0</v>
      </c>
      <c r="CL9" s="1496">
        <f t="shared" si="22"/>
        <v>0</v>
      </c>
      <c r="CM9" s="1496">
        <f t="shared" si="22"/>
        <v>0</v>
      </c>
      <c r="CN9" s="1499"/>
      <c r="CO9" s="1497"/>
      <c r="CP9" s="1500">
        <f>SUM(CP10:CP32)</f>
        <v>0</v>
      </c>
      <c r="CQ9" s="1496">
        <f t="shared" ref="CQ9" si="23">SUM(CQ10:CQ32)</f>
        <v>0</v>
      </c>
      <c r="CR9" s="1496">
        <f t="shared" ref="CR9" si="24">SUM(CR10:CR32)</f>
        <v>0</v>
      </c>
      <c r="CS9" s="1496">
        <f t="shared" ref="CS9" si="25">SUM(CS10:CS32)</f>
        <v>0</v>
      </c>
      <c r="CT9" s="1496">
        <f t="shared" ref="CT9" si="26">SUM(CT10:CT32)</f>
        <v>0</v>
      </c>
      <c r="CU9" s="1496">
        <f t="shared" ref="CU9" si="27">SUM(CU10:CU32)</f>
        <v>0</v>
      </c>
      <c r="CV9" s="1496">
        <f t="shared" ref="CV9" si="28">SUM(CV10:CV32)</f>
        <v>0</v>
      </c>
      <c r="CW9" s="497">
        <f>SUM(CP9:CV9)</f>
        <v>0</v>
      </c>
      <c r="CX9" s="1496"/>
      <c r="CY9" s="1496"/>
      <c r="CZ9" s="1496"/>
      <c r="DA9" s="1496">
        <f>SUM(DA10:DA32)</f>
        <v>0</v>
      </c>
      <c r="DB9" s="1496">
        <f t="shared" ref="DB9:DG9" si="29">SUM(DB10:DB32)</f>
        <v>0</v>
      </c>
      <c r="DC9" s="1496">
        <f t="shared" si="29"/>
        <v>0</v>
      </c>
      <c r="DD9" s="1496">
        <f t="shared" si="29"/>
        <v>0</v>
      </c>
      <c r="DE9" s="1496">
        <f t="shared" si="29"/>
        <v>0</v>
      </c>
      <c r="DF9" s="1496">
        <f t="shared" si="29"/>
        <v>0</v>
      </c>
      <c r="DG9" s="1496">
        <f t="shared" si="29"/>
        <v>0</v>
      </c>
    </row>
    <row r="10" spans="1:111" ht="75" thickTop="1" thickBot="1" x14ac:dyDescent="0.3">
      <c r="A10" s="518" t="str">
        <f>CONCATENATE('3 pr-2'!A10)</f>
        <v>1.1.1.1.1</v>
      </c>
      <c r="B10" s="518" t="str">
        <f>CONCATENATE('3 pr-2'!B10)</f>
        <v>R01-ZM72-120000-1101</v>
      </c>
      <c r="C10" s="1449" t="str">
        <f>CONCATENATE('ketv. 2lent'!B9)</f>
        <v>20KI-KA-17-1-02616-PR001</v>
      </c>
      <c r="D10" s="189" t="str">
        <f>CONCATENATE('3 pr-2'!D10)</f>
        <v xml:space="preserve">Druskininkų savivaldybės Viečiūnų seniūnijos Ilgio ir Raigardo seniūnaitijų kelių būklės gerinimas  </v>
      </c>
      <c r="E10" s="518" t="str">
        <f>CONCATENATE('3 pr-2'!E10)</f>
        <v xml:space="preserve">Druskininkų savivaldybės administracija  </v>
      </c>
      <c r="F10" s="518" t="str">
        <f>CONCATENATE('3 pr-2'!F10)</f>
        <v>Lietuvos Respublikos žemės ūkio ministerija</v>
      </c>
      <c r="G10" s="518" t="str">
        <f>CONCATENATE('3 pr-2'!G10)</f>
        <v>Druskininkų savivaldybė</v>
      </c>
      <c r="H10" s="518" t="str">
        <f>CONCATENATE('3 pr-2'!H10)</f>
        <v xml:space="preserve">Pagrindinės paslaugos ir kaimų atnaujinimas kaimo vietovėse </v>
      </c>
      <c r="I10" s="518" t="str">
        <f>CONCATENATE('3 pr-2'!I10)</f>
        <v>R</v>
      </c>
      <c r="J10" s="518" t="str">
        <f>CONCATENATE('3 pr-2'!J10)</f>
        <v>-</v>
      </c>
      <c r="K10" s="518" t="str">
        <f>CONCATENATE('3 pr-2'!K10)</f>
        <v>-</v>
      </c>
      <c r="L10" s="518" t="s">
        <v>477</v>
      </c>
      <c r="M10" s="881" t="s">
        <v>478</v>
      </c>
      <c r="N10" s="518"/>
      <c r="O10" s="518"/>
      <c r="P10" s="518"/>
      <c r="Q10" s="518"/>
      <c r="R10" s="518"/>
      <c r="S10" s="518"/>
      <c r="T10" s="518"/>
      <c r="U10" s="1335">
        <f>SUM(N10:T10)</f>
        <v>0</v>
      </c>
      <c r="V10" s="518">
        <v>2</v>
      </c>
      <c r="W10" s="1336">
        <f>IF('ketv. 6 lent'!K9&gt;0,"taip",0)</f>
        <v>0</v>
      </c>
      <c r="X10" s="518"/>
      <c r="Y10" s="518">
        <f>IF(YEAR('3 pr-2'!$AJ10)=2017,$V10,0)</f>
        <v>0</v>
      </c>
      <c r="Z10" s="518">
        <f>IF(YEAR('3 pr-2'!$AJ10)=2018,$V10,0)</f>
        <v>2</v>
      </c>
      <c r="AA10" s="518">
        <f>IF(YEAR('3 pr-2'!$AJ10)=2019,$V10,0)</f>
        <v>0</v>
      </c>
      <c r="AB10" s="518">
        <f>IF(YEAR('3 pr-2'!$AJ10)=2020,$V10,0)</f>
        <v>0</v>
      </c>
      <c r="AC10" s="518">
        <f>IF(YEAR('3 pr-2'!$AJ10)=2021,$V10,0)</f>
        <v>0</v>
      </c>
      <c r="AD10" s="518">
        <f>IF(YEAR('3 pr-2'!$AJ10)=2022,$V10,0)</f>
        <v>0</v>
      </c>
      <c r="AE10" s="518">
        <f>IF(YEAR('3 pr-2'!$AJ10)=2023,$V10,0)</f>
        <v>0</v>
      </c>
      <c r="AF10" s="523" t="s">
        <v>479</v>
      </c>
      <c r="AG10" s="881" t="s">
        <v>480</v>
      </c>
      <c r="AH10" s="518"/>
      <c r="AI10" s="518"/>
      <c r="AJ10" s="518"/>
      <c r="AK10" s="518"/>
      <c r="AL10" s="518"/>
      <c r="AM10" s="518"/>
      <c r="AN10" s="518"/>
      <c r="AO10" s="1337">
        <f>SUM(AH10:AN10)</f>
        <v>0</v>
      </c>
      <c r="AP10" s="518">
        <v>411</v>
      </c>
      <c r="AQ10" s="1338"/>
      <c r="AR10" s="518"/>
      <c r="AS10" s="518">
        <f>IF(YEAR('3 pr-2'!$AJ10)=2017,$AP10,0)</f>
        <v>0</v>
      </c>
      <c r="AT10" s="518">
        <f>IF(YEAR('3 pr-2'!$AJ10)=2018,$AP10,0)</f>
        <v>411</v>
      </c>
      <c r="AU10" s="518">
        <f>IF(YEAR('3 pr-2'!$AJ10)=2019,$AP10,0)</f>
        <v>0</v>
      </c>
      <c r="AV10" s="518">
        <f>IF(YEAR('3 pr-2'!$AJ10)=2020,$AP10,0)</f>
        <v>0</v>
      </c>
      <c r="AW10" s="518">
        <f>IF(YEAR('3 pr-2'!$AJ10)=2021,$AP10,0)</f>
        <v>0</v>
      </c>
      <c r="AX10" s="518">
        <f>IF(YEAR('3 pr-2'!$AJ10)=2022,$AP10,0)</f>
        <v>0</v>
      </c>
      <c r="AY10" s="518">
        <f>IF(YEAR('3 pr-2'!$AJ10)=2023,$AP10,0)</f>
        <v>0</v>
      </c>
      <c r="AZ10" s="518" t="s">
        <v>481</v>
      </c>
      <c r="BA10" s="880" t="s">
        <v>482</v>
      </c>
      <c r="BB10" s="518"/>
      <c r="BC10" s="518"/>
      <c r="BD10" s="518"/>
      <c r="BE10" s="518"/>
      <c r="BF10" s="518"/>
      <c r="BG10" s="518"/>
      <c r="BH10" s="518"/>
      <c r="BI10" s="1337">
        <f>SUM(BB10:BH10)</f>
        <v>0</v>
      </c>
      <c r="BJ10" s="518">
        <v>1</v>
      </c>
      <c r="BK10" s="1338"/>
      <c r="BL10" s="518"/>
      <c r="BM10" s="518">
        <f>IF(YEAR('3 pr-2'!AJ10)=2017,BJ10,0)</f>
        <v>0</v>
      </c>
      <c r="BN10" s="518">
        <f>IF(YEAR('3 pr-2'!AJ10)=2018,BJ10,0)</f>
        <v>1</v>
      </c>
      <c r="BO10" s="518">
        <f>IF(YEAR('3 pr-2'!AJ10)=2019,BJ10,0)</f>
        <v>0</v>
      </c>
      <c r="BP10" s="518">
        <f>IF(YEAR('3 pr-2'!AJ10)=2020,BJ10,0)</f>
        <v>0</v>
      </c>
      <c r="BQ10" s="518">
        <f>IF(YEAR('3 pr-2'!AJ10)=2021,BJ10,0)</f>
        <v>0</v>
      </c>
      <c r="BR10" s="518">
        <f>IF(YEAR('3 pr-2'!AJ10)=2022,BJ10,0)</f>
        <v>0</v>
      </c>
      <c r="BS10" s="518">
        <f>IF(YEAR('3 pr-2'!AJ10)=2023,BJ10,0)</f>
        <v>0</v>
      </c>
      <c r="BT10" s="523"/>
      <c r="BU10" s="881"/>
      <c r="BV10" s="518"/>
      <c r="BW10" s="518"/>
      <c r="BX10" s="518"/>
      <c r="BY10" s="518"/>
      <c r="BZ10" s="518"/>
      <c r="CA10" s="518"/>
      <c r="CB10" s="518"/>
      <c r="CC10" s="1337">
        <f>SUM(BV10:CB10)</f>
        <v>0</v>
      </c>
      <c r="CD10" s="518"/>
      <c r="CE10" s="518"/>
      <c r="CF10" s="518"/>
      <c r="CG10" s="518">
        <f>IF(YEAR('3 pr-2'!$AJ10)=2017,$CD10,0)</f>
        <v>0</v>
      </c>
      <c r="CH10" s="518">
        <f>IF(YEAR('3 pr-2'!$AJ10)=2018,$CD10,0)</f>
        <v>0</v>
      </c>
      <c r="CI10" s="518">
        <f>IF(YEAR('3 pr-2'!$AJ10)=2019,$CD10,0)</f>
        <v>0</v>
      </c>
      <c r="CJ10" s="518">
        <f>IF(YEAR('3 pr-2'!$AJ10)=2020,$CD10,0)</f>
        <v>0</v>
      </c>
      <c r="CK10" s="518">
        <f>IF(YEAR('3 pr-2'!$AJ10)=2021,$CD10,0)</f>
        <v>0</v>
      </c>
      <c r="CL10" s="518">
        <f>IF(YEAR('3 pr-2'!$AJ10)=2022,$CD10,0)</f>
        <v>0</v>
      </c>
      <c r="CM10" s="518">
        <f>IF(YEAR('3 pr-2'!$AJ10)=2023,$CD10,0)</f>
        <v>0</v>
      </c>
      <c r="CN10" s="523"/>
      <c r="CO10" s="882"/>
      <c r="CP10" s="524"/>
      <c r="CQ10" s="518"/>
      <c r="CR10" s="518"/>
      <c r="CS10" s="518"/>
      <c r="CT10" s="518"/>
      <c r="CU10" s="518"/>
      <c r="CV10" s="518"/>
      <c r="CW10" s="1337">
        <f>SUM(CP10:CV10)</f>
        <v>0</v>
      </c>
      <c r="CX10" s="524"/>
      <c r="CY10" s="504"/>
      <c r="CZ10" s="504"/>
      <c r="DA10" s="1332">
        <f>IF(YEAR('3 pr-2'!AJ10)=2017,CX10,0)</f>
        <v>0</v>
      </c>
      <c r="DB10" s="1332">
        <f>IF(YEAR('3 pr-2'!AJ10)=2018,CX10,0)</f>
        <v>0</v>
      </c>
      <c r="DC10" s="1332">
        <f>IF(YEAR('3 pr-2'!AJ10)=2019,CX10,0)</f>
        <v>0</v>
      </c>
      <c r="DD10" s="1332">
        <f>IF(YEAR('3 pr-2'!AJ10)=2020,CX10,0)</f>
        <v>0</v>
      </c>
      <c r="DE10" s="1332">
        <f>IF(YEAR('3 pr-2'!AJ10)=2021,CX10,0)</f>
        <v>0</v>
      </c>
      <c r="DF10" s="1332">
        <f>IF(YEAR('3 pr-2'!AJ10)=2022,CX10,0)</f>
        <v>0</v>
      </c>
      <c r="DG10" s="1332">
        <f>IF(YEAR('3 pr-2'!AJ10)=2023,CX10,0)</f>
        <v>0</v>
      </c>
    </row>
    <row r="11" spans="1:111" ht="75" thickTop="1" thickBot="1" x14ac:dyDescent="0.3">
      <c r="A11" s="518" t="str">
        <f>CONCATENATE('3 pr-2'!A11)</f>
        <v>1.1.1.1.2</v>
      </c>
      <c r="B11" s="518" t="str">
        <f>CONCATENATE('3 pr-2'!B11)</f>
        <v>R01-ZM72-120000-1102</v>
      </c>
      <c r="C11" s="1449" t="str">
        <f>CONCATENATE('ketv. 2lent'!B10)</f>
        <v>20KI-KA-17-1-02617-PR001</v>
      </c>
      <c r="D11" s="189" t="str">
        <f>CONCATENATE('3 pr-2'!D11)</f>
        <v>Druskininkų savivaldybės Viečiūnų seniūnijos Ratnyčėlės seniūnaitijos kelių būklės gerinimas</v>
      </c>
      <c r="E11" s="480" t="str">
        <f>CONCATENATE('3 pr-2'!E11)</f>
        <v xml:space="preserve">Druskininkų savivaldybės administracija  </v>
      </c>
      <c r="F11" s="480" t="str">
        <f>CONCATENATE('3 pr-2'!F11)</f>
        <v>Lietuvos Respublikos žemės ūkio ministerija</v>
      </c>
      <c r="G11" s="480" t="str">
        <f>CONCATENATE('3 pr-2'!G11)</f>
        <v>Druskininkų savivaldybė</v>
      </c>
      <c r="H11" s="480" t="str">
        <f>CONCATENATE('3 pr-2'!H11)</f>
        <v xml:space="preserve">Pagrindinės paslaugos ir kaimų atnaujinimas kaimo vietovėse </v>
      </c>
      <c r="I11" s="518" t="str">
        <f>CONCATENATE('3 pr-2'!I11)</f>
        <v>R</v>
      </c>
      <c r="J11" s="518" t="str">
        <f>CONCATENATE('3 pr-2'!J11)</f>
        <v>-</v>
      </c>
      <c r="K11" s="518" t="str">
        <f>CONCATENATE('3 pr-2'!K11)</f>
        <v>-</v>
      </c>
      <c r="L11" s="518" t="s">
        <v>477</v>
      </c>
      <c r="M11" s="881" t="s">
        <v>478</v>
      </c>
      <c r="N11" s="518"/>
      <c r="O11" s="518"/>
      <c r="P11" s="518"/>
      <c r="Q11" s="518"/>
      <c r="R11" s="518"/>
      <c r="S11" s="518"/>
      <c r="T11" s="518"/>
      <c r="U11" s="1335"/>
      <c r="V11" s="518">
        <v>2</v>
      </c>
      <c r="W11" s="1336">
        <f>IF('ketv. 6 lent'!K10&gt;0,"taip",0)</f>
        <v>0</v>
      </c>
      <c r="X11" s="518"/>
      <c r="Y11" s="518">
        <f>IF(YEAR('3 pr-2'!$AJ11)=2017,$V11,0)</f>
        <v>0</v>
      </c>
      <c r="Z11" s="518">
        <f>IF(YEAR('3 pr-2'!$AJ11)=2018,$V11,0)</f>
        <v>2</v>
      </c>
      <c r="AA11" s="518">
        <f>IF(YEAR('3 pr-2'!$AJ11)=2019,$V11,0)</f>
        <v>0</v>
      </c>
      <c r="AB11" s="518">
        <f>IF(YEAR('3 pr-2'!$AJ11)=2020,$V11,0)</f>
        <v>0</v>
      </c>
      <c r="AC11" s="518">
        <f>IF(YEAR('3 pr-2'!$AJ11)=2021,$V11,0)</f>
        <v>0</v>
      </c>
      <c r="AD11" s="518">
        <f>IF(YEAR('3 pr-2'!$AJ11)=2022,$V11,0)</f>
        <v>0</v>
      </c>
      <c r="AE11" s="518">
        <f>IF(YEAR('3 pr-2'!$AJ11)=2023,$V11,0)</f>
        <v>0</v>
      </c>
      <c r="AF11" s="523" t="s">
        <v>479</v>
      </c>
      <c r="AG11" s="881" t="s">
        <v>480</v>
      </c>
      <c r="AH11" s="518"/>
      <c r="AI11" s="518"/>
      <c r="AJ11" s="518"/>
      <c r="AK11" s="518"/>
      <c r="AL11" s="518"/>
      <c r="AM11" s="518"/>
      <c r="AN11" s="518"/>
      <c r="AO11" s="1337">
        <f t="shared" ref="AO11:AO32" si="30">SUM(AH11:AN11)</f>
        <v>0</v>
      </c>
      <c r="AP11" s="518">
        <v>123</v>
      </c>
      <c r="AQ11" s="1338"/>
      <c r="AR11" s="518"/>
      <c r="AS11" s="518">
        <f>IF(YEAR('3 pr-2'!$AJ11)=2017,$AP11,0)</f>
        <v>0</v>
      </c>
      <c r="AT11" s="518">
        <f>IF(YEAR('3 pr-2'!$AJ11)=2018,$AP11,0)</f>
        <v>123</v>
      </c>
      <c r="AU11" s="518">
        <f>IF(YEAR('3 pr-2'!$AJ11)=2019,$AP11,0)</f>
        <v>0</v>
      </c>
      <c r="AV11" s="518">
        <f>IF(YEAR('3 pr-2'!$AJ11)=2020,$AP11,0)</f>
        <v>0</v>
      </c>
      <c r="AW11" s="518">
        <f>IF(YEAR('3 pr-2'!$AJ11)=2021,$AP11,0)</f>
        <v>0</v>
      </c>
      <c r="AX11" s="518">
        <f>IF(YEAR('3 pr-2'!$AJ11)=2022,$AP11,0)</f>
        <v>0</v>
      </c>
      <c r="AY11" s="518">
        <f>IF(YEAR('3 pr-2'!$AJ11)=2023,$AP11,0)</f>
        <v>0</v>
      </c>
      <c r="AZ11" s="518" t="s">
        <v>481</v>
      </c>
      <c r="BA11" s="880" t="s">
        <v>482</v>
      </c>
      <c r="BB11" s="518"/>
      <c r="BC11" s="518"/>
      <c r="BD11" s="518"/>
      <c r="BE11" s="518"/>
      <c r="BF11" s="518"/>
      <c r="BG11" s="518"/>
      <c r="BH11" s="518"/>
      <c r="BI11" s="1337">
        <f t="shared" ref="BI11:BI32" si="31">SUM(BB11:BH11)</f>
        <v>0</v>
      </c>
      <c r="BJ11" s="518">
        <v>1</v>
      </c>
      <c r="BK11" s="1338"/>
      <c r="BL11" s="518"/>
      <c r="BM11" s="518">
        <f>IF(YEAR('3 pr-2'!AJ11)=2017,BJ11,0)</f>
        <v>0</v>
      </c>
      <c r="BN11" s="518">
        <f>IF(YEAR('3 pr-2'!AJ11)=2018,BJ11,0)</f>
        <v>1</v>
      </c>
      <c r="BO11" s="518">
        <f>IF(YEAR('3 pr-2'!AJ11)=2019,BJ11,0)</f>
        <v>0</v>
      </c>
      <c r="BP11" s="518">
        <f>IF(YEAR('3 pr-2'!AJ11)=2020,BJ11,0)</f>
        <v>0</v>
      </c>
      <c r="BQ11" s="518">
        <f>IF(YEAR('3 pr-2'!AJ11)=2021,BJ11,0)</f>
        <v>0</v>
      </c>
      <c r="BR11" s="518">
        <f>IF(YEAR('3 pr-2'!AJ11)=2022,BJ11,0)</f>
        <v>0</v>
      </c>
      <c r="BS11" s="518">
        <f>IF(YEAR('3 pr-2'!AJ11)=2023,BJ11,0)</f>
        <v>0</v>
      </c>
      <c r="BT11" s="523"/>
      <c r="BU11" s="881"/>
      <c r="BV11" s="518"/>
      <c r="BW11" s="518"/>
      <c r="BX11" s="518"/>
      <c r="BY11" s="518"/>
      <c r="BZ11" s="518"/>
      <c r="CA11" s="518"/>
      <c r="CB11" s="518"/>
      <c r="CC11" s="1337">
        <f t="shared" ref="CC11:CC45" si="32">SUM(BV11:CB11)</f>
        <v>0</v>
      </c>
      <c r="CD11" s="518"/>
      <c r="CE11" s="518"/>
      <c r="CF11" s="518"/>
      <c r="CG11" s="518">
        <f>IF(YEAR('3 pr-2'!$AJ11)=2017,$CD11,0)</f>
        <v>0</v>
      </c>
      <c r="CH11" s="518">
        <f>IF(YEAR('3 pr-2'!$AJ11)=2018,$CD11,0)</f>
        <v>0</v>
      </c>
      <c r="CI11" s="518">
        <f>IF(YEAR('3 pr-2'!$AJ11)=2019,$CD11,0)</f>
        <v>0</v>
      </c>
      <c r="CJ11" s="518">
        <f>IF(YEAR('3 pr-2'!$AJ11)=2020,$CD11,0)</f>
        <v>0</v>
      </c>
      <c r="CK11" s="518">
        <f>IF(YEAR('3 pr-2'!$AJ11)=2021,$CD11,0)</f>
        <v>0</v>
      </c>
      <c r="CL11" s="518">
        <f>IF(YEAR('3 pr-2'!$AJ11)=2022,$CD11,0)</f>
        <v>0</v>
      </c>
      <c r="CM11" s="518">
        <f>IF(YEAR('3 pr-2'!$AJ11)=2023,$CD11,0)</f>
        <v>0</v>
      </c>
      <c r="CN11" s="523"/>
      <c r="CO11" s="882"/>
      <c r="CP11" s="524"/>
      <c r="CQ11" s="518"/>
      <c r="CR11" s="518"/>
      <c r="CS11" s="518"/>
      <c r="CT11" s="518"/>
      <c r="CU11" s="518"/>
      <c r="CV11" s="518"/>
      <c r="CW11" s="1337">
        <f t="shared" ref="CW11:CW45" si="33">SUM(CP11:CV11)</f>
        <v>0</v>
      </c>
      <c r="CX11" s="524"/>
      <c r="CY11" s="504"/>
      <c r="CZ11" s="504"/>
      <c r="DA11" s="1332">
        <f>IF(YEAR('3 pr-2'!AJ11)=2017,CX11,0)</f>
        <v>0</v>
      </c>
      <c r="DB11" s="1332">
        <f>IF(YEAR('3 pr-2'!AJ11)=2018,CX11,0)</f>
        <v>0</v>
      </c>
      <c r="DC11" s="1332">
        <f>IF(YEAR('3 pr-2'!AJ11)=2019,CX11,0)</f>
        <v>0</v>
      </c>
      <c r="DD11" s="1332">
        <f>IF(YEAR('3 pr-2'!AJ11)=2020,CX11,0)</f>
        <v>0</v>
      </c>
      <c r="DE11" s="1332">
        <f>IF(YEAR('3 pr-2'!AJ11)=2021,CX11,0)</f>
        <v>0</v>
      </c>
      <c r="DF11" s="1332">
        <f>IF(YEAR('3 pr-2'!AJ11)=2022,CX11,0)</f>
        <v>0</v>
      </c>
      <c r="DG11" s="1332">
        <f>IF(YEAR('3 pr-2'!AJ11)=2023,CX11,0)</f>
        <v>0</v>
      </c>
    </row>
    <row r="12" spans="1:111" ht="75" thickTop="1" thickBot="1" x14ac:dyDescent="0.3">
      <c r="A12" s="518" t="str">
        <f>CONCATENATE('3 pr-2'!A12)</f>
        <v>1.1.1.1.3</v>
      </c>
      <c r="B12" s="518" t="str">
        <f>CONCATENATE('3 pr-2'!B12)</f>
        <v>R01-ZM72-120000-1103</v>
      </c>
      <c r="C12" s="1449" t="str">
        <f>CONCATENATE('ketv. 2lent'!B11)</f>
        <v>20KI-KA-17-1-02622-PR001</v>
      </c>
      <c r="D12" s="189" t="str">
        <f>CONCATENATE('3 pr-2'!D12)</f>
        <v>Druskininkų savivaldybės Leipalingio seniūnijos Klonio seniūnaitijos kelių būklės gerinimas</v>
      </c>
      <c r="E12" s="480" t="str">
        <f>CONCATENATE('3 pr-2'!E12)</f>
        <v xml:space="preserve">Druskininkų savivaldybės administracija  </v>
      </c>
      <c r="F12" s="480" t="str">
        <f>CONCATENATE('3 pr-2'!F12)</f>
        <v>Lietuvos Respublikos žemės ūkio ministerija</v>
      </c>
      <c r="G12" s="480" t="str">
        <f>CONCATENATE('3 pr-2'!G12)</f>
        <v>Druskininkų savivaldybė</v>
      </c>
      <c r="H12" s="480" t="str">
        <f>CONCATENATE('3 pr-2'!H12)</f>
        <v xml:space="preserve">Pagrindinės paslaugos ir kaimų atnaujinimas kaimo vietovėse </v>
      </c>
      <c r="I12" s="518" t="str">
        <f>CONCATENATE('3 pr-2'!I12)</f>
        <v>R</v>
      </c>
      <c r="J12" s="518" t="str">
        <f>CONCATENATE('3 pr-2'!J12)</f>
        <v>-</v>
      </c>
      <c r="K12" s="518" t="str">
        <f>CONCATENATE('3 pr-2'!K12)</f>
        <v>-</v>
      </c>
      <c r="L12" s="518" t="s">
        <v>477</v>
      </c>
      <c r="M12" s="881" t="s">
        <v>478</v>
      </c>
      <c r="N12" s="518"/>
      <c r="O12" s="518"/>
      <c r="P12" s="518"/>
      <c r="Q12" s="518"/>
      <c r="R12" s="518"/>
      <c r="S12" s="518"/>
      <c r="T12" s="518"/>
      <c r="U12" s="1335"/>
      <c r="V12" s="518">
        <v>2</v>
      </c>
      <c r="W12" s="1336">
        <f>IF('ketv. 6 lent'!K11&gt;0,"taip",0)</f>
        <v>0</v>
      </c>
      <c r="X12" s="518"/>
      <c r="Y12" s="518">
        <f>IF(YEAR('3 pr-2'!$AJ12)=2017,$V12,0)</f>
        <v>0</v>
      </c>
      <c r="Z12" s="518">
        <f>IF(YEAR('3 pr-2'!$AJ12)=2018,$V12,0)</f>
        <v>2</v>
      </c>
      <c r="AA12" s="518">
        <f>IF(YEAR('3 pr-2'!$AJ12)=2019,$V12,0)</f>
        <v>0</v>
      </c>
      <c r="AB12" s="518">
        <f>IF(YEAR('3 pr-2'!$AJ12)=2020,$V12,0)</f>
        <v>0</v>
      </c>
      <c r="AC12" s="518">
        <f>IF(YEAR('3 pr-2'!$AJ12)=2021,$V12,0)</f>
        <v>0</v>
      </c>
      <c r="AD12" s="518">
        <f>IF(YEAR('3 pr-2'!$AJ12)=2022,$V12,0)</f>
        <v>0</v>
      </c>
      <c r="AE12" s="518">
        <f>IF(YEAR('3 pr-2'!$AJ12)=2023,$V12,0)</f>
        <v>0</v>
      </c>
      <c r="AF12" s="523" t="s">
        <v>479</v>
      </c>
      <c r="AG12" s="881" t="s">
        <v>480</v>
      </c>
      <c r="AH12" s="518"/>
      <c r="AI12" s="518"/>
      <c r="AJ12" s="518"/>
      <c r="AK12" s="518"/>
      <c r="AL12" s="518"/>
      <c r="AM12" s="518"/>
      <c r="AN12" s="518"/>
      <c r="AO12" s="1337">
        <f t="shared" si="30"/>
        <v>0</v>
      </c>
      <c r="AP12" s="518">
        <v>77</v>
      </c>
      <c r="AQ12" s="1338"/>
      <c r="AR12" s="518"/>
      <c r="AS12" s="518">
        <f>IF(YEAR('3 pr-2'!$AJ12)=2017,$AP12,0)</f>
        <v>0</v>
      </c>
      <c r="AT12" s="518">
        <f>IF(YEAR('3 pr-2'!$AJ12)=2018,$AP12,0)</f>
        <v>77</v>
      </c>
      <c r="AU12" s="518">
        <f>IF(YEAR('3 pr-2'!$AJ12)=2019,$AP12,0)</f>
        <v>0</v>
      </c>
      <c r="AV12" s="518">
        <f>IF(YEAR('3 pr-2'!$AJ12)=2020,$AP12,0)</f>
        <v>0</v>
      </c>
      <c r="AW12" s="518">
        <f>IF(YEAR('3 pr-2'!$AJ12)=2021,$AP12,0)</f>
        <v>0</v>
      </c>
      <c r="AX12" s="518">
        <f>IF(YEAR('3 pr-2'!$AJ12)=2022,$AP12,0)</f>
        <v>0</v>
      </c>
      <c r="AY12" s="518">
        <f>IF(YEAR('3 pr-2'!$AJ12)=2023,$AP12,0)</f>
        <v>0</v>
      </c>
      <c r="AZ12" s="518" t="s">
        <v>481</v>
      </c>
      <c r="BA12" s="880" t="s">
        <v>482</v>
      </c>
      <c r="BB12" s="518"/>
      <c r="BC12" s="518"/>
      <c r="BD12" s="518"/>
      <c r="BE12" s="518"/>
      <c r="BF12" s="518"/>
      <c r="BG12" s="518"/>
      <c r="BH12" s="518"/>
      <c r="BI12" s="1337">
        <f t="shared" si="31"/>
        <v>0</v>
      </c>
      <c r="BJ12" s="518">
        <v>1</v>
      </c>
      <c r="BK12" s="1338"/>
      <c r="BL12" s="518"/>
      <c r="BM12" s="518">
        <f>IF(YEAR('3 pr-2'!AJ12)=2017,BJ12,0)</f>
        <v>0</v>
      </c>
      <c r="BN12" s="518">
        <f>IF(YEAR('3 pr-2'!AJ12)=2018,BJ12,0)</f>
        <v>1</v>
      </c>
      <c r="BO12" s="518">
        <f>IF(YEAR('3 pr-2'!AJ12)=2019,BJ12,0)</f>
        <v>0</v>
      </c>
      <c r="BP12" s="518">
        <f>IF(YEAR('3 pr-2'!AJ12)=2020,BJ12,0)</f>
        <v>0</v>
      </c>
      <c r="BQ12" s="518">
        <f>IF(YEAR('3 pr-2'!AJ12)=2021,BJ12,0)</f>
        <v>0</v>
      </c>
      <c r="BR12" s="518">
        <f>IF(YEAR('3 pr-2'!AJ12)=2022,BJ12,0)</f>
        <v>0</v>
      </c>
      <c r="BS12" s="518">
        <f>IF(YEAR('3 pr-2'!AJ12)=2023,BJ12,0)</f>
        <v>0</v>
      </c>
      <c r="BT12" s="523"/>
      <c r="BU12" s="881"/>
      <c r="BV12" s="518"/>
      <c r="BW12" s="518"/>
      <c r="BX12" s="518"/>
      <c r="BY12" s="518"/>
      <c r="BZ12" s="518"/>
      <c r="CA12" s="518"/>
      <c r="CB12" s="518"/>
      <c r="CC12" s="1337">
        <f t="shared" si="32"/>
        <v>0</v>
      </c>
      <c r="CD12" s="518"/>
      <c r="CE12" s="518"/>
      <c r="CF12" s="518"/>
      <c r="CG12" s="518">
        <f>IF(YEAR('3 pr-2'!$AJ12)=2017,$CD12,0)</f>
        <v>0</v>
      </c>
      <c r="CH12" s="518">
        <f>IF(YEAR('3 pr-2'!$AJ12)=2018,$CD12,0)</f>
        <v>0</v>
      </c>
      <c r="CI12" s="518">
        <f>IF(YEAR('3 pr-2'!$AJ12)=2019,$CD12,0)</f>
        <v>0</v>
      </c>
      <c r="CJ12" s="518">
        <f>IF(YEAR('3 pr-2'!$AJ12)=2020,$CD12,0)</f>
        <v>0</v>
      </c>
      <c r="CK12" s="518">
        <f>IF(YEAR('3 pr-2'!$AJ12)=2021,$CD12,0)</f>
        <v>0</v>
      </c>
      <c r="CL12" s="518">
        <f>IF(YEAR('3 pr-2'!$AJ12)=2022,$CD12,0)</f>
        <v>0</v>
      </c>
      <c r="CM12" s="518">
        <f>IF(YEAR('3 pr-2'!$AJ12)=2023,$CD12,0)</f>
        <v>0</v>
      </c>
      <c r="CN12" s="523"/>
      <c r="CO12" s="882"/>
      <c r="CP12" s="524"/>
      <c r="CQ12" s="518"/>
      <c r="CR12" s="518"/>
      <c r="CS12" s="518"/>
      <c r="CT12" s="518"/>
      <c r="CU12" s="518"/>
      <c r="CV12" s="518"/>
      <c r="CW12" s="1337">
        <f t="shared" si="33"/>
        <v>0</v>
      </c>
      <c r="CX12" s="524"/>
      <c r="CY12" s="504"/>
      <c r="CZ12" s="504"/>
      <c r="DA12" s="1332">
        <f>IF(YEAR('3 pr-2'!AJ12)=2017,CX12,0)</f>
        <v>0</v>
      </c>
      <c r="DB12" s="1332">
        <f>IF(YEAR('3 pr-2'!AJ12)=2018,CX12,0)</f>
        <v>0</v>
      </c>
      <c r="DC12" s="1332">
        <f>IF(YEAR('3 pr-2'!AJ12)=2019,CX12,0)</f>
        <v>0</v>
      </c>
      <c r="DD12" s="1332">
        <f>IF(YEAR('3 pr-2'!AJ12)=2020,CX12,0)</f>
        <v>0</v>
      </c>
      <c r="DE12" s="1332">
        <f>IF(YEAR('3 pr-2'!AJ12)=2021,CX12,0)</f>
        <v>0</v>
      </c>
      <c r="DF12" s="1332">
        <f>IF(YEAR('3 pr-2'!AJ12)=2022,CX12,0)</f>
        <v>0</v>
      </c>
      <c r="DG12" s="1332">
        <f>IF(YEAR('3 pr-2'!AJ12)=2023,CX12,0)</f>
        <v>0</v>
      </c>
    </row>
    <row r="13" spans="1:111" ht="75" thickTop="1" thickBot="1" x14ac:dyDescent="0.3">
      <c r="A13" s="518" t="str">
        <f>CONCATENATE('3 pr-2'!A13)</f>
        <v>1.1.1.1.4</v>
      </c>
      <c r="B13" s="518" t="str">
        <f>CONCATENATE('3 pr-2'!B13)</f>
        <v>R01-ZM72-330200-1104</v>
      </c>
      <c r="C13" s="1449" t="str">
        <f>CONCATENATE('ketv. 2lent'!B12)</f>
        <v>20KI-KA-17-1-02368-PR001</v>
      </c>
      <c r="D13" s="189" t="str">
        <f>CONCATENATE('3 pr-2'!D13)</f>
        <v>Rudaminos laisvalaikio salės pritaikymas bendruomenės poreikiams ir liaudies amatų plėtrai</v>
      </c>
      <c r="E13" s="480" t="str">
        <f>CONCATENATE('3 pr-2'!E13)</f>
        <v>Viešoji įstaiga Lazdijų kultūros centras</v>
      </c>
      <c r="F13" s="480" t="str">
        <f>CONCATENATE('3 pr-2'!F13)</f>
        <v>Lietuvos Respublikos žemės ūkio ministerija</v>
      </c>
      <c r="G13" s="480" t="str">
        <f>CONCATENATE('3 pr-2'!G13)</f>
        <v>Lazdijų rajono savivaldybė</v>
      </c>
      <c r="H13" s="480" t="str">
        <f>CONCATENATE('3 pr-2'!H13)</f>
        <v xml:space="preserve">Pagrindinės paslaugos ir kaimų atnaujinimas kaimo vietovėse </v>
      </c>
      <c r="I13" s="518" t="str">
        <f>CONCATENATE('3 pr-2'!I13)</f>
        <v>R</v>
      </c>
      <c r="J13" s="518" t="str">
        <f>CONCATENATE('3 pr-2'!J13)</f>
        <v>-</v>
      </c>
      <c r="K13" s="518" t="str">
        <f>CONCATENATE('3 pr-2'!K13)</f>
        <v>-</v>
      </c>
      <c r="L13" s="518" t="s">
        <v>477</v>
      </c>
      <c r="M13" s="881" t="s">
        <v>478</v>
      </c>
      <c r="N13" s="518"/>
      <c r="O13" s="518"/>
      <c r="P13" s="518"/>
      <c r="Q13" s="518"/>
      <c r="R13" s="518"/>
      <c r="S13" s="518"/>
      <c r="T13" s="518"/>
      <c r="U13" s="1335"/>
      <c r="V13" s="518">
        <v>1</v>
      </c>
      <c r="W13" s="1336">
        <f>IF('ketv. 6 lent'!K12&gt;0,"taip",0)</f>
        <v>0</v>
      </c>
      <c r="X13" s="518"/>
      <c r="Y13" s="518">
        <f>IF(YEAR('3 pr-2'!$AJ13)=2017,$V13,0)</f>
        <v>0</v>
      </c>
      <c r="Z13" s="518">
        <f>IF(YEAR('3 pr-2'!$AJ13)=2018,$V13,0)</f>
        <v>1</v>
      </c>
      <c r="AA13" s="518">
        <f>IF(YEAR('3 pr-2'!$AJ13)=2019,$V13,0)</f>
        <v>0</v>
      </c>
      <c r="AB13" s="518">
        <f>IF(YEAR('3 pr-2'!$AJ13)=2020,$V13,0)</f>
        <v>0</v>
      </c>
      <c r="AC13" s="518">
        <f>IF(YEAR('3 pr-2'!$AJ13)=2021,$V13,0)</f>
        <v>0</v>
      </c>
      <c r="AD13" s="518">
        <f>IF(YEAR('3 pr-2'!$AJ13)=2022,$V13,0)</f>
        <v>0</v>
      </c>
      <c r="AE13" s="518">
        <f>IF(YEAR('3 pr-2'!$AJ13)=2023,$V13,0)</f>
        <v>0</v>
      </c>
      <c r="AF13" s="523" t="s">
        <v>479</v>
      </c>
      <c r="AG13" s="881" t="s">
        <v>480</v>
      </c>
      <c r="AH13" s="518"/>
      <c r="AI13" s="518"/>
      <c r="AJ13" s="518"/>
      <c r="AK13" s="518"/>
      <c r="AL13" s="518"/>
      <c r="AM13" s="518"/>
      <c r="AN13" s="518"/>
      <c r="AO13" s="1337">
        <f t="shared" si="30"/>
        <v>0</v>
      </c>
      <c r="AP13" s="518">
        <v>256</v>
      </c>
      <c r="AQ13" s="1338"/>
      <c r="AR13" s="518"/>
      <c r="AS13" s="518">
        <f>IF(YEAR('3 pr-2'!$AJ13)=2017,$AP13,0)</f>
        <v>0</v>
      </c>
      <c r="AT13" s="518">
        <f>IF(YEAR('3 pr-2'!$AJ13)=2018,$AP13,0)</f>
        <v>256</v>
      </c>
      <c r="AU13" s="518">
        <f>IF(YEAR('3 pr-2'!$AJ13)=2019,$AP13,0)</f>
        <v>0</v>
      </c>
      <c r="AV13" s="518">
        <f>IF(YEAR('3 pr-2'!$AJ13)=2020,$AP13,0)</f>
        <v>0</v>
      </c>
      <c r="AW13" s="518">
        <f>IF(YEAR('3 pr-2'!$AJ13)=2021,$AP13,0)</f>
        <v>0</v>
      </c>
      <c r="AX13" s="518">
        <f>IF(YEAR('3 pr-2'!$AJ13)=2022,$AP13,0)</f>
        <v>0</v>
      </c>
      <c r="AY13" s="518">
        <f>IF(YEAR('3 pr-2'!$AJ13)=2023,$AP13,0)</f>
        <v>0</v>
      </c>
      <c r="AZ13" s="518" t="s">
        <v>481</v>
      </c>
      <c r="BA13" s="880" t="s">
        <v>482</v>
      </c>
      <c r="BB13" s="518"/>
      <c r="BC13" s="518"/>
      <c r="BD13" s="518"/>
      <c r="BE13" s="518"/>
      <c r="BF13" s="518"/>
      <c r="BG13" s="518"/>
      <c r="BH13" s="518"/>
      <c r="BI13" s="1337">
        <f t="shared" si="31"/>
        <v>0</v>
      </c>
      <c r="BJ13" s="518">
        <v>1</v>
      </c>
      <c r="BK13" s="1338"/>
      <c r="BL13" s="518"/>
      <c r="BM13" s="518">
        <f>IF(YEAR('3 pr-2'!AJ13)=2017,BJ13,0)</f>
        <v>0</v>
      </c>
      <c r="BN13" s="518">
        <f>IF(YEAR('3 pr-2'!AJ13)=2018,BJ13,0)</f>
        <v>1</v>
      </c>
      <c r="BO13" s="518">
        <f>IF(YEAR('3 pr-2'!AJ13)=2019,BJ13,0)</f>
        <v>0</v>
      </c>
      <c r="BP13" s="518">
        <f>IF(YEAR('3 pr-2'!AJ13)=2020,BJ13,0)</f>
        <v>0</v>
      </c>
      <c r="BQ13" s="518">
        <f>IF(YEAR('3 pr-2'!AJ13)=2021,BJ13,0)</f>
        <v>0</v>
      </c>
      <c r="BR13" s="518">
        <f>IF(YEAR('3 pr-2'!AJ13)=2022,BJ13,0)</f>
        <v>0</v>
      </c>
      <c r="BS13" s="518">
        <f>IF(YEAR('3 pr-2'!AJ13)=2023,BJ13,0)</f>
        <v>0</v>
      </c>
      <c r="BT13" s="523"/>
      <c r="BU13" s="881"/>
      <c r="BV13" s="518"/>
      <c r="BW13" s="518"/>
      <c r="BX13" s="518"/>
      <c r="BY13" s="518"/>
      <c r="BZ13" s="518"/>
      <c r="CA13" s="518"/>
      <c r="CB13" s="518"/>
      <c r="CC13" s="1337">
        <f t="shared" si="32"/>
        <v>0</v>
      </c>
      <c r="CD13" s="518"/>
      <c r="CE13" s="518"/>
      <c r="CF13" s="518"/>
      <c r="CG13" s="518">
        <f>IF(YEAR('3 pr-2'!$AJ13)=2017,$CD13,0)</f>
        <v>0</v>
      </c>
      <c r="CH13" s="518">
        <f>IF(YEAR('3 pr-2'!$AJ13)=2018,$CD13,0)</f>
        <v>0</v>
      </c>
      <c r="CI13" s="518">
        <f>IF(YEAR('3 pr-2'!$AJ13)=2019,$CD13,0)</f>
        <v>0</v>
      </c>
      <c r="CJ13" s="518">
        <f>IF(YEAR('3 pr-2'!$AJ13)=2020,$CD13,0)</f>
        <v>0</v>
      </c>
      <c r="CK13" s="518">
        <f>IF(YEAR('3 pr-2'!$AJ13)=2021,$CD13,0)</f>
        <v>0</v>
      </c>
      <c r="CL13" s="518">
        <f>IF(YEAR('3 pr-2'!$AJ13)=2022,$CD13,0)</f>
        <v>0</v>
      </c>
      <c r="CM13" s="518">
        <f>IF(YEAR('3 pr-2'!$AJ13)=2023,$CD13,0)</f>
        <v>0</v>
      </c>
      <c r="CN13" s="523"/>
      <c r="CO13" s="882"/>
      <c r="CP13" s="524"/>
      <c r="CQ13" s="518"/>
      <c r="CR13" s="518"/>
      <c r="CS13" s="518"/>
      <c r="CT13" s="518"/>
      <c r="CU13" s="518"/>
      <c r="CV13" s="518"/>
      <c r="CW13" s="1337">
        <f t="shared" si="33"/>
        <v>0</v>
      </c>
      <c r="CX13" s="524"/>
      <c r="CY13" s="504"/>
      <c r="CZ13" s="504"/>
      <c r="DA13" s="1332">
        <f>IF(YEAR('3 pr-2'!AJ13)=2017,CX13,0)</f>
        <v>0</v>
      </c>
      <c r="DB13" s="1332">
        <f>IF(YEAR('3 pr-2'!AJ13)=2018,CX13,0)</f>
        <v>0</v>
      </c>
      <c r="DC13" s="1332">
        <f>IF(YEAR('3 pr-2'!AJ13)=2019,CX13,0)</f>
        <v>0</v>
      </c>
      <c r="DD13" s="1332">
        <f>IF(YEAR('3 pr-2'!AJ13)=2020,CX13,0)</f>
        <v>0</v>
      </c>
      <c r="DE13" s="1332">
        <f>IF(YEAR('3 pr-2'!AJ13)=2021,CX13,0)</f>
        <v>0</v>
      </c>
      <c r="DF13" s="1332">
        <f>IF(YEAR('3 pr-2'!AJ13)=2022,CX13,0)</f>
        <v>0</v>
      </c>
      <c r="DG13" s="1332">
        <f>IF(YEAR('3 pr-2'!AJ13)=2023,CX13,0)</f>
        <v>0</v>
      </c>
    </row>
    <row r="14" spans="1:111" ht="75" thickTop="1" thickBot="1" x14ac:dyDescent="0.3">
      <c r="A14" s="518" t="str">
        <f>CONCATENATE('3 pr-2'!A14)</f>
        <v>1.1.1.1.5</v>
      </c>
      <c r="B14" s="518" t="str">
        <f>CONCATENATE('3 pr-2'!B14)</f>
        <v>R01-ZM72-120000-1105</v>
      </c>
      <c r="C14" s="1449" t="str">
        <f>CONCATENATE('ketv. 2lent'!B13)</f>
        <v>20KI-KA-17-1-02619-PR001</v>
      </c>
      <c r="D14" s="189" t="str">
        <f>CONCATENATE('3 pr-2'!D14)</f>
        <v>Druskininkų savivaldybės Leipalingio seniūnijos Bilso seniūnaitijos kelių būklės gerinimas</v>
      </c>
      <c r="E14" s="480" t="str">
        <f>CONCATENATE('3 pr-2'!E14)</f>
        <v xml:space="preserve">Druskininkų savivaldybės administracija  </v>
      </c>
      <c r="F14" s="480" t="str">
        <f>CONCATENATE('3 pr-2'!F14)</f>
        <v>Lietuvos Respublikos žemės ūkio ministerija</v>
      </c>
      <c r="G14" s="480" t="str">
        <f>CONCATENATE('3 pr-2'!G14)</f>
        <v>Druskininkų savivaldybė</v>
      </c>
      <c r="H14" s="480" t="str">
        <f>CONCATENATE('3 pr-2'!H14)</f>
        <v xml:space="preserve">Pagrindinės paslaugos ir kaimų atnaujinimas kaimo vietovėse </v>
      </c>
      <c r="I14" s="518" t="str">
        <f>CONCATENATE('3 pr-2'!I14)</f>
        <v>R</v>
      </c>
      <c r="J14" s="518" t="str">
        <f>CONCATENATE('3 pr-2'!J14)</f>
        <v>-</v>
      </c>
      <c r="K14" s="518" t="str">
        <f>CONCATENATE('3 pr-2'!K14)</f>
        <v>-</v>
      </c>
      <c r="L14" s="518" t="s">
        <v>477</v>
      </c>
      <c r="M14" s="881" t="s">
        <v>478</v>
      </c>
      <c r="N14" s="518"/>
      <c r="O14" s="518"/>
      <c r="P14" s="518"/>
      <c r="Q14" s="518"/>
      <c r="R14" s="518"/>
      <c r="S14" s="518"/>
      <c r="T14" s="518"/>
      <c r="U14" s="1335"/>
      <c r="V14" s="518">
        <v>1</v>
      </c>
      <c r="W14" s="1336">
        <f>IF('ketv. 6 lent'!K13&gt;0,"taip",0)</f>
        <v>0</v>
      </c>
      <c r="X14" s="518"/>
      <c r="Y14" s="518">
        <f>IF(YEAR('3 pr-2'!$AJ14)=2017,$V14,0)</f>
        <v>0</v>
      </c>
      <c r="Z14" s="518">
        <f>IF(YEAR('3 pr-2'!$AJ14)=2018,$V14,0)</f>
        <v>1</v>
      </c>
      <c r="AA14" s="518">
        <f>IF(YEAR('3 pr-2'!$AJ14)=2019,$V14,0)</f>
        <v>0</v>
      </c>
      <c r="AB14" s="518">
        <f>IF(YEAR('3 pr-2'!$AJ14)=2020,$V14,0)</f>
        <v>0</v>
      </c>
      <c r="AC14" s="518">
        <f>IF(YEAR('3 pr-2'!$AJ14)=2021,$V14,0)</f>
        <v>0</v>
      </c>
      <c r="AD14" s="518">
        <f>IF(YEAR('3 pr-2'!$AJ14)=2022,$V14,0)</f>
        <v>0</v>
      </c>
      <c r="AE14" s="518">
        <f>IF(YEAR('3 pr-2'!$AJ14)=2023,$V14,0)</f>
        <v>0</v>
      </c>
      <c r="AF14" s="523" t="s">
        <v>479</v>
      </c>
      <c r="AG14" s="881" t="s">
        <v>480</v>
      </c>
      <c r="AH14" s="518"/>
      <c r="AI14" s="518"/>
      <c r="AJ14" s="518"/>
      <c r="AK14" s="518"/>
      <c r="AL14" s="518"/>
      <c r="AM14" s="518"/>
      <c r="AN14" s="518"/>
      <c r="AO14" s="1337">
        <f t="shared" si="30"/>
        <v>0</v>
      </c>
      <c r="AP14" s="518">
        <v>52</v>
      </c>
      <c r="AQ14" s="1338"/>
      <c r="AR14" s="518"/>
      <c r="AS14" s="518">
        <f>IF(YEAR('3 pr-2'!$AJ14)=2017,$AP14,0)</f>
        <v>0</v>
      </c>
      <c r="AT14" s="518">
        <f>IF(YEAR('3 pr-2'!$AJ14)=2018,$AP14,0)</f>
        <v>52</v>
      </c>
      <c r="AU14" s="518">
        <f>IF(YEAR('3 pr-2'!$AJ14)=2019,$AP14,0)</f>
        <v>0</v>
      </c>
      <c r="AV14" s="518">
        <f>IF(YEAR('3 pr-2'!$AJ14)=2020,$AP14,0)</f>
        <v>0</v>
      </c>
      <c r="AW14" s="518">
        <f>IF(YEAR('3 pr-2'!$AJ14)=2021,$AP14,0)</f>
        <v>0</v>
      </c>
      <c r="AX14" s="518">
        <f>IF(YEAR('3 pr-2'!$AJ14)=2022,$AP14,0)</f>
        <v>0</v>
      </c>
      <c r="AY14" s="518">
        <f>IF(YEAR('3 pr-2'!$AJ14)=2023,$AP14,0)</f>
        <v>0</v>
      </c>
      <c r="AZ14" s="518" t="s">
        <v>481</v>
      </c>
      <c r="BA14" s="880" t="s">
        <v>482</v>
      </c>
      <c r="BB14" s="518"/>
      <c r="BC14" s="518"/>
      <c r="BD14" s="518"/>
      <c r="BE14" s="518"/>
      <c r="BF14" s="518"/>
      <c r="BG14" s="518"/>
      <c r="BH14" s="518"/>
      <c r="BI14" s="1337">
        <f t="shared" si="31"/>
        <v>0</v>
      </c>
      <c r="BJ14" s="518">
        <v>1</v>
      </c>
      <c r="BK14" s="1338"/>
      <c r="BL14" s="518"/>
      <c r="BM14" s="518">
        <f>IF(YEAR('3 pr-2'!AJ14)=2017,BJ14,0)</f>
        <v>0</v>
      </c>
      <c r="BN14" s="518">
        <f>IF(YEAR('3 pr-2'!AJ14)=2018,BJ14,0)</f>
        <v>1</v>
      </c>
      <c r="BO14" s="518">
        <f>IF(YEAR('3 pr-2'!AJ14)=2019,BJ14,0)</f>
        <v>0</v>
      </c>
      <c r="BP14" s="518">
        <f>IF(YEAR('3 pr-2'!AJ14)=2020,BJ14,0)</f>
        <v>0</v>
      </c>
      <c r="BQ14" s="518">
        <f>IF(YEAR('3 pr-2'!AJ14)=2021,BJ14,0)</f>
        <v>0</v>
      </c>
      <c r="BR14" s="518">
        <f>IF(YEAR('3 pr-2'!AJ14)=2022,BJ14,0)</f>
        <v>0</v>
      </c>
      <c r="BS14" s="518">
        <f>IF(YEAR('3 pr-2'!AJ14)=2023,BJ14,0)</f>
        <v>0</v>
      </c>
      <c r="BT14" s="523"/>
      <c r="BU14" s="881"/>
      <c r="BV14" s="518"/>
      <c r="BW14" s="518"/>
      <c r="BX14" s="518"/>
      <c r="BY14" s="518"/>
      <c r="BZ14" s="518"/>
      <c r="CA14" s="518"/>
      <c r="CB14" s="518"/>
      <c r="CC14" s="1337">
        <f t="shared" si="32"/>
        <v>0</v>
      </c>
      <c r="CD14" s="518"/>
      <c r="CE14" s="518"/>
      <c r="CF14" s="518"/>
      <c r="CG14" s="518">
        <f>IF(YEAR('3 pr-2'!$AJ14)=2017,$CD14,0)</f>
        <v>0</v>
      </c>
      <c r="CH14" s="518">
        <f>IF(YEAR('3 pr-2'!$AJ14)=2018,$CD14,0)</f>
        <v>0</v>
      </c>
      <c r="CI14" s="518">
        <f>IF(YEAR('3 pr-2'!$AJ14)=2019,$CD14,0)</f>
        <v>0</v>
      </c>
      <c r="CJ14" s="518">
        <f>IF(YEAR('3 pr-2'!$AJ14)=2020,$CD14,0)</f>
        <v>0</v>
      </c>
      <c r="CK14" s="518">
        <f>IF(YEAR('3 pr-2'!$AJ14)=2021,$CD14,0)</f>
        <v>0</v>
      </c>
      <c r="CL14" s="518">
        <f>IF(YEAR('3 pr-2'!$AJ14)=2022,$CD14,0)</f>
        <v>0</v>
      </c>
      <c r="CM14" s="518">
        <f>IF(YEAR('3 pr-2'!$AJ14)=2023,$CD14,0)</f>
        <v>0</v>
      </c>
      <c r="CN14" s="523"/>
      <c r="CO14" s="882"/>
      <c r="CP14" s="524"/>
      <c r="CQ14" s="518"/>
      <c r="CR14" s="518"/>
      <c r="CS14" s="518"/>
      <c r="CT14" s="518"/>
      <c r="CU14" s="518"/>
      <c r="CV14" s="518"/>
      <c r="CW14" s="1337">
        <f t="shared" si="33"/>
        <v>0</v>
      </c>
      <c r="CX14" s="524"/>
      <c r="CY14" s="504"/>
      <c r="CZ14" s="504"/>
      <c r="DA14" s="1332">
        <f>IF(YEAR('3 pr-2'!AJ14)=2017,CX14,0)</f>
        <v>0</v>
      </c>
      <c r="DB14" s="1332">
        <f>IF(YEAR('3 pr-2'!AJ14)=2018,CX14,0)</f>
        <v>0</v>
      </c>
      <c r="DC14" s="1332">
        <f>IF(YEAR('3 pr-2'!AJ14)=2019,CX14,0)</f>
        <v>0</v>
      </c>
      <c r="DD14" s="1332">
        <f>IF(YEAR('3 pr-2'!AJ14)=2020,CX14,0)</f>
        <v>0</v>
      </c>
      <c r="DE14" s="1332">
        <f>IF(YEAR('3 pr-2'!AJ14)=2021,CX14,0)</f>
        <v>0</v>
      </c>
      <c r="DF14" s="1332">
        <f>IF(YEAR('3 pr-2'!AJ14)=2022,CX14,0)</f>
        <v>0</v>
      </c>
      <c r="DG14" s="1332">
        <f>IF(YEAR('3 pr-2'!AJ14)=2023,CX14,0)</f>
        <v>0</v>
      </c>
    </row>
    <row r="15" spans="1:111" ht="75" thickTop="1" thickBot="1" x14ac:dyDescent="0.3">
      <c r="A15" s="518" t="str">
        <f>CONCATENATE('3 pr-2'!A15)</f>
        <v>1.1.1.1.6</v>
      </c>
      <c r="B15" s="518" t="str">
        <f>CONCATENATE('3 pr-2'!B15)</f>
        <v>R01-ZM72-330200-1106</v>
      </c>
      <c r="C15" s="1449" t="str">
        <f>CONCATENATE('ketv. 2lent'!B14)</f>
        <v>20KI-KA-17-1-02374-PR001</v>
      </c>
      <c r="D15" s="189" t="str">
        <f>CONCATENATE('3 pr-2'!D15)</f>
        <v>Lazdijų rajono kaimų patrauklumo didinimas atnaujinant bibliotekas</v>
      </c>
      <c r="E15" s="480" t="str">
        <f>CONCATENATE('3 pr-2'!E15)</f>
        <v xml:space="preserve">Biudžetinė įstaiga Lazdijų rajono savivaldybės viešoji biblioteka </v>
      </c>
      <c r="F15" s="480" t="str">
        <f>CONCATENATE('3 pr-2'!F15)</f>
        <v>Lietuvos Respublikos žemės ūkio ministerija</v>
      </c>
      <c r="G15" s="480" t="str">
        <f>CONCATENATE('3 pr-2'!G15)</f>
        <v>Lazdijų rajono savivaldybė</v>
      </c>
      <c r="H15" s="480" t="str">
        <f>CONCATENATE('3 pr-2'!H15)</f>
        <v xml:space="preserve">Pagrindinės paslaugos ir kaimų atnaujinimas kaimo vietovėse </v>
      </c>
      <c r="I15" s="518" t="str">
        <f>CONCATENATE('3 pr-2'!I15)</f>
        <v>R</v>
      </c>
      <c r="J15" s="518" t="str">
        <f>CONCATENATE('3 pr-2'!J15)</f>
        <v>-</v>
      </c>
      <c r="K15" s="518" t="str">
        <f>CONCATENATE('3 pr-2'!K15)</f>
        <v>-</v>
      </c>
      <c r="L15" s="518" t="s">
        <v>477</v>
      </c>
      <c r="M15" s="881" t="s">
        <v>478</v>
      </c>
      <c r="N15" s="518"/>
      <c r="O15" s="518"/>
      <c r="P15" s="518"/>
      <c r="Q15" s="518"/>
      <c r="R15" s="518"/>
      <c r="S15" s="518"/>
      <c r="T15" s="518"/>
      <c r="U15" s="1335"/>
      <c r="V15" s="518">
        <v>3</v>
      </c>
      <c r="W15" s="1336">
        <f>IF('ketv. 6 lent'!K14&gt;0,"taip",0)</f>
        <v>0</v>
      </c>
      <c r="X15" s="518"/>
      <c r="Y15" s="518">
        <f>IF(YEAR('3 pr-2'!$AJ15)=2017,$V15,0)</f>
        <v>0</v>
      </c>
      <c r="Z15" s="518">
        <f>IF(YEAR('3 pr-2'!$AJ15)=2018,$V15,0)</f>
        <v>3</v>
      </c>
      <c r="AA15" s="518">
        <f>IF(YEAR('3 pr-2'!$AJ15)=2019,$V15,0)</f>
        <v>0</v>
      </c>
      <c r="AB15" s="518">
        <f>IF(YEAR('3 pr-2'!$AJ15)=2020,$V15,0)</f>
        <v>0</v>
      </c>
      <c r="AC15" s="518">
        <f>IF(YEAR('3 pr-2'!$AJ15)=2021,$V15,0)</f>
        <v>0</v>
      </c>
      <c r="AD15" s="518">
        <f>IF(YEAR('3 pr-2'!$AJ15)=2022,$V15,0)</f>
        <v>0</v>
      </c>
      <c r="AE15" s="518">
        <f>IF(YEAR('3 pr-2'!$AJ15)=2023,$V15,0)</f>
        <v>0</v>
      </c>
      <c r="AF15" s="523" t="s">
        <v>479</v>
      </c>
      <c r="AG15" s="881" t="s">
        <v>480</v>
      </c>
      <c r="AH15" s="518"/>
      <c r="AI15" s="518"/>
      <c r="AJ15" s="518"/>
      <c r="AK15" s="518"/>
      <c r="AL15" s="518"/>
      <c r="AM15" s="518"/>
      <c r="AN15" s="518"/>
      <c r="AO15" s="1337">
        <f t="shared" si="30"/>
        <v>0</v>
      </c>
      <c r="AP15" s="518">
        <v>501</v>
      </c>
      <c r="AQ15" s="1338"/>
      <c r="AR15" s="518"/>
      <c r="AS15" s="518">
        <f>IF(YEAR('3 pr-2'!$AJ15)=2017,$AP15,0)</f>
        <v>0</v>
      </c>
      <c r="AT15" s="518">
        <f>IF(YEAR('3 pr-2'!$AJ15)=2018,$AP15,0)</f>
        <v>501</v>
      </c>
      <c r="AU15" s="518">
        <f>IF(YEAR('3 pr-2'!$AJ15)=2019,$AP15,0)</f>
        <v>0</v>
      </c>
      <c r="AV15" s="518">
        <f>IF(YEAR('3 pr-2'!$AJ15)=2020,$AP15,0)</f>
        <v>0</v>
      </c>
      <c r="AW15" s="518">
        <f>IF(YEAR('3 pr-2'!$AJ15)=2021,$AP15,0)</f>
        <v>0</v>
      </c>
      <c r="AX15" s="518">
        <f>IF(YEAR('3 pr-2'!$AJ15)=2022,$AP15,0)</f>
        <v>0</v>
      </c>
      <c r="AY15" s="518">
        <f>IF(YEAR('3 pr-2'!$AJ15)=2023,$AP15,0)</f>
        <v>0</v>
      </c>
      <c r="AZ15" s="518" t="s">
        <v>481</v>
      </c>
      <c r="BA15" s="880" t="s">
        <v>482</v>
      </c>
      <c r="BB15" s="518"/>
      <c r="BC15" s="518"/>
      <c r="BD15" s="518"/>
      <c r="BE15" s="518"/>
      <c r="BF15" s="518"/>
      <c r="BG15" s="518"/>
      <c r="BH15" s="518"/>
      <c r="BI15" s="1337">
        <f t="shared" si="31"/>
        <v>0</v>
      </c>
      <c r="BJ15" s="518">
        <v>1</v>
      </c>
      <c r="BK15" s="1338"/>
      <c r="BL15" s="518"/>
      <c r="BM15" s="518">
        <f>IF(YEAR('3 pr-2'!AJ15)=2017,BJ15,0)</f>
        <v>0</v>
      </c>
      <c r="BN15" s="518">
        <f>IF(YEAR('3 pr-2'!AJ15)=2018,BJ15,0)</f>
        <v>1</v>
      </c>
      <c r="BO15" s="518">
        <f>IF(YEAR('3 pr-2'!AJ15)=2019,BJ15,0)</f>
        <v>0</v>
      </c>
      <c r="BP15" s="518">
        <f>IF(YEAR('3 pr-2'!AJ15)=2020,BJ15,0)</f>
        <v>0</v>
      </c>
      <c r="BQ15" s="518">
        <f>IF(YEAR('3 pr-2'!AJ15)=2021,BJ15,0)</f>
        <v>0</v>
      </c>
      <c r="BR15" s="518">
        <f>IF(YEAR('3 pr-2'!AJ15)=2022,BJ15,0)</f>
        <v>0</v>
      </c>
      <c r="BS15" s="518">
        <f>IF(YEAR('3 pr-2'!AJ15)=2023,BJ15,0)</f>
        <v>0</v>
      </c>
      <c r="BT15" s="523"/>
      <c r="BU15" s="881"/>
      <c r="BV15" s="518"/>
      <c r="BW15" s="518"/>
      <c r="BX15" s="518"/>
      <c r="BY15" s="518"/>
      <c r="BZ15" s="518"/>
      <c r="CA15" s="518"/>
      <c r="CB15" s="518"/>
      <c r="CC15" s="1337">
        <f t="shared" si="32"/>
        <v>0</v>
      </c>
      <c r="CD15" s="518"/>
      <c r="CE15" s="518"/>
      <c r="CF15" s="518"/>
      <c r="CG15" s="518">
        <f>IF(YEAR('3 pr-2'!$AJ15)=2017,$CD15,0)</f>
        <v>0</v>
      </c>
      <c r="CH15" s="518">
        <f>IF(YEAR('3 pr-2'!$AJ15)=2018,$CD15,0)</f>
        <v>0</v>
      </c>
      <c r="CI15" s="518">
        <f>IF(YEAR('3 pr-2'!$AJ15)=2019,$CD15,0)</f>
        <v>0</v>
      </c>
      <c r="CJ15" s="518">
        <f>IF(YEAR('3 pr-2'!$AJ15)=2020,$CD15,0)</f>
        <v>0</v>
      </c>
      <c r="CK15" s="518">
        <f>IF(YEAR('3 pr-2'!$AJ15)=2021,$CD15,0)</f>
        <v>0</v>
      </c>
      <c r="CL15" s="518">
        <f>IF(YEAR('3 pr-2'!$AJ15)=2022,$CD15,0)</f>
        <v>0</v>
      </c>
      <c r="CM15" s="518">
        <f>IF(YEAR('3 pr-2'!$AJ15)=2023,$CD15,0)</f>
        <v>0</v>
      </c>
      <c r="CN15" s="523"/>
      <c r="CO15" s="882"/>
      <c r="CP15" s="524"/>
      <c r="CQ15" s="518"/>
      <c r="CR15" s="518"/>
      <c r="CS15" s="518"/>
      <c r="CT15" s="518"/>
      <c r="CU15" s="518"/>
      <c r="CV15" s="518"/>
      <c r="CW15" s="1337">
        <f t="shared" si="33"/>
        <v>0</v>
      </c>
      <c r="CX15" s="524"/>
      <c r="CY15" s="504"/>
      <c r="CZ15" s="504"/>
      <c r="DA15" s="1332">
        <f>IF(YEAR('3 pr-2'!AJ15)=2017,CX15,0)</f>
        <v>0</v>
      </c>
      <c r="DB15" s="1332">
        <f>IF(YEAR('3 pr-2'!AJ15)=2018,CX15,0)</f>
        <v>0</v>
      </c>
      <c r="DC15" s="1332">
        <f>IF(YEAR('3 pr-2'!AJ15)=2019,CX15,0)</f>
        <v>0</v>
      </c>
      <c r="DD15" s="1332">
        <f>IF(YEAR('3 pr-2'!AJ15)=2020,CX15,0)</f>
        <v>0</v>
      </c>
      <c r="DE15" s="1332">
        <f>IF(YEAR('3 pr-2'!AJ15)=2021,CX15,0)</f>
        <v>0</v>
      </c>
      <c r="DF15" s="1332">
        <f>IF(YEAR('3 pr-2'!AJ15)=2022,CX15,0)</f>
        <v>0</v>
      </c>
      <c r="DG15" s="1332">
        <f>IF(YEAR('3 pr-2'!AJ15)=2023,CX15,0)</f>
        <v>0</v>
      </c>
    </row>
    <row r="16" spans="1:111" ht="75" thickTop="1" thickBot="1" x14ac:dyDescent="0.3">
      <c r="A16" s="518" t="str">
        <f>CONCATENATE('3 pr-2'!A16)</f>
        <v>1.1.1.1.7</v>
      </c>
      <c r="B16" s="518" t="str">
        <f>CONCATENATE('3 pr-2'!B16)</f>
        <v>R01-ZM72-123200-1107</v>
      </c>
      <c r="C16" s="1449" t="str">
        <f>CONCATENATE('ketv. 2lent'!B15)</f>
        <v>20KI-KA-17-1-02437-PR001</v>
      </c>
      <c r="D16" s="189" t="str">
        <f>CONCATENATE('3 pr-2'!D16)</f>
        <v>Alytaus rajono Miroslavo kaimo multifunkcinės sporto aikštės įrengimas ir gatvių bei šaligatvių rekonstrukcija</v>
      </c>
      <c r="E16" s="480" t="str">
        <f>CONCATENATE('3 pr-2'!E16)</f>
        <v>Alytaus rajono savivaldybės administracija</v>
      </c>
      <c r="F16" s="480" t="str">
        <f>CONCATENATE('3 pr-2'!F16)</f>
        <v>Lietuvos Respublikos žemės ūkio ministerija</v>
      </c>
      <c r="G16" s="480" t="str">
        <f>CONCATENATE('3 pr-2'!G16)</f>
        <v>Alytaus rajono savivaldybė</v>
      </c>
      <c r="H16" s="480" t="str">
        <f>CONCATENATE('3 pr-2'!H16)</f>
        <v xml:space="preserve">Pagrindinės paslaugos ir kaimų atnaujinimas kaimo vietovėse </v>
      </c>
      <c r="I16" s="518" t="str">
        <f>CONCATENATE('3 pr-2'!I16)</f>
        <v>R</v>
      </c>
      <c r="J16" s="518" t="str">
        <f>CONCATENATE('3 pr-2'!J16)</f>
        <v>-</v>
      </c>
      <c r="K16" s="518" t="str">
        <f>CONCATENATE('3 pr-2'!K16)</f>
        <v>-</v>
      </c>
      <c r="L16" s="518" t="s">
        <v>477</v>
      </c>
      <c r="M16" s="881" t="s">
        <v>478</v>
      </c>
      <c r="N16" s="518"/>
      <c r="O16" s="518"/>
      <c r="P16" s="518"/>
      <c r="Q16" s="518"/>
      <c r="R16" s="518"/>
      <c r="S16" s="518"/>
      <c r="T16" s="518"/>
      <c r="U16" s="1335"/>
      <c r="V16" s="518">
        <v>3</v>
      </c>
      <c r="W16" s="1336">
        <f>IF('ketv. 6 lent'!K15&gt;0,"taip",0)</f>
        <v>0</v>
      </c>
      <c r="X16" s="518"/>
      <c r="Y16" s="518">
        <f>IF(YEAR('3 pr-2'!$AJ16)=2017,$V16,0)</f>
        <v>0</v>
      </c>
      <c r="Z16" s="518">
        <f>IF(YEAR('3 pr-2'!$AJ16)=2018,$V16,0)</f>
        <v>3</v>
      </c>
      <c r="AA16" s="518">
        <f>IF(YEAR('3 pr-2'!$AJ16)=2019,$V16,0)</f>
        <v>0</v>
      </c>
      <c r="AB16" s="518">
        <f>IF(YEAR('3 pr-2'!$AJ16)=2020,$V16,0)</f>
        <v>0</v>
      </c>
      <c r="AC16" s="518">
        <f>IF(YEAR('3 pr-2'!$AJ16)=2021,$V16,0)</f>
        <v>0</v>
      </c>
      <c r="AD16" s="518">
        <f>IF(YEAR('3 pr-2'!$AJ16)=2022,$V16,0)</f>
        <v>0</v>
      </c>
      <c r="AE16" s="518">
        <f>IF(YEAR('3 pr-2'!$AJ16)=2023,$V16,0)</f>
        <v>0</v>
      </c>
      <c r="AF16" s="523" t="s">
        <v>479</v>
      </c>
      <c r="AG16" s="881" t="s">
        <v>480</v>
      </c>
      <c r="AH16" s="518"/>
      <c r="AI16" s="518"/>
      <c r="AJ16" s="518"/>
      <c r="AK16" s="518"/>
      <c r="AL16" s="518"/>
      <c r="AM16" s="518"/>
      <c r="AN16" s="518"/>
      <c r="AO16" s="1337">
        <f t="shared" si="30"/>
        <v>0</v>
      </c>
      <c r="AP16" s="518">
        <v>382</v>
      </c>
      <c r="AQ16" s="1338"/>
      <c r="AR16" s="518"/>
      <c r="AS16" s="518">
        <f>IF(YEAR('3 pr-2'!$AJ16)=2017,$AP16,0)</f>
        <v>0</v>
      </c>
      <c r="AT16" s="518">
        <f>IF(YEAR('3 pr-2'!$AJ16)=2018,$AP16,0)</f>
        <v>382</v>
      </c>
      <c r="AU16" s="518">
        <f>IF(YEAR('3 pr-2'!$AJ16)=2019,$AP16,0)</f>
        <v>0</v>
      </c>
      <c r="AV16" s="518">
        <f>IF(YEAR('3 pr-2'!$AJ16)=2020,$AP16,0)</f>
        <v>0</v>
      </c>
      <c r="AW16" s="518">
        <f>IF(YEAR('3 pr-2'!$AJ16)=2021,$AP16,0)</f>
        <v>0</v>
      </c>
      <c r="AX16" s="518">
        <f>IF(YEAR('3 pr-2'!$AJ16)=2022,$AP16,0)</f>
        <v>0</v>
      </c>
      <c r="AY16" s="518">
        <f>IF(YEAR('3 pr-2'!$AJ16)=2023,$AP16,0)</f>
        <v>0</v>
      </c>
      <c r="AZ16" s="518" t="s">
        <v>481</v>
      </c>
      <c r="BA16" s="880" t="s">
        <v>482</v>
      </c>
      <c r="BB16" s="518"/>
      <c r="BC16" s="518"/>
      <c r="BD16" s="518"/>
      <c r="BE16" s="518"/>
      <c r="BF16" s="518"/>
      <c r="BG16" s="518"/>
      <c r="BH16" s="518"/>
      <c r="BI16" s="1337">
        <f t="shared" si="31"/>
        <v>0</v>
      </c>
      <c r="BJ16" s="518">
        <v>1</v>
      </c>
      <c r="BK16" s="1338"/>
      <c r="BL16" s="518"/>
      <c r="BM16" s="518">
        <f>IF(YEAR('3 pr-2'!AJ16)=2017,BJ16,0)</f>
        <v>0</v>
      </c>
      <c r="BN16" s="518">
        <f>IF(YEAR('3 pr-2'!AJ16)=2018,BJ16,0)</f>
        <v>1</v>
      </c>
      <c r="BO16" s="518">
        <f>IF(YEAR('3 pr-2'!AJ16)=2019,BJ16,0)</f>
        <v>0</v>
      </c>
      <c r="BP16" s="518">
        <f>IF(YEAR('3 pr-2'!AJ16)=2020,BJ16,0)</f>
        <v>0</v>
      </c>
      <c r="BQ16" s="518">
        <f>IF(YEAR('3 pr-2'!AJ16)=2021,BJ16,0)</f>
        <v>0</v>
      </c>
      <c r="BR16" s="518">
        <f>IF(YEAR('3 pr-2'!AJ16)=2022,BJ16,0)</f>
        <v>0</v>
      </c>
      <c r="BS16" s="518">
        <f>IF(YEAR('3 pr-2'!AJ16)=2023,BJ16,0)</f>
        <v>0</v>
      </c>
      <c r="BT16" s="523"/>
      <c r="BU16" s="881"/>
      <c r="BV16" s="518"/>
      <c r="BW16" s="518"/>
      <c r="BX16" s="518"/>
      <c r="BY16" s="518"/>
      <c r="BZ16" s="518"/>
      <c r="CA16" s="518"/>
      <c r="CB16" s="518"/>
      <c r="CC16" s="1337">
        <f t="shared" si="32"/>
        <v>0</v>
      </c>
      <c r="CD16" s="518"/>
      <c r="CE16" s="518"/>
      <c r="CF16" s="518"/>
      <c r="CG16" s="518">
        <f>IF(YEAR('3 pr-2'!$AJ16)=2017,$CD16,0)</f>
        <v>0</v>
      </c>
      <c r="CH16" s="518">
        <f>IF(YEAR('3 pr-2'!$AJ16)=2018,$CD16,0)</f>
        <v>0</v>
      </c>
      <c r="CI16" s="518">
        <f>IF(YEAR('3 pr-2'!$AJ16)=2019,$CD16,0)</f>
        <v>0</v>
      </c>
      <c r="CJ16" s="518">
        <f>IF(YEAR('3 pr-2'!$AJ16)=2020,$CD16,0)</f>
        <v>0</v>
      </c>
      <c r="CK16" s="518">
        <f>IF(YEAR('3 pr-2'!$AJ16)=2021,$CD16,0)</f>
        <v>0</v>
      </c>
      <c r="CL16" s="518">
        <f>IF(YEAR('3 pr-2'!$AJ16)=2022,$CD16,0)</f>
        <v>0</v>
      </c>
      <c r="CM16" s="518">
        <f>IF(YEAR('3 pr-2'!$AJ16)=2023,$CD16,0)</f>
        <v>0</v>
      </c>
      <c r="CN16" s="523"/>
      <c r="CO16" s="882"/>
      <c r="CP16" s="524"/>
      <c r="CQ16" s="518"/>
      <c r="CR16" s="518"/>
      <c r="CS16" s="518"/>
      <c r="CT16" s="518"/>
      <c r="CU16" s="518"/>
      <c r="CV16" s="518"/>
      <c r="CW16" s="1337">
        <f t="shared" si="33"/>
        <v>0</v>
      </c>
      <c r="CX16" s="524"/>
      <c r="CY16" s="504"/>
      <c r="CZ16" s="504"/>
      <c r="DA16" s="1332">
        <f>IF(YEAR('3 pr-2'!AJ16)=2017,CX16,0)</f>
        <v>0</v>
      </c>
      <c r="DB16" s="1332">
        <f>IF(YEAR('3 pr-2'!AJ16)=2018,CX16,0)</f>
        <v>0</v>
      </c>
      <c r="DC16" s="1332">
        <f>IF(YEAR('3 pr-2'!AJ16)=2019,CX16,0)</f>
        <v>0</v>
      </c>
      <c r="DD16" s="1332">
        <f>IF(YEAR('3 pr-2'!AJ16)=2020,CX16,0)</f>
        <v>0</v>
      </c>
      <c r="DE16" s="1332">
        <f>IF(YEAR('3 pr-2'!AJ16)=2021,CX16,0)</f>
        <v>0</v>
      </c>
      <c r="DF16" s="1332">
        <f>IF(YEAR('3 pr-2'!AJ16)=2022,CX16,0)</f>
        <v>0</v>
      </c>
      <c r="DG16" s="1332">
        <f>IF(YEAR('3 pr-2'!AJ16)=2023,CX16,0)</f>
        <v>0</v>
      </c>
    </row>
    <row r="17" spans="1:111" ht="75" thickTop="1" thickBot="1" x14ac:dyDescent="0.3">
      <c r="A17" s="518" t="str">
        <f>CONCATENATE('3 pr-2'!A17)</f>
        <v>1.1.1.1.8</v>
      </c>
      <c r="B17" s="518" t="str">
        <f>CONCATENATE('3 pr-2'!B17)</f>
        <v>R01-ZM72-123200-1108</v>
      </c>
      <c r="C17" s="1449" t="str">
        <f>CONCATENATE('ketv. 2lent'!B16)</f>
        <v>20KI-KA-17-1-02242-PR001</v>
      </c>
      <c r="D17" s="189" t="str">
        <f>CONCATENATE('3 pr-2'!D17)</f>
        <v>Alytaus rajono Luksnėnų kaimo multifunkcinės sporto aikštės įrengimas ir gatvių rekonstrukcija</v>
      </c>
      <c r="E17" s="480" t="str">
        <f>CONCATENATE('3 pr-2'!E17)</f>
        <v>Alytaus rajono savivaldybės administracija</v>
      </c>
      <c r="F17" s="480" t="str">
        <f>CONCATENATE('3 pr-2'!F17)</f>
        <v>Lietuvos Respublikos žemės ūkio ministerija</v>
      </c>
      <c r="G17" s="480" t="str">
        <f>CONCATENATE('3 pr-2'!G17)</f>
        <v>Alytaus rajono savivaldybė</v>
      </c>
      <c r="H17" s="480" t="str">
        <f>CONCATENATE('3 pr-2'!H17)</f>
        <v xml:space="preserve">Pagrindinės paslaugos ir kaimų atnaujinimas kaimo vietovėse </v>
      </c>
      <c r="I17" s="518" t="str">
        <f>CONCATENATE('3 pr-2'!I17)</f>
        <v>R</v>
      </c>
      <c r="J17" s="518" t="str">
        <f>CONCATENATE('3 pr-2'!J17)</f>
        <v>-</v>
      </c>
      <c r="K17" s="518" t="str">
        <f>CONCATENATE('3 pr-2'!K17)</f>
        <v>-</v>
      </c>
      <c r="L17" s="518" t="s">
        <v>477</v>
      </c>
      <c r="M17" s="881" t="s">
        <v>478</v>
      </c>
      <c r="N17" s="518"/>
      <c r="O17" s="518"/>
      <c r="P17" s="518"/>
      <c r="Q17" s="518"/>
      <c r="R17" s="518"/>
      <c r="S17" s="518"/>
      <c r="T17" s="518"/>
      <c r="U17" s="1335"/>
      <c r="V17" s="518">
        <v>2</v>
      </c>
      <c r="W17" s="1336" t="str">
        <f>IF('ketv. 6 lent'!K16&gt;0,"taip",0)</f>
        <v>taip</v>
      </c>
      <c r="X17" s="518"/>
      <c r="Y17" s="518">
        <f>IF(YEAR('3 pr-2'!$AJ17)=2017,$V17,0)</f>
        <v>0</v>
      </c>
      <c r="Z17" s="518">
        <f>IF(YEAR('3 pr-2'!$AJ17)=2018,$V17,0)</f>
        <v>2</v>
      </c>
      <c r="AA17" s="518">
        <f>IF(YEAR('3 pr-2'!$AJ17)=2019,$V17,0)</f>
        <v>0</v>
      </c>
      <c r="AB17" s="518">
        <f>IF(YEAR('3 pr-2'!$AJ17)=2020,$V17,0)</f>
        <v>0</v>
      </c>
      <c r="AC17" s="518">
        <f>IF(YEAR('3 pr-2'!$AJ17)=2021,$V17,0)</f>
        <v>0</v>
      </c>
      <c r="AD17" s="518">
        <f>IF(YEAR('3 pr-2'!$AJ17)=2022,$V17,0)</f>
        <v>0</v>
      </c>
      <c r="AE17" s="518">
        <f>IF(YEAR('3 pr-2'!$AJ17)=2023,$V17,0)</f>
        <v>0</v>
      </c>
      <c r="AF17" s="523" t="s">
        <v>479</v>
      </c>
      <c r="AG17" s="881" t="s">
        <v>480</v>
      </c>
      <c r="AH17" s="518"/>
      <c r="AI17" s="518"/>
      <c r="AJ17" s="518"/>
      <c r="AK17" s="518"/>
      <c r="AL17" s="518"/>
      <c r="AM17" s="518"/>
      <c r="AN17" s="518"/>
      <c r="AO17" s="1337">
        <f t="shared" si="30"/>
        <v>0</v>
      </c>
      <c r="AP17" s="518">
        <v>491</v>
      </c>
      <c r="AQ17" s="1338"/>
      <c r="AR17" s="518"/>
      <c r="AS17" s="518">
        <f>IF(YEAR('3 pr-2'!$AJ17)=2017,$AP17,0)</f>
        <v>0</v>
      </c>
      <c r="AT17" s="518">
        <f>IF(YEAR('3 pr-2'!$AJ17)=2018,$AP17,0)</f>
        <v>491</v>
      </c>
      <c r="AU17" s="518">
        <f>IF(YEAR('3 pr-2'!$AJ17)=2019,$AP17,0)</f>
        <v>0</v>
      </c>
      <c r="AV17" s="518">
        <f>IF(YEAR('3 pr-2'!$AJ17)=2020,$AP17,0)</f>
        <v>0</v>
      </c>
      <c r="AW17" s="518">
        <f>IF(YEAR('3 pr-2'!$AJ17)=2021,$AP17,0)</f>
        <v>0</v>
      </c>
      <c r="AX17" s="518">
        <f>IF(YEAR('3 pr-2'!$AJ17)=2022,$AP17,0)</f>
        <v>0</v>
      </c>
      <c r="AY17" s="518">
        <f>IF(YEAR('3 pr-2'!$AJ17)=2023,$AP17,0)</f>
        <v>0</v>
      </c>
      <c r="AZ17" s="518" t="s">
        <v>481</v>
      </c>
      <c r="BA17" s="880" t="s">
        <v>482</v>
      </c>
      <c r="BB17" s="518"/>
      <c r="BC17" s="518"/>
      <c r="BD17" s="518"/>
      <c r="BE17" s="518"/>
      <c r="BF17" s="518"/>
      <c r="BG17" s="518"/>
      <c r="BH17" s="518"/>
      <c r="BI17" s="1337">
        <f t="shared" si="31"/>
        <v>0</v>
      </c>
      <c r="BJ17" s="518">
        <v>1</v>
      </c>
      <c r="BK17" s="1338"/>
      <c r="BL17" s="518"/>
      <c r="BM17" s="518">
        <f>IF(YEAR('3 pr-2'!AJ17)=2017,BJ17,0)</f>
        <v>0</v>
      </c>
      <c r="BN17" s="518">
        <f>IF(YEAR('3 pr-2'!AJ17)=2018,BJ17,0)</f>
        <v>1</v>
      </c>
      <c r="BO17" s="518">
        <f>IF(YEAR('3 pr-2'!AJ17)=2019,BJ17,0)</f>
        <v>0</v>
      </c>
      <c r="BP17" s="518">
        <f>IF(YEAR('3 pr-2'!AJ17)=2020,BJ17,0)</f>
        <v>0</v>
      </c>
      <c r="BQ17" s="518">
        <f>IF(YEAR('3 pr-2'!AJ17)=2021,BJ17,0)</f>
        <v>0</v>
      </c>
      <c r="BR17" s="518">
        <f>IF(YEAR('3 pr-2'!AJ17)=2022,BJ17,0)</f>
        <v>0</v>
      </c>
      <c r="BS17" s="518">
        <f>IF(YEAR('3 pr-2'!AJ17)=2023,BJ17,0)</f>
        <v>0</v>
      </c>
      <c r="BT17" s="523"/>
      <c r="BU17" s="881"/>
      <c r="BV17" s="518"/>
      <c r="BW17" s="518"/>
      <c r="BX17" s="518"/>
      <c r="BY17" s="518"/>
      <c r="BZ17" s="518"/>
      <c r="CA17" s="518"/>
      <c r="CB17" s="518"/>
      <c r="CC17" s="1337">
        <f t="shared" si="32"/>
        <v>0</v>
      </c>
      <c r="CD17" s="518"/>
      <c r="CE17" s="518"/>
      <c r="CF17" s="518"/>
      <c r="CG17" s="518">
        <f>IF(YEAR('3 pr-2'!$AJ17)=2017,$CD17,0)</f>
        <v>0</v>
      </c>
      <c r="CH17" s="518">
        <f>IF(YEAR('3 pr-2'!$AJ17)=2018,$CD17,0)</f>
        <v>0</v>
      </c>
      <c r="CI17" s="518">
        <f>IF(YEAR('3 pr-2'!$AJ17)=2019,$CD17,0)</f>
        <v>0</v>
      </c>
      <c r="CJ17" s="518">
        <f>IF(YEAR('3 pr-2'!$AJ17)=2020,$CD17,0)</f>
        <v>0</v>
      </c>
      <c r="CK17" s="518">
        <f>IF(YEAR('3 pr-2'!$AJ17)=2021,$CD17,0)</f>
        <v>0</v>
      </c>
      <c r="CL17" s="518">
        <f>IF(YEAR('3 pr-2'!$AJ17)=2022,$CD17,0)</f>
        <v>0</v>
      </c>
      <c r="CM17" s="518">
        <f>IF(YEAR('3 pr-2'!$AJ17)=2023,$CD17,0)</f>
        <v>0</v>
      </c>
      <c r="CN17" s="523"/>
      <c r="CO17" s="882"/>
      <c r="CP17" s="524"/>
      <c r="CQ17" s="518"/>
      <c r="CR17" s="518"/>
      <c r="CS17" s="518"/>
      <c r="CT17" s="518"/>
      <c r="CU17" s="518"/>
      <c r="CV17" s="518"/>
      <c r="CW17" s="1337">
        <f t="shared" si="33"/>
        <v>0</v>
      </c>
      <c r="CX17" s="524"/>
      <c r="CY17" s="504"/>
      <c r="CZ17" s="504"/>
      <c r="DA17" s="1332">
        <f>IF(YEAR('3 pr-2'!AJ17)=2017,CX17,0)</f>
        <v>0</v>
      </c>
      <c r="DB17" s="1332">
        <f>IF(YEAR('3 pr-2'!AJ17)=2018,CX17,0)</f>
        <v>0</v>
      </c>
      <c r="DC17" s="1332">
        <f>IF(YEAR('3 pr-2'!AJ17)=2019,CX17,0)</f>
        <v>0</v>
      </c>
      <c r="DD17" s="1332">
        <f>IF(YEAR('3 pr-2'!AJ17)=2020,CX17,0)</f>
        <v>0</v>
      </c>
      <c r="DE17" s="1332">
        <f>IF(YEAR('3 pr-2'!AJ17)=2021,CX17,0)</f>
        <v>0</v>
      </c>
      <c r="DF17" s="1332">
        <f>IF(YEAR('3 pr-2'!AJ17)=2022,CX17,0)</f>
        <v>0</v>
      </c>
      <c r="DG17" s="1332">
        <f>IF(YEAR('3 pr-2'!AJ17)=2023,CX17,0)</f>
        <v>0</v>
      </c>
    </row>
    <row r="18" spans="1:111" ht="75" thickTop="1" thickBot="1" x14ac:dyDescent="0.3">
      <c r="A18" s="518" t="str">
        <f>CONCATENATE('3 pr-2'!A18)</f>
        <v>1.1.1.1.9</v>
      </c>
      <c r="B18" s="518" t="str">
        <f>CONCATENATE('3 pr-2'!B18)</f>
        <v>R01-ZM72-340000-1109</v>
      </c>
      <c r="C18" s="1449" t="str">
        <f>CONCATENATE('ketv. 2lent'!B17)</f>
        <v>20KI-KA-17-1-02372-PR001</v>
      </c>
      <c r="D18" s="189" t="str">
        <f>CONCATENATE('3 pr-2'!D18)</f>
        <v>Krikštonių laisvalaikio salės pritaikymas bendruomenės poreikiams</v>
      </c>
      <c r="E18" s="480" t="str">
        <f>CONCATENATE('3 pr-2'!E18)</f>
        <v xml:space="preserve">Viešoji įstaiga Lazdijų kultūros centras </v>
      </c>
      <c r="F18" s="480" t="str">
        <f>CONCATENATE('3 pr-2'!F18)</f>
        <v>Lietuvos Respublikos žemės ūkio ministerija</v>
      </c>
      <c r="G18" s="480" t="str">
        <f>CONCATENATE('3 pr-2'!G18)</f>
        <v>Lazdijų rajono savivaldybė</v>
      </c>
      <c r="H18" s="480" t="str">
        <f>CONCATENATE('3 pr-2'!H18)</f>
        <v xml:space="preserve">Pagrindinės paslaugos ir kaimų atnaujinimas kaimo vietovėse </v>
      </c>
      <c r="I18" s="518" t="str">
        <f>CONCATENATE('3 pr-2'!I18)</f>
        <v>R</v>
      </c>
      <c r="J18" s="518" t="str">
        <f>CONCATENATE('3 pr-2'!J18)</f>
        <v>-</v>
      </c>
      <c r="K18" s="518" t="str">
        <f>CONCATENATE('3 pr-2'!K18)</f>
        <v>-</v>
      </c>
      <c r="L18" s="518" t="s">
        <v>477</v>
      </c>
      <c r="M18" s="881" t="s">
        <v>478</v>
      </c>
      <c r="N18" s="518"/>
      <c r="O18" s="518"/>
      <c r="P18" s="518"/>
      <c r="Q18" s="518"/>
      <c r="R18" s="518"/>
      <c r="S18" s="518"/>
      <c r="T18" s="518"/>
      <c r="U18" s="1335"/>
      <c r="V18" s="518">
        <v>1</v>
      </c>
      <c r="W18" s="1336">
        <f>IF('ketv. 6 lent'!K17&gt;0,"taip",0)</f>
        <v>0</v>
      </c>
      <c r="X18" s="518"/>
      <c r="Y18" s="518">
        <f>IF(YEAR('3 pr-2'!$AJ18)=2017,$V18,0)</f>
        <v>0</v>
      </c>
      <c r="Z18" s="518">
        <f>IF(YEAR('3 pr-2'!$AJ18)=2018,$V18,0)</f>
        <v>1</v>
      </c>
      <c r="AA18" s="518">
        <f>IF(YEAR('3 pr-2'!$AJ18)=2019,$V18,0)</f>
        <v>0</v>
      </c>
      <c r="AB18" s="518">
        <f>IF(YEAR('3 pr-2'!$AJ18)=2020,$V18,0)</f>
        <v>0</v>
      </c>
      <c r="AC18" s="518">
        <f>IF(YEAR('3 pr-2'!$AJ18)=2021,$V18,0)</f>
        <v>0</v>
      </c>
      <c r="AD18" s="518">
        <f>IF(YEAR('3 pr-2'!$AJ18)=2022,$V18,0)</f>
        <v>0</v>
      </c>
      <c r="AE18" s="518">
        <f>IF(YEAR('3 pr-2'!$AJ18)=2023,$V18,0)</f>
        <v>0</v>
      </c>
      <c r="AF18" s="523" t="s">
        <v>479</v>
      </c>
      <c r="AG18" s="881" t="s">
        <v>480</v>
      </c>
      <c r="AH18" s="518"/>
      <c r="AI18" s="518"/>
      <c r="AJ18" s="518"/>
      <c r="AK18" s="518"/>
      <c r="AL18" s="518"/>
      <c r="AM18" s="518"/>
      <c r="AN18" s="518"/>
      <c r="AO18" s="1337">
        <f t="shared" si="30"/>
        <v>0</v>
      </c>
      <c r="AP18" s="518">
        <v>228</v>
      </c>
      <c r="AQ18" s="1338"/>
      <c r="AR18" s="518"/>
      <c r="AS18" s="518">
        <f>IF(YEAR('3 pr-2'!$AJ18)=2017,$AP18,0)</f>
        <v>0</v>
      </c>
      <c r="AT18" s="518">
        <f>IF(YEAR('3 pr-2'!$AJ18)=2018,$AP18,0)</f>
        <v>228</v>
      </c>
      <c r="AU18" s="518">
        <f>IF(YEAR('3 pr-2'!$AJ18)=2019,$AP18,0)</f>
        <v>0</v>
      </c>
      <c r="AV18" s="518">
        <f>IF(YEAR('3 pr-2'!$AJ18)=2020,$AP18,0)</f>
        <v>0</v>
      </c>
      <c r="AW18" s="518">
        <f>IF(YEAR('3 pr-2'!$AJ18)=2021,$AP18,0)</f>
        <v>0</v>
      </c>
      <c r="AX18" s="518">
        <f>IF(YEAR('3 pr-2'!$AJ18)=2022,$AP18,0)</f>
        <v>0</v>
      </c>
      <c r="AY18" s="518">
        <f>IF(YEAR('3 pr-2'!$AJ18)=2023,$AP18,0)</f>
        <v>0</v>
      </c>
      <c r="AZ18" s="518" t="s">
        <v>481</v>
      </c>
      <c r="BA18" s="880" t="s">
        <v>482</v>
      </c>
      <c r="BB18" s="518"/>
      <c r="BC18" s="518"/>
      <c r="BD18" s="518"/>
      <c r="BE18" s="518"/>
      <c r="BF18" s="518"/>
      <c r="BG18" s="518"/>
      <c r="BH18" s="518"/>
      <c r="BI18" s="1337">
        <f t="shared" si="31"/>
        <v>0</v>
      </c>
      <c r="BJ18" s="518">
        <v>1</v>
      </c>
      <c r="BK18" s="1338"/>
      <c r="BL18" s="518"/>
      <c r="BM18" s="518">
        <f>IF(YEAR('3 pr-2'!AJ18)=2017,BJ18,0)</f>
        <v>0</v>
      </c>
      <c r="BN18" s="518">
        <f>IF(YEAR('3 pr-2'!AJ18)=2018,BJ18,0)</f>
        <v>1</v>
      </c>
      <c r="BO18" s="518">
        <f>IF(YEAR('3 pr-2'!AJ18)=2019,BJ18,0)</f>
        <v>0</v>
      </c>
      <c r="BP18" s="518">
        <f>IF(YEAR('3 pr-2'!AJ18)=2020,BJ18,0)</f>
        <v>0</v>
      </c>
      <c r="BQ18" s="518">
        <f>IF(YEAR('3 pr-2'!AJ18)=2021,BJ18,0)</f>
        <v>0</v>
      </c>
      <c r="BR18" s="518">
        <f>IF(YEAR('3 pr-2'!AJ18)=2022,BJ18,0)</f>
        <v>0</v>
      </c>
      <c r="BS18" s="518">
        <f>IF(YEAR('3 pr-2'!AJ18)=2023,BJ18,0)</f>
        <v>0</v>
      </c>
      <c r="BT18" s="523"/>
      <c r="BU18" s="881"/>
      <c r="BV18" s="518"/>
      <c r="BW18" s="518"/>
      <c r="BX18" s="518"/>
      <c r="BY18" s="518"/>
      <c r="BZ18" s="518"/>
      <c r="CA18" s="518"/>
      <c r="CB18" s="518"/>
      <c r="CC18" s="1337">
        <f t="shared" si="32"/>
        <v>0</v>
      </c>
      <c r="CD18" s="518"/>
      <c r="CE18" s="518"/>
      <c r="CF18" s="518"/>
      <c r="CG18" s="518">
        <f>IF(YEAR('3 pr-2'!$AJ18)=2017,$CD18,0)</f>
        <v>0</v>
      </c>
      <c r="CH18" s="518">
        <f>IF(YEAR('3 pr-2'!$AJ18)=2018,$CD18,0)</f>
        <v>0</v>
      </c>
      <c r="CI18" s="518">
        <f>IF(YEAR('3 pr-2'!$AJ18)=2019,$CD18,0)</f>
        <v>0</v>
      </c>
      <c r="CJ18" s="518">
        <f>IF(YEAR('3 pr-2'!$AJ18)=2020,$CD18,0)</f>
        <v>0</v>
      </c>
      <c r="CK18" s="518">
        <f>IF(YEAR('3 pr-2'!$AJ18)=2021,$CD18,0)</f>
        <v>0</v>
      </c>
      <c r="CL18" s="518">
        <f>IF(YEAR('3 pr-2'!$AJ18)=2022,$CD18,0)</f>
        <v>0</v>
      </c>
      <c r="CM18" s="518">
        <f>IF(YEAR('3 pr-2'!$AJ18)=2023,$CD18,0)</f>
        <v>0</v>
      </c>
      <c r="CN18" s="523"/>
      <c r="CO18" s="882"/>
      <c r="CP18" s="524"/>
      <c r="CQ18" s="518"/>
      <c r="CR18" s="518"/>
      <c r="CS18" s="518"/>
      <c r="CT18" s="518"/>
      <c r="CU18" s="518"/>
      <c r="CV18" s="518"/>
      <c r="CW18" s="1337">
        <f t="shared" si="33"/>
        <v>0</v>
      </c>
      <c r="CX18" s="524"/>
      <c r="CY18" s="504"/>
      <c r="CZ18" s="504"/>
      <c r="DA18" s="1332">
        <f>IF(YEAR('3 pr-2'!AJ18)=2017,CX18,0)</f>
        <v>0</v>
      </c>
      <c r="DB18" s="1332">
        <f>IF(YEAR('3 pr-2'!AJ18)=2018,CX18,0)</f>
        <v>0</v>
      </c>
      <c r="DC18" s="1332">
        <f>IF(YEAR('3 pr-2'!AJ18)=2019,CX18,0)</f>
        <v>0</v>
      </c>
      <c r="DD18" s="1332">
        <f>IF(YEAR('3 pr-2'!AJ18)=2020,CX18,0)</f>
        <v>0</v>
      </c>
      <c r="DE18" s="1332">
        <f>IF(YEAR('3 pr-2'!AJ18)=2021,CX18,0)</f>
        <v>0</v>
      </c>
      <c r="DF18" s="1332">
        <f>IF(YEAR('3 pr-2'!AJ18)=2022,CX18,0)</f>
        <v>0</v>
      </c>
      <c r="DG18" s="1332">
        <f>IF(YEAR('3 pr-2'!AJ18)=2023,CX18,0)</f>
        <v>0</v>
      </c>
    </row>
    <row r="19" spans="1:111" ht="75" thickTop="1" thickBot="1" x14ac:dyDescent="0.3">
      <c r="A19" s="518" t="str">
        <f>CONCATENATE('3 pr-2'!A19)</f>
        <v>1.1.1.1.10</v>
      </c>
      <c r="B19" s="518" t="str">
        <f>CONCATENATE('3 pr-2'!B19)</f>
        <v>R01-ZM72-340200-1110</v>
      </c>
      <c r="C19" s="1449" t="str">
        <f>CONCATENATE('ketv. 2lent'!B18)</f>
        <v>20KI-KA-17-1-02370-PR001</v>
      </c>
      <c r="D19" s="189" t="str">
        <f>CONCATENATE('3 pr-2'!D19)</f>
        <v>Kučiūnų laisvalaikio salės pritaikymas bendruomenės poreikiams</v>
      </c>
      <c r="E19" s="480" t="str">
        <f>CONCATENATE('3 pr-2'!E19)</f>
        <v xml:space="preserve">Viešoji įstaiga Lazdijų kultūros centras </v>
      </c>
      <c r="F19" s="480" t="str">
        <f>CONCATENATE('3 pr-2'!F19)</f>
        <v>Lietuvos Respublikos žemės ūkio ministerija</v>
      </c>
      <c r="G19" s="480" t="str">
        <f>CONCATENATE('3 pr-2'!G19)</f>
        <v>Lazdijų rajono savivaldybė</v>
      </c>
      <c r="H19" s="480" t="str">
        <f>CONCATENATE('3 pr-2'!H19)</f>
        <v xml:space="preserve">Pagrindinės paslaugos ir kaimų atnaujinimas kaimo vietovėse </v>
      </c>
      <c r="I19" s="518" t="str">
        <f>CONCATENATE('3 pr-2'!I19)</f>
        <v>R</v>
      </c>
      <c r="J19" s="518" t="str">
        <f>CONCATENATE('3 pr-2'!J19)</f>
        <v>-</v>
      </c>
      <c r="K19" s="518" t="str">
        <f>CONCATENATE('3 pr-2'!K19)</f>
        <v>-</v>
      </c>
      <c r="L19" s="518" t="s">
        <v>477</v>
      </c>
      <c r="M19" s="881" t="s">
        <v>478</v>
      </c>
      <c r="N19" s="518"/>
      <c r="O19" s="518"/>
      <c r="P19" s="518"/>
      <c r="Q19" s="518"/>
      <c r="R19" s="518"/>
      <c r="S19" s="518"/>
      <c r="T19" s="518"/>
      <c r="U19" s="1335"/>
      <c r="V19" s="518">
        <v>1</v>
      </c>
      <c r="W19" s="1336">
        <f>IF('ketv. 6 lent'!K18&gt;0,"taip",0)</f>
        <v>0</v>
      </c>
      <c r="X19" s="518"/>
      <c r="Y19" s="518">
        <f>IF(YEAR('3 pr-2'!$AJ19)=2017,$V19,0)</f>
        <v>0</v>
      </c>
      <c r="Z19" s="518">
        <f>IF(YEAR('3 pr-2'!$AJ19)=2018,$V19,0)</f>
        <v>1</v>
      </c>
      <c r="AA19" s="518">
        <f>IF(YEAR('3 pr-2'!$AJ19)=2019,$V19,0)</f>
        <v>0</v>
      </c>
      <c r="AB19" s="518">
        <f>IF(YEAR('3 pr-2'!$AJ19)=2020,$V19,0)</f>
        <v>0</v>
      </c>
      <c r="AC19" s="518">
        <f>IF(YEAR('3 pr-2'!$AJ19)=2021,$V19,0)</f>
        <v>0</v>
      </c>
      <c r="AD19" s="518">
        <f>IF(YEAR('3 pr-2'!$AJ19)=2022,$V19,0)</f>
        <v>0</v>
      </c>
      <c r="AE19" s="518">
        <f>IF(YEAR('3 pr-2'!$AJ19)=2023,$V19,0)</f>
        <v>0</v>
      </c>
      <c r="AF19" s="523" t="s">
        <v>479</v>
      </c>
      <c r="AG19" s="881" t="s">
        <v>480</v>
      </c>
      <c r="AH19" s="518"/>
      <c r="AI19" s="518"/>
      <c r="AJ19" s="518"/>
      <c r="AK19" s="518"/>
      <c r="AL19" s="518"/>
      <c r="AM19" s="518"/>
      <c r="AN19" s="518"/>
      <c r="AO19" s="1337">
        <f t="shared" si="30"/>
        <v>0</v>
      </c>
      <c r="AP19" s="518">
        <v>273</v>
      </c>
      <c r="AQ19" s="1338"/>
      <c r="AR19" s="518"/>
      <c r="AS19" s="518">
        <f>IF(YEAR('3 pr-2'!$AJ19)=2017,$AP19,0)</f>
        <v>0</v>
      </c>
      <c r="AT19" s="518">
        <f>IF(YEAR('3 pr-2'!$AJ19)=2018,$AP19,0)</f>
        <v>273</v>
      </c>
      <c r="AU19" s="518">
        <f>IF(YEAR('3 pr-2'!$AJ19)=2019,$AP19,0)</f>
        <v>0</v>
      </c>
      <c r="AV19" s="518">
        <f>IF(YEAR('3 pr-2'!$AJ19)=2020,$AP19,0)</f>
        <v>0</v>
      </c>
      <c r="AW19" s="518">
        <f>IF(YEAR('3 pr-2'!$AJ19)=2021,$AP19,0)</f>
        <v>0</v>
      </c>
      <c r="AX19" s="518">
        <f>IF(YEAR('3 pr-2'!$AJ19)=2022,$AP19,0)</f>
        <v>0</v>
      </c>
      <c r="AY19" s="518">
        <f>IF(YEAR('3 pr-2'!$AJ19)=2023,$AP19,0)</f>
        <v>0</v>
      </c>
      <c r="AZ19" s="518" t="s">
        <v>481</v>
      </c>
      <c r="BA19" s="880" t="s">
        <v>482</v>
      </c>
      <c r="BB19" s="518"/>
      <c r="BC19" s="518"/>
      <c r="BD19" s="518"/>
      <c r="BE19" s="518"/>
      <c r="BF19" s="518"/>
      <c r="BG19" s="518"/>
      <c r="BH19" s="518"/>
      <c r="BI19" s="1337">
        <f t="shared" si="31"/>
        <v>0</v>
      </c>
      <c r="BJ19" s="518">
        <v>1</v>
      </c>
      <c r="BK19" s="1338"/>
      <c r="BL19" s="518"/>
      <c r="BM19" s="518">
        <f>IF(YEAR('3 pr-2'!AJ19)=2017,BJ19,0)</f>
        <v>0</v>
      </c>
      <c r="BN19" s="518">
        <f>IF(YEAR('3 pr-2'!AJ19)=2018,BJ19,0)</f>
        <v>1</v>
      </c>
      <c r="BO19" s="518">
        <f>IF(YEAR('3 pr-2'!AJ19)=2019,BJ19,0)</f>
        <v>0</v>
      </c>
      <c r="BP19" s="518">
        <f>IF(YEAR('3 pr-2'!AJ19)=2020,BJ19,0)</f>
        <v>0</v>
      </c>
      <c r="BQ19" s="518">
        <f>IF(YEAR('3 pr-2'!AJ19)=2021,BJ19,0)</f>
        <v>0</v>
      </c>
      <c r="BR19" s="518">
        <f>IF(YEAR('3 pr-2'!AJ19)=2022,BJ19,0)</f>
        <v>0</v>
      </c>
      <c r="BS19" s="518">
        <f>IF(YEAR('3 pr-2'!AJ19)=2023,BJ19,0)</f>
        <v>0</v>
      </c>
      <c r="BT19" s="523"/>
      <c r="BU19" s="881"/>
      <c r="BV19" s="518"/>
      <c r="BW19" s="518"/>
      <c r="BX19" s="518"/>
      <c r="BY19" s="518"/>
      <c r="BZ19" s="518"/>
      <c r="CA19" s="518"/>
      <c r="CB19" s="518"/>
      <c r="CC19" s="1337">
        <f t="shared" si="32"/>
        <v>0</v>
      </c>
      <c r="CD19" s="518"/>
      <c r="CE19" s="518"/>
      <c r="CF19" s="518"/>
      <c r="CG19" s="518">
        <f>IF(YEAR('3 pr-2'!$AJ19)=2017,$CD19,0)</f>
        <v>0</v>
      </c>
      <c r="CH19" s="518">
        <f>IF(YEAR('3 pr-2'!$AJ19)=2018,$CD19,0)</f>
        <v>0</v>
      </c>
      <c r="CI19" s="518">
        <f>IF(YEAR('3 pr-2'!$AJ19)=2019,$CD19,0)</f>
        <v>0</v>
      </c>
      <c r="CJ19" s="518">
        <f>IF(YEAR('3 pr-2'!$AJ19)=2020,$CD19,0)</f>
        <v>0</v>
      </c>
      <c r="CK19" s="518">
        <f>IF(YEAR('3 pr-2'!$AJ19)=2021,$CD19,0)</f>
        <v>0</v>
      </c>
      <c r="CL19" s="518">
        <f>IF(YEAR('3 pr-2'!$AJ19)=2022,$CD19,0)</f>
        <v>0</v>
      </c>
      <c r="CM19" s="518">
        <f>IF(YEAR('3 pr-2'!$AJ19)=2023,$CD19,0)</f>
        <v>0</v>
      </c>
      <c r="CN19" s="523"/>
      <c r="CO19" s="882"/>
      <c r="CP19" s="524"/>
      <c r="CQ19" s="518"/>
      <c r="CR19" s="518"/>
      <c r="CS19" s="518"/>
      <c r="CT19" s="518"/>
      <c r="CU19" s="518"/>
      <c r="CV19" s="518"/>
      <c r="CW19" s="1337">
        <f t="shared" si="33"/>
        <v>0</v>
      </c>
      <c r="CX19" s="524"/>
      <c r="CY19" s="504"/>
      <c r="CZ19" s="504"/>
      <c r="DA19" s="1332">
        <f>IF(YEAR('3 pr-2'!AJ19)=2017,CX19,0)</f>
        <v>0</v>
      </c>
      <c r="DB19" s="1332">
        <f>IF(YEAR('3 pr-2'!AJ19)=2018,CX19,0)</f>
        <v>0</v>
      </c>
      <c r="DC19" s="1332">
        <f>IF(YEAR('3 pr-2'!AJ19)=2019,CX19,0)</f>
        <v>0</v>
      </c>
      <c r="DD19" s="1332">
        <f>IF(YEAR('3 pr-2'!AJ19)=2020,CX19,0)</f>
        <v>0</v>
      </c>
      <c r="DE19" s="1332">
        <f>IF(YEAR('3 pr-2'!AJ19)=2021,CX19,0)</f>
        <v>0</v>
      </c>
      <c r="DF19" s="1332">
        <f>IF(YEAR('3 pr-2'!AJ19)=2022,CX19,0)</f>
        <v>0</v>
      </c>
      <c r="DG19" s="1332">
        <f>IF(YEAR('3 pr-2'!AJ19)=2023,CX19,0)</f>
        <v>0</v>
      </c>
    </row>
    <row r="20" spans="1:111" ht="75" thickTop="1" thickBot="1" x14ac:dyDescent="0.3">
      <c r="A20" s="518" t="str">
        <f>CONCATENATE('3 pr-2'!A20)</f>
        <v>1.1.1.1.11</v>
      </c>
      <c r="B20" s="518" t="str">
        <f>CONCATENATE('3 pr-2'!B20)</f>
        <v>R01-ZM72-320000-1111</v>
      </c>
      <c r="C20" s="1449" t="str">
        <f>CONCATENATE('ketv. 2lent'!B19)</f>
        <v>20KI-KA-17-1-02354-PR001</v>
      </c>
      <c r="D20" s="189" t="str">
        <f>CONCATENATE('3 pr-2'!D20)</f>
        <v>Laisvalaikio infrastruktūros sukūrimas Lazdijų rajono kaimo gyvenamosiose vietovėse</v>
      </c>
      <c r="E20" s="480" t="str">
        <f>CONCATENATE('3 pr-2'!E20)</f>
        <v>Lazdijų rajono savivaldybės administracija</v>
      </c>
      <c r="F20" s="480" t="str">
        <f>CONCATENATE('3 pr-2'!F20)</f>
        <v>Lietuvos Respublikos žemės ūkio ministerija</v>
      </c>
      <c r="G20" s="480" t="str">
        <f>CONCATENATE('3 pr-2'!G20)</f>
        <v>Lazdijų rajono savivaldybė</v>
      </c>
      <c r="H20" s="480" t="str">
        <f>CONCATENATE('3 pr-2'!H20)</f>
        <v xml:space="preserve">Pagrindinės paslaugos ir kaimų atnaujinimas kaimo vietovėse </v>
      </c>
      <c r="I20" s="518" t="str">
        <f>CONCATENATE('3 pr-2'!I20)</f>
        <v>R</v>
      </c>
      <c r="J20" s="518" t="str">
        <f>CONCATENATE('3 pr-2'!J20)</f>
        <v>-</v>
      </c>
      <c r="K20" s="518" t="str">
        <f>CONCATENATE('3 pr-2'!K20)</f>
        <v>-</v>
      </c>
      <c r="L20" s="518" t="s">
        <v>477</v>
      </c>
      <c r="M20" s="881" t="s">
        <v>478</v>
      </c>
      <c r="N20" s="518"/>
      <c r="O20" s="518"/>
      <c r="P20" s="518"/>
      <c r="Q20" s="518"/>
      <c r="R20" s="518"/>
      <c r="S20" s="518"/>
      <c r="T20" s="518"/>
      <c r="U20" s="1335"/>
      <c r="V20" s="518">
        <v>1</v>
      </c>
      <c r="W20" s="1336">
        <f>IF('ketv. 6 lent'!K19&gt;0,"taip",0)</f>
        <v>0</v>
      </c>
      <c r="X20" s="518"/>
      <c r="Y20" s="518">
        <f>IF(YEAR('3 pr-2'!$AJ20)=2017,$V20,0)</f>
        <v>0</v>
      </c>
      <c r="Z20" s="518">
        <f>IF(YEAR('3 pr-2'!$AJ20)=2018,$V20,0)</f>
        <v>1</v>
      </c>
      <c r="AA20" s="518">
        <f>IF(YEAR('3 pr-2'!$AJ20)=2019,$V20,0)</f>
        <v>0</v>
      </c>
      <c r="AB20" s="518">
        <f>IF(YEAR('3 pr-2'!$AJ20)=2020,$V20,0)</f>
        <v>0</v>
      </c>
      <c r="AC20" s="518">
        <f>IF(YEAR('3 pr-2'!$AJ20)=2021,$V20,0)</f>
        <v>0</v>
      </c>
      <c r="AD20" s="518">
        <f>IF(YEAR('3 pr-2'!$AJ20)=2022,$V20,0)</f>
        <v>0</v>
      </c>
      <c r="AE20" s="518">
        <f>IF(YEAR('3 pr-2'!$AJ20)=2023,$V20,0)</f>
        <v>0</v>
      </c>
      <c r="AF20" s="523" t="s">
        <v>479</v>
      </c>
      <c r="AG20" s="881" t="s">
        <v>480</v>
      </c>
      <c r="AH20" s="518"/>
      <c r="AI20" s="518"/>
      <c r="AJ20" s="518"/>
      <c r="AK20" s="518"/>
      <c r="AL20" s="518"/>
      <c r="AM20" s="518"/>
      <c r="AN20" s="518"/>
      <c r="AO20" s="1337">
        <f t="shared" si="30"/>
        <v>0</v>
      </c>
      <c r="AP20" s="518">
        <v>631</v>
      </c>
      <c r="AQ20" s="1338"/>
      <c r="AR20" s="518"/>
      <c r="AS20" s="518">
        <f>IF(YEAR('3 pr-2'!$AJ20)=2017,$AP20,0)</f>
        <v>0</v>
      </c>
      <c r="AT20" s="518">
        <f>IF(YEAR('3 pr-2'!$AJ20)=2018,$AP20,0)</f>
        <v>631</v>
      </c>
      <c r="AU20" s="518">
        <f>IF(YEAR('3 pr-2'!$AJ20)=2019,$AP20,0)</f>
        <v>0</v>
      </c>
      <c r="AV20" s="518">
        <f>IF(YEAR('3 pr-2'!$AJ20)=2020,$AP20,0)</f>
        <v>0</v>
      </c>
      <c r="AW20" s="518">
        <f>IF(YEAR('3 pr-2'!$AJ20)=2021,$AP20,0)</f>
        <v>0</v>
      </c>
      <c r="AX20" s="518">
        <f>IF(YEAR('3 pr-2'!$AJ20)=2022,$AP20,0)</f>
        <v>0</v>
      </c>
      <c r="AY20" s="518">
        <f>IF(YEAR('3 pr-2'!$AJ20)=2023,$AP20,0)</f>
        <v>0</v>
      </c>
      <c r="AZ20" s="518" t="s">
        <v>481</v>
      </c>
      <c r="BA20" s="880" t="s">
        <v>482</v>
      </c>
      <c r="BB20" s="518"/>
      <c r="BC20" s="518"/>
      <c r="BD20" s="518"/>
      <c r="BE20" s="518"/>
      <c r="BF20" s="518"/>
      <c r="BG20" s="518"/>
      <c r="BH20" s="518"/>
      <c r="BI20" s="1337">
        <f t="shared" si="31"/>
        <v>0</v>
      </c>
      <c r="BJ20" s="518">
        <v>1</v>
      </c>
      <c r="BK20" s="1338"/>
      <c r="BL20" s="518"/>
      <c r="BM20" s="518">
        <f>IF(YEAR('3 pr-2'!AJ20)=2017,BJ20,0)</f>
        <v>0</v>
      </c>
      <c r="BN20" s="518">
        <f>IF(YEAR('3 pr-2'!AJ20)=2018,BJ20,0)</f>
        <v>1</v>
      </c>
      <c r="BO20" s="518">
        <f>IF(YEAR('3 pr-2'!AJ20)=2019,BJ20,0)</f>
        <v>0</v>
      </c>
      <c r="BP20" s="518">
        <f>IF(YEAR('3 pr-2'!AJ20)=2020,BJ20,0)</f>
        <v>0</v>
      </c>
      <c r="BQ20" s="518">
        <f>IF(YEAR('3 pr-2'!AJ20)=2021,BJ20,0)</f>
        <v>0</v>
      </c>
      <c r="BR20" s="518">
        <f>IF(YEAR('3 pr-2'!AJ20)=2022,BJ20,0)</f>
        <v>0</v>
      </c>
      <c r="BS20" s="518">
        <f>IF(YEAR('3 pr-2'!AJ20)=2023,BJ20,0)</f>
        <v>0</v>
      </c>
      <c r="BT20" s="523"/>
      <c r="BU20" s="881"/>
      <c r="BV20" s="518"/>
      <c r="BW20" s="518"/>
      <c r="BX20" s="518"/>
      <c r="BY20" s="518"/>
      <c r="BZ20" s="518"/>
      <c r="CA20" s="518"/>
      <c r="CB20" s="518"/>
      <c r="CC20" s="1337">
        <f t="shared" si="32"/>
        <v>0</v>
      </c>
      <c r="CD20" s="518"/>
      <c r="CE20" s="518"/>
      <c r="CF20" s="518"/>
      <c r="CG20" s="518">
        <f>IF(YEAR('3 pr-2'!$AJ20)=2017,$CD20,0)</f>
        <v>0</v>
      </c>
      <c r="CH20" s="518">
        <f>IF(YEAR('3 pr-2'!$AJ20)=2018,$CD20,0)</f>
        <v>0</v>
      </c>
      <c r="CI20" s="518">
        <f>IF(YEAR('3 pr-2'!$AJ20)=2019,$CD20,0)</f>
        <v>0</v>
      </c>
      <c r="CJ20" s="518">
        <f>IF(YEAR('3 pr-2'!$AJ20)=2020,$CD20,0)</f>
        <v>0</v>
      </c>
      <c r="CK20" s="518">
        <f>IF(YEAR('3 pr-2'!$AJ20)=2021,$CD20,0)</f>
        <v>0</v>
      </c>
      <c r="CL20" s="518">
        <f>IF(YEAR('3 pr-2'!$AJ20)=2022,$CD20,0)</f>
        <v>0</v>
      </c>
      <c r="CM20" s="518">
        <f>IF(YEAR('3 pr-2'!$AJ20)=2023,$CD20,0)</f>
        <v>0</v>
      </c>
      <c r="CN20" s="523"/>
      <c r="CO20" s="882"/>
      <c r="CP20" s="524"/>
      <c r="CQ20" s="518"/>
      <c r="CR20" s="518"/>
      <c r="CS20" s="518"/>
      <c r="CT20" s="518"/>
      <c r="CU20" s="518"/>
      <c r="CV20" s="518"/>
      <c r="CW20" s="1337">
        <f t="shared" si="33"/>
        <v>0</v>
      </c>
      <c r="CX20" s="524"/>
      <c r="CY20" s="504"/>
      <c r="CZ20" s="504"/>
      <c r="DA20" s="1332">
        <f>IF(YEAR('3 pr-2'!AJ20)=2017,CX20,0)</f>
        <v>0</v>
      </c>
      <c r="DB20" s="1332">
        <f>IF(YEAR('3 pr-2'!AJ20)=2018,CX20,0)</f>
        <v>0</v>
      </c>
      <c r="DC20" s="1332">
        <f>IF(YEAR('3 pr-2'!AJ20)=2019,CX20,0)</f>
        <v>0</v>
      </c>
      <c r="DD20" s="1332">
        <f>IF(YEAR('3 pr-2'!AJ20)=2020,CX20,0)</f>
        <v>0</v>
      </c>
      <c r="DE20" s="1332">
        <f>IF(YEAR('3 pr-2'!AJ20)=2021,CX20,0)</f>
        <v>0</v>
      </c>
      <c r="DF20" s="1332">
        <f>IF(YEAR('3 pr-2'!AJ20)=2022,CX20,0)</f>
        <v>0</v>
      </c>
      <c r="DG20" s="1332">
        <f>IF(YEAR('3 pr-2'!AJ20)=2023,CX20,0)</f>
        <v>0</v>
      </c>
    </row>
    <row r="21" spans="1:111" ht="75" thickTop="1" thickBot="1" x14ac:dyDescent="0.3">
      <c r="A21" s="518" t="str">
        <f>CONCATENATE('3 pr-2'!A21)</f>
        <v>1.1.1.1.12</v>
      </c>
      <c r="B21" s="518" t="str">
        <f>CONCATENATE('3 pr-2'!B21)</f>
        <v>R01-ZM72-120000-1112</v>
      </c>
      <c r="C21" s="1449" t="str">
        <f>CONCATENATE('ketv. 2lent'!B20)</f>
        <v>20KI-KA-17-1-02470-PR001</v>
      </c>
      <c r="D21" s="189" t="str">
        <f>CONCATENATE('3 pr-2'!D21)</f>
        <v>Alytaus rajono Butrimonių miestelio šaligatvių kapitalinis remontas ir gyvenvietės apšvietimo įrengimas</v>
      </c>
      <c r="E21" s="480" t="str">
        <f>CONCATENATE('3 pr-2'!E21)</f>
        <v>Alytaus rajono savivaldybės administracija</v>
      </c>
      <c r="F21" s="480" t="str">
        <f>CONCATENATE('3 pr-2'!F21)</f>
        <v>Lietuvos Respublikos žemės ūkio ministerija</v>
      </c>
      <c r="G21" s="480" t="str">
        <f>CONCATENATE('3 pr-2'!G21)</f>
        <v>Alytaus rajono savivaldybė</v>
      </c>
      <c r="H21" s="480" t="str">
        <f>CONCATENATE('3 pr-2'!H21)</f>
        <v xml:space="preserve">Pagrindinės paslaugos ir kaimų atnaujinimas kaimo vietovėse </v>
      </c>
      <c r="I21" s="518" t="str">
        <f>CONCATENATE('3 pr-2'!I21)</f>
        <v>R</v>
      </c>
      <c r="J21" s="518" t="str">
        <f>CONCATENATE('3 pr-2'!J21)</f>
        <v>-</v>
      </c>
      <c r="K21" s="518" t="str">
        <f>CONCATENATE('3 pr-2'!K21)</f>
        <v>-</v>
      </c>
      <c r="L21" s="518" t="s">
        <v>477</v>
      </c>
      <c r="M21" s="881" t="s">
        <v>478</v>
      </c>
      <c r="N21" s="518"/>
      <c r="O21" s="518"/>
      <c r="P21" s="518"/>
      <c r="Q21" s="518"/>
      <c r="R21" s="518"/>
      <c r="S21" s="518"/>
      <c r="T21" s="518"/>
      <c r="U21" s="1335"/>
      <c r="V21" s="518">
        <v>2</v>
      </c>
      <c r="W21" s="1336">
        <f>IF('ketv. 6 lent'!K20&gt;0,"taip",0)</f>
        <v>0</v>
      </c>
      <c r="X21" s="518"/>
      <c r="Y21" s="518">
        <f>IF(YEAR('3 pr-2'!$AJ21)=2017,$V21,0)</f>
        <v>0</v>
      </c>
      <c r="Z21" s="518">
        <f>IF(YEAR('3 pr-2'!$AJ21)=2018,$V21,0)</f>
        <v>2</v>
      </c>
      <c r="AA21" s="518">
        <f>IF(YEAR('3 pr-2'!$AJ21)=2019,$V21,0)</f>
        <v>0</v>
      </c>
      <c r="AB21" s="518">
        <f>IF(YEAR('3 pr-2'!$AJ21)=2020,$V21,0)</f>
        <v>0</v>
      </c>
      <c r="AC21" s="518">
        <f>IF(YEAR('3 pr-2'!$AJ21)=2021,$V21,0)</f>
        <v>0</v>
      </c>
      <c r="AD21" s="518">
        <f>IF(YEAR('3 pr-2'!$AJ21)=2022,$V21,0)</f>
        <v>0</v>
      </c>
      <c r="AE21" s="518">
        <f>IF(YEAR('3 pr-2'!$AJ21)=2023,$V21,0)</f>
        <v>0</v>
      </c>
      <c r="AF21" s="523" t="s">
        <v>479</v>
      </c>
      <c r="AG21" s="881" t="s">
        <v>480</v>
      </c>
      <c r="AH21" s="518"/>
      <c r="AI21" s="518"/>
      <c r="AJ21" s="518"/>
      <c r="AK21" s="518"/>
      <c r="AL21" s="518"/>
      <c r="AM21" s="518"/>
      <c r="AN21" s="518"/>
      <c r="AO21" s="1337">
        <f t="shared" si="30"/>
        <v>0</v>
      </c>
      <c r="AP21" s="518">
        <v>941</v>
      </c>
      <c r="AQ21" s="1338"/>
      <c r="AR21" s="518"/>
      <c r="AS21" s="518">
        <f>IF(YEAR('3 pr-2'!$AJ21)=2017,$AP21,0)</f>
        <v>0</v>
      </c>
      <c r="AT21" s="518">
        <f>IF(YEAR('3 pr-2'!$AJ21)=2018,$AP21,0)</f>
        <v>941</v>
      </c>
      <c r="AU21" s="518">
        <f>IF(YEAR('3 pr-2'!$AJ21)=2019,$AP21,0)</f>
        <v>0</v>
      </c>
      <c r="AV21" s="518">
        <f>IF(YEAR('3 pr-2'!$AJ21)=2020,$AP21,0)</f>
        <v>0</v>
      </c>
      <c r="AW21" s="518">
        <f>IF(YEAR('3 pr-2'!$AJ21)=2021,$AP21,0)</f>
        <v>0</v>
      </c>
      <c r="AX21" s="518">
        <f>IF(YEAR('3 pr-2'!$AJ21)=2022,$AP21,0)</f>
        <v>0</v>
      </c>
      <c r="AY21" s="518">
        <f>IF(YEAR('3 pr-2'!$AJ21)=2023,$AP21,0)</f>
        <v>0</v>
      </c>
      <c r="AZ21" s="518" t="s">
        <v>481</v>
      </c>
      <c r="BA21" s="880" t="s">
        <v>482</v>
      </c>
      <c r="BB21" s="518"/>
      <c r="BC21" s="518"/>
      <c r="BD21" s="518"/>
      <c r="BE21" s="518"/>
      <c r="BF21" s="518"/>
      <c r="BG21" s="518"/>
      <c r="BH21" s="518"/>
      <c r="BI21" s="1337">
        <f t="shared" si="31"/>
        <v>0</v>
      </c>
      <c r="BJ21" s="518">
        <v>1</v>
      </c>
      <c r="BK21" s="1338"/>
      <c r="BL21" s="518"/>
      <c r="BM21" s="518">
        <f>IF(YEAR('3 pr-2'!AJ21)=2017,BJ21,0)</f>
        <v>0</v>
      </c>
      <c r="BN21" s="518">
        <f>IF(YEAR('3 pr-2'!AJ21)=2018,BJ21,0)</f>
        <v>1</v>
      </c>
      <c r="BO21" s="518">
        <f>IF(YEAR('3 pr-2'!AJ21)=2019,BJ21,0)</f>
        <v>0</v>
      </c>
      <c r="BP21" s="518">
        <f>IF(YEAR('3 pr-2'!AJ21)=2020,BJ21,0)</f>
        <v>0</v>
      </c>
      <c r="BQ21" s="518">
        <f>IF(YEAR('3 pr-2'!AJ21)=2021,BJ21,0)</f>
        <v>0</v>
      </c>
      <c r="BR21" s="518">
        <f>IF(YEAR('3 pr-2'!AJ21)=2022,BJ21,0)</f>
        <v>0</v>
      </c>
      <c r="BS21" s="518">
        <f>IF(YEAR('3 pr-2'!AJ21)=2023,BJ21,0)</f>
        <v>0</v>
      </c>
      <c r="BT21" s="523"/>
      <c r="BU21" s="881"/>
      <c r="BV21" s="518"/>
      <c r="BW21" s="518"/>
      <c r="BX21" s="518"/>
      <c r="BY21" s="518"/>
      <c r="BZ21" s="518"/>
      <c r="CA21" s="518"/>
      <c r="CB21" s="518"/>
      <c r="CC21" s="1337">
        <f t="shared" si="32"/>
        <v>0</v>
      </c>
      <c r="CD21" s="518"/>
      <c r="CE21" s="518"/>
      <c r="CF21" s="518"/>
      <c r="CG21" s="518">
        <f>IF(YEAR('3 pr-2'!$AJ21)=2017,$CD21,0)</f>
        <v>0</v>
      </c>
      <c r="CH21" s="518">
        <f>IF(YEAR('3 pr-2'!$AJ21)=2018,$CD21,0)</f>
        <v>0</v>
      </c>
      <c r="CI21" s="518">
        <f>IF(YEAR('3 pr-2'!$AJ21)=2019,$CD21,0)</f>
        <v>0</v>
      </c>
      <c r="CJ21" s="518">
        <f>IF(YEAR('3 pr-2'!$AJ21)=2020,$CD21,0)</f>
        <v>0</v>
      </c>
      <c r="CK21" s="518">
        <f>IF(YEAR('3 pr-2'!$AJ21)=2021,$CD21,0)</f>
        <v>0</v>
      </c>
      <c r="CL21" s="518">
        <f>IF(YEAR('3 pr-2'!$AJ21)=2022,$CD21,0)</f>
        <v>0</v>
      </c>
      <c r="CM21" s="518">
        <f>IF(YEAR('3 pr-2'!$AJ21)=2023,$CD21,0)</f>
        <v>0</v>
      </c>
      <c r="CN21" s="523"/>
      <c r="CO21" s="882"/>
      <c r="CP21" s="524"/>
      <c r="CQ21" s="518"/>
      <c r="CR21" s="518"/>
      <c r="CS21" s="518"/>
      <c r="CT21" s="518"/>
      <c r="CU21" s="518"/>
      <c r="CV21" s="518"/>
      <c r="CW21" s="1337">
        <f t="shared" si="33"/>
        <v>0</v>
      </c>
      <c r="CX21" s="524"/>
      <c r="CY21" s="504"/>
      <c r="CZ21" s="504"/>
      <c r="DA21" s="1332">
        <f>IF(YEAR('3 pr-2'!AJ21)=2017,CX21,0)</f>
        <v>0</v>
      </c>
      <c r="DB21" s="1332">
        <f>IF(YEAR('3 pr-2'!AJ21)=2018,CX21,0)</f>
        <v>0</v>
      </c>
      <c r="DC21" s="1332">
        <f>IF(YEAR('3 pr-2'!AJ21)=2019,CX21,0)</f>
        <v>0</v>
      </c>
      <c r="DD21" s="1332">
        <f>IF(YEAR('3 pr-2'!AJ21)=2020,CX21,0)</f>
        <v>0</v>
      </c>
      <c r="DE21" s="1332">
        <f>IF(YEAR('3 pr-2'!AJ21)=2021,CX21,0)</f>
        <v>0</v>
      </c>
      <c r="DF21" s="1332">
        <f>IF(YEAR('3 pr-2'!AJ21)=2022,CX21,0)</f>
        <v>0</v>
      </c>
      <c r="DG21" s="1332">
        <f>IF(YEAR('3 pr-2'!AJ21)=2023,CX21,0)</f>
        <v>0</v>
      </c>
    </row>
    <row r="22" spans="1:111" ht="75" thickTop="1" thickBot="1" x14ac:dyDescent="0.3">
      <c r="A22" s="518" t="str">
        <f>CONCATENATE('3 pr-2'!A22)</f>
        <v>1.1.1.1.13</v>
      </c>
      <c r="B22" s="518" t="str">
        <f>CONCATENATE('3 pr-2'!B22)</f>
        <v>R01-ZM72-123200-1113</v>
      </c>
      <c r="C22" s="1449" t="str">
        <f>CONCATENATE('ketv. 2lent'!B21)</f>
        <v>20KI-KA-17-1-02438-PR001</v>
      </c>
      <c r="D22" s="189" t="str">
        <f>CONCATENATE('3 pr-2'!D22)</f>
        <v>Alytaus rajono Genių kaimo sporto aikštės įrengimas ir gatvių rekonstrukcija</v>
      </c>
      <c r="E22" s="480" t="str">
        <f>CONCATENATE('3 pr-2'!E22)</f>
        <v>Alytaus rajono savivaldybės administracija</v>
      </c>
      <c r="F22" s="480" t="str">
        <f>CONCATENATE('3 pr-2'!F22)</f>
        <v>Lietuvos Respublikos žemės ūkio ministerija</v>
      </c>
      <c r="G22" s="480" t="str">
        <f>CONCATENATE('3 pr-2'!G22)</f>
        <v>Alytaus rajono savivaldybė</v>
      </c>
      <c r="H22" s="480" t="str">
        <f>CONCATENATE('3 pr-2'!H22)</f>
        <v xml:space="preserve">Pagrindinės paslaugos ir kaimų atnaujinimas kaimo vietovėse </v>
      </c>
      <c r="I22" s="518" t="str">
        <f>CONCATENATE('3 pr-2'!I22)</f>
        <v>R</v>
      </c>
      <c r="J22" s="518" t="str">
        <f>CONCATENATE('3 pr-2'!J22)</f>
        <v>-</v>
      </c>
      <c r="K22" s="518" t="str">
        <f>CONCATENATE('3 pr-2'!K22)</f>
        <v>-</v>
      </c>
      <c r="L22" s="518" t="s">
        <v>477</v>
      </c>
      <c r="M22" s="881" t="s">
        <v>478</v>
      </c>
      <c r="N22" s="518"/>
      <c r="O22" s="518"/>
      <c r="P22" s="518"/>
      <c r="Q22" s="518"/>
      <c r="R22" s="518"/>
      <c r="S22" s="518"/>
      <c r="T22" s="518"/>
      <c r="U22" s="1335"/>
      <c r="V22" s="518">
        <v>2</v>
      </c>
      <c r="W22" s="1336">
        <f>IF('ketv. 6 lent'!K21&gt;0,"taip",0)</f>
        <v>0</v>
      </c>
      <c r="X22" s="518"/>
      <c r="Y22" s="518">
        <f>IF(YEAR('3 pr-2'!$AJ22)=2017,$V22,0)</f>
        <v>0</v>
      </c>
      <c r="Z22" s="518">
        <f>IF(YEAR('3 pr-2'!$AJ22)=2018,$V22,0)</f>
        <v>2</v>
      </c>
      <c r="AA22" s="518">
        <f>IF(YEAR('3 pr-2'!$AJ22)=2019,$V22,0)</f>
        <v>0</v>
      </c>
      <c r="AB22" s="518">
        <f>IF(YEAR('3 pr-2'!$AJ22)=2020,$V22,0)</f>
        <v>0</v>
      </c>
      <c r="AC22" s="518">
        <f>IF(YEAR('3 pr-2'!$AJ22)=2021,$V22,0)</f>
        <v>0</v>
      </c>
      <c r="AD22" s="518">
        <f>IF(YEAR('3 pr-2'!$AJ22)=2022,$V22,0)</f>
        <v>0</v>
      </c>
      <c r="AE22" s="518">
        <f>IF(YEAR('3 pr-2'!$AJ22)=2023,$V22,0)</f>
        <v>0</v>
      </c>
      <c r="AF22" s="523" t="s">
        <v>479</v>
      </c>
      <c r="AG22" s="881" t="s">
        <v>480</v>
      </c>
      <c r="AH22" s="518"/>
      <c r="AI22" s="518"/>
      <c r="AJ22" s="518"/>
      <c r="AK22" s="518"/>
      <c r="AL22" s="518"/>
      <c r="AM22" s="518"/>
      <c r="AN22" s="518"/>
      <c r="AO22" s="1337">
        <f t="shared" si="30"/>
        <v>0</v>
      </c>
      <c r="AP22" s="518">
        <v>309</v>
      </c>
      <c r="AQ22" s="1338"/>
      <c r="AR22" s="518"/>
      <c r="AS22" s="518">
        <f>IF(YEAR('3 pr-2'!$AJ22)=2017,$AP22,0)</f>
        <v>0</v>
      </c>
      <c r="AT22" s="518">
        <f>IF(YEAR('3 pr-2'!$AJ22)=2018,$AP22,0)</f>
        <v>309</v>
      </c>
      <c r="AU22" s="518">
        <f>IF(YEAR('3 pr-2'!$AJ22)=2019,$AP22,0)</f>
        <v>0</v>
      </c>
      <c r="AV22" s="518">
        <f>IF(YEAR('3 pr-2'!$AJ22)=2020,$AP22,0)</f>
        <v>0</v>
      </c>
      <c r="AW22" s="518">
        <f>IF(YEAR('3 pr-2'!$AJ22)=2021,$AP22,0)</f>
        <v>0</v>
      </c>
      <c r="AX22" s="518">
        <f>IF(YEAR('3 pr-2'!$AJ22)=2022,$AP22,0)</f>
        <v>0</v>
      </c>
      <c r="AY22" s="518">
        <f>IF(YEAR('3 pr-2'!$AJ22)=2023,$AP22,0)</f>
        <v>0</v>
      </c>
      <c r="AZ22" s="518" t="s">
        <v>481</v>
      </c>
      <c r="BA22" s="880" t="s">
        <v>482</v>
      </c>
      <c r="BB22" s="518"/>
      <c r="BC22" s="518"/>
      <c r="BD22" s="518"/>
      <c r="BE22" s="518"/>
      <c r="BF22" s="518"/>
      <c r="BG22" s="518"/>
      <c r="BH22" s="518"/>
      <c r="BI22" s="1337">
        <f t="shared" si="31"/>
        <v>0</v>
      </c>
      <c r="BJ22" s="518">
        <v>1</v>
      </c>
      <c r="BK22" s="1338"/>
      <c r="BL22" s="518"/>
      <c r="BM22" s="518">
        <f>IF(YEAR('3 pr-2'!AJ22)=2017,BJ22,0)</f>
        <v>0</v>
      </c>
      <c r="BN22" s="518">
        <f>IF(YEAR('3 pr-2'!AJ22)=2018,BJ22,0)</f>
        <v>1</v>
      </c>
      <c r="BO22" s="518">
        <f>IF(YEAR('3 pr-2'!AJ22)=2019,BJ22,0)</f>
        <v>0</v>
      </c>
      <c r="BP22" s="518">
        <f>IF(YEAR('3 pr-2'!AJ22)=2020,BJ22,0)</f>
        <v>0</v>
      </c>
      <c r="BQ22" s="518">
        <f>IF(YEAR('3 pr-2'!AJ22)=2021,BJ22,0)</f>
        <v>0</v>
      </c>
      <c r="BR22" s="518">
        <f>IF(YEAR('3 pr-2'!AJ22)=2022,BJ22,0)</f>
        <v>0</v>
      </c>
      <c r="BS22" s="518">
        <f>IF(YEAR('3 pr-2'!AJ22)=2023,BJ22,0)</f>
        <v>0</v>
      </c>
      <c r="BT22" s="523"/>
      <c r="BU22" s="881"/>
      <c r="BV22" s="518"/>
      <c r="BW22" s="518"/>
      <c r="BX22" s="518"/>
      <c r="BY22" s="518"/>
      <c r="BZ22" s="518"/>
      <c r="CA22" s="518"/>
      <c r="CB22" s="518"/>
      <c r="CC22" s="1337">
        <f t="shared" si="32"/>
        <v>0</v>
      </c>
      <c r="CD22" s="518"/>
      <c r="CE22" s="518"/>
      <c r="CF22" s="518"/>
      <c r="CG22" s="518">
        <f>IF(YEAR('3 pr-2'!$AJ22)=2017,$CD22,0)</f>
        <v>0</v>
      </c>
      <c r="CH22" s="518">
        <f>IF(YEAR('3 pr-2'!$AJ22)=2018,$CD22,0)</f>
        <v>0</v>
      </c>
      <c r="CI22" s="518">
        <f>IF(YEAR('3 pr-2'!$AJ22)=2019,$CD22,0)</f>
        <v>0</v>
      </c>
      <c r="CJ22" s="518">
        <f>IF(YEAR('3 pr-2'!$AJ22)=2020,$CD22,0)</f>
        <v>0</v>
      </c>
      <c r="CK22" s="518">
        <f>IF(YEAR('3 pr-2'!$AJ22)=2021,$CD22,0)</f>
        <v>0</v>
      </c>
      <c r="CL22" s="518">
        <f>IF(YEAR('3 pr-2'!$AJ22)=2022,$CD22,0)</f>
        <v>0</v>
      </c>
      <c r="CM22" s="518">
        <f>IF(YEAR('3 pr-2'!$AJ22)=2023,$CD22,0)</f>
        <v>0</v>
      </c>
      <c r="CN22" s="523"/>
      <c r="CO22" s="882"/>
      <c r="CP22" s="524"/>
      <c r="CQ22" s="518"/>
      <c r="CR22" s="518"/>
      <c r="CS22" s="518"/>
      <c r="CT22" s="518"/>
      <c r="CU22" s="518"/>
      <c r="CV22" s="518"/>
      <c r="CW22" s="1337">
        <f t="shared" si="33"/>
        <v>0</v>
      </c>
      <c r="CX22" s="524"/>
      <c r="CY22" s="504"/>
      <c r="CZ22" s="504"/>
      <c r="DA22" s="1332">
        <f>IF(YEAR('3 pr-2'!AJ22)=2017,CX22,0)</f>
        <v>0</v>
      </c>
      <c r="DB22" s="1332">
        <f>IF(YEAR('3 pr-2'!AJ22)=2018,CX22,0)</f>
        <v>0</v>
      </c>
      <c r="DC22" s="1332">
        <f>IF(YEAR('3 pr-2'!AJ22)=2019,CX22,0)</f>
        <v>0</v>
      </c>
      <c r="DD22" s="1332">
        <f>IF(YEAR('3 pr-2'!AJ22)=2020,CX22,0)</f>
        <v>0</v>
      </c>
      <c r="DE22" s="1332">
        <f>IF(YEAR('3 pr-2'!AJ22)=2021,CX22,0)</f>
        <v>0</v>
      </c>
      <c r="DF22" s="1332">
        <f>IF(YEAR('3 pr-2'!AJ22)=2022,CX22,0)</f>
        <v>0</v>
      </c>
      <c r="DG22" s="1332">
        <f>IF(YEAR('3 pr-2'!AJ22)=2023,CX22,0)</f>
        <v>0</v>
      </c>
    </row>
    <row r="23" spans="1:111" ht="75" thickTop="1" thickBot="1" x14ac:dyDescent="0.3">
      <c r="A23" s="518" t="str">
        <f>CONCATENATE('3 pr-2'!A23)</f>
        <v>1.1.1.1.14</v>
      </c>
      <c r="B23" s="518" t="str">
        <f>CONCATENATE('3 pr-2'!B23)</f>
        <v>R01-ZM72-122900-1114</v>
      </c>
      <c r="C23" s="1449" t="str">
        <f>CONCATENATE('ketv. 2lent'!B22)</f>
        <v>20KI-KA-17-1-01647-PR001</v>
      </c>
      <c r="D23" s="189" t="str">
        <f>CONCATENATE('3 pr-2'!D23)</f>
        <v>Varėnos r. Dargužių kaimo Liepų gatvės ir viešosios erdvės įrengimas</v>
      </c>
      <c r="E23" s="480" t="str">
        <f>CONCATENATE('3 pr-2'!E23)</f>
        <v xml:space="preserve">Varėnos rajono savivaldybės administracija </v>
      </c>
      <c r="F23" s="480" t="str">
        <f>CONCATENATE('3 pr-2'!F23)</f>
        <v>Lietuvos Respublikos žemės ūkio ministerija</v>
      </c>
      <c r="G23" s="480" t="str">
        <f>CONCATENATE('3 pr-2'!G23)</f>
        <v>Varėnos rajono savivaldybė</v>
      </c>
      <c r="H23" s="480" t="str">
        <f>CONCATENATE('3 pr-2'!H23)</f>
        <v xml:space="preserve">Pagrindinės paslaugos ir kaimų atnaujinimas kaimo vietovėse </v>
      </c>
      <c r="I23" s="518" t="str">
        <f>CONCATENATE('3 pr-2'!I23)</f>
        <v>R</v>
      </c>
      <c r="J23" s="518" t="str">
        <f>CONCATENATE('3 pr-2'!J23)</f>
        <v>-</v>
      </c>
      <c r="K23" s="518" t="str">
        <f>CONCATENATE('3 pr-2'!K23)</f>
        <v>-</v>
      </c>
      <c r="L23" s="518" t="s">
        <v>477</v>
      </c>
      <c r="M23" s="881" t="s">
        <v>478</v>
      </c>
      <c r="N23" s="518"/>
      <c r="O23" s="518"/>
      <c r="P23" s="518"/>
      <c r="Q23" s="518"/>
      <c r="R23" s="518"/>
      <c r="S23" s="518"/>
      <c r="T23" s="518"/>
      <c r="U23" s="1335"/>
      <c r="V23" s="518">
        <v>1</v>
      </c>
      <c r="W23" s="1336">
        <f>IF('ketv. 6 lent'!K22&gt;0,"taip",0)</f>
        <v>0</v>
      </c>
      <c r="X23" s="518"/>
      <c r="Y23" s="518">
        <f>IF(YEAR('3 pr-2'!$AJ23)=2017,$V23,0)</f>
        <v>0</v>
      </c>
      <c r="Z23" s="518">
        <f>IF(YEAR('3 pr-2'!$AJ23)=2018,$V23,0)</f>
        <v>0</v>
      </c>
      <c r="AA23" s="518">
        <f>IF(YEAR('3 pr-2'!$AJ23)=2019,$V23,0)</f>
        <v>1</v>
      </c>
      <c r="AB23" s="518">
        <f>IF(YEAR('3 pr-2'!$AJ23)=2020,$V23,0)</f>
        <v>0</v>
      </c>
      <c r="AC23" s="518">
        <f>IF(YEAR('3 pr-2'!$AJ23)=2021,$V23,0)</f>
        <v>0</v>
      </c>
      <c r="AD23" s="518">
        <f>IF(YEAR('3 pr-2'!$AJ23)=2022,$V23,0)</f>
        <v>0</v>
      </c>
      <c r="AE23" s="518">
        <f>IF(YEAR('3 pr-2'!$AJ23)=2023,$V23,0)</f>
        <v>0</v>
      </c>
      <c r="AF23" s="523" t="s">
        <v>479</v>
      </c>
      <c r="AG23" s="881" t="s">
        <v>480</v>
      </c>
      <c r="AH23" s="518"/>
      <c r="AI23" s="518"/>
      <c r="AJ23" s="518"/>
      <c r="AK23" s="518"/>
      <c r="AL23" s="518"/>
      <c r="AM23" s="518"/>
      <c r="AN23" s="518"/>
      <c r="AO23" s="1337">
        <f t="shared" si="30"/>
        <v>0</v>
      </c>
      <c r="AP23" s="518">
        <v>252</v>
      </c>
      <c r="AQ23" s="1338"/>
      <c r="AR23" s="518"/>
      <c r="AS23" s="518">
        <f>IF(YEAR('3 pr-2'!$AJ23)=2017,$AP23,0)</f>
        <v>0</v>
      </c>
      <c r="AT23" s="518">
        <f>IF(YEAR('3 pr-2'!$AJ23)=2018,$AP23,0)</f>
        <v>0</v>
      </c>
      <c r="AU23" s="518">
        <f>IF(YEAR('3 pr-2'!$AJ23)=2019,$AP23,0)</f>
        <v>252</v>
      </c>
      <c r="AV23" s="518">
        <f>IF(YEAR('3 pr-2'!$AJ23)=2020,$AP23,0)</f>
        <v>0</v>
      </c>
      <c r="AW23" s="518">
        <f>IF(YEAR('3 pr-2'!$AJ23)=2021,$AP23,0)</f>
        <v>0</v>
      </c>
      <c r="AX23" s="518">
        <f>IF(YEAR('3 pr-2'!$AJ23)=2022,$AP23,0)</f>
        <v>0</v>
      </c>
      <c r="AY23" s="518">
        <f>IF(YEAR('3 pr-2'!$AJ23)=2023,$AP23,0)</f>
        <v>0</v>
      </c>
      <c r="AZ23" s="518" t="s">
        <v>481</v>
      </c>
      <c r="BA23" s="880" t="s">
        <v>482</v>
      </c>
      <c r="BB23" s="518"/>
      <c r="BC23" s="518"/>
      <c r="BD23" s="518"/>
      <c r="BE23" s="518"/>
      <c r="BF23" s="518"/>
      <c r="BG23" s="518"/>
      <c r="BH23" s="518"/>
      <c r="BI23" s="1337">
        <f t="shared" si="31"/>
        <v>0</v>
      </c>
      <c r="BJ23" s="518">
        <v>1</v>
      </c>
      <c r="BK23" s="1338"/>
      <c r="BL23" s="518"/>
      <c r="BM23" s="518">
        <f>IF(YEAR('3 pr-2'!AJ23)=2017,BJ23,0)</f>
        <v>0</v>
      </c>
      <c r="BN23" s="518">
        <f>IF(YEAR('3 pr-2'!AJ23)=2018,BJ23,0)</f>
        <v>0</v>
      </c>
      <c r="BO23" s="518">
        <f>IF(YEAR('3 pr-2'!AJ23)=2019,BJ23,0)</f>
        <v>1</v>
      </c>
      <c r="BP23" s="518">
        <f>IF(YEAR('3 pr-2'!AJ23)=2020,BJ23,0)</f>
        <v>0</v>
      </c>
      <c r="BQ23" s="518">
        <f>IF(YEAR('3 pr-2'!AJ23)=2021,BJ23,0)</f>
        <v>0</v>
      </c>
      <c r="BR23" s="518">
        <f>IF(YEAR('3 pr-2'!AJ23)=2022,BJ23,0)</f>
        <v>0</v>
      </c>
      <c r="BS23" s="518">
        <f>IF(YEAR('3 pr-2'!AJ23)=2023,BJ23,0)</f>
        <v>0</v>
      </c>
      <c r="BT23" s="523"/>
      <c r="BU23" s="881"/>
      <c r="BV23" s="518"/>
      <c r="BW23" s="518"/>
      <c r="BX23" s="518"/>
      <c r="BY23" s="518"/>
      <c r="BZ23" s="518"/>
      <c r="CA23" s="518"/>
      <c r="CB23" s="518"/>
      <c r="CC23" s="1337">
        <f t="shared" si="32"/>
        <v>0</v>
      </c>
      <c r="CD23" s="518"/>
      <c r="CE23" s="518"/>
      <c r="CF23" s="518"/>
      <c r="CG23" s="518">
        <f>IF(YEAR('3 pr-2'!$AJ23)=2017,$CD23,0)</f>
        <v>0</v>
      </c>
      <c r="CH23" s="518">
        <f>IF(YEAR('3 pr-2'!$AJ23)=2018,$CD23,0)</f>
        <v>0</v>
      </c>
      <c r="CI23" s="518">
        <f>IF(YEAR('3 pr-2'!$AJ23)=2019,$CD23,0)</f>
        <v>0</v>
      </c>
      <c r="CJ23" s="518">
        <f>IF(YEAR('3 pr-2'!$AJ23)=2020,$CD23,0)</f>
        <v>0</v>
      </c>
      <c r="CK23" s="518">
        <f>IF(YEAR('3 pr-2'!$AJ23)=2021,$CD23,0)</f>
        <v>0</v>
      </c>
      <c r="CL23" s="518">
        <f>IF(YEAR('3 pr-2'!$AJ23)=2022,$CD23,0)</f>
        <v>0</v>
      </c>
      <c r="CM23" s="518">
        <f>IF(YEAR('3 pr-2'!$AJ23)=2023,$CD23,0)</f>
        <v>0</v>
      </c>
      <c r="CN23" s="523"/>
      <c r="CO23" s="882"/>
      <c r="CP23" s="524"/>
      <c r="CQ23" s="518"/>
      <c r="CR23" s="518"/>
      <c r="CS23" s="518"/>
      <c r="CT23" s="518"/>
      <c r="CU23" s="518"/>
      <c r="CV23" s="518"/>
      <c r="CW23" s="1337">
        <f t="shared" si="33"/>
        <v>0</v>
      </c>
      <c r="CX23" s="524"/>
      <c r="CY23" s="504"/>
      <c r="CZ23" s="504"/>
      <c r="DA23" s="1332">
        <f>IF(YEAR('3 pr-2'!AJ23)=2017,CX23,0)</f>
        <v>0</v>
      </c>
      <c r="DB23" s="1332">
        <f>IF(YEAR('3 pr-2'!AJ23)=2018,CX23,0)</f>
        <v>0</v>
      </c>
      <c r="DC23" s="1332">
        <f>IF(YEAR('3 pr-2'!AJ23)=2019,CX23,0)</f>
        <v>0</v>
      </c>
      <c r="DD23" s="1332">
        <f>IF(YEAR('3 pr-2'!AJ23)=2020,CX23,0)</f>
        <v>0</v>
      </c>
      <c r="DE23" s="1332">
        <f>IF(YEAR('3 pr-2'!AJ23)=2021,CX23,0)</f>
        <v>0</v>
      </c>
      <c r="DF23" s="1332">
        <f>IF(YEAR('3 pr-2'!AJ23)=2022,CX23,0)</f>
        <v>0</v>
      </c>
      <c r="DG23" s="1332">
        <f>IF(YEAR('3 pr-2'!AJ23=2023),CX23,0)</f>
        <v>0</v>
      </c>
    </row>
    <row r="24" spans="1:111" ht="75" thickTop="1" thickBot="1" x14ac:dyDescent="0.3">
      <c r="A24" s="518" t="str">
        <f>CONCATENATE('3 pr-2'!A24)</f>
        <v>1.1.1.1.15</v>
      </c>
      <c r="B24" s="518" t="str">
        <f>CONCATENATE('3 pr-2'!B24)</f>
        <v>R01-ZM72-123200-1115</v>
      </c>
      <c r="C24" s="1449" t="str">
        <f>CONCATENATE('ketv. 2lent'!B23)</f>
        <v>20KI-KA-17-1-02469-PR001</v>
      </c>
      <c r="D24" s="189" t="str">
        <f>CONCATENATE('3 pr-2'!D24)</f>
        <v>Alytaus rajono Vaisodžių kaimo sporto aikštės įrengimas ir gatvių apšvietimo atnaujinimas bei plėtra</v>
      </c>
      <c r="E24" s="480" t="str">
        <f>CONCATENATE('3 pr-2'!E24)</f>
        <v>Alytaus rajono savivaldybės administracija</v>
      </c>
      <c r="F24" s="480" t="str">
        <f>CONCATENATE('3 pr-2'!F24)</f>
        <v>Lietuvos Respublikos žemės ūkio ministerija</v>
      </c>
      <c r="G24" s="480" t="str">
        <f>CONCATENATE('3 pr-2'!G24)</f>
        <v>Alytaus rajono savivaldybė</v>
      </c>
      <c r="H24" s="480" t="str">
        <f>CONCATENATE('3 pr-2'!H24)</f>
        <v xml:space="preserve">Pagrindinės paslaugos ir kaimų atnaujinimas kaimo vietovėse </v>
      </c>
      <c r="I24" s="518" t="str">
        <f>CONCATENATE('3 pr-2'!I24)</f>
        <v>R</v>
      </c>
      <c r="J24" s="518" t="str">
        <f>CONCATENATE('3 pr-2'!J24)</f>
        <v>-</v>
      </c>
      <c r="K24" s="518" t="str">
        <f>CONCATENATE('3 pr-2'!K24)</f>
        <v>-</v>
      </c>
      <c r="L24" s="518" t="s">
        <v>477</v>
      </c>
      <c r="M24" s="881" t="s">
        <v>478</v>
      </c>
      <c r="N24" s="518"/>
      <c r="O24" s="518"/>
      <c r="P24" s="518"/>
      <c r="Q24" s="518"/>
      <c r="R24" s="518"/>
      <c r="S24" s="518"/>
      <c r="T24" s="518"/>
      <c r="U24" s="1335"/>
      <c r="V24" s="518">
        <v>2</v>
      </c>
      <c r="W24" s="1336">
        <f>IF('ketv. 6 lent'!K23&gt;0,"taip",0)</f>
        <v>0</v>
      </c>
      <c r="X24" s="518"/>
      <c r="Y24" s="518">
        <f>IF(YEAR('3 pr-2'!$AJ24)=2017,$V24,0)</f>
        <v>0</v>
      </c>
      <c r="Z24" s="518">
        <f>IF(YEAR('3 pr-2'!$AJ24)=2018,$V24,0)</f>
        <v>2</v>
      </c>
      <c r="AA24" s="518">
        <f>IF(YEAR('3 pr-2'!$AJ24)=2019,$V24,0)</f>
        <v>0</v>
      </c>
      <c r="AB24" s="518">
        <f>IF(YEAR('3 pr-2'!$AJ24)=2020,$V24,0)</f>
        <v>0</v>
      </c>
      <c r="AC24" s="518">
        <f>IF(YEAR('3 pr-2'!$AJ24)=2021,$V24,0)</f>
        <v>0</v>
      </c>
      <c r="AD24" s="518">
        <f>IF(YEAR('3 pr-2'!$AJ24)=2022,$V24,0)</f>
        <v>0</v>
      </c>
      <c r="AE24" s="518">
        <f>IF(YEAR('3 pr-2'!$AJ24)=2023,$V24,0)</f>
        <v>0</v>
      </c>
      <c r="AF24" s="523" t="s">
        <v>479</v>
      </c>
      <c r="AG24" s="881" t="s">
        <v>480</v>
      </c>
      <c r="AH24" s="518"/>
      <c r="AI24" s="518"/>
      <c r="AJ24" s="518"/>
      <c r="AK24" s="518"/>
      <c r="AL24" s="518"/>
      <c r="AM24" s="518"/>
      <c r="AN24" s="518"/>
      <c r="AO24" s="1337">
        <f t="shared" si="30"/>
        <v>0</v>
      </c>
      <c r="AP24" s="518">
        <v>309</v>
      </c>
      <c r="AQ24" s="1338"/>
      <c r="AR24" s="518"/>
      <c r="AS24" s="518">
        <f>IF(YEAR('3 pr-2'!$AJ24)=2017,$AP24,0)</f>
        <v>0</v>
      </c>
      <c r="AT24" s="518">
        <f>IF(YEAR('3 pr-2'!$AJ24)=2018,$AP24,0)</f>
        <v>309</v>
      </c>
      <c r="AU24" s="518">
        <f>IF(YEAR('3 pr-2'!$AJ24)=2019,$AP24,0)</f>
        <v>0</v>
      </c>
      <c r="AV24" s="518">
        <f>IF(YEAR('3 pr-2'!$AJ24)=2020,$AP24,0)</f>
        <v>0</v>
      </c>
      <c r="AW24" s="518">
        <f>IF(YEAR('3 pr-2'!$AJ24)=2021,$AP24,0)</f>
        <v>0</v>
      </c>
      <c r="AX24" s="518">
        <f>IF(YEAR('3 pr-2'!$AJ24)=2022,$AP24,0)</f>
        <v>0</v>
      </c>
      <c r="AY24" s="518">
        <f>IF(YEAR('3 pr-2'!$AJ24)=2023,$AP24,0)</f>
        <v>0</v>
      </c>
      <c r="AZ24" s="518" t="s">
        <v>481</v>
      </c>
      <c r="BA24" s="880" t="s">
        <v>482</v>
      </c>
      <c r="BB24" s="518"/>
      <c r="BC24" s="518"/>
      <c r="BD24" s="518"/>
      <c r="BE24" s="518"/>
      <c r="BF24" s="518"/>
      <c r="BG24" s="518"/>
      <c r="BH24" s="518"/>
      <c r="BI24" s="1337">
        <f t="shared" si="31"/>
        <v>0</v>
      </c>
      <c r="BJ24" s="518">
        <v>1</v>
      </c>
      <c r="BK24" s="1338"/>
      <c r="BL24" s="518"/>
      <c r="BM24" s="518">
        <f>IF(YEAR('3 pr-2'!AJ24)=2017,BJ24,0)</f>
        <v>0</v>
      </c>
      <c r="BN24" s="518">
        <f>IF(YEAR('3 pr-2'!AJ24)=2018,BJ24,0)</f>
        <v>1</v>
      </c>
      <c r="BO24" s="518">
        <f>IF(YEAR('3 pr-2'!AJ24)=2019,BJ24,0)</f>
        <v>0</v>
      </c>
      <c r="BP24" s="518">
        <f>IF(YEAR('3 pr-2'!AJ24)=2020,BJ24,0)</f>
        <v>0</v>
      </c>
      <c r="BQ24" s="518">
        <f>IF(YEAR('3 pr-2'!AJ24)=2021,BJ24,0)</f>
        <v>0</v>
      </c>
      <c r="BR24" s="518">
        <f>IF(YEAR('3 pr-2'!AJ24)=2022,BJ24,0)</f>
        <v>0</v>
      </c>
      <c r="BS24" s="518">
        <f>IF(YEAR('3 pr-2'!AJ24)=2023,BJ24,0)</f>
        <v>0</v>
      </c>
      <c r="BT24" s="523"/>
      <c r="BU24" s="881"/>
      <c r="BV24" s="518"/>
      <c r="BW24" s="518"/>
      <c r="BX24" s="518"/>
      <c r="BY24" s="518"/>
      <c r="BZ24" s="518"/>
      <c r="CA24" s="518"/>
      <c r="CB24" s="518"/>
      <c r="CC24" s="1337">
        <f t="shared" si="32"/>
        <v>0</v>
      </c>
      <c r="CD24" s="518"/>
      <c r="CE24" s="518"/>
      <c r="CF24" s="518"/>
      <c r="CG24" s="518">
        <f>IF(YEAR('3 pr-2'!$AJ24)=2017,$CD24,0)</f>
        <v>0</v>
      </c>
      <c r="CH24" s="518">
        <f>IF(YEAR('3 pr-2'!$AJ24)=2018,$CD24,0)</f>
        <v>0</v>
      </c>
      <c r="CI24" s="518">
        <f>IF(YEAR('3 pr-2'!$AJ24)=2019,$CD24,0)</f>
        <v>0</v>
      </c>
      <c r="CJ24" s="518">
        <f>IF(YEAR('3 pr-2'!$AJ24)=2020,$CD24,0)</f>
        <v>0</v>
      </c>
      <c r="CK24" s="518">
        <f>IF(YEAR('3 pr-2'!$AJ24)=2021,$CD24,0)</f>
        <v>0</v>
      </c>
      <c r="CL24" s="518">
        <f>IF(YEAR('3 pr-2'!$AJ24)=2022,$CD24,0)</f>
        <v>0</v>
      </c>
      <c r="CM24" s="518">
        <f>IF(YEAR('3 pr-2'!$AJ24)=2023,$CD24,0)</f>
        <v>0</v>
      </c>
      <c r="CN24" s="523"/>
      <c r="CO24" s="882"/>
      <c r="CP24" s="524"/>
      <c r="CQ24" s="518"/>
      <c r="CR24" s="518"/>
      <c r="CS24" s="518"/>
      <c r="CT24" s="518"/>
      <c r="CU24" s="518"/>
      <c r="CV24" s="518"/>
      <c r="CW24" s="1337">
        <f t="shared" si="33"/>
        <v>0</v>
      </c>
      <c r="CX24" s="524"/>
      <c r="CY24" s="504"/>
      <c r="CZ24" s="504"/>
      <c r="DA24" s="1332">
        <f>IF(YEAR('3 pr-2'!AJ24)=2017,CX24,0)</f>
        <v>0</v>
      </c>
      <c r="DB24" s="1332">
        <f>IF(YEAR('3 pr-2'!AJ24)=2018,CX24,0)</f>
        <v>0</v>
      </c>
      <c r="DC24" s="1332">
        <f>IF(YEAR('3 pr-2'!AJ24)=2019,CX24,0)</f>
        <v>0</v>
      </c>
      <c r="DD24" s="1332">
        <f>IF(YEAR('3 pr-2'!AJ24)=2020,CX24,0)</f>
        <v>0</v>
      </c>
      <c r="DE24" s="1332">
        <f>IF(YEAR('3 pr-2'!AJ24)=2021,CX24,0)</f>
        <v>0</v>
      </c>
      <c r="DF24" s="1332">
        <f>IF(YEAR('3 pr-2'!AJ24)=2022,CX24,0)</f>
        <v>0</v>
      </c>
      <c r="DG24" s="1332">
        <f>IF(YEAR('3 pr-2'!AJ24)=2023,CX24,0)</f>
        <v>0</v>
      </c>
    </row>
    <row r="25" spans="1:111" ht="75" thickTop="1" thickBot="1" x14ac:dyDescent="0.3">
      <c r="A25" s="518" t="str">
        <f>CONCATENATE('3 pr-2'!A25)</f>
        <v>1.1.1.1.16</v>
      </c>
      <c r="B25" s="518" t="str">
        <f>CONCATENATE('3 pr-2'!B25)</f>
        <v>R01-ZM72-123200-1116</v>
      </c>
      <c r="C25" s="1449" t="str">
        <f>CONCATENATE('ketv. 2lent'!B24)</f>
        <v>20KI-KA-17-1-02240-PR001</v>
      </c>
      <c r="D25" s="189" t="str">
        <f>CONCATENATE('3 pr-2'!D25)</f>
        <v>Alytaus rajono Talokių kaimo sporto aikštės įrengimas ir Plytinės gatvės apšvietimas</v>
      </c>
      <c r="E25" s="480" t="str">
        <f>CONCATENATE('3 pr-2'!E25)</f>
        <v>Alytaus rajono savivaldybės administracija</v>
      </c>
      <c r="F25" s="480" t="str">
        <f>CONCATENATE('3 pr-2'!F25)</f>
        <v>Lietuvos Respublikos žemės ūkio ministerija</v>
      </c>
      <c r="G25" s="480" t="str">
        <f>CONCATENATE('3 pr-2'!G25)</f>
        <v>Alytaus rajono savivaldybė</v>
      </c>
      <c r="H25" s="480" t="str">
        <f>CONCATENATE('3 pr-2'!H25)</f>
        <v xml:space="preserve">Pagrindinės paslaugos ir kaimų atnaujinimas kaimo vietovėse </v>
      </c>
      <c r="I25" s="518" t="str">
        <f>CONCATENATE('3 pr-2'!I25)</f>
        <v>R</v>
      </c>
      <c r="J25" s="518" t="str">
        <f>CONCATENATE('3 pr-2'!J25)</f>
        <v>-</v>
      </c>
      <c r="K25" s="518" t="str">
        <f>CONCATENATE('3 pr-2'!K25)</f>
        <v>-</v>
      </c>
      <c r="L25" s="518" t="s">
        <v>477</v>
      </c>
      <c r="M25" s="881" t="s">
        <v>478</v>
      </c>
      <c r="N25" s="518"/>
      <c r="O25" s="518"/>
      <c r="P25" s="518"/>
      <c r="Q25" s="518"/>
      <c r="R25" s="518"/>
      <c r="S25" s="518"/>
      <c r="T25" s="518"/>
      <c r="U25" s="1335"/>
      <c r="V25" s="518">
        <v>2</v>
      </c>
      <c r="W25" s="1336">
        <f>IF('ketv. 6 lent'!K24&gt;0,"taip",0)</f>
        <v>0</v>
      </c>
      <c r="X25" s="518"/>
      <c r="Y25" s="518">
        <f>IF(YEAR('3 pr-2'!$AJ25)=2017,$V25,0)</f>
        <v>0</v>
      </c>
      <c r="Z25" s="518">
        <f>IF(YEAR('3 pr-2'!$AJ25)=2018,$V25,0)</f>
        <v>2</v>
      </c>
      <c r="AA25" s="518">
        <f>IF(YEAR('3 pr-2'!$AJ25)=2019,$V25,0)</f>
        <v>0</v>
      </c>
      <c r="AB25" s="518">
        <f>IF(YEAR('3 pr-2'!$AJ25)=2020,$V25,0)</f>
        <v>0</v>
      </c>
      <c r="AC25" s="518">
        <f>IF(YEAR('3 pr-2'!$AJ25)=2021,$V25,0)</f>
        <v>0</v>
      </c>
      <c r="AD25" s="518">
        <f>IF(YEAR('3 pr-2'!$AJ25)=2022,$V25,0)</f>
        <v>0</v>
      </c>
      <c r="AE25" s="518">
        <f>IF(YEAR('3 pr-2'!$AJ25)=2023,$V25,0)</f>
        <v>0</v>
      </c>
      <c r="AF25" s="523" t="s">
        <v>479</v>
      </c>
      <c r="AG25" s="881" t="s">
        <v>480</v>
      </c>
      <c r="AH25" s="518"/>
      <c r="AI25" s="518"/>
      <c r="AJ25" s="518"/>
      <c r="AK25" s="518"/>
      <c r="AL25" s="518"/>
      <c r="AM25" s="518"/>
      <c r="AN25" s="518"/>
      <c r="AO25" s="1337">
        <f t="shared" si="30"/>
        <v>0</v>
      </c>
      <c r="AP25" s="518">
        <v>396</v>
      </c>
      <c r="AQ25" s="1338"/>
      <c r="AR25" s="518"/>
      <c r="AS25" s="518">
        <f>IF(YEAR('3 pr-2'!$AJ25)=2017,$AP25,0)</f>
        <v>0</v>
      </c>
      <c r="AT25" s="518">
        <f>IF(YEAR('3 pr-2'!$AJ25)=2018,$AP25,0)</f>
        <v>396</v>
      </c>
      <c r="AU25" s="518">
        <f>IF(YEAR('3 pr-2'!$AJ25)=2019,$AP25,0)</f>
        <v>0</v>
      </c>
      <c r="AV25" s="518">
        <f>IF(YEAR('3 pr-2'!$AJ25)=2020,$AP25,0)</f>
        <v>0</v>
      </c>
      <c r="AW25" s="518">
        <f>IF(YEAR('3 pr-2'!$AJ25)=2021,$AP25,0)</f>
        <v>0</v>
      </c>
      <c r="AX25" s="518">
        <f>IF(YEAR('3 pr-2'!$AJ25)=2022,$AP25,0)</f>
        <v>0</v>
      </c>
      <c r="AY25" s="518">
        <f>IF(YEAR('3 pr-2'!$AJ25)=2023,$AP25,0)</f>
        <v>0</v>
      </c>
      <c r="AZ25" s="518" t="s">
        <v>481</v>
      </c>
      <c r="BA25" s="880" t="s">
        <v>482</v>
      </c>
      <c r="BB25" s="518"/>
      <c r="BC25" s="518"/>
      <c r="BD25" s="518"/>
      <c r="BE25" s="518"/>
      <c r="BF25" s="518"/>
      <c r="BG25" s="518"/>
      <c r="BH25" s="518"/>
      <c r="BI25" s="1337">
        <f t="shared" si="31"/>
        <v>0</v>
      </c>
      <c r="BJ25" s="518">
        <v>1</v>
      </c>
      <c r="BK25" s="1338"/>
      <c r="BL25" s="518"/>
      <c r="BM25" s="518">
        <f>IF(YEAR('3 pr-2'!AJ25)=2017,BJ25,0)</f>
        <v>0</v>
      </c>
      <c r="BN25" s="518">
        <f>IF(YEAR('3 pr-2'!AJ25)=2018,BJ25,0)</f>
        <v>1</v>
      </c>
      <c r="BO25" s="518">
        <f>IF(YEAR('3 pr-2'!AJ25)=2019,BJ25,0)</f>
        <v>0</v>
      </c>
      <c r="BP25" s="518">
        <f>IF(YEAR('3 pr-2'!AJ25)=2020,BJ25,0)</f>
        <v>0</v>
      </c>
      <c r="BQ25" s="518">
        <f>IF(YEAR('3 pr-2'!AJ25)=2021,BJ25,0)</f>
        <v>0</v>
      </c>
      <c r="BR25" s="518">
        <f>IF(YEAR('3 pr-2'!AJ25)=2022,BJ25,0)</f>
        <v>0</v>
      </c>
      <c r="BS25" s="518">
        <f>IF(YEAR('3 pr-2'!AJ25)=2023,BJ25,0)</f>
        <v>0</v>
      </c>
      <c r="BT25" s="523"/>
      <c r="BU25" s="881"/>
      <c r="BV25" s="518"/>
      <c r="BW25" s="518"/>
      <c r="BX25" s="518"/>
      <c r="BY25" s="518"/>
      <c r="BZ25" s="518"/>
      <c r="CA25" s="518"/>
      <c r="CB25" s="518"/>
      <c r="CC25" s="1337">
        <f t="shared" si="32"/>
        <v>0</v>
      </c>
      <c r="CD25" s="518"/>
      <c r="CE25" s="518"/>
      <c r="CF25" s="518"/>
      <c r="CG25" s="518">
        <f>IF(YEAR('3 pr-2'!$AJ25)=2017,$CD25,0)</f>
        <v>0</v>
      </c>
      <c r="CH25" s="518">
        <f>IF(YEAR('3 pr-2'!$AJ25)=2018,$CD25,0)</f>
        <v>0</v>
      </c>
      <c r="CI25" s="518">
        <f>IF(YEAR('3 pr-2'!$AJ25)=2019,$CD25,0)</f>
        <v>0</v>
      </c>
      <c r="CJ25" s="518">
        <f>IF(YEAR('3 pr-2'!$AJ25)=2020,$CD25,0)</f>
        <v>0</v>
      </c>
      <c r="CK25" s="518">
        <f>IF(YEAR('3 pr-2'!$AJ25)=2021,$CD25,0)</f>
        <v>0</v>
      </c>
      <c r="CL25" s="518">
        <f>IF(YEAR('3 pr-2'!$AJ25)=2022,$CD25,0)</f>
        <v>0</v>
      </c>
      <c r="CM25" s="518">
        <f>IF(YEAR('3 pr-2'!$AJ25)=2023,$CD25,0)</f>
        <v>0</v>
      </c>
      <c r="CN25" s="523"/>
      <c r="CO25" s="882"/>
      <c r="CP25" s="524"/>
      <c r="CQ25" s="518"/>
      <c r="CR25" s="518"/>
      <c r="CS25" s="518"/>
      <c r="CT25" s="518"/>
      <c r="CU25" s="518"/>
      <c r="CV25" s="518"/>
      <c r="CW25" s="1337">
        <f t="shared" si="33"/>
        <v>0</v>
      </c>
      <c r="CX25" s="524"/>
      <c r="CY25" s="504"/>
      <c r="CZ25" s="504"/>
      <c r="DA25" s="1332">
        <f>IF(YEAR('3 pr-2'!AJ25)=2017,CX25,0)</f>
        <v>0</v>
      </c>
      <c r="DB25" s="1332">
        <f>IF(YEAR('3 pr-2'!AJ25)=2018,CX25,0)</f>
        <v>0</v>
      </c>
      <c r="DC25" s="1332">
        <f>IF(YEAR('3 pr-2'!AJ25)=2019,CX25,0)</f>
        <v>0</v>
      </c>
      <c r="DD25" s="1332">
        <f>IF(YEAR('3 pr-2'!AJ25)=2020,CX25,0)</f>
        <v>0</v>
      </c>
      <c r="DE25" s="1332">
        <f>IF(YEAR('3 pr-2'!AJ25)=2021,CX25,0)</f>
        <v>0</v>
      </c>
      <c r="DF25" s="1332">
        <f>IF(YEAR('3 pr-2'!AJ25)=2022,CX25,0)</f>
        <v>0</v>
      </c>
      <c r="DG25" s="1332">
        <f>IF(YEAR('3 pr-2'!AJ25)=2023,CX25,0)</f>
        <v>0</v>
      </c>
    </row>
    <row r="26" spans="1:111" ht="75" thickTop="1" thickBot="1" x14ac:dyDescent="0.3">
      <c r="A26" s="518" t="str">
        <f>CONCATENATE('3 pr-2'!A26)</f>
        <v>1.1.1.1.17</v>
      </c>
      <c r="B26" s="518" t="str">
        <f>CONCATENATE('3 pr-2'!B26)</f>
        <v>R01-ZM72-120000-1117</v>
      </c>
      <c r="C26" s="1449" t="str">
        <f>CONCATENATE('ketv. 2lent'!B25)</f>
        <v>20KI-KA-17-1-01639-PR001</v>
      </c>
      <c r="D26" s="189" t="str">
        <f>CONCATENATE('3 pr-2'!D26)</f>
        <v>Varėnos r. Rudnios kaimo Pušyno gatvės įrengimas</v>
      </c>
      <c r="E26" s="480" t="str">
        <f>CONCATENATE('3 pr-2'!E26)</f>
        <v xml:space="preserve">Varėnos rajono savivaldybės administracija </v>
      </c>
      <c r="F26" s="480" t="str">
        <f>CONCATENATE('3 pr-2'!F26)</f>
        <v>Lietuvos Respublikos žemės ūkio ministerija</v>
      </c>
      <c r="G26" s="480" t="str">
        <f>CONCATENATE('3 pr-2'!G26)</f>
        <v>Varėnos rajono savivaldybė</v>
      </c>
      <c r="H26" s="480" t="str">
        <f>CONCATENATE('3 pr-2'!H26)</f>
        <v xml:space="preserve">Pagrindinės paslaugos ir kaimų atnaujinimas kaimo vietovėse </v>
      </c>
      <c r="I26" s="518" t="str">
        <f>CONCATENATE('3 pr-2'!I26)</f>
        <v>R</v>
      </c>
      <c r="J26" s="518" t="str">
        <f>CONCATENATE('3 pr-2'!J26)</f>
        <v>-</v>
      </c>
      <c r="K26" s="518" t="str">
        <f>CONCATENATE('3 pr-2'!K26)</f>
        <v>-</v>
      </c>
      <c r="L26" s="518" t="s">
        <v>477</v>
      </c>
      <c r="M26" s="881" t="s">
        <v>478</v>
      </c>
      <c r="N26" s="518"/>
      <c r="O26" s="518"/>
      <c r="P26" s="518"/>
      <c r="Q26" s="518"/>
      <c r="R26" s="518"/>
      <c r="S26" s="518"/>
      <c r="T26" s="518"/>
      <c r="U26" s="1335"/>
      <c r="V26" s="518">
        <v>1</v>
      </c>
      <c r="W26" s="1336" t="str">
        <f>IF('ketv. 6 lent'!K25&gt;0,"taip",0)</f>
        <v>taip</v>
      </c>
      <c r="X26" s="518"/>
      <c r="Y26" s="518">
        <f>IF(YEAR('3 pr-2'!$AJ26)=2017,$V26,0)</f>
        <v>0</v>
      </c>
      <c r="Z26" s="518">
        <f>IF(YEAR('3 pr-2'!$AJ26)=2018,$V26,0)</f>
        <v>0</v>
      </c>
      <c r="AA26" s="518">
        <f>IF(YEAR('3 pr-2'!$AJ26)=2019,$V26,0)</f>
        <v>1</v>
      </c>
      <c r="AB26" s="518">
        <f>IF(YEAR('3 pr-2'!$AJ26)=2020,$V26,0)</f>
        <v>0</v>
      </c>
      <c r="AC26" s="518">
        <f>IF(YEAR('3 pr-2'!$AJ26)=2021,$V26,0)</f>
        <v>0</v>
      </c>
      <c r="AD26" s="518">
        <f>IF(YEAR('3 pr-2'!$AJ26)=2022,$V26,0)</f>
        <v>0</v>
      </c>
      <c r="AE26" s="518">
        <f>IF(YEAR('3 pr-2'!$AJ26)=2023,$V26,0)</f>
        <v>0</v>
      </c>
      <c r="AF26" s="523" t="s">
        <v>479</v>
      </c>
      <c r="AG26" s="881" t="s">
        <v>480</v>
      </c>
      <c r="AH26" s="518"/>
      <c r="AI26" s="518"/>
      <c r="AJ26" s="518"/>
      <c r="AK26" s="518"/>
      <c r="AL26" s="518"/>
      <c r="AM26" s="518"/>
      <c r="AN26" s="518"/>
      <c r="AO26" s="1337">
        <f t="shared" si="30"/>
        <v>0</v>
      </c>
      <c r="AP26" s="518">
        <v>74</v>
      </c>
      <c r="AQ26" s="1338"/>
      <c r="AR26" s="518"/>
      <c r="AS26" s="518">
        <f>IF(YEAR('3 pr-2'!$AJ26)=2017,$AP26,0)</f>
        <v>0</v>
      </c>
      <c r="AT26" s="518">
        <f>IF(YEAR('3 pr-2'!$AJ26)=2018,$AP26,0)</f>
        <v>0</v>
      </c>
      <c r="AU26" s="518">
        <f>IF(YEAR('3 pr-2'!$AJ26)=2019,$AP26,0)</f>
        <v>74</v>
      </c>
      <c r="AV26" s="518">
        <f>IF(YEAR('3 pr-2'!$AJ26)=2020,$AP26,0)</f>
        <v>0</v>
      </c>
      <c r="AW26" s="518">
        <f>IF(YEAR('3 pr-2'!$AJ26)=2021,$AP26,0)</f>
        <v>0</v>
      </c>
      <c r="AX26" s="518">
        <f>IF(YEAR('3 pr-2'!$AJ26)=2022,$AP26,0)</f>
        <v>0</v>
      </c>
      <c r="AY26" s="518">
        <f>IF(YEAR('3 pr-2'!$AJ26)=2023,$AP26,0)</f>
        <v>0</v>
      </c>
      <c r="AZ26" s="518" t="s">
        <v>481</v>
      </c>
      <c r="BA26" s="880" t="s">
        <v>482</v>
      </c>
      <c r="BB26" s="518"/>
      <c r="BC26" s="518"/>
      <c r="BD26" s="518"/>
      <c r="BE26" s="518"/>
      <c r="BF26" s="518"/>
      <c r="BG26" s="518"/>
      <c r="BH26" s="518"/>
      <c r="BI26" s="1337">
        <f t="shared" si="31"/>
        <v>0</v>
      </c>
      <c r="BJ26" s="518">
        <v>1</v>
      </c>
      <c r="BK26" s="1338"/>
      <c r="BL26" s="518"/>
      <c r="BM26" s="518">
        <f>IF(YEAR('3 pr-2'!AJ26)=2017,BJ26,0)</f>
        <v>0</v>
      </c>
      <c r="BN26" s="518">
        <f>IF(YEAR('3 pr-2'!AJ26)=2018,BJ26,0)</f>
        <v>0</v>
      </c>
      <c r="BO26" s="518">
        <f>IF(YEAR('3 pr-2'!AJ26)=2019,BJ26,0)</f>
        <v>1</v>
      </c>
      <c r="BP26" s="518">
        <f>IF(YEAR('3 pr-2'!AJ26)=2020,BJ26,0)</f>
        <v>0</v>
      </c>
      <c r="BQ26" s="518">
        <f>IF(YEAR('3 pr-2'!AJ26)=2021,BJ26,0)</f>
        <v>0</v>
      </c>
      <c r="BR26" s="518">
        <f>IF(YEAR('3 pr-2'!AJ26)=2022,BJ26,0)</f>
        <v>0</v>
      </c>
      <c r="BS26" s="518">
        <f>IF(YEAR('3 pr-2'!AJ26)=2023,BJ26,0)</f>
        <v>0</v>
      </c>
      <c r="BT26" s="523"/>
      <c r="BU26" s="881"/>
      <c r="BV26" s="518"/>
      <c r="BW26" s="518"/>
      <c r="BX26" s="518"/>
      <c r="BY26" s="518"/>
      <c r="BZ26" s="518"/>
      <c r="CA26" s="518"/>
      <c r="CB26" s="518"/>
      <c r="CC26" s="1337">
        <f t="shared" si="32"/>
        <v>0</v>
      </c>
      <c r="CD26" s="518"/>
      <c r="CE26" s="518"/>
      <c r="CF26" s="518"/>
      <c r="CG26" s="518">
        <f>IF(YEAR('3 pr-2'!$AJ26)=2017,$CD26,0)</f>
        <v>0</v>
      </c>
      <c r="CH26" s="518">
        <f>IF(YEAR('3 pr-2'!$AJ26)=2018,$CD26,0)</f>
        <v>0</v>
      </c>
      <c r="CI26" s="518">
        <f>IF(YEAR('3 pr-2'!$AJ26)=2019,$CD26,0)</f>
        <v>0</v>
      </c>
      <c r="CJ26" s="518">
        <f>IF(YEAR('3 pr-2'!$AJ26)=2020,$CD26,0)</f>
        <v>0</v>
      </c>
      <c r="CK26" s="518">
        <f>IF(YEAR('3 pr-2'!$AJ26)=2021,$CD26,0)</f>
        <v>0</v>
      </c>
      <c r="CL26" s="518">
        <f>IF(YEAR('3 pr-2'!$AJ26)=2022,$CD26,0)</f>
        <v>0</v>
      </c>
      <c r="CM26" s="518">
        <f>IF(YEAR('3 pr-2'!$AJ26)=2023,$CD26,0)</f>
        <v>0</v>
      </c>
      <c r="CN26" s="523"/>
      <c r="CO26" s="882"/>
      <c r="CP26" s="524"/>
      <c r="CQ26" s="518"/>
      <c r="CR26" s="518"/>
      <c r="CS26" s="518"/>
      <c r="CT26" s="518"/>
      <c r="CU26" s="518"/>
      <c r="CV26" s="518"/>
      <c r="CW26" s="1337">
        <f t="shared" si="33"/>
        <v>0</v>
      </c>
      <c r="CX26" s="524"/>
      <c r="CY26" s="504"/>
      <c r="CZ26" s="504"/>
      <c r="DA26" s="1332">
        <f>IF(YEAR('3 pr-2'!AJ26)=2017,CX26,0)</f>
        <v>0</v>
      </c>
      <c r="DB26" s="1332">
        <f>IF(YEAR('3 pr-2'!AJ26)=2018,CX26,0)</f>
        <v>0</v>
      </c>
      <c r="DC26" s="1332">
        <f>IF(YEAR('3 pr-2'!AJ26)=2019,CX26,0)</f>
        <v>0</v>
      </c>
      <c r="DD26" s="1332">
        <f>IF(YEAR('3 pr-2'!AJ26)=2020,CX26,0)</f>
        <v>0</v>
      </c>
      <c r="DE26" s="1332">
        <f>IF(YEAR('3 pr-2'!AJ26)=2021,CX26,0)</f>
        <v>0</v>
      </c>
      <c r="DF26" s="1332">
        <f>IF(YEAR('3 pr-2'!AJ26)=2022,CX26,0)</f>
        <v>0</v>
      </c>
      <c r="DG26" s="1332">
        <f>IF(YEAR('3 pr-2'!AJ26)=2023,CX26,0)</f>
        <v>0</v>
      </c>
    </row>
    <row r="27" spans="1:111" ht="75" thickTop="1" thickBot="1" x14ac:dyDescent="0.3">
      <c r="A27" s="518" t="str">
        <f>CONCATENATE('3 pr-2'!A27)</f>
        <v>1.1.1.1.18</v>
      </c>
      <c r="B27" s="518" t="str">
        <f>CONCATENATE('3 pr-2'!B27)</f>
        <v>R01-ZM72-340000-1118</v>
      </c>
      <c r="C27" s="1449" t="str">
        <f>CONCATENATE('ketv. 2lent'!B26)</f>
        <v>20KI-KA-17-1-01666-PR001</v>
      </c>
      <c r="D27" s="189" t="str">
        <f>CONCATENATE('3 pr-2'!D27)</f>
        <v>Varėnos kultūros centro Žilinų filialo pastato atnaujinimas ir pritaikymas bendruomenės poreikiams</v>
      </c>
      <c r="E27" s="480" t="str">
        <f>CONCATENATE('3 pr-2'!E27)</f>
        <v xml:space="preserve">Varėnos rajono savivaldybės administracija </v>
      </c>
      <c r="F27" s="480" t="str">
        <f>CONCATENATE('3 pr-2'!F27)</f>
        <v>Lietuvos Respublikos žemės ūkio ministerija</v>
      </c>
      <c r="G27" s="480" t="str">
        <f>CONCATENATE('3 pr-2'!G27)</f>
        <v>Varėnos rajono savivaldybė</v>
      </c>
      <c r="H27" s="480" t="str">
        <f>CONCATENATE('3 pr-2'!H27)</f>
        <v xml:space="preserve">Pagrindinės paslaugos ir kaimų atnaujinimas kaimo vietovėse </v>
      </c>
      <c r="I27" s="518" t="str">
        <f>CONCATENATE('3 pr-2'!I27)</f>
        <v>R</v>
      </c>
      <c r="J27" s="518" t="str">
        <f>CONCATENATE('3 pr-2'!J27)</f>
        <v>-</v>
      </c>
      <c r="K27" s="518" t="str">
        <f>CONCATENATE('3 pr-2'!K27)</f>
        <v>-</v>
      </c>
      <c r="L27" s="518" t="s">
        <v>477</v>
      </c>
      <c r="M27" s="881" t="s">
        <v>478</v>
      </c>
      <c r="N27" s="518"/>
      <c r="O27" s="518"/>
      <c r="P27" s="518"/>
      <c r="Q27" s="518"/>
      <c r="R27" s="518"/>
      <c r="S27" s="518"/>
      <c r="T27" s="518"/>
      <c r="U27" s="1335"/>
      <c r="V27" s="518">
        <v>1</v>
      </c>
      <c r="W27" s="1336">
        <f>IF('ketv. 6 lent'!K26&gt;0,"taip",0)</f>
        <v>0</v>
      </c>
      <c r="X27" s="518"/>
      <c r="Y27" s="518">
        <f>IF(YEAR('3 pr-2'!$AJ27)=2017,$V27,0)</f>
        <v>0</v>
      </c>
      <c r="Z27" s="518">
        <f>IF(YEAR('3 pr-2'!$AJ27)=2018,$V27,0)</f>
        <v>0</v>
      </c>
      <c r="AA27" s="518">
        <f>IF(YEAR('3 pr-2'!$AJ27)=2019,$V27,0)</f>
        <v>1</v>
      </c>
      <c r="AB27" s="518">
        <f>IF(YEAR('3 pr-2'!$AJ27)=2020,$V27,0)</f>
        <v>0</v>
      </c>
      <c r="AC27" s="518">
        <f>IF(YEAR('3 pr-2'!$AJ27)=2021,$V27,0)</f>
        <v>0</v>
      </c>
      <c r="AD27" s="518">
        <f>IF(YEAR('3 pr-2'!$AJ27)=2022,$V27,0)</f>
        <v>0</v>
      </c>
      <c r="AE27" s="518">
        <f>IF(YEAR('3 pr-2'!$AJ27)=2023,$V27,0)</f>
        <v>0</v>
      </c>
      <c r="AF27" s="523" t="s">
        <v>479</v>
      </c>
      <c r="AG27" s="881" t="s">
        <v>480</v>
      </c>
      <c r="AH27" s="518"/>
      <c r="AI27" s="518"/>
      <c r="AJ27" s="518"/>
      <c r="AK27" s="518"/>
      <c r="AL27" s="518"/>
      <c r="AM27" s="518"/>
      <c r="AN27" s="518"/>
      <c r="AO27" s="1337">
        <f t="shared" si="30"/>
        <v>0</v>
      </c>
      <c r="AP27" s="518">
        <v>392</v>
      </c>
      <c r="AQ27" s="1338"/>
      <c r="AR27" s="518"/>
      <c r="AS27" s="518">
        <f>IF(YEAR('3 pr-2'!$AJ27)=2017,$AP27,0)</f>
        <v>0</v>
      </c>
      <c r="AT27" s="518">
        <f>IF(YEAR('3 pr-2'!$AJ27)=2018,$AP27,0)</f>
        <v>0</v>
      </c>
      <c r="AU27" s="518">
        <f>IF(YEAR('3 pr-2'!$AJ27)=2019,$AP27,0)</f>
        <v>392</v>
      </c>
      <c r="AV27" s="518">
        <f>IF(YEAR('3 pr-2'!$AJ27)=2020,$AP27,0)</f>
        <v>0</v>
      </c>
      <c r="AW27" s="518">
        <f>IF(YEAR('3 pr-2'!$AJ27)=2021,$AP27,0)</f>
        <v>0</v>
      </c>
      <c r="AX27" s="518">
        <f>IF(YEAR('3 pr-2'!$AJ27)=2022,$AP27,0)</f>
        <v>0</v>
      </c>
      <c r="AY27" s="518">
        <f>IF(YEAR('3 pr-2'!$AJ27)=2023,$AP27,0)</f>
        <v>0</v>
      </c>
      <c r="AZ27" s="518" t="s">
        <v>481</v>
      </c>
      <c r="BA27" s="880" t="s">
        <v>482</v>
      </c>
      <c r="BB27" s="518"/>
      <c r="BC27" s="518"/>
      <c r="BD27" s="518"/>
      <c r="BE27" s="518"/>
      <c r="BF27" s="518"/>
      <c r="BG27" s="518"/>
      <c r="BH27" s="518"/>
      <c r="BI27" s="1337">
        <f t="shared" si="31"/>
        <v>0</v>
      </c>
      <c r="BJ27" s="518">
        <v>1</v>
      </c>
      <c r="BK27" s="1338"/>
      <c r="BL27" s="518"/>
      <c r="BM27" s="518">
        <f>IF(YEAR('3 pr-2'!AJ27)=2017,BJ27,0)</f>
        <v>0</v>
      </c>
      <c r="BN27" s="518">
        <f>IF(YEAR('3 pr-2'!AJ27)=2018,BJ27,0)</f>
        <v>0</v>
      </c>
      <c r="BO27" s="518">
        <f>IF(YEAR('3 pr-2'!AJ27)=2019,BJ27,0)</f>
        <v>1</v>
      </c>
      <c r="BP27" s="518">
        <f>IF(YEAR('3 pr-2'!AJ27)=2020,BJ27,0)</f>
        <v>0</v>
      </c>
      <c r="BQ27" s="518">
        <f>IF(YEAR('3 pr-2'!AJ27)=2021,BJ27,0)</f>
        <v>0</v>
      </c>
      <c r="BR27" s="518">
        <f>IF(YEAR('3 pr-2'!AJ27)=2022,BJ27,0)</f>
        <v>0</v>
      </c>
      <c r="BS27" s="518">
        <f>IF(YEAR('3 pr-2'!AJ27)=2023,BJ27,0)</f>
        <v>0</v>
      </c>
      <c r="BT27" s="523"/>
      <c r="BU27" s="881"/>
      <c r="BV27" s="518"/>
      <c r="BW27" s="518"/>
      <c r="BX27" s="518"/>
      <c r="BY27" s="518"/>
      <c r="BZ27" s="518"/>
      <c r="CA27" s="518"/>
      <c r="CB27" s="518"/>
      <c r="CC27" s="1337">
        <f t="shared" si="32"/>
        <v>0</v>
      </c>
      <c r="CD27" s="518"/>
      <c r="CE27" s="518"/>
      <c r="CF27" s="518"/>
      <c r="CG27" s="518">
        <f>IF(YEAR('3 pr-2'!$AJ27)=2017,$CD27,0)</f>
        <v>0</v>
      </c>
      <c r="CH27" s="518">
        <f>IF(YEAR('3 pr-2'!$AJ27)=2018,$CD27,0)</f>
        <v>0</v>
      </c>
      <c r="CI27" s="518">
        <f>IF(YEAR('3 pr-2'!$AJ27)=2019,$CD27,0)</f>
        <v>0</v>
      </c>
      <c r="CJ27" s="518">
        <f>IF(YEAR('3 pr-2'!$AJ27)=2020,$CD27,0)</f>
        <v>0</v>
      </c>
      <c r="CK27" s="518">
        <f>IF(YEAR('3 pr-2'!$AJ27)=2021,$CD27,0)</f>
        <v>0</v>
      </c>
      <c r="CL27" s="518">
        <f>IF(YEAR('3 pr-2'!$AJ27)=2022,$CD27,0)</f>
        <v>0</v>
      </c>
      <c r="CM27" s="518">
        <f>IF(YEAR('3 pr-2'!$AJ27)=2023,$CD27,0)</f>
        <v>0</v>
      </c>
      <c r="CN27" s="523"/>
      <c r="CO27" s="882"/>
      <c r="CP27" s="524"/>
      <c r="CQ27" s="518"/>
      <c r="CR27" s="518"/>
      <c r="CS27" s="518"/>
      <c r="CT27" s="518"/>
      <c r="CU27" s="518"/>
      <c r="CV27" s="518"/>
      <c r="CW27" s="1337">
        <f t="shared" si="33"/>
        <v>0</v>
      </c>
      <c r="CX27" s="524"/>
      <c r="CY27" s="504"/>
      <c r="CZ27" s="504"/>
      <c r="DA27" s="1332">
        <f>IF(YEAR('3 pr-2'!AJ27)=2017,CX27,0)</f>
        <v>0</v>
      </c>
      <c r="DB27" s="1332">
        <f>IF(YEAR('3 pr-2'!AJ27)=2018,CX27,0)</f>
        <v>0</v>
      </c>
      <c r="DC27" s="1332">
        <f>IF(YEAR('3 pr-2'!AJ27)=2019,CX27,0)</f>
        <v>0</v>
      </c>
      <c r="DD27" s="1332">
        <f>IF(YEAR('3 pr-2'!AJ27)=2020,CX27,0)</f>
        <v>0</v>
      </c>
      <c r="DE27" s="1332">
        <f>IF(YEAR('3 pr-2'!AJ27)=2021,CX27,0)</f>
        <v>0</v>
      </c>
      <c r="DF27" s="1332">
        <f>IF(YEAR('3 pr-2'!AJ27)=2022,CX27,0)</f>
        <v>0</v>
      </c>
      <c r="DG27" s="1332">
        <f>IF(YEAR('3 pr-2'!AJ27)=2023,CX27,0)</f>
        <v>0</v>
      </c>
    </row>
    <row r="28" spans="1:111" ht="75" thickTop="1" thickBot="1" x14ac:dyDescent="0.3">
      <c r="A28" s="518" t="str">
        <f>CONCATENATE('3 pr-2'!A28)</f>
        <v>1.1.1.1.19</v>
      </c>
      <c r="B28" s="518" t="str">
        <f>CONCATENATE('3 pr-2'!B28)</f>
        <v>R01-ZM72-120000-1119</v>
      </c>
      <c r="C28" s="1449" t="str">
        <f>CONCATENATE('ketv. 2lent'!B27)</f>
        <v>20KI-KA-17-1-02648-PR001</v>
      </c>
      <c r="D28" s="189" t="str">
        <f>CONCATENATE('3 pr-2'!D28)</f>
        <v>Alytaus rajono Pivašiūnų kaimo šaligatvių, laiptų kapitalinis remontas ir gyvenvietės apšvietimo įrengimas</v>
      </c>
      <c r="E28" s="480" t="str">
        <f>CONCATENATE('3 pr-2'!E28)</f>
        <v>Alytaus rajono savivaldybės administracija</v>
      </c>
      <c r="F28" s="480" t="str">
        <f>CONCATENATE('3 pr-2'!F28)</f>
        <v>Lietuvos Respublikos žemės ūkio ministerija</v>
      </c>
      <c r="G28" s="480" t="str">
        <f>CONCATENATE('3 pr-2'!G28)</f>
        <v>Alytaus rajono savivaldybė</v>
      </c>
      <c r="H28" s="480" t="str">
        <f>CONCATENATE('3 pr-2'!H28)</f>
        <v xml:space="preserve">Pagrindinės paslaugos ir kaimų atnaujinimas kaimo vietovėse </v>
      </c>
      <c r="I28" s="518" t="str">
        <f>CONCATENATE('3 pr-2'!I28)</f>
        <v>R</v>
      </c>
      <c r="J28" s="518" t="str">
        <f>CONCATENATE('3 pr-2'!J28)</f>
        <v>-</v>
      </c>
      <c r="K28" s="518" t="str">
        <f>CONCATENATE('3 pr-2'!K28)</f>
        <v>-</v>
      </c>
      <c r="L28" s="518" t="s">
        <v>477</v>
      </c>
      <c r="M28" s="881" t="s">
        <v>478</v>
      </c>
      <c r="N28" s="518"/>
      <c r="O28" s="518"/>
      <c r="P28" s="518"/>
      <c r="Q28" s="518"/>
      <c r="R28" s="518"/>
      <c r="S28" s="518"/>
      <c r="T28" s="518"/>
      <c r="U28" s="1335"/>
      <c r="V28" s="518">
        <v>2</v>
      </c>
      <c r="W28" s="1336">
        <f>IF('ketv. 6 lent'!K27&gt;0,"taip",0)</f>
        <v>0</v>
      </c>
      <c r="X28" s="518"/>
      <c r="Y28" s="518">
        <f>IF(YEAR('3 pr-2'!$AJ28)=2017,$V28,0)</f>
        <v>0</v>
      </c>
      <c r="Z28" s="518">
        <f>IF(YEAR('3 pr-2'!$AJ28)=2018,$V28,0)</f>
        <v>2</v>
      </c>
      <c r="AA28" s="518">
        <f>IF(YEAR('3 pr-2'!$AJ28)=2019,$V28,0)</f>
        <v>0</v>
      </c>
      <c r="AB28" s="518">
        <f>IF(YEAR('3 pr-2'!$AJ28)=2020,$V28,0)</f>
        <v>0</v>
      </c>
      <c r="AC28" s="518">
        <f>IF(YEAR('3 pr-2'!$AJ28)=2021,$V28,0)</f>
        <v>0</v>
      </c>
      <c r="AD28" s="518">
        <f>IF(YEAR('3 pr-2'!$AJ28)=2022,$V28,0)</f>
        <v>0</v>
      </c>
      <c r="AE28" s="518">
        <f>IF(YEAR('3 pr-2'!$AJ28)=2023,$V28,0)</f>
        <v>0</v>
      </c>
      <c r="AF28" s="523" t="s">
        <v>479</v>
      </c>
      <c r="AG28" s="881" t="s">
        <v>480</v>
      </c>
      <c r="AH28" s="518"/>
      <c r="AI28" s="518"/>
      <c r="AJ28" s="518"/>
      <c r="AK28" s="518"/>
      <c r="AL28" s="518"/>
      <c r="AM28" s="518"/>
      <c r="AN28" s="518"/>
      <c r="AO28" s="1337">
        <f t="shared" si="30"/>
        <v>0</v>
      </c>
      <c r="AP28" s="518">
        <v>292</v>
      </c>
      <c r="AQ28" s="1338"/>
      <c r="AR28" s="518"/>
      <c r="AS28" s="518">
        <f>IF(YEAR('3 pr-2'!$AJ28)=2017,$AP28,0)</f>
        <v>0</v>
      </c>
      <c r="AT28" s="518">
        <f>IF(YEAR('3 pr-2'!$AJ28)=2018,$AP28,0)</f>
        <v>292</v>
      </c>
      <c r="AU28" s="518">
        <f>IF(YEAR('3 pr-2'!$AJ28)=2019,$AP28,0)</f>
        <v>0</v>
      </c>
      <c r="AV28" s="518">
        <f>IF(YEAR('3 pr-2'!$AJ28)=2020,$AP28,0)</f>
        <v>0</v>
      </c>
      <c r="AW28" s="518">
        <f>IF(YEAR('3 pr-2'!$AJ28)=2021,$AP28,0)</f>
        <v>0</v>
      </c>
      <c r="AX28" s="518">
        <f>IF(YEAR('3 pr-2'!$AJ28)=2022,$AP28,0)</f>
        <v>0</v>
      </c>
      <c r="AY28" s="518">
        <f>IF(YEAR('3 pr-2'!$AJ28)=2023,$AP28,0)</f>
        <v>0</v>
      </c>
      <c r="AZ28" s="518" t="s">
        <v>481</v>
      </c>
      <c r="BA28" s="880" t="s">
        <v>482</v>
      </c>
      <c r="BB28" s="518"/>
      <c r="BC28" s="518"/>
      <c r="BD28" s="518"/>
      <c r="BE28" s="518"/>
      <c r="BF28" s="518"/>
      <c r="BG28" s="518"/>
      <c r="BH28" s="518"/>
      <c r="BI28" s="1337">
        <f t="shared" si="31"/>
        <v>0</v>
      </c>
      <c r="BJ28" s="518">
        <v>1</v>
      </c>
      <c r="BK28" s="1338"/>
      <c r="BL28" s="518"/>
      <c r="BM28" s="518">
        <f>IF(YEAR('3 pr-2'!AJ28)=2017,BJ28,0)</f>
        <v>0</v>
      </c>
      <c r="BN28" s="518">
        <f>IF(YEAR('3 pr-2'!AJ28)=2018,BJ28,0)</f>
        <v>1</v>
      </c>
      <c r="BO28" s="518">
        <f>IF(YEAR('3 pr-2'!AJ28)=2019,BJ28,0)</f>
        <v>0</v>
      </c>
      <c r="BP28" s="518">
        <f>IF(YEAR('3 pr-2'!AJ28)=2020,BJ28,0)</f>
        <v>0</v>
      </c>
      <c r="BQ28" s="518">
        <f>IF(YEAR('3 pr-2'!AJ28)=2021,BJ28,0)</f>
        <v>0</v>
      </c>
      <c r="BR28" s="518">
        <f>IF(YEAR('3 pr-2'!AJ28)=2022,BJ28,0)</f>
        <v>0</v>
      </c>
      <c r="BS28" s="518">
        <f>IF(YEAR('3 pr-2'!AJ28)=2023,BJ28,0)</f>
        <v>0</v>
      </c>
      <c r="BT28" s="523"/>
      <c r="BU28" s="881"/>
      <c r="BV28" s="518"/>
      <c r="BW28" s="518"/>
      <c r="BX28" s="518"/>
      <c r="BY28" s="518"/>
      <c r="BZ28" s="518"/>
      <c r="CA28" s="518"/>
      <c r="CB28" s="518"/>
      <c r="CC28" s="1337">
        <f t="shared" si="32"/>
        <v>0</v>
      </c>
      <c r="CD28" s="518"/>
      <c r="CE28" s="518"/>
      <c r="CF28" s="518"/>
      <c r="CG28" s="518">
        <f>IF(YEAR('3 pr-2'!$AJ28)=2017,$CD28,0)</f>
        <v>0</v>
      </c>
      <c r="CH28" s="518">
        <f>IF(YEAR('3 pr-2'!$AJ28)=2018,$CD28,0)</f>
        <v>0</v>
      </c>
      <c r="CI28" s="518">
        <f>IF(YEAR('3 pr-2'!$AJ28)=2019,$CD28,0)</f>
        <v>0</v>
      </c>
      <c r="CJ28" s="518">
        <f>IF(YEAR('3 pr-2'!$AJ28)=2020,$CD28,0)</f>
        <v>0</v>
      </c>
      <c r="CK28" s="518">
        <f>IF(YEAR('3 pr-2'!$AJ28)=2021,$CD28,0)</f>
        <v>0</v>
      </c>
      <c r="CL28" s="518">
        <f>IF(YEAR('3 pr-2'!$AJ28)=2022,$CD28,0)</f>
        <v>0</v>
      </c>
      <c r="CM28" s="518">
        <f>IF(YEAR('3 pr-2'!$AJ28)=2023,$CD28,0)</f>
        <v>0</v>
      </c>
      <c r="CN28" s="523"/>
      <c r="CO28" s="882"/>
      <c r="CP28" s="524"/>
      <c r="CQ28" s="518"/>
      <c r="CR28" s="518"/>
      <c r="CS28" s="518"/>
      <c r="CT28" s="518"/>
      <c r="CU28" s="518"/>
      <c r="CV28" s="518"/>
      <c r="CW28" s="1337">
        <f t="shared" si="33"/>
        <v>0</v>
      </c>
      <c r="CX28" s="524"/>
      <c r="CY28" s="504"/>
      <c r="CZ28" s="504"/>
      <c r="DA28" s="1332">
        <f>IF(YEAR('3 pr-2'!AJ28)=2017,CX28,0)</f>
        <v>0</v>
      </c>
      <c r="DB28" s="1332">
        <f>IF(YEAR('3 pr-2'!AJ28)=2018,CX28,0)</f>
        <v>0</v>
      </c>
      <c r="DC28" s="1332">
        <f>IF(YEAR('3 pr-2'!AJ28)=2019,CX28,0)</f>
        <v>0</v>
      </c>
      <c r="DD28" s="1332">
        <f>IF(YEAR('3 pr-2'!AJ28)=2020,CX28,0)</f>
        <v>0</v>
      </c>
      <c r="DE28" s="1332">
        <f>IF(YEAR('3 pr-2'!AJ28)=2021,CX28,0)</f>
        <v>0</v>
      </c>
      <c r="DF28" s="1332">
        <f>IF(YEAR('3 pr-2'!AJ28)=2022,CX28,0)</f>
        <v>0</v>
      </c>
      <c r="DG28" s="1332">
        <f>IF(YEAR('3 pr-2'!AJ28)=2023,CX28,0)</f>
        <v>0</v>
      </c>
    </row>
    <row r="29" spans="1:111" ht="85.5" thickTop="1" thickBot="1" x14ac:dyDescent="0.3">
      <c r="A29" s="518" t="str">
        <f>CONCATENATE('3 pr-2'!A29)</f>
        <v>1.1.1.1.20</v>
      </c>
      <c r="B29" s="518" t="str">
        <f>CONCATENATE('3 pr-2'!B29)</f>
        <v>R01-ZM72-340000-1120</v>
      </c>
      <c r="C29" s="1449" t="str">
        <f>CONCATENATE('ketv. 2lent'!B28)</f>
        <v>20KI-KA-17-1-01736-PR001</v>
      </c>
      <c r="D29" s="189" t="str">
        <f>CONCATENATE('3 pr-2'!D29)</f>
        <v>Pastato, esančio Pušelės g. 11, Naujųjų Valkininkų k., Varėnos r., atnaujinimas ir pritaikymas bendruomenės poreikiams</v>
      </c>
      <c r="E29" s="480" t="str">
        <f>CONCATENATE('3 pr-2'!E29)</f>
        <v xml:space="preserve">Varėnos rajono savivaldybės administracija </v>
      </c>
      <c r="F29" s="480" t="str">
        <f>CONCATENATE('3 pr-2'!F29)</f>
        <v>Lietuvos Respublikos žemės ūkio ministerija</v>
      </c>
      <c r="G29" s="480" t="str">
        <f>CONCATENATE('3 pr-2'!G29)</f>
        <v>Varėnos rajono savivaldybė</v>
      </c>
      <c r="H29" s="480" t="str">
        <f>CONCATENATE('3 pr-2'!H29)</f>
        <v xml:space="preserve">Pagrindinės paslaugos ir kaimų atnaujinimas kaimo vietovėse </v>
      </c>
      <c r="I29" s="518" t="str">
        <f>CONCATENATE('3 pr-2'!I29)</f>
        <v>R</v>
      </c>
      <c r="J29" s="518" t="str">
        <f>CONCATENATE('3 pr-2'!J29)</f>
        <v>-</v>
      </c>
      <c r="K29" s="518" t="str">
        <f>CONCATENATE('3 pr-2'!K29)</f>
        <v>-</v>
      </c>
      <c r="L29" s="518" t="s">
        <v>477</v>
      </c>
      <c r="M29" s="881" t="s">
        <v>478</v>
      </c>
      <c r="N29" s="518"/>
      <c r="O29" s="518"/>
      <c r="P29" s="518"/>
      <c r="Q29" s="518"/>
      <c r="R29" s="518"/>
      <c r="S29" s="518"/>
      <c r="T29" s="518"/>
      <c r="U29" s="1335"/>
      <c r="V29" s="518">
        <v>1</v>
      </c>
      <c r="W29" s="1336">
        <f>IF('ketv. 6 lent'!K28&gt;0,"taip",0)</f>
        <v>0</v>
      </c>
      <c r="X29" s="518"/>
      <c r="Y29" s="518">
        <f>IF(YEAR('3 pr-2'!$AJ29)=2017,$V29,0)</f>
        <v>0</v>
      </c>
      <c r="Z29" s="518">
        <f>IF(YEAR('3 pr-2'!$AJ29)=2018,$V29,0)</f>
        <v>0</v>
      </c>
      <c r="AA29" s="518">
        <f>IF(YEAR('3 pr-2'!$AJ29)=2019,$V29,0)</f>
        <v>1</v>
      </c>
      <c r="AB29" s="518">
        <f>IF(YEAR('3 pr-2'!$AJ29)=2020,$V29,0)</f>
        <v>0</v>
      </c>
      <c r="AC29" s="518">
        <f>IF(YEAR('3 pr-2'!$AJ29)=2021,$V29,0)</f>
        <v>0</v>
      </c>
      <c r="AD29" s="518">
        <f>IF(YEAR('3 pr-2'!$AJ29)=2022,$V29,0)</f>
        <v>0</v>
      </c>
      <c r="AE29" s="518">
        <f>IF(YEAR('3 pr-2'!$AJ29)=2023,$V29,0)</f>
        <v>0</v>
      </c>
      <c r="AF29" s="523" t="s">
        <v>479</v>
      </c>
      <c r="AG29" s="881" t="s">
        <v>480</v>
      </c>
      <c r="AH29" s="518"/>
      <c r="AI29" s="518"/>
      <c r="AJ29" s="518"/>
      <c r="AK29" s="518"/>
      <c r="AL29" s="518"/>
      <c r="AM29" s="518"/>
      <c r="AN29" s="518"/>
      <c r="AO29" s="1337">
        <f t="shared" si="30"/>
        <v>0</v>
      </c>
      <c r="AP29" s="518">
        <v>370</v>
      </c>
      <c r="AQ29" s="1338"/>
      <c r="AR29" s="518"/>
      <c r="AS29" s="518">
        <f>IF(YEAR('3 pr-2'!$AJ29)=2017,$AP29,0)</f>
        <v>0</v>
      </c>
      <c r="AT29" s="518">
        <f>IF(YEAR('3 pr-2'!$AJ29)=2018,$AP29,0)</f>
        <v>0</v>
      </c>
      <c r="AU29" s="518">
        <f>IF(YEAR('3 pr-2'!$AJ29)=2019,$AP29,0)</f>
        <v>370</v>
      </c>
      <c r="AV29" s="518">
        <f>IF(YEAR('3 pr-2'!$AJ29)=2020,$AP29,0)</f>
        <v>0</v>
      </c>
      <c r="AW29" s="518">
        <f>IF(YEAR('3 pr-2'!$AJ29)=2021,$AP29,0)</f>
        <v>0</v>
      </c>
      <c r="AX29" s="518">
        <f>IF(YEAR('3 pr-2'!$AJ29)=2022,$AP29,0)</f>
        <v>0</v>
      </c>
      <c r="AY29" s="518">
        <f>IF(YEAR('3 pr-2'!$AJ29)=2023,$AP29,0)</f>
        <v>0</v>
      </c>
      <c r="AZ29" s="518" t="s">
        <v>481</v>
      </c>
      <c r="BA29" s="880" t="s">
        <v>482</v>
      </c>
      <c r="BB29" s="518"/>
      <c r="BC29" s="518"/>
      <c r="BD29" s="518"/>
      <c r="BE29" s="518"/>
      <c r="BF29" s="518"/>
      <c r="BG29" s="518"/>
      <c r="BH29" s="518"/>
      <c r="BI29" s="1337">
        <f t="shared" si="31"/>
        <v>0</v>
      </c>
      <c r="BJ29" s="518">
        <v>1</v>
      </c>
      <c r="BK29" s="1338"/>
      <c r="BL29" s="518"/>
      <c r="BM29" s="518">
        <f>IF(YEAR('3 pr-2'!AJ29)=2017,BJ29,0)</f>
        <v>0</v>
      </c>
      <c r="BN29" s="518">
        <f>IF(YEAR('3 pr-2'!AJ29)=2018,BJ29,0)</f>
        <v>0</v>
      </c>
      <c r="BO29" s="518">
        <f>IF(YEAR('3 pr-2'!AJ29)=2019,BJ29,0)</f>
        <v>1</v>
      </c>
      <c r="BP29" s="518">
        <f>IF(YEAR('3 pr-2'!AJ29)=2020,BJ29,0)</f>
        <v>0</v>
      </c>
      <c r="BQ29" s="518">
        <f>IF(YEAR('3 pr-2'!AJ29)=2021,BJ29,0)</f>
        <v>0</v>
      </c>
      <c r="BR29" s="518">
        <f>IF(YEAR('3 pr-2'!AJ29)=2022,BJ29,0)</f>
        <v>0</v>
      </c>
      <c r="BS29" s="518">
        <f>IF(YEAR('3 pr-2'!AJ29)=2023,BJ29,0)</f>
        <v>0</v>
      </c>
      <c r="BT29" s="523"/>
      <c r="BU29" s="881"/>
      <c r="BV29" s="518"/>
      <c r="BW29" s="518"/>
      <c r="BX29" s="518"/>
      <c r="BY29" s="518"/>
      <c r="BZ29" s="518"/>
      <c r="CA29" s="518"/>
      <c r="CB29" s="518"/>
      <c r="CC29" s="1337">
        <f t="shared" si="32"/>
        <v>0</v>
      </c>
      <c r="CD29" s="518"/>
      <c r="CE29" s="518"/>
      <c r="CF29" s="518"/>
      <c r="CG29" s="518">
        <f>IF(YEAR('3 pr-2'!$AJ29)=2017,$CD29,0)</f>
        <v>0</v>
      </c>
      <c r="CH29" s="518">
        <f>IF(YEAR('3 pr-2'!$AJ29)=2018,$CD29,0)</f>
        <v>0</v>
      </c>
      <c r="CI29" s="518">
        <f>IF(YEAR('3 pr-2'!$AJ29)=2019,$CD29,0)</f>
        <v>0</v>
      </c>
      <c r="CJ29" s="518">
        <f>IF(YEAR('3 pr-2'!$AJ29)=2020,$CD29,0)</f>
        <v>0</v>
      </c>
      <c r="CK29" s="518">
        <f>IF(YEAR('3 pr-2'!$AJ29)=2021,$CD29,0)</f>
        <v>0</v>
      </c>
      <c r="CL29" s="518">
        <f>IF(YEAR('3 pr-2'!$AJ29)=2022,$CD29,0)</f>
        <v>0</v>
      </c>
      <c r="CM29" s="518">
        <f>IF(YEAR('3 pr-2'!$AJ29)=2023,$CD29,0)</f>
        <v>0</v>
      </c>
      <c r="CN29" s="523"/>
      <c r="CO29" s="882"/>
      <c r="CP29" s="524"/>
      <c r="CQ29" s="518"/>
      <c r="CR29" s="518"/>
      <c r="CS29" s="518"/>
      <c r="CT29" s="518"/>
      <c r="CU29" s="518"/>
      <c r="CV29" s="518"/>
      <c r="CW29" s="1337">
        <f t="shared" si="33"/>
        <v>0</v>
      </c>
      <c r="CX29" s="524"/>
      <c r="CY29" s="504"/>
      <c r="CZ29" s="504"/>
      <c r="DA29" s="1332">
        <f>IF(YEAR('3 pr-2'!AJ29)=2017,CX29,0)</f>
        <v>0</v>
      </c>
      <c r="DB29" s="1332">
        <f>IF(YEAR('3 pr-2'!AJ29)=2018,CX29,0)</f>
        <v>0</v>
      </c>
      <c r="DC29" s="1332">
        <f>IF(YEAR('3 pr-2'!AJ29)=2019,CX29,0)</f>
        <v>0</v>
      </c>
      <c r="DD29" s="1332">
        <f>IF(YEAR('3 pr-2'!AJ29)=2020,CX29,0)</f>
        <v>0</v>
      </c>
      <c r="DE29" s="1332">
        <f>IF(YEAR('3 pr-2'!AJ29)=2021,CX29,0)</f>
        <v>0</v>
      </c>
      <c r="DF29" s="1332">
        <f>IF(YEAR('3 pr-2'!AJ29)=2022,CX29,0)</f>
        <v>0</v>
      </c>
      <c r="DG29" s="1332">
        <f>IF(YEAR('3 pr-2'!AJ29)=2023,CX29,0)</f>
        <v>0</v>
      </c>
    </row>
    <row r="30" spans="1:111" ht="75" thickTop="1" thickBot="1" x14ac:dyDescent="0.3">
      <c r="A30" s="518" t="str">
        <f>CONCATENATE('3 pr-2'!A30)</f>
        <v>1.1.1.1.21</v>
      </c>
      <c r="B30" s="518" t="str">
        <f>CONCATENATE('3 pr-2'!B30)</f>
        <v>R01-ZM72-120000-1121</v>
      </c>
      <c r="C30" s="1449" t="str">
        <f>CONCATENATE('ketv. 2lent'!B29)</f>
        <v>20KI-KA-17-1-02364-PR001</v>
      </c>
      <c r="D30" s="189" t="str">
        <f>CONCATENATE('3 pr-2'!D30)</f>
        <v>Kaimo gyvenamųjų vietovių Lazdijų rajono savivaldybėje patrauklumo gerinimas</v>
      </c>
      <c r="E30" s="480" t="str">
        <f>CONCATENATE('3 pr-2'!E30)</f>
        <v>Lazdijų rajono savivaldybės administracija</v>
      </c>
      <c r="F30" s="480" t="str">
        <f>CONCATENATE('3 pr-2'!F30)</f>
        <v>Lietuvos Respublikos žemės ūkio ministerija</v>
      </c>
      <c r="G30" s="480" t="str">
        <f>CONCATENATE('3 pr-2'!G30)</f>
        <v>Lazdijų rajono savivaldybė</v>
      </c>
      <c r="H30" s="480" t="str">
        <f>CONCATENATE('3 pr-2'!H30)</f>
        <v xml:space="preserve">Pagrindinės paslaugos ir kaimų atnaujinimas kaimo vietovėse </v>
      </c>
      <c r="I30" s="518" t="str">
        <f>CONCATENATE('3 pr-2'!I30)</f>
        <v>R</v>
      </c>
      <c r="J30" s="518" t="str">
        <f>CONCATENATE('3 pr-2'!J30)</f>
        <v>-</v>
      </c>
      <c r="K30" s="518" t="str">
        <f>CONCATENATE('3 pr-2'!K30)</f>
        <v>-</v>
      </c>
      <c r="L30" s="518" t="s">
        <v>477</v>
      </c>
      <c r="M30" s="881" t="s">
        <v>478</v>
      </c>
      <c r="N30" s="518"/>
      <c r="O30" s="518"/>
      <c r="P30" s="518"/>
      <c r="Q30" s="518"/>
      <c r="R30" s="518"/>
      <c r="S30" s="518"/>
      <c r="T30" s="518"/>
      <c r="U30" s="1335"/>
      <c r="V30" s="518">
        <v>1</v>
      </c>
      <c r="W30" s="1336" t="str">
        <f>IF('ketv. 6 lent'!K29&gt;0,"taip",0)</f>
        <v>taip</v>
      </c>
      <c r="X30" s="518"/>
      <c r="Y30" s="518">
        <f>IF(YEAR('3 pr-2'!$AJ30)=2017,$V30,0)</f>
        <v>0</v>
      </c>
      <c r="Z30" s="518">
        <f>IF(YEAR('3 pr-2'!$AJ30)=2018,$V30,0)</f>
        <v>1</v>
      </c>
      <c r="AA30" s="518">
        <f>IF(YEAR('3 pr-2'!$AJ30)=2019,$V30,0)</f>
        <v>0</v>
      </c>
      <c r="AB30" s="518">
        <f>IF(YEAR('3 pr-2'!$AJ30)=2020,$V30,0)</f>
        <v>0</v>
      </c>
      <c r="AC30" s="518">
        <f>IF(YEAR('3 pr-2'!$AJ30)=2021,$V30,0)</f>
        <v>0</v>
      </c>
      <c r="AD30" s="518">
        <f>IF(YEAR('3 pr-2'!$AJ30)=2022,$V30,0)</f>
        <v>0</v>
      </c>
      <c r="AE30" s="518">
        <f>IF(YEAR('3 pr-2'!$AJ30)=2023,$V30,0)</f>
        <v>0</v>
      </c>
      <c r="AF30" s="523" t="s">
        <v>479</v>
      </c>
      <c r="AG30" s="881" t="s">
        <v>480</v>
      </c>
      <c r="AH30" s="518"/>
      <c r="AI30" s="518"/>
      <c r="AJ30" s="518"/>
      <c r="AK30" s="518"/>
      <c r="AL30" s="518"/>
      <c r="AM30" s="518"/>
      <c r="AN30" s="518"/>
      <c r="AO30" s="1337">
        <f t="shared" si="30"/>
        <v>0</v>
      </c>
      <c r="AP30" s="518">
        <v>495</v>
      </c>
      <c r="AQ30" s="1338"/>
      <c r="AR30" s="518"/>
      <c r="AS30" s="518">
        <f>IF(YEAR('3 pr-2'!$AJ30)=2017,$AP30,0)</f>
        <v>0</v>
      </c>
      <c r="AT30" s="518">
        <f>IF(YEAR('3 pr-2'!$AJ30)=2018,$AP30,0)</f>
        <v>495</v>
      </c>
      <c r="AU30" s="518">
        <f>IF(YEAR('3 pr-2'!$AJ30)=2019,$AP30,0)</f>
        <v>0</v>
      </c>
      <c r="AV30" s="518">
        <f>IF(YEAR('3 pr-2'!$AJ30)=2020,$AP30,0)</f>
        <v>0</v>
      </c>
      <c r="AW30" s="518">
        <f>IF(YEAR('3 pr-2'!$AJ30)=2021,$AP30,0)</f>
        <v>0</v>
      </c>
      <c r="AX30" s="518">
        <f>IF(YEAR('3 pr-2'!$AJ30)=2022,$AP30,0)</f>
        <v>0</v>
      </c>
      <c r="AY30" s="518">
        <f>IF(YEAR('3 pr-2'!$AJ30)=2023,$AP30,0)</f>
        <v>0</v>
      </c>
      <c r="AZ30" s="518" t="s">
        <v>481</v>
      </c>
      <c r="BA30" s="880" t="s">
        <v>482</v>
      </c>
      <c r="BB30" s="518"/>
      <c r="BC30" s="518"/>
      <c r="BD30" s="518"/>
      <c r="BE30" s="518"/>
      <c r="BF30" s="518"/>
      <c r="BG30" s="518"/>
      <c r="BH30" s="518"/>
      <c r="BI30" s="1337">
        <f t="shared" si="31"/>
        <v>0</v>
      </c>
      <c r="BJ30" s="518">
        <v>1</v>
      </c>
      <c r="BK30" s="1338"/>
      <c r="BL30" s="518"/>
      <c r="BM30" s="518">
        <f>IF(YEAR('3 pr-2'!AJ30)=2017,BJ30,0)</f>
        <v>0</v>
      </c>
      <c r="BN30" s="518">
        <f>IF(YEAR('3 pr-2'!AJ30)=2018,BJ30,0)</f>
        <v>1</v>
      </c>
      <c r="BO30" s="518">
        <f>IF(YEAR('3 pr-2'!AJ30)=2019,BJ30,0)</f>
        <v>0</v>
      </c>
      <c r="BP30" s="518">
        <f>IF(YEAR('3 pr-2'!AJ30)=2020,BJ30,0)</f>
        <v>0</v>
      </c>
      <c r="BQ30" s="518">
        <f>IF(YEAR('3 pr-2'!AJ30)=2021,BJ30,0)</f>
        <v>0</v>
      </c>
      <c r="BR30" s="518">
        <f>IF(YEAR('3 pr-2'!AJ30)=2022,BJ30,0)</f>
        <v>0</v>
      </c>
      <c r="BS30" s="518">
        <f>IF(YEAR('3 pr-2'!AJ30)=2023,BJ30,0)</f>
        <v>0</v>
      </c>
      <c r="BT30" s="523"/>
      <c r="BU30" s="881"/>
      <c r="BV30" s="518"/>
      <c r="BW30" s="518"/>
      <c r="BX30" s="518"/>
      <c r="BY30" s="518"/>
      <c r="BZ30" s="518"/>
      <c r="CA30" s="518"/>
      <c r="CB30" s="518"/>
      <c r="CC30" s="1337">
        <f t="shared" si="32"/>
        <v>0</v>
      </c>
      <c r="CD30" s="518"/>
      <c r="CE30" s="518"/>
      <c r="CF30" s="518"/>
      <c r="CG30" s="518">
        <f>IF(YEAR('3 pr-2'!$AJ30)=2017,$CD30,0)</f>
        <v>0</v>
      </c>
      <c r="CH30" s="518">
        <f>IF(YEAR('3 pr-2'!$AJ30)=2018,$CD30,0)</f>
        <v>0</v>
      </c>
      <c r="CI30" s="518">
        <f>IF(YEAR('3 pr-2'!$AJ30)=2019,$CD30,0)</f>
        <v>0</v>
      </c>
      <c r="CJ30" s="518">
        <f>IF(YEAR('3 pr-2'!$AJ30)=2020,$CD30,0)</f>
        <v>0</v>
      </c>
      <c r="CK30" s="518">
        <f>IF(YEAR('3 pr-2'!$AJ30)=2021,$CD30,0)</f>
        <v>0</v>
      </c>
      <c r="CL30" s="518">
        <f>IF(YEAR('3 pr-2'!$AJ30)=2022,$CD30,0)</f>
        <v>0</v>
      </c>
      <c r="CM30" s="518">
        <f>IF(YEAR('3 pr-2'!$AJ30)=2023,$CD30,0)</f>
        <v>0</v>
      </c>
      <c r="CN30" s="523"/>
      <c r="CO30" s="882"/>
      <c r="CP30" s="524"/>
      <c r="CQ30" s="518"/>
      <c r="CR30" s="518"/>
      <c r="CS30" s="518"/>
      <c r="CT30" s="518"/>
      <c r="CU30" s="518"/>
      <c r="CV30" s="518"/>
      <c r="CW30" s="1337">
        <f t="shared" si="33"/>
        <v>0</v>
      </c>
      <c r="CX30" s="524"/>
      <c r="CY30" s="504"/>
      <c r="CZ30" s="504"/>
      <c r="DA30" s="1332">
        <f>IF(YEAR('3 pr-2'!AJ30)=2017,CX30,0)</f>
        <v>0</v>
      </c>
      <c r="DB30" s="1332">
        <f>IF(YEAR('3 pr-2'!AJ30)=2018,CX30,0)</f>
        <v>0</v>
      </c>
      <c r="DC30" s="1332">
        <f>IF(YEAR('3 pr-2'!AJ30)=2019,CX30,0)</f>
        <v>0</v>
      </c>
      <c r="DD30" s="1332">
        <f>IF(YEAR('3 pr-2'!AJ30)=2020,CX30,0)</f>
        <v>0</v>
      </c>
      <c r="DE30" s="1332">
        <f>IF(YEAR('3 pr-2'!AJ30)=2021,CX30,0)</f>
        <v>0</v>
      </c>
      <c r="DF30" s="1332">
        <f>IF(YEAR('3 pr-2'!AJ30)=2022,CX30,0)</f>
        <v>0</v>
      </c>
      <c r="DG30" s="1332">
        <f>IF(YEAR('3 pr-2'!AJ30)=2023,CX30,0)</f>
        <v>0</v>
      </c>
    </row>
    <row r="31" spans="1:111" ht="75" thickTop="1" thickBot="1" x14ac:dyDescent="0.3">
      <c r="A31" s="518" t="str">
        <f>CONCATENATE('3 pr-2'!A31)</f>
        <v>1.1.1.1.22</v>
      </c>
      <c r="B31" s="518" t="str">
        <f>CONCATENATE('3 pr-2'!B31)</f>
        <v>R01-ZM72-120000-1122</v>
      </c>
      <c r="C31" s="1449" t="str">
        <f>CONCATENATE('ketv. 2lent'!B30)</f>
        <v>20KI-KA-17-1-02241-PR001</v>
      </c>
      <c r="D31" s="189" t="str">
        <f>CONCATENATE('3 pr-2'!D31)</f>
        <v>Alytaus rajono Makniūnų kaimo šaligatvių atnaujinimas ir plėtra</v>
      </c>
      <c r="E31" s="480" t="str">
        <f>CONCATENATE('3 pr-2'!E31)</f>
        <v>Alytaus rajono savivaldybės administracija</v>
      </c>
      <c r="F31" s="480" t="str">
        <f>CONCATENATE('3 pr-2'!F31)</f>
        <v>Lietuvos Respublikos žemės ūkio ministerija</v>
      </c>
      <c r="G31" s="480" t="str">
        <f>CONCATENATE('3 pr-2'!G31)</f>
        <v>Alytaus rajono savivaldybė</v>
      </c>
      <c r="H31" s="480" t="str">
        <f>CONCATENATE('3 pr-2'!H31)</f>
        <v xml:space="preserve">Pagrindinės paslaugos ir kaimų atnaujinimas kaimo vietovėse </v>
      </c>
      <c r="I31" s="518" t="str">
        <f>CONCATENATE('3 pr-2'!I31)</f>
        <v>R</v>
      </c>
      <c r="J31" s="518" t="str">
        <f>CONCATENATE('3 pr-2'!J31)</f>
        <v>-</v>
      </c>
      <c r="K31" s="518" t="str">
        <f>CONCATENATE('3 pr-2'!K31)</f>
        <v>-</v>
      </c>
      <c r="L31" s="518" t="s">
        <v>477</v>
      </c>
      <c r="M31" s="881" t="s">
        <v>478</v>
      </c>
      <c r="N31" s="518"/>
      <c r="O31" s="518"/>
      <c r="P31" s="518"/>
      <c r="Q31" s="518"/>
      <c r="R31" s="518"/>
      <c r="S31" s="518"/>
      <c r="T31" s="518"/>
      <c r="U31" s="1335"/>
      <c r="V31" s="518">
        <v>1</v>
      </c>
      <c r="W31" s="1336">
        <f>IF('ketv. 6 lent'!K30&gt;0,"taip",0)</f>
        <v>0</v>
      </c>
      <c r="X31" s="518"/>
      <c r="Y31" s="518">
        <f>IF(YEAR('3 pr-2'!$AJ31)=2017,$V31,0)</f>
        <v>0</v>
      </c>
      <c r="Z31" s="518">
        <f>IF(YEAR('3 pr-2'!$AJ31)=2018,$V31,0)</f>
        <v>1</v>
      </c>
      <c r="AA31" s="518">
        <f>IF(YEAR('3 pr-2'!$AJ31)=2019,$V31,0)</f>
        <v>0</v>
      </c>
      <c r="AB31" s="518">
        <f>IF(YEAR('3 pr-2'!$AJ31)=2020,$V31,0)</f>
        <v>0</v>
      </c>
      <c r="AC31" s="518">
        <f>IF(YEAR('3 pr-2'!$AJ31)=2021,$V31,0)</f>
        <v>0</v>
      </c>
      <c r="AD31" s="518">
        <f>IF(YEAR('3 pr-2'!$AJ31)=2022,$V31,0)</f>
        <v>0</v>
      </c>
      <c r="AE31" s="518">
        <f>IF(YEAR('3 pr-2'!$AJ31)=2023,$V31,0)</f>
        <v>0</v>
      </c>
      <c r="AF31" s="523" t="s">
        <v>479</v>
      </c>
      <c r="AG31" s="881" t="s">
        <v>480</v>
      </c>
      <c r="AH31" s="518"/>
      <c r="AI31" s="518"/>
      <c r="AJ31" s="518"/>
      <c r="AK31" s="518"/>
      <c r="AL31" s="518"/>
      <c r="AM31" s="518"/>
      <c r="AN31" s="518"/>
      <c r="AO31" s="1337">
        <f t="shared" si="30"/>
        <v>0</v>
      </c>
      <c r="AP31" s="518">
        <v>227</v>
      </c>
      <c r="AQ31" s="1338"/>
      <c r="AR31" s="518"/>
      <c r="AS31" s="518">
        <f>IF(YEAR('3 pr-2'!$AJ31)=2017,$AP31,0)</f>
        <v>0</v>
      </c>
      <c r="AT31" s="518">
        <f>IF(YEAR('3 pr-2'!$AJ31)=2018,$AP31,0)</f>
        <v>227</v>
      </c>
      <c r="AU31" s="518">
        <f>IF(YEAR('3 pr-2'!$AJ31)=2019,$AP31,0)</f>
        <v>0</v>
      </c>
      <c r="AV31" s="518">
        <f>IF(YEAR('3 pr-2'!$AJ31)=2020,$AP31,0)</f>
        <v>0</v>
      </c>
      <c r="AW31" s="518">
        <f>IF(YEAR('3 pr-2'!$AJ31)=2021,$AP31,0)</f>
        <v>0</v>
      </c>
      <c r="AX31" s="518">
        <f>IF(YEAR('3 pr-2'!$AJ31)=2022,$AP31,0)</f>
        <v>0</v>
      </c>
      <c r="AY31" s="518">
        <f>IF(YEAR('3 pr-2'!$AJ31)=2023,$AP31,0)</f>
        <v>0</v>
      </c>
      <c r="AZ31" s="518" t="s">
        <v>481</v>
      </c>
      <c r="BA31" s="880" t="s">
        <v>482</v>
      </c>
      <c r="BB31" s="518"/>
      <c r="BC31" s="518"/>
      <c r="BD31" s="518"/>
      <c r="BE31" s="518"/>
      <c r="BF31" s="518"/>
      <c r="BG31" s="518"/>
      <c r="BH31" s="518"/>
      <c r="BI31" s="1337">
        <f t="shared" si="31"/>
        <v>0</v>
      </c>
      <c r="BJ31" s="518">
        <v>1</v>
      </c>
      <c r="BK31" s="1338"/>
      <c r="BL31" s="518"/>
      <c r="BM31" s="518">
        <f>IF(YEAR('3 pr-2'!AJ31)=2017,BJ31,0)</f>
        <v>0</v>
      </c>
      <c r="BN31" s="518">
        <f>IF(YEAR('3 pr-2'!AJ31)=2018,BJ31,0)</f>
        <v>1</v>
      </c>
      <c r="BO31" s="518">
        <f>IF(YEAR('3 pr-2'!AJ31)=2019,BJ31,0)</f>
        <v>0</v>
      </c>
      <c r="BP31" s="518">
        <f>IF(YEAR('3 pr-2'!AJ31)=2020,BJ31,0)</f>
        <v>0</v>
      </c>
      <c r="BQ31" s="518">
        <f>IF(YEAR('3 pr-2'!AJ31)=2021,BJ31,0)</f>
        <v>0</v>
      </c>
      <c r="BR31" s="518">
        <f>IF(YEAR('3 pr-2'!AJ31)=2022,BJ31,0)</f>
        <v>0</v>
      </c>
      <c r="BS31" s="518">
        <f>IF(YEAR('3 pr-2'!AJ31)=2023,BJ31,0)</f>
        <v>0</v>
      </c>
      <c r="BT31" s="523"/>
      <c r="BU31" s="881"/>
      <c r="BV31" s="518"/>
      <c r="BW31" s="518"/>
      <c r="BX31" s="518"/>
      <c r="BY31" s="518"/>
      <c r="BZ31" s="518"/>
      <c r="CA31" s="518"/>
      <c r="CB31" s="518"/>
      <c r="CC31" s="1337">
        <f t="shared" si="32"/>
        <v>0</v>
      </c>
      <c r="CD31" s="518"/>
      <c r="CE31" s="518"/>
      <c r="CF31" s="518"/>
      <c r="CG31" s="518">
        <f>IF(YEAR('3 pr-2'!$AJ31)=2017,$CD31,0)</f>
        <v>0</v>
      </c>
      <c r="CH31" s="518">
        <f>IF(YEAR('3 pr-2'!$AJ31)=2018,$CD31,0)</f>
        <v>0</v>
      </c>
      <c r="CI31" s="518">
        <f>IF(YEAR('3 pr-2'!$AJ31)=2019,$CD31,0)</f>
        <v>0</v>
      </c>
      <c r="CJ31" s="518">
        <f>IF(YEAR('3 pr-2'!$AJ31)=2020,$CD31,0)</f>
        <v>0</v>
      </c>
      <c r="CK31" s="518">
        <f>IF(YEAR('3 pr-2'!$AJ31)=2021,$CD31,0)</f>
        <v>0</v>
      </c>
      <c r="CL31" s="518">
        <f>IF(YEAR('3 pr-2'!$AJ31)=2022,$CD31,0)</f>
        <v>0</v>
      </c>
      <c r="CM31" s="518">
        <f>IF(YEAR('3 pr-2'!$AJ31)=2023,$CD31,0)</f>
        <v>0</v>
      </c>
      <c r="CN31" s="523"/>
      <c r="CO31" s="882"/>
      <c r="CP31" s="524"/>
      <c r="CQ31" s="518"/>
      <c r="CR31" s="518"/>
      <c r="CS31" s="518"/>
      <c r="CT31" s="518"/>
      <c r="CU31" s="518"/>
      <c r="CV31" s="518"/>
      <c r="CW31" s="1337">
        <f t="shared" si="33"/>
        <v>0</v>
      </c>
      <c r="CX31" s="524"/>
      <c r="CY31" s="504"/>
      <c r="CZ31" s="504"/>
      <c r="DA31" s="1332">
        <f>IF(YEAR('3 pr-2'!AJ31)=2017,CX31,0)</f>
        <v>0</v>
      </c>
      <c r="DB31" s="1332">
        <f>IF(YEAR('3 pr-2'!AJ31)=2018,CX31,0)</f>
        <v>0</v>
      </c>
      <c r="DC31" s="1332">
        <f>IF(YEAR('3 pr-2'!AJ31)=2019,CX31,0)</f>
        <v>0</v>
      </c>
      <c r="DD31" s="1332">
        <f>IF(YEAR('3 pr-2'!AJ31)=2020,CX31,0)</f>
        <v>0</v>
      </c>
      <c r="DE31" s="1332">
        <f>IF(YEAR('3 pr-2'!AJ31)=2021,CX31,0)</f>
        <v>0</v>
      </c>
      <c r="DF31" s="1332">
        <f>IF(YEAR('3 pr-2'!AJ31)=2022,CX31,0)</f>
        <v>0</v>
      </c>
      <c r="DG31" s="1332">
        <f>IF(YEAR('3 pr-2'!AJ31)=2023,CX31,0)</f>
        <v>0</v>
      </c>
    </row>
    <row r="32" spans="1:111" ht="75" thickTop="1" thickBot="1" x14ac:dyDescent="0.3">
      <c r="A32" s="518" t="str">
        <f>CONCATENATE('3 pr-2'!A32)</f>
        <v>1.1.1.1.23</v>
      </c>
      <c r="B32" s="518" t="str">
        <f>CONCATENATE('3 pr-2'!B32)</f>
        <v>R01-ZM72-120000-1123</v>
      </c>
      <c r="C32" s="1449" t="str">
        <f>CONCATENATE('ketv. 2lent'!B31)</f>
        <v/>
      </c>
      <c r="D32" s="189" t="str">
        <f>CONCATENATE('3 pr-2'!D32)</f>
        <v>Varėnos r. Vazgirdonių kaimo Klevų gatvės įrengimas</v>
      </c>
      <c r="E32" s="480" t="str">
        <f>CONCATENATE('3 pr-2'!E32)</f>
        <v xml:space="preserve">Varėnos rajono savivaldybės administracija </v>
      </c>
      <c r="F32" s="480" t="str">
        <f>CONCATENATE('3 pr-2'!F32)</f>
        <v>Lietuvos Respublikos žemės ūkio ministerija</v>
      </c>
      <c r="G32" s="480" t="str">
        <f>CONCATENATE('3 pr-2'!G32)</f>
        <v>Varėnos rajono savivaldybė</v>
      </c>
      <c r="H32" s="480" t="str">
        <f>CONCATENATE('3 pr-2'!H32)</f>
        <v xml:space="preserve">Pagrindinės paslaugos ir kaimų atnaujinimas kaimo vietovėse </v>
      </c>
      <c r="I32" s="518" t="str">
        <f>CONCATENATE('3 pr-2'!I32)</f>
        <v>R</v>
      </c>
      <c r="J32" s="518" t="str">
        <f>CONCATENATE('3 pr-2'!J32)</f>
        <v>-</v>
      </c>
      <c r="K32" s="518" t="str">
        <f>CONCATENATE('3 pr-2'!K32)</f>
        <v>rez.***</v>
      </c>
      <c r="L32" s="518" t="s">
        <v>477</v>
      </c>
      <c r="M32" s="881" t="s">
        <v>478</v>
      </c>
      <c r="N32" s="518"/>
      <c r="O32" s="518"/>
      <c r="P32" s="518"/>
      <c r="Q32" s="518"/>
      <c r="R32" s="518"/>
      <c r="S32" s="518"/>
      <c r="T32" s="518"/>
      <c r="U32" s="1335"/>
      <c r="V32" s="518">
        <v>1</v>
      </c>
      <c r="W32" s="1336">
        <f>IF('ketv. 6 lent'!K31&gt;0,"taip",0)</f>
        <v>0</v>
      </c>
      <c r="X32" s="518"/>
      <c r="Y32" s="518">
        <f>IF(YEAR('3 pr-2'!$AJ32)=2017,$V32,0)</f>
        <v>0</v>
      </c>
      <c r="Z32" s="518">
        <f>IF(YEAR('3 pr-2'!$AJ32)=2018,$V32,0)</f>
        <v>0</v>
      </c>
      <c r="AA32" s="518">
        <f>IF(YEAR('3 pr-2'!$AJ32)=2019,$V32,0)</f>
        <v>1</v>
      </c>
      <c r="AB32" s="518">
        <f>IF(YEAR('3 pr-2'!$AJ32)=2020,$V32,0)</f>
        <v>0</v>
      </c>
      <c r="AC32" s="518">
        <f>IF(YEAR('3 pr-2'!$AJ32)=2021,$V32,0)</f>
        <v>0</v>
      </c>
      <c r="AD32" s="518">
        <f>IF(YEAR('3 pr-2'!$AJ32)=2022,$V32,0)</f>
        <v>0</v>
      </c>
      <c r="AE32" s="518">
        <f>IF(YEAR('3 pr-2'!$AJ32)=2023,$V32,0)</f>
        <v>0</v>
      </c>
      <c r="AF32" s="523" t="s">
        <v>479</v>
      </c>
      <c r="AG32" s="881" t="s">
        <v>480</v>
      </c>
      <c r="AH32" s="518"/>
      <c r="AI32" s="518"/>
      <c r="AJ32" s="518"/>
      <c r="AK32" s="518"/>
      <c r="AL32" s="518"/>
      <c r="AM32" s="518"/>
      <c r="AN32" s="518"/>
      <c r="AO32" s="1337">
        <f t="shared" si="30"/>
        <v>0</v>
      </c>
      <c r="AP32" s="518">
        <v>75</v>
      </c>
      <c r="AQ32" s="1338"/>
      <c r="AR32" s="518"/>
      <c r="AS32" s="518">
        <f>IF(YEAR('3 pr-2'!$AJ32)=2017,$AP32,0)</f>
        <v>0</v>
      </c>
      <c r="AT32" s="518">
        <f>IF(YEAR('3 pr-2'!$AJ32)=2018,$AP32,0)</f>
        <v>0</v>
      </c>
      <c r="AU32" s="518">
        <f>IF(YEAR('3 pr-2'!$AJ32)=2019,$AP32,0)</f>
        <v>75</v>
      </c>
      <c r="AV32" s="518">
        <f>IF(YEAR('3 pr-2'!$AJ32)=2020,$AP32,0)</f>
        <v>0</v>
      </c>
      <c r="AW32" s="518">
        <f>IF(YEAR('3 pr-2'!$AJ32)=2021,$AP32,0)</f>
        <v>0</v>
      </c>
      <c r="AX32" s="518">
        <f>IF(YEAR('3 pr-2'!$AJ32)=2022,$AP32,0)</f>
        <v>0</v>
      </c>
      <c r="AY32" s="518">
        <f>IF(YEAR('3 pr-2'!$AJ32)=2023,$AP32,0)</f>
        <v>0</v>
      </c>
      <c r="AZ32" s="518" t="s">
        <v>481</v>
      </c>
      <c r="BA32" s="880" t="s">
        <v>482</v>
      </c>
      <c r="BB32" s="518"/>
      <c r="BC32" s="518"/>
      <c r="BD32" s="518"/>
      <c r="BE32" s="518"/>
      <c r="BF32" s="518"/>
      <c r="BG32" s="518"/>
      <c r="BH32" s="518"/>
      <c r="BI32" s="1337">
        <f t="shared" si="31"/>
        <v>0</v>
      </c>
      <c r="BJ32" s="518">
        <v>1</v>
      </c>
      <c r="BK32" s="1338"/>
      <c r="BL32" s="518"/>
      <c r="BM32" s="518">
        <f>IF(YEAR('3 pr-2'!AJ32)=2017,BJ32,0)</f>
        <v>0</v>
      </c>
      <c r="BN32" s="518">
        <f>IF(YEAR('3 pr-2'!AJ32)=2018,BJ32,0)</f>
        <v>0</v>
      </c>
      <c r="BO32" s="518">
        <f>IF(YEAR('3 pr-2'!AJ32)=2019,BJ32,0)</f>
        <v>1</v>
      </c>
      <c r="BP32" s="518">
        <f>IF(YEAR('3 pr-2'!AJ32)=2020,BJ32,0)</f>
        <v>0</v>
      </c>
      <c r="BQ32" s="518">
        <f>IF(YEAR('3 pr-2'!AJ32)=2021,BJ32,0)</f>
        <v>0</v>
      </c>
      <c r="BR32" s="518">
        <f>IF(YEAR('3 pr-2'!AJ32)=2022,BJ32,0)</f>
        <v>0</v>
      </c>
      <c r="BS32" s="518">
        <f>IF(YEAR('3 pr-2'!AJ32)=2023,BJ32,0)</f>
        <v>0</v>
      </c>
      <c r="BT32" s="523"/>
      <c r="BU32" s="881"/>
      <c r="BV32" s="518"/>
      <c r="BW32" s="518"/>
      <c r="BX32" s="518"/>
      <c r="BY32" s="518"/>
      <c r="BZ32" s="518"/>
      <c r="CA32" s="518"/>
      <c r="CB32" s="518"/>
      <c r="CC32" s="1337">
        <f t="shared" si="32"/>
        <v>0</v>
      </c>
      <c r="CD32" s="518"/>
      <c r="CE32" s="518"/>
      <c r="CF32" s="518"/>
      <c r="CG32" s="518">
        <f>IF(YEAR('3 pr-2'!$AJ32)=2017,$CD32,0)</f>
        <v>0</v>
      </c>
      <c r="CH32" s="518">
        <f>IF(YEAR('3 pr-2'!$AJ32)=2018,$CD32,0)</f>
        <v>0</v>
      </c>
      <c r="CI32" s="518">
        <f>IF(YEAR('3 pr-2'!$AJ32)=2019,$CD32,0)</f>
        <v>0</v>
      </c>
      <c r="CJ32" s="518">
        <f>IF(YEAR('3 pr-2'!$AJ32)=2020,$CD32,0)</f>
        <v>0</v>
      </c>
      <c r="CK32" s="518">
        <f>IF(YEAR('3 pr-2'!$AJ32)=2021,$CD32,0)</f>
        <v>0</v>
      </c>
      <c r="CL32" s="518">
        <f>IF(YEAR('3 pr-2'!$AJ32)=2022,$CD32,0)</f>
        <v>0</v>
      </c>
      <c r="CM32" s="518">
        <f>IF(YEAR('3 pr-2'!$AJ32)=2023,$CD32,0)</f>
        <v>0</v>
      </c>
      <c r="CN32" s="523"/>
      <c r="CO32" s="882"/>
      <c r="CP32" s="524"/>
      <c r="CQ32" s="518"/>
      <c r="CR32" s="518"/>
      <c r="CS32" s="518"/>
      <c r="CT32" s="518"/>
      <c r="CU32" s="518"/>
      <c r="CV32" s="518"/>
      <c r="CW32" s="1337">
        <f t="shared" si="33"/>
        <v>0</v>
      </c>
      <c r="CX32" s="524"/>
      <c r="CY32" s="504"/>
      <c r="CZ32" s="504"/>
      <c r="DA32" s="1332">
        <f>IF(YEAR('3 pr-2'!AJ32)=2017,CX32,0)</f>
        <v>0</v>
      </c>
      <c r="DB32" s="1332">
        <f>IF(YEAR('3 pr-2'!AJ32)=2018,CX32,0)</f>
        <v>0</v>
      </c>
      <c r="DC32" s="1332">
        <f>IF(YEAR('3 pr-2'!AJ32)=2019,CX32,0)</f>
        <v>0</v>
      </c>
      <c r="DD32" s="1332">
        <f>IF(YEAR('3 pr-2'!AJ32)=2020,CX32,0)</f>
        <v>0</v>
      </c>
      <c r="DE32" s="1332">
        <f>IF(YEAR('3 pr-2'!AJ32)=2021,CX32,0)</f>
        <v>0</v>
      </c>
      <c r="DF32" s="1332">
        <f>IF(YEAR('3 pr-2'!AJ32)=2022,CX32,0)</f>
        <v>0</v>
      </c>
      <c r="DG32" s="1332">
        <f>IF(YEAR('3 pr-2'!AJ32)=2023,CX32,0)</f>
        <v>0</v>
      </c>
    </row>
    <row r="33" spans="1:111" ht="43.5" customHeight="1" thickBot="1" x14ac:dyDescent="0.3">
      <c r="A33" s="1257" t="str">
        <f>CONCATENATE('3 pr-2'!A33)</f>
        <v>1.1.1.2</v>
      </c>
      <c r="B33" s="1687" t="str">
        <f>CONCATENATE('3 pr-2'!B33)</f>
        <v>Priemonė:
Kaimo gyvenamųjų vietovių (turinčių 1-6 tūkst. gyventojų) atnaujinimas ir plėtra</v>
      </c>
      <c r="C33" s="1688"/>
      <c r="D33" s="1688"/>
      <c r="E33" s="1688"/>
      <c r="F33" s="1688"/>
      <c r="G33" s="1688"/>
      <c r="H33" s="1688"/>
      <c r="I33" s="1688"/>
      <c r="J33" s="1688"/>
      <c r="K33" s="1689"/>
      <c r="L33" s="526" t="s">
        <v>409</v>
      </c>
      <c r="M33" s="1501" t="s">
        <v>483</v>
      </c>
      <c r="N33" s="1498">
        <f>SUM(N34:N38)</f>
        <v>0</v>
      </c>
      <c r="O33" s="1498">
        <f t="shared" ref="O33:T33" si="34">SUM(O34:O38)</f>
        <v>0</v>
      </c>
      <c r="P33" s="1498">
        <f t="shared" si="34"/>
        <v>0</v>
      </c>
      <c r="Q33" s="1498">
        <f t="shared" si="34"/>
        <v>0</v>
      </c>
      <c r="R33" s="1498">
        <f t="shared" si="34"/>
        <v>0</v>
      </c>
      <c r="S33" s="1498">
        <f t="shared" si="34"/>
        <v>0</v>
      </c>
      <c r="T33" s="1498">
        <f t="shared" si="34"/>
        <v>0</v>
      </c>
      <c r="U33" s="1502">
        <f t="shared" ref="U33:U39" si="35">SUM(N33:T33)</f>
        <v>0</v>
      </c>
      <c r="V33" s="501">
        <f>SUM(V34:V38)</f>
        <v>54456</v>
      </c>
      <c r="W33" s="1503"/>
      <c r="X33" s="1504"/>
      <c r="Y33" s="1498">
        <f t="shared" ref="Y33:AE33" si="36">SUM(Y34:Y38)</f>
        <v>0</v>
      </c>
      <c r="Z33" s="1498">
        <f t="shared" si="36"/>
        <v>0</v>
      </c>
      <c r="AA33" s="1498">
        <f t="shared" si="36"/>
        <v>8195</v>
      </c>
      <c r="AB33" s="1498">
        <f t="shared" si="36"/>
        <v>46261</v>
      </c>
      <c r="AC33" s="1498">
        <f t="shared" si="36"/>
        <v>0</v>
      </c>
      <c r="AD33" s="1498">
        <f t="shared" si="36"/>
        <v>0</v>
      </c>
      <c r="AE33" s="1498">
        <f t="shared" si="36"/>
        <v>0</v>
      </c>
      <c r="AF33" s="1504" t="s">
        <v>410</v>
      </c>
      <c r="AG33" s="1495" t="s">
        <v>484</v>
      </c>
      <c r="AH33" s="1498">
        <f>SUM(AH34:AH38)</f>
        <v>0</v>
      </c>
      <c r="AI33" s="1498">
        <f t="shared" ref="AI33" si="37">SUM(AI34:AI38)</f>
        <v>0</v>
      </c>
      <c r="AJ33" s="1498">
        <f t="shared" ref="AJ33" si="38">SUM(AJ34:AJ38)</f>
        <v>0</v>
      </c>
      <c r="AK33" s="1498">
        <f t="shared" ref="AK33" si="39">SUM(AK34:AK38)</f>
        <v>0</v>
      </c>
      <c r="AL33" s="1498">
        <f t="shared" ref="AL33" si="40">SUM(AL34:AL38)</f>
        <v>0</v>
      </c>
      <c r="AM33" s="1498">
        <f t="shared" ref="AM33" si="41">SUM(AM34:AM38)</f>
        <v>0</v>
      </c>
      <c r="AN33" s="1498">
        <f t="shared" ref="AN33" si="42">SUM(AN34:AN38)</f>
        <v>0</v>
      </c>
      <c r="AO33" s="501">
        <f t="shared" ref="AO33:AO37" si="43">SUM(AH33:AN33)</f>
        <v>0</v>
      </c>
      <c r="AP33" s="501">
        <f>SUM(AP34:AP38)</f>
        <v>200</v>
      </c>
      <c r="AQ33" s="1498"/>
      <c r="AR33" s="1498"/>
      <c r="AS33" s="1498">
        <f t="shared" ref="AS33:AY33" si="44">SUM(AS34:AS38)</f>
        <v>0</v>
      </c>
      <c r="AT33" s="1498">
        <f t="shared" si="44"/>
        <v>0</v>
      </c>
      <c r="AU33" s="1498">
        <f t="shared" si="44"/>
        <v>0</v>
      </c>
      <c r="AV33" s="1498">
        <f t="shared" si="44"/>
        <v>200</v>
      </c>
      <c r="AW33" s="1498">
        <f t="shared" si="44"/>
        <v>0</v>
      </c>
      <c r="AX33" s="1498">
        <f t="shared" si="44"/>
        <v>0</v>
      </c>
      <c r="AY33" s="1498">
        <f t="shared" si="44"/>
        <v>0</v>
      </c>
      <c r="AZ33" s="501" t="s">
        <v>66</v>
      </c>
      <c r="BA33" s="1495"/>
      <c r="BB33" s="1498">
        <f>SUM(BB34:BB38)</f>
        <v>0</v>
      </c>
      <c r="BC33" s="1498">
        <f t="shared" ref="BC33" si="45">SUM(BC34:BC38)</f>
        <v>0</v>
      </c>
      <c r="BD33" s="1498">
        <f t="shared" ref="BD33" si="46">SUM(BD34:BD38)</f>
        <v>0</v>
      </c>
      <c r="BE33" s="1498">
        <f t="shared" ref="BE33" si="47">SUM(BE34:BE38)</f>
        <v>0</v>
      </c>
      <c r="BF33" s="1498">
        <f t="shared" ref="BF33" si="48">SUM(BF34:BF38)</f>
        <v>0</v>
      </c>
      <c r="BG33" s="1498">
        <f t="shared" ref="BG33" si="49">SUM(BG34:BG38)</f>
        <v>0</v>
      </c>
      <c r="BH33" s="1498">
        <f t="shared" ref="BH33" si="50">SUM(BH34:BH38)</f>
        <v>0</v>
      </c>
      <c r="BI33" s="501">
        <f t="shared" ref="BI33:BI45" si="51">SUM(BB33:BH33)</f>
        <v>0</v>
      </c>
      <c r="BJ33" s="501" t="s">
        <v>66</v>
      </c>
      <c r="BK33" s="1498"/>
      <c r="BL33" s="1498"/>
      <c r="BM33" s="1498"/>
      <c r="BN33" s="1498"/>
      <c r="BO33" s="1498"/>
      <c r="BP33" s="1498"/>
      <c r="BQ33" s="1498"/>
      <c r="BR33" s="1498"/>
      <c r="BS33" s="1498"/>
      <c r="BT33" s="1498"/>
      <c r="BU33" s="1497"/>
      <c r="BV33" s="1498">
        <f>SUM(BV34:BV38)</f>
        <v>0</v>
      </c>
      <c r="BW33" s="1498">
        <f t="shared" ref="BW33" si="52">SUM(BW34:BW38)</f>
        <v>0</v>
      </c>
      <c r="BX33" s="1498">
        <f t="shared" ref="BX33" si="53">SUM(BX34:BX38)</f>
        <v>0</v>
      </c>
      <c r="BY33" s="1498">
        <f t="shared" ref="BY33" si="54">SUM(BY34:BY38)</f>
        <v>0</v>
      </c>
      <c r="BZ33" s="1498">
        <f t="shared" ref="BZ33" si="55">SUM(BZ34:BZ38)</f>
        <v>0</v>
      </c>
      <c r="CA33" s="1498">
        <f t="shared" ref="CA33" si="56">SUM(CA34:CA38)</f>
        <v>0</v>
      </c>
      <c r="CB33" s="1498">
        <f t="shared" ref="CB33" si="57">SUM(CB34:CB38)</f>
        <v>0</v>
      </c>
      <c r="CC33" s="501">
        <f t="shared" si="32"/>
        <v>0</v>
      </c>
      <c r="CD33" s="1498"/>
      <c r="CE33" s="1498"/>
      <c r="CF33" s="1498"/>
      <c r="CG33" s="1498"/>
      <c r="CH33" s="1498"/>
      <c r="CI33" s="1498"/>
      <c r="CJ33" s="1498"/>
      <c r="CK33" s="1498"/>
      <c r="CL33" s="1498"/>
      <c r="CM33" s="1498"/>
      <c r="CN33" s="1502"/>
      <c r="CO33" s="1497"/>
      <c r="CP33" s="1505">
        <f>SUM(CP34:CP38)</f>
        <v>0</v>
      </c>
      <c r="CQ33" s="1498">
        <f t="shared" ref="CQ33" si="58">SUM(CQ34:CQ38)</f>
        <v>0</v>
      </c>
      <c r="CR33" s="1498">
        <f t="shared" ref="CR33" si="59">SUM(CR34:CR38)</f>
        <v>0</v>
      </c>
      <c r="CS33" s="1498">
        <f t="shared" ref="CS33" si="60">SUM(CS34:CS38)</f>
        <v>0</v>
      </c>
      <c r="CT33" s="1498">
        <f t="shared" ref="CT33" si="61">SUM(CT34:CT38)</f>
        <v>0</v>
      </c>
      <c r="CU33" s="1498">
        <f t="shared" ref="CU33" si="62">SUM(CU34:CU38)</f>
        <v>0</v>
      </c>
      <c r="CV33" s="1498">
        <f t="shared" ref="CV33" si="63">SUM(CV34:CV38)</f>
        <v>0</v>
      </c>
      <c r="CW33" s="501">
        <f t="shared" si="33"/>
        <v>0</v>
      </c>
      <c r="CX33" s="1498"/>
      <c r="CY33" s="1496"/>
      <c r="CZ33" s="1496"/>
      <c r="DA33" s="1496"/>
      <c r="DB33" s="1496"/>
      <c r="DC33" s="1496"/>
      <c r="DD33" s="1496"/>
      <c r="DE33" s="1496"/>
      <c r="DF33" s="1496"/>
      <c r="DG33" s="1496"/>
    </row>
    <row r="34" spans="1:111" ht="85.5" thickTop="1" thickBot="1" x14ac:dyDescent="0.3">
      <c r="A34" s="518" t="str">
        <f>CONCATENATE('3 pr-2'!A34)</f>
        <v>1.1.1.2.1</v>
      </c>
      <c r="B34" s="518" t="str">
        <f>CONCATENATE('3 pr-2'!B34)</f>
        <v>R01-9908-293400-1121</v>
      </c>
      <c r="C34" s="1449" t="str">
        <f>CONCATENATE('ketv. 2lent'!B33)</f>
        <v/>
      </c>
      <c r="D34" s="189" t="str">
        <f>CONCATENATE('3 pr-2'!D34)</f>
        <v>Matuizų kaimo viešosios infrastruktūros atnaujinimas ir pritaikymas bendruomenės poreikiams</v>
      </c>
      <c r="E34" s="480" t="str">
        <f>CONCATENATE('3 pr-2'!E34)</f>
        <v>Varėnos rajono savivaldybės administracija</v>
      </c>
      <c r="F34" s="480" t="str">
        <f>CONCATENATE('3 pr-2'!F34)</f>
        <v>Lietuvos Respublikos vidaus reikalų ministerija</v>
      </c>
      <c r="G34" s="480" t="str">
        <f>CONCATENATE('3 pr-2'!G34)</f>
        <v>Varėnos rajono savivaldybė</v>
      </c>
      <c r="H34" s="518" t="str">
        <f>CONCATENATE('3 pr-2'!H34)</f>
        <v>8.2.1-CPVA-R-908</v>
      </c>
      <c r="I34" s="518" t="str">
        <f>CONCATENATE('3 pr-2'!I34)</f>
        <v>R</v>
      </c>
      <c r="J34" s="518" t="str">
        <f>CONCATENATE('3 pr-2'!J34)</f>
        <v>-</v>
      </c>
      <c r="K34" s="518" t="str">
        <f>CONCATENATE('3 pr-2'!K34)</f>
        <v>-</v>
      </c>
      <c r="L34" s="518" t="s">
        <v>409</v>
      </c>
      <c r="M34" s="881" t="s">
        <v>483</v>
      </c>
      <c r="N34" s="518"/>
      <c r="O34" s="518"/>
      <c r="P34" s="518"/>
      <c r="Q34" s="518"/>
      <c r="R34" s="518"/>
      <c r="S34" s="518"/>
      <c r="T34" s="518"/>
      <c r="U34" s="1335"/>
      <c r="V34" s="518">
        <v>15000</v>
      </c>
      <c r="W34" s="1336">
        <f>IF('ketv. 6 lent'!K33&gt;0,"taip",0)</f>
        <v>0</v>
      </c>
      <c r="X34" s="518"/>
      <c r="Y34" s="518">
        <f>IF(YEAR('3 pr-2'!$AJ34)=2017,$V34,0)</f>
        <v>0</v>
      </c>
      <c r="Z34" s="518">
        <f>IF(YEAR('3 pr-2'!$AJ34)=2018,$V34,0)</f>
        <v>0</v>
      </c>
      <c r="AA34" s="518">
        <f>IF(YEAR('3 pr-2'!$AJ34)=2019,$V34,0)</f>
        <v>0</v>
      </c>
      <c r="AB34" s="518">
        <f>IF(YEAR('3 pr-2'!$AJ34)=2020,$V34,0)</f>
        <v>15000</v>
      </c>
      <c r="AC34" s="518">
        <f>IF(YEAR('3 pr-2'!$AJ34)=2021,$V34,0)</f>
        <v>0</v>
      </c>
      <c r="AD34" s="518">
        <f>IF(YEAR('3 pr-2'!$AJ34)=2022,$V34,0)</f>
        <v>0</v>
      </c>
      <c r="AE34" s="518">
        <f>IF(YEAR('3 pr-2'!$AJ34)=2023,$V34,0)</f>
        <v>0</v>
      </c>
      <c r="AF34" s="523" t="s">
        <v>410</v>
      </c>
      <c r="AG34" s="881" t="s">
        <v>484</v>
      </c>
      <c r="AH34" s="518"/>
      <c r="AI34" s="518"/>
      <c r="AJ34" s="518"/>
      <c r="AK34" s="518"/>
      <c r="AL34" s="518"/>
      <c r="AM34" s="518"/>
      <c r="AN34" s="518"/>
      <c r="AO34" s="1337">
        <f t="shared" si="43"/>
        <v>0</v>
      </c>
      <c r="AP34" s="518">
        <v>200</v>
      </c>
      <c r="AQ34" s="1338"/>
      <c r="AR34" s="518"/>
      <c r="AS34" s="518">
        <f>IF(YEAR('3 pr-2'!$AJ34)=2017,$AP34,0)</f>
        <v>0</v>
      </c>
      <c r="AT34" s="518">
        <f>IF(YEAR('3 pr-2'!$AJ34)=2018,$AP34,0)</f>
        <v>0</v>
      </c>
      <c r="AU34" s="518">
        <f>IF(YEAR('3 pr-2'!$AJ34)=2019,$AP34,0)</f>
        <v>0</v>
      </c>
      <c r="AV34" s="518">
        <f>IF(YEAR('3 pr-2'!$AJ34)=2020,$AP34,0)</f>
        <v>200</v>
      </c>
      <c r="AW34" s="518">
        <f>IF(YEAR('3 pr-2'!$AJ34)=2021,$AP34,0)</f>
        <v>0</v>
      </c>
      <c r="AX34" s="518">
        <f>IF(YEAR('3 pr-2'!$AJ34)=2022,$AP34,0)</f>
        <v>0</v>
      </c>
      <c r="AY34" s="518">
        <f>IF(YEAR('3 pr-2'!$AJ34)=2023,$AP34,0)</f>
        <v>0</v>
      </c>
      <c r="AZ34" s="518" t="s">
        <v>66</v>
      </c>
      <c r="BA34" s="880"/>
      <c r="BB34" s="518"/>
      <c r="BC34" s="518"/>
      <c r="BD34" s="518"/>
      <c r="BE34" s="518"/>
      <c r="BF34" s="518"/>
      <c r="BG34" s="518"/>
      <c r="BH34" s="518"/>
      <c r="BI34" s="1337">
        <f t="shared" si="51"/>
        <v>0</v>
      </c>
      <c r="BJ34" s="518" t="s">
        <v>66</v>
      </c>
      <c r="BK34" s="1338"/>
      <c r="BL34" s="518"/>
      <c r="BM34" s="518">
        <f>IF(YEAR('3 pr-2'!AJ34)=2017,BJ34,0)</f>
        <v>0</v>
      </c>
      <c r="BN34" s="518">
        <f>IF(YEAR('3 pr-2'!AJ34)=2018,BJ34,0)</f>
        <v>0</v>
      </c>
      <c r="BO34" s="518">
        <f>IF(YEAR('3 pr-2'!AJ34)=2019,BJ34,0)</f>
        <v>0</v>
      </c>
      <c r="BP34" s="518" t="str">
        <f>IF(YEAR('3 pr-2'!AJ34)=2020,BJ34,0)</f>
        <v>-</v>
      </c>
      <c r="BQ34" s="518">
        <f>IF(YEAR('3 pr-2'!AJ34)=2021,BJ34,0)</f>
        <v>0</v>
      </c>
      <c r="BR34" s="518">
        <f>IF(YEAR('3 pr-2'!AJ34)=2022,BJ34,0)</f>
        <v>0</v>
      </c>
      <c r="BS34" s="518">
        <f>IF(YEAR('3 pr-2'!AJ34)=2023,BJ34,0)</f>
        <v>0</v>
      </c>
      <c r="BT34" s="523"/>
      <c r="BU34" s="881"/>
      <c r="BV34" s="518"/>
      <c r="BW34" s="518"/>
      <c r="BX34" s="518"/>
      <c r="BY34" s="518"/>
      <c r="BZ34" s="518"/>
      <c r="CA34" s="518"/>
      <c r="CB34" s="518"/>
      <c r="CC34" s="1337">
        <f t="shared" si="32"/>
        <v>0</v>
      </c>
      <c r="CD34" s="518"/>
      <c r="CE34" s="518"/>
      <c r="CF34" s="518"/>
      <c r="CG34" s="518">
        <f>IF(YEAR('3 pr-2'!$AJ34)=2017,$CD34,0)</f>
        <v>0</v>
      </c>
      <c r="CH34" s="518">
        <f>IF(YEAR('3 pr-2'!$AJ34)=2018,$CD34,0)</f>
        <v>0</v>
      </c>
      <c r="CI34" s="518">
        <f>IF(YEAR('3 pr-2'!$AJ34)=2019,$CD34,0)</f>
        <v>0</v>
      </c>
      <c r="CJ34" s="518">
        <f>IF(YEAR('3 pr-2'!$AJ34)=2020,$CD34,0)</f>
        <v>0</v>
      </c>
      <c r="CK34" s="518">
        <f>IF(YEAR('3 pr-2'!$AJ34)=2021,$CD34,0)</f>
        <v>0</v>
      </c>
      <c r="CL34" s="518">
        <f>IF(YEAR('3 pr-2'!$AJ34)=2022,$CD34,0)</f>
        <v>0</v>
      </c>
      <c r="CM34" s="518">
        <f>IF(YEAR('3 pr-2'!$AJ34)=2023,$CD34,0)</f>
        <v>0</v>
      </c>
      <c r="CN34" s="523"/>
      <c r="CO34" s="882"/>
      <c r="CP34" s="524"/>
      <c r="CQ34" s="518"/>
      <c r="CR34" s="518"/>
      <c r="CS34" s="518"/>
      <c r="CT34" s="518"/>
      <c r="CU34" s="518"/>
      <c r="CV34" s="518"/>
      <c r="CW34" s="1337">
        <f t="shared" si="33"/>
        <v>0</v>
      </c>
      <c r="CX34" s="524"/>
      <c r="CY34" s="504"/>
      <c r="CZ34" s="504"/>
      <c r="DA34" s="1332">
        <f>IF(YEAR('3 pr-2'!AJ34)=2017,CX34,0)</f>
        <v>0</v>
      </c>
      <c r="DB34" s="1332">
        <f>IF(YEAR('3 pr-2'!AJ34)=2018,CX34,0)</f>
        <v>0</v>
      </c>
      <c r="DC34" s="1332">
        <f>IF(YEAR('3 pr-2'!AJ34)=2019,CX34,0)</f>
        <v>0</v>
      </c>
      <c r="DD34" s="1332">
        <f>IF(YEAR('3 pr-2'!AJ34)=2020,CX34,0)</f>
        <v>0</v>
      </c>
      <c r="DE34" s="1332">
        <f>IF(YEAR('3 pr-2'!AJ34)=2021,CX34,0)</f>
        <v>0</v>
      </c>
      <c r="DF34" s="1332">
        <f>IF(YEAR('3 pr-2'!AJ34)=2022,CX34,0)</f>
        <v>0</v>
      </c>
      <c r="DG34" s="1332">
        <f>IF(YEAR('3 pr-2'!AJ34)=2023,CX34,0)</f>
        <v>0</v>
      </c>
    </row>
    <row r="35" spans="1:111" ht="85.5" thickTop="1" thickBot="1" x14ac:dyDescent="0.3">
      <c r="A35" s="518" t="str">
        <f>CONCATENATE('3 pr-2'!A35)</f>
        <v>1.1.1.2.2</v>
      </c>
      <c r="B35" s="518" t="str">
        <f>CONCATENATE('3 pr-2'!B35)</f>
        <v>R01-9908-290000-1122</v>
      </c>
      <c r="C35" s="1449" t="str">
        <f>CONCATENATE('ketv. 2lent'!B34)</f>
        <v>08.2.1-CPVA-R-908-11-0001</v>
      </c>
      <c r="D35" s="189" t="str">
        <f>CONCATENATE('3 pr-2'!D35)</f>
        <v>Senosios Varėnos kaimo viešosios infrastruktūros atnaujinimas ir pritaikymas bendruomenės poreikiams</v>
      </c>
      <c r="E35" s="480" t="str">
        <f>CONCATENATE('3 pr-2'!E35)</f>
        <v>Varėnos rajono savivaldybės administracija</v>
      </c>
      <c r="F35" s="480" t="str">
        <f>CONCATENATE('3 pr-2'!F35)</f>
        <v>Lietuvos Respublikos vidaus reikalų ministerija</v>
      </c>
      <c r="G35" s="480" t="str">
        <f>CONCATENATE('3 pr-2'!G35)</f>
        <v>Varėnos rajono savivaldybė</v>
      </c>
      <c r="H35" s="518" t="str">
        <f>CONCATENATE('3 pr-2'!H35)</f>
        <v>8.2.1-CPVA-R-908</v>
      </c>
      <c r="I35" s="518" t="str">
        <f>CONCATENATE('3 pr-2'!I35)</f>
        <v>R</v>
      </c>
      <c r="J35" s="518" t="str">
        <f>CONCATENATE('3 pr-2'!J35)</f>
        <v>-</v>
      </c>
      <c r="K35" s="518" t="str">
        <f>CONCATENATE('3 pr-2'!K35)</f>
        <v>-</v>
      </c>
      <c r="L35" s="518" t="s">
        <v>409</v>
      </c>
      <c r="M35" s="881" t="s">
        <v>483</v>
      </c>
      <c r="N35" s="518"/>
      <c r="O35" s="518"/>
      <c r="P35" s="518"/>
      <c r="Q35" s="518"/>
      <c r="R35" s="518"/>
      <c r="S35" s="518"/>
      <c r="T35" s="518"/>
      <c r="U35" s="1335"/>
      <c r="V35" s="518">
        <v>18000</v>
      </c>
      <c r="W35" s="1336">
        <f>IF('ketv. 6 lent'!K34&gt;0,"taip",0)</f>
        <v>0</v>
      </c>
      <c r="X35" s="518"/>
      <c r="Y35" s="518">
        <f>IF(YEAR('3 pr-2'!$AJ35)=2017,$V35,0)</f>
        <v>0</v>
      </c>
      <c r="Z35" s="518">
        <f>IF(YEAR('3 pr-2'!$AJ35)=2018,$V35,0)</f>
        <v>0</v>
      </c>
      <c r="AA35" s="518">
        <f>IF(YEAR('3 pr-2'!$AJ35)=2019,$V35,0)</f>
        <v>0</v>
      </c>
      <c r="AB35" s="518">
        <f>IF(YEAR('3 pr-2'!$AJ35)=2020,$V35,0)</f>
        <v>18000</v>
      </c>
      <c r="AC35" s="518">
        <f>IF(YEAR('3 pr-2'!$AJ35)=2021,$V35,0)</f>
        <v>0</v>
      </c>
      <c r="AD35" s="518">
        <f>IF(YEAR('3 pr-2'!$AJ35)=2022,$V35,0)</f>
        <v>0</v>
      </c>
      <c r="AE35" s="518">
        <f>IF(YEAR('3 pr-2'!$AJ35)=2023,$V35,0)</f>
        <v>0</v>
      </c>
      <c r="AF35" s="523"/>
      <c r="AG35" s="881"/>
      <c r="AH35" s="518"/>
      <c r="AI35" s="518"/>
      <c r="AJ35" s="518"/>
      <c r="AK35" s="518"/>
      <c r="AL35" s="518"/>
      <c r="AM35" s="518"/>
      <c r="AN35" s="518"/>
      <c r="AO35" s="1337">
        <f t="shared" si="43"/>
        <v>0</v>
      </c>
      <c r="AP35" s="518"/>
      <c r="AQ35" s="1338"/>
      <c r="AR35" s="518"/>
      <c r="AS35" s="518">
        <f>IF(YEAR('3 pr-2'!$AJ35)=2017,$AP35,0)</f>
        <v>0</v>
      </c>
      <c r="AT35" s="518">
        <f>IF(YEAR('3 pr-2'!$AJ35)=2018,$AP35,0)</f>
        <v>0</v>
      </c>
      <c r="AU35" s="518">
        <f>IF(YEAR('3 pr-2'!$AJ35)=2019,$AP35,0)</f>
        <v>0</v>
      </c>
      <c r="AV35" s="518">
        <f>IF(YEAR('3 pr-2'!$AJ35)=2020,$AP35,0)</f>
        <v>0</v>
      </c>
      <c r="AW35" s="518">
        <f>IF(YEAR('3 pr-2'!$AJ35)=2021,$AP35,0)</f>
        <v>0</v>
      </c>
      <c r="AX35" s="518">
        <f>IF(YEAR('3 pr-2'!$AJ35)=2022,$AP35,0)</f>
        <v>0</v>
      </c>
      <c r="AY35" s="518">
        <f>IF(YEAR('3 pr-2'!$AJ35)=2023,$AP35,0)</f>
        <v>0</v>
      </c>
      <c r="AZ35" s="518"/>
      <c r="BA35" s="880"/>
      <c r="BB35" s="518"/>
      <c r="BC35" s="518"/>
      <c r="BD35" s="518"/>
      <c r="BE35" s="518"/>
      <c r="BF35" s="518"/>
      <c r="BG35" s="518"/>
      <c r="BH35" s="518"/>
      <c r="BI35" s="1337">
        <f t="shared" si="51"/>
        <v>0</v>
      </c>
      <c r="BJ35" s="518"/>
      <c r="BK35" s="1338"/>
      <c r="BL35" s="518"/>
      <c r="BM35" s="518">
        <f>IF(YEAR('3 pr-2'!AJ35)=2017,BJ35,0)</f>
        <v>0</v>
      </c>
      <c r="BN35" s="518">
        <f>IF(YEAR('3 pr-2'!AJ35)=2018,BJ35,0)</f>
        <v>0</v>
      </c>
      <c r="BO35" s="518">
        <f>IF(YEAR('3 pr-2'!AJ35)=2019,BJ35,0)</f>
        <v>0</v>
      </c>
      <c r="BP35" s="518">
        <f>IF(YEAR('3 pr-2'!AJ35)=2020,BJ35,0)</f>
        <v>0</v>
      </c>
      <c r="BQ35" s="518">
        <f>IF(YEAR('3 pr-2'!AJ35)=2021,BJ35,0)</f>
        <v>0</v>
      </c>
      <c r="BR35" s="518">
        <f>IF(YEAR('3 pr-2'!AJ35)=2022,BJ35,0)</f>
        <v>0</v>
      </c>
      <c r="BS35" s="518">
        <f>IF(YEAR('3 pr-2'!AJ35)=2023,BJ35,0)</f>
        <v>0</v>
      </c>
      <c r="BT35" s="523"/>
      <c r="BU35" s="881"/>
      <c r="BV35" s="518"/>
      <c r="BW35" s="518"/>
      <c r="BX35" s="518"/>
      <c r="BY35" s="518"/>
      <c r="BZ35" s="518"/>
      <c r="CA35" s="518"/>
      <c r="CB35" s="518"/>
      <c r="CC35" s="1337">
        <f t="shared" si="32"/>
        <v>0</v>
      </c>
      <c r="CD35" s="518"/>
      <c r="CE35" s="518"/>
      <c r="CF35" s="518"/>
      <c r="CG35" s="518">
        <f>IF(YEAR('3 pr-2'!$AJ35)=2017,$CD35,0)</f>
        <v>0</v>
      </c>
      <c r="CH35" s="518">
        <f>IF(YEAR('3 pr-2'!$AJ35)=2018,$CD35,0)</f>
        <v>0</v>
      </c>
      <c r="CI35" s="518">
        <f>IF(YEAR('3 pr-2'!$AJ35)=2019,$CD35,0)</f>
        <v>0</v>
      </c>
      <c r="CJ35" s="518">
        <f>IF(YEAR('3 pr-2'!$AJ35)=2020,$CD35,0)</f>
        <v>0</v>
      </c>
      <c r="CK35" s="518">
        <f>IF(YEAR('3 pr-2'!$AJ35)=2021,$CD35,0)</f>
        <v>0</v>
      </c>
      <c r="CL35" s="518">
        <f>IF(YEAR('3 pr-2'!$AJ35)=2022,$CD35,0)</f>
        <v>0</v>
      </c>
      <c r="CM35" s="518">
        <f>IF(YEAR('3 pr-2'!$AJ35)=2023,$CD35,0)</f>
        <v>0</v>
      </c>
      <c r="CN35" s="523"/>
      <c r="CO35" s="882"/>
      <c r="CP35" s="524"/>
      <c r="CQ35" s="518"/>
      <c r="CR35" s="518"/>
      <c r="CS35" s="518"/>
      <c r="CT35" s="518"/>
      <c r="CU35" s="518"/>
      <c r="CV35" s="518"/>
      <c r="CW35" s="1337">
        <f t="shared" si="33"/>
        <v>0</v>
      </c>
      <c r="CX35" s="524"/>
      <c r="CY35" s="504"/>
      <c r="CZ35" s="504"/>
      <c r="DA35" s="1332">
        <f>IF(YEAR('3 pr-2'!AJ35)=2017,CX35,0)</f>
        <v>0</v>
      </c>
      <c r="DB35" s="1332">
        <f>IF(YEAR('3 pr-2'!AJ35)=2018,CX35,0)</f>
        <v>0</v>
      </c>
      <c r="DC35" s="1332">
        <f>IF(YEAR('3 pr-2'!AJ35)=2019,CX35,0)</f>
        <v>0</v>
      </c>
      <c r="DD35" s="1332">
        <f>IF(YEAR('3 pr-2'!AJ35)=2020,CX35,0)</f>
        <v>0</v>
      </c>
      <c r="DE35" s="1332">
        <f>IF(YEAR('3 pr-2'!AJ35)=2021,CX35,0)</f>
        <v>0</v>
      </c>
      <c r="DF35" s="1332">
        <f>IF(YEAR('3 pr-2'!AJ35)=2022,CX35,0)</f>
        <v>0</v>
      </c>
      <c r="DG35" s="1332">
        <f>IF(YEAR('3 pr-2'!AJ35)=2023,CX35,0)</f>
        <v>0</v>
      </c>
    </row>
    <row r="36" spans="1:111" ht="49.5" thickTop="1" thickBot="1" x14ac:dyDescent="0.3">
      <c r="A36" s="518" t="str">
        <f>CONCATENATE('3 pr-2'!A36)</f>
        <v>1.1.1.2.3</v>
      </c>
      <c r="B36" s="518" t="str">
        <f>CONCATENATE('3 pr-2'!B36)</f>
        <v>R01-9908-290000-1123</v>
      </c>
      <c r="C36" s="1449" t="str">
        <f>CONCATENATE('ketv. 2lent'!B35)</f>
        <v/>
      </c>
      <c r="D36" s="189" t="str">
        <f>CONCATENATE('3 pr-2'!D36)</f>
        <v>Kompleksinė Miklusėnų gyvenvietės plėtra</v>
      </c>
      <c r="E36" s="480" t="str">
        <f>CONCATENATE('3 pr-2'!E36)</f>
        <v>Alytaus rajono savivaldybės administracija</v>
      </c>
      <c r="F36" s="480" t="str">
        <f>CONCATENATE('3 pr-2'!F36)</f>
        <v>Lietuvos Respublikos vidaus reikalų ministerija</v>
      </c>
      <c r="G36" s="480" t="str">
        <f>CONCATENATE('3 pr-2'!G36)</f>
        <v>Alytaus rajono  savivaldybė</v>
      </c>
      <c r="H36" s="518" t="str">
        <f>CONCATENATE('3 pr-2'!H36)</f>
        <v>8.2.1-CPVA-R-908</v>
      </c>
      <c r="I36" s="518" t="str">
        <f>CONCATENATE('3 pr-2'!I36)</f>
        <v>R</v>
      </c>
      <c r="J36" s="518" t="str">
        <f>CONCATENATE('3 pr-2'!J36)</f>
        <v>-</v>
      </c>
      <c r="K36" s="518" t="str">
        <f>CONCATENATE('3 pr-2'!K36)</f>
        <v>-</v>
      </c>
      <c r="L36" s="518" t="s">
        <v>409</v>
      </c>
      <c r="M36" s="881" t="s">
        <v>485</v>
      </c>
      <c r="N36" s="518"/>
      <c r="O36" s="518"/>
      <c r="P36" s="518"/>
      <c r="Q36" s="518"/>
      <c r="R36" s="518"/>
      <c r="S36" s="518"/>
      <c r="T36" s="518"/>
      <c r="U36" s="1335"/>
      <c r="V36" s="518">
        <v>7440</v>
      </c>
      <c r="W36" s="1336">
        <f>IF('ketv. 6 lent'!K35&gt;0,"taip",0)</f>
        <v>0</v>
      </c>
      <c r="X36" s="518"/>
      <c r="Y36" s="518">
        <f>IF(YEAR('3 pr-2'!$AJ36)=2017,$V36,0)</f>
        <v>0</v>
      </c>
      <c r="Z36" s="518">
        <f>IF(YEAR('3 pr-2'!$AJ36)=2018,$V36,0)</f>
        <v>0</v>
      </c>
      <c r="AA36" s="518">
        <f>IF(YEAR('3 pr-2'!$AJ36)=2019,$V36,0)</f>
        <v>0</v>
      </c>
      <c r="AB36" s="518">
        <f>IF(YEAR('3 pr-2'!$AJ36)=2020,$V36,0)</f>
        <v>7440</v>
      </c>
      <c r="AC36" s="518">
        <f>IF(YEAR('3 pr-2'!$AJ36)=2021,$V36,0)</f>
        <v>0</v>
      </c>
      <c r="AD36" s="518">
        <f>IF(YEAR('3 pr-2'!$AJ36)=2022,$V36,0)</f>
        <v>0</v>
      </c>
      <c r="AE36" s="518">
        <f>IF(YEAR('3 pr-2'!$AJ36)=2023,$V36,0)</f>
        <v>0</v>
      </c>
      <c r="AF36" s="523"/>
      <c r="AG36" s="881"/>
      <c r="AH36" s="518"/>
      <c r="AI36" s="518"/>
      <c r="AJ36" s="518"/>
      <c r="AK36" s="518"/>
      <c r="AL36" s="518"/>
      <c r="AM36" s="518"/>
      <c r="AN36" s="518"/>
      <c r="AO36" s="1337">
        <f t="shared" si="43"/>
        <v>0</v>
      </c>
      <c r="AP36" s="518"/>
      <c r="AQ36" s="1338"/>
      <c r="AR36" s="518"/>
      <c r="AS36" s="518">
        <f>IF(YEAR('3 pr-2'!$AJ36)=2017,$AP36,0)</f>
        <v>0</v>
      </c>
      <c r="AT36" s="518">
        <f>IF(YEAR('3 pr-2'!$AJ36)=2018,$AP36,0)</f>
        <v>0</v>
      </c>
      <c r="AU36" s="518">
        <f>IF(YEAR('3 pr-2'!$AJ36)=2019,$AP36,0)</f>
        <v>0</v>
      </c>
      <c r="AV36" s="518">
        <f>IF(YEAR('3 pr-2'!$AJ36)=2020,$AP36,0)</f>
        <v>0</v>
      </c>
      <c r="AW36" s="518">
        <f>IF(YEAR('3 pr-2'!$AJ36)=2021,$AP36,0)</f>
        <v>0</v>
      </c>
      <c r="AX36" s="518">
        <f>IF(YEAR('3 pr-2'!$AJ36)=2022,$AP36,0)</f>
        <v>0</v>
      </c>
      <c r="AY36" s="518">
        <f>IF(YEAR('3 pr-2'!$AJ36)=2023,$AP36,0)</f>
        <v>0</v>
      </c>
      <c r="AZ36" s="518"/>
      <c r="BA36" s="880"/>
      <c r="BB36" s="518"/>
      <c r="BC36" s="518"/>
      <c r="BD36" s="518"/>
      <c r="BE36" s="518"/>
      <c r="BF36" s="518"/>
      <c r="BG36" s="518"/>
      <c r="BH36" s="518"/>
      <c r="BI36" s="1337">
        <f t="shared" si="51"/>
        <v>0</v>
      </c>
      <c r="BJ36" s="518"/>
      <c r="BK36" s="1338"/>
      <c r="BL36" s="518"/>
      <c r="BM36" s="518">
        <f>IF(YEAR('3 pr-2'!AJ36)=2017,BJ36,0)</f>
        <v>0</v>
      </c>
      <c r="BN36" s="518">
        <f>IF(YEAR('3 pr-2'!AJ36)=2018,BJ36,0)</f>
        <v>0</v>
      </c>
      <c r="BO36" s="518">
        <f>IF(YEAR('3 pr-2'!AJ36)=2019,BJ36,0)</f>
        <v>0</v>
      </c>
      <c r="BP36" s="518">
        <f>IF(YEAR('3 pr-2'!AJ36)=2020,BJ36,0)</f>
        <v>0</v>
      </c>
      <c r="BQ36" s="518">
        <f>IF(YEAR('3 pr-2'!AJ36)=2021,BJ36,0)</f>
        <v>0</v>
      </c>
      <c r="BR36" s="518">
        <f>IF(YEAR('3 pr-2'!AJ36)=2022,BJ36,0)</f>
        <v>0</v>
      </c>
      <c r="BS36" s="518">
        <f>IF(YEAR('3 pr-2'!AJ36)=2023,BJ36,0)</f>
        <v>0</v>
      </c>
      <c r="BT36" s="523"/>
      <c r="BU36" s="881"/>
      <c r="BV36" s="518"/>
      <c r="BW36" s="518"/>
      <c r="BX36" s="518"/>
      <c r="BY36" s="518"/>
      <c r="BZ36" s="518"/>
      <c r="CA36" s="518"/>
      <c r="CB36" s="518"/>
      <c r="CC36" s="1337">
        <f t="shared" si="32"/>
        <v>0</v>
      </c>
      <c r="CD36" s="518"/>
      <c r="CE36" s="518"/>
      <c r="CF36" s="518"/>
      <c r="CG36" s="518">
        <f>IF(YEAR('3 pr-2'!$AJ36)=2017,$CD36,0)</f>
        <v>0</v>
      </c>
      <c r="CH36" s="518">
        <f>IF(YEAR('3 pr-2'!$AJ36)=2018,$CD36,0)</f>
        <v>0</v>
      </c>
      <c r="CI36" s="518">
        <f>IF(YEAR('3 pr-2'!$AJ36)=2019,$CD36,0)</f>
        <v>0</v>
      </c>
      <c r="CJ36" s="518">
        <f>IF(YEAR('3 pr-2'!$AJ36)=2020,$CD36,0)</f>
        <v>0</v>
      </c>
      <c r="CK36" s="518">
        <f>IF(YEAR('3 pr-2'!$AJ36)=2021,$CD36,0)</f>
        <v>0</v>
      </c>
      <c r="CL36" s="518">
        <f>IF(YEAR('3 pr-2'!$AJ36)=2022,$CD36,0)</f>
        <v>0</v>
      </c>
      <c r="CM36" s="518">
        <f>IF(YEAR('3 pr-2'!$AJ36)=2023,$CD36,0)</f>
        <v>0</v>
      </c>
      <c r="CN36" s="523"/>
      <c r="CO36" s="882"/>
      <c r="CP36" s="524"/>
      <c r="CQ36" s="518"/>
      <c r="CR36" s="518"/>
      <c r="CS36" s="518"/>
      <c r="CT36" s="518"/>
      <c r="CU36" s="518"/>
      <c r="CV36" s="518"/>
      <c r="CW36" s="1337">
        <f t="shared" si="33"/>
        <v>0</v>
      </c>
      <c r="CX36" s="524"/>
      <c r="CY36" s="504"/>
      <c r="CZ36" s="504"/>
      <c r="DA36" s="1332">
        <f>IF(YEAR('3 pr-2'!AJ36)=2017,CX36,0)</f>
        <v>0</v>
      </c>
      <c r="DB36" s="1332">
        <f>IF(YEAR('3 pr-2'!AJ36)=2018,CX36,0)</f>
        <v>0</v>
      </c>
      <c r="DC36" s="1332">
        <f>IF(YEAR('3 pr-2'!AJ36)=2019,CX36,0)</f>
        <v>0</v>
      </c>
      <c r="DD36" s="1332">
        <f>IF(YEAR('3 pr-2'!AJ36)=2020,CX36,0)</f>
        <v>0</v>
      </c>
      <c r="DE36" s="1332">
        <f>IF(YEAR('3 pr-2'!AJ36)=2021,CX36,0)</f>
        <v>0</v>
      </c>
      <c r="DF36" s="1332">
        <f>IF(YEAR('3 pr-2'!AJ36)=2022,CX36,0)</f>
        <v>0</v>
      </c>
      <c r="DG36" s="1332">
        <f>IF(YEAR('3 pr-2'!AJ36)=2023,CX36,0)</f>
        <v>0</v>
      </c>
    </row>
    <row r="37" spans="1:111" ht="49.5" thickTop="1" thickBot="1" x14ac:dyDescent="0.3">
      <c r="A37" s="518" t="str">
        <f>CONCATENATE('3 pr-2'!A37)</f>
        <v>1.1.1.2.4</v>
      </c>
      <c r="B37" s="518" t="str">
        <f>CONCATENATE('3 pr-2'!B37)</f>
        <v>R01-9908-290000-1124</v>
      </c>
      <c r="C37" s="1449" t="str">
        <f>CONCATENATE('ketv. 2lent'!B36)</f>
        <v/>
      </c>
      <c r="D37" s="189" t="str">
        <f>CONCATENATE('3 pr-2'!D37)</f>
        <v>Leipalingio viešosios erdvės pritaikymas bendruomenės poreikiams</v>
      </c>
      <c r="E37" s="480" t="str">
        <f>CONCATENATE('3 pr-2'!E37)</f>
        <v xml:space="preserve">Druskininkų savivaldybės administracija  </v>
      </c>
      <c r="F37" s="480" t="str">
        <f>CONCATENATE('3 pr-2'!F37)</f>
        <v>Lietuvos Respublikos vidaus reikalų ministerija</v>
      </c>
      <c r="G37" s="480" t="str">
        <f>CONCATENATE('3 pr-2'!G37)</f>
        <v>Druskininkų savivaldybė, Leipalingio seniūnija</v>
      </c>
      <c r="H37" s="518" t="str">
        <f>CONCATENATE('3 pr-2'!H37)</f>
        <v>8.2.1-CPVA-R-908</v>
      </c>
      <c r="I37" s="518" t="str">
        <f>CONCATENATE('3 pr-2'!I37)</f>
        <v>R</v>
      </c>
      <c r="J37" s="518" t="str">
        <f>CONCATENATE('3 pr-2'!J37)</f>
        <v>-</v>
      </c>
      <c r="K37" s="518" t="str">
        <f>CONCATENATE('3 pr-2'!K37)</f>
        <v>-</v>
      </c>
      <c r="L37" s="518" t="s">
        <v>409</v>
      </c>
      <c r="M37" s="881" t="s">
        <v>894</v>
      </c>
      <c r="N37" s="518"/>
      <c r="O37" s="518"/>
      <c r="P37" s="518"/>
      <c r="Q37" s="518"/>
      <c r="R37" s="518"/>
      <c r="S37" s="518"/>
      <c r="T37" s="518"/>
      <c r="U37" s="1335"/>
      <c r="V37" s="518">
        <v>8195</v>
      </c>
      <c r="W37" s="1336">
        <f>IF('ketv. 6 lent'!K36&gt;0,"taip",0)</f>
        <v>0</v>
      </c>
      <c r="X37" s="518"/>
      <c r="Y37" s="518">
        <f>IF(YEAR('3 pr-2'!$AJ37)=2017,$V37,0)</f>
        <v>0</v>
      </c>
      <c r="Z37" s="518">
        <f>IF(YEAR('3 pr-2'!$AJ37)=2018,$V37,0)</f>
        <v>0</v>
      </c>
      <c r="AA37" s="518">
        <f>IF(YEAR('3 pr-2'!$AJ37)=2019,$V37,0)</f>
        <v>8195</v>
      </c>
      <c r="AB37" s="518">
        <f>IF(YEAR('3 pr-2'!$AJ37)=2020,$V37,0)</f>
        <v>0</v>
      </c>
      <c r="AC37" s="518">
        <f>IF(YEAR('3 pr-2'!$AJ37)=2021,$V37,0)</f>
        <v>0</v>
      </c>
      <c r="AD37" s="518">
        <f>IF(YEAR('3 pr-2'!$AJ37)=2022,$V37,0)</f>
        <v>0</v>
      </c>
      <c r="AE37" s="518">
        <f>IF(YEAR('3 pr-2'!$AJ37)=2023,$V37,0)</f>
        <v>0</v>
      </c>
      <c r="AF37" s="523"/>
      <c r="AG37" s="881"/>
      <c r="AH37" s="518"/>
      <c r="AI37" s="518"/>
      <c r="AJ37" s="518"/>
      <c r="AK37" s="518"/>
      <c r="AL37" s="518"/>
      <c r="AM37" s="518"/>
      <c r="AN37" s="518"/>
      <c r="AO37" s="1337">
        <f t="shared" si="43"/>
        <v>0</v>
      </c>
      <c r="AP37" s="518"/>
      <c r="AQ37" s="1338"/>
      <c r="AR37" s="518"/>
      <c r="AS37" s="518">
        <f>IF(YEAR('3 pr-2'!$AJ37)=2017,$AP37,0)</f>
        <v>0</v>
      </c>
      <c r="AT37" s="518">
        <f>IF(YEAR('3 pr-2'!$AJ37)=2018,$AP37,0)</f>
        <v>0</v>
      </c>
      <c r="AU37" s="518">
        <f>IF(YEAR('3 pr-2'!$AJ37)=2019,$AP37,0)</f>
        <v>0</v>
      </c>
      <c r="AV37" s="518">
        <f>IF(YEAR('3 pr-2'!$AJ37)=2020,$AP37,0)</f>
        <v>0</v>
      </c>
      <c r="AW37" s="518">
        <f>IF(YEAR('3 pr-2'!$AJ37)=2021,$AP37,0)</f>
        <v>0</v>
      </c>
      <c r="AX37" s="518">
        <f>IF(YEAR('3 pr-2'!$AJ37)=2022,$AP37,0)</f>
        <v>0</v>
      </c>
      <c r="AY37" s="518">
        <f>IF(YEAR('3 pr-2'!$AJ37)=2023,$AP37,0)</f>
        <v>0</v>
      </c>
      <c r="AZ37" s="518"/>
      <c r="BA37" s="880"/>
      <c r="BB37" s="518"/>
      <c r="BC37" s="518"/>
      <c r="BD37" s="518"/>
      <c r="BE37" s="518"/>
      <c r="BF37" s="518"/>
      <c r="BG37" s="518"/>
      <c r="BH37" s="518"/>
      <c r="BI37" s="1337">
        <f t="shared" si="51"/>
        <v>0</v>
      </c>
      <c r="BJ37" s="518"/>
      <c r="BK37" s="1338"/>
      <c r="BL37" s="518"/>
      <c r="BM37" s="518">
        <f>IF(YEAR('3 pr-2'!AJ37)=2017,BJ37,0)</f>
        <v>0</v>
      </c>
      <c r="BN37" s="518">
        <f>IF(YEAR('3 pr-2'!AJ37)=2018,BJ37,0)</f>
        <v>0</v>
      </c>
      <c r="BO37" s="518">
        <f>IF(YEAR('3 pr-2'!AJ37)=2019,BJ37,0)</f>
        <v>0</v>
      </c>
      <c r="BP37" s="518">
        <f>IF(YEAR('3 pr-2'!AJ37)=2020,BJ37,0)</f>
        <v>0</v>
      </c>
      <c r="BQ37" s="518">
        <f>IF(YEAR('3 pr-2'!AJ37)=2021,BJ37,0)</f>
        <v>0</v>
      </c>
      <c r="BR37" s="518">
        <f>IF(YEAR('3 pr-2'!AJ37)=2022,BJ37,0)</f>
        <v>0</v>
      </c>
      <c r="BS37" s="518">
        <f>IF(YEAR('3 pr-2'!AJ37)=2023,BJ37,0)</f>
        <v>0</v>
      </c>
      <c r="BT37" s="523"/>
      <c r="BU37" s="881"/>
      <c r="BV37" s="518"/>
      <c r="BW37" s="518"/>
      <c r="BX37" s="518"/>
      <c r="BY37" s="518"/>
      <c r="BZ37" s="518"/>
      <c r="CA37" s="518"/>
      <c r="CB37" s="518"/>
      <c r="CC37" s="1337">
        <f t="shared" si="32"/>
        <v>0</v>
      </c>
      <c r="CD37" s="518"/>
      <c r="CE37" s="518"/>
      <c r="CF37" s="518"/>
      <c r="CG37" s="518">
        <f>IF(YEAR('3 pr-2'!$AJ37)=2017,$CD37,0)</f>
        <v>0</v>
      </c>
      <c r="CH37" s="518">
        <f>IF(YEAR('3 pr-2'!$AJ37)=2018,$CD37,0)</f>
        <v>0</v>
      </c>
      <c r="CI37" s="518">
        <f>IF(YEAR('3 pr-2'!$AJ37)=2019,$CD37,0)</f>
        <v>0</v>
      </c>
      <c r="CJ37" s="518">
        <f>IF(YEAR('3 pr-2'!$AJ37)=2020,$CD37,0)</f>
        <v>0</v>
      </c>
      <c r="CK37" s="518">
        <f>IF(YEAR('3 pr-2'!$AJ37)=2021,$CD37,0)</f>
        <v>0</v>
      </c>
      <c r="CL37" s="518">
        <f>IF(YEAR('3 pr-2'!$AJ37)=2022,$CD37,0)</f>
        <v>0</v>
      </c>
      <c r="CM37" s="518">
        <f>IF(YEAR('3 pr-2'!$AJ37)=2023,$CD37,0)</f>
        <v>0</v>
      </c>
      <c r="CN37" s="523"/>
      <c r="CO37" s="882"/>
      <c r="CP37" s="524"/>
      <c r="CQ37" s="518"/>
      <c r="CR37" s="518"/>
      <c r="CS37" s="518"/>
      <c r="CT37" s="518"/>
      <c r="CU37" s="518"/>
      <c r="CV37" s="518"/>
      <c r="CW37" s="1337">
        <f t="shared" si="33"/>
        <v>0</v>
      </c>
      <c r="CX37" s="524"/>
      <c r="CY37" s="504"/>
      <c r="CZ37" s="504"/>
      <c r="DA37" s="1332">
        <f>IF(YEAR('3 pr-2'!AJ37)=2017,CX37,0)</f>
        <v>0</v>
      </c>
      <c r="DB37" s="1332">
        <f>IF(YEAR('3 pr-2'!AJ37)=2018,CX37,0)</f>
        <v>0</v>
      </c>
      <c r="DC37" s="1332">
        <f>IF(YEAR('3 pr-2'!AJ37)=2019,CX37,0)</f>
        <v>0</v>
      </c>
      <c r="DD37" s="1332">
        <f>IF(YEAR('3 pr-2'!AJ37)=2020,CX37,0)</f>
        <v>0</v>
      </c>
      <c r="DE37" s="1332">
        <f>IF(YEAR('3 pr-2'!AJ37)=2021,CX37,0)</f>
        <v>0</v>
      </c>
      <c r="DF37" s="1332">
        <f>IF(YEAR('3 pr-2'!AJ37)=2022,CX37,0)</f>
        <v>0</v>
      </c>
      <c r="DG37" s="1332">
        <f>IF(YEAR('3 pr-2'!AJ37)=2023,CX37,0)</f>
        <v>0</v>
      </c>
    </row>
    <row r="38" spans="1:111" ht="49.5" thickTop="1" thickBot="1" x14ac:dyDescent="0.3">
      <c r="A38" s="518" t="str">
        <f>CONCATENATE('3 pr-2'!A38)</f>
        <v>1.1.1.2.5</v>
      </c>
      <c r="B38" s="518" t="str">
        <f>CONCATENATE('3 pr-2'!B38)</f>
        <v>R01-9908-290000-1125</v>
      </c>
      <c r="C38" s="1449" t="str">
        <f>CONCATENATE('ketv. 2lent'!B37)</f>
        <v/>
      </c>
      <c r="D38" s="189" t="str">
        <f>CONCATENATE('3 pr-2'!D38)</f>
        <v>Viečiūnų viešosios erdvės pritaikymas bendruomenės poreikiams</v>
      </c>
      <c r="E38" s="480" t="str">
        <f>CONCATENATE('3 pr-2'!E38)</f>
        <v xml:space="preserve">Druskininkų savivaldybės administracija  </v>
      </c>
      <c r="F38" s="480" t="str">
        <f>CONCATENATE('3 pr-2'!F38)</f>
        <v>Lietuvos Respublikos vidaus reikalų ministerija</v>
      </c>
      <c r="G38" s="480" t="str">
        <f>CONCATENATE('3 pr-2'!G38)</f>
        <v>Druskininkų savivaldybė, Viečiūnų seniūnija</v>
      </c>
      <c r="H38" s="518" t="str">
        <f>CONCATENATE('3 pr-2'!H38)</f>
        <v>8.2.1-CPVA-R-908</v>
      </c>
      <c r="I38" s="518" t="str">
        <f>CONCATENATE('3 pr-2'!I38)</f>
        <v>R</v>
      </c>
      <c r="J38" s="518" t="str">
        <f>CONCATENATE('3 pr-2'!J38)</f>
        <v>-</v>
      </c>
      <c r="K38" s="518" t="str">
        <f>CONCATENATE('3 pr-2'!K38)</f>
        <v>-</v>
      </c>
      <c r="L38" s="518" t="s">
        <v>409</v>
      </c>
      <c r="M38" s="881" t="s">
        <v>894</v>
      </c>
      <c r="N38" s="518"/>
      <c r="O38" s="518"/>
      <c r="P38" s="518"/>
      <c r="Q38" s="518"/>
      <c r="R38" s="518"/>
      <c r="S38" s="518"/>
      <c r="T38" s="518"/>
      <c r="U38" s="1335"/>
      <c r="V38" s="518">
        <v>5821</v>
      </c>
      <c r="W38" s="1336">
        <f>IF('ketv. 6 lent'!K37&gt;0,"taip",0)</f>
        <v>0</v>
      </c>
      <c r="X38" s="518"/>
      <c r="Y38" s="518">
        <f>IF(YEAR('3 pr-2'!$AJ38)=2017,$V38,0)</f>
        <v>0</v>
      </c>
      <c r="Z38" s="518">
        <f>IF(YEAR('3 pr-2'!$AJ38)=2018,$V38,0)</f>
        <v>0</v>
      </c>
      <c r="AA38" s="518">
        <f>IF(YEAR('3 pr-2'!$AJ38)=2019,$V38,0)</f>
        <v>0</v>
      </c>
      <c r="AB38" s="518">
        <f>IF(YEAR('3 pr-2'!$AJ38)=2020,$V38,0)</f>
        <v>5821</v>
      </c>
      <c r="AC38" s="518">
        <f>IF(YEAR('3 pr-2'!$AJ38)=2021,$V38,0)</f>
        <v>0</v>
      </c>
      <c r="AD38" s="518">
        <f>IF(YEAR('3 pr-2'!$AJ38)=2022,$V38,0)</f>
        <v>0</v>
      </c>
      <c r="AE38" s="518">
        <f>IF(YEAR('3 pr-2'!$AJ38)=2023,$V38,0)</f>
        <v>0</v>
      </c>
      <c r="AF38" s="523"/>
      <c r="AG38" s="881"/>
      <c r="AH38" s="518"/>
      <c r="AI38" s="518"/>
      <c r="AJ38" s="518"/>
      <c r="AK38" s="518"/>
      <c r="AL38" s="518"/>
      <c r="AM38" s="518"/>
      <c r="AN38" s="518"/>
      <c r="AO38" s="1337"/>
      <c r="AP38" s="518"/>
      <c r="AQ38" s="1338"/>
      <c r="AR38" s="518"/>
      <c r="AS38" s="518">
        <f>IF(YEAR('3 pr-2'!$AJ38)=2017,$AP38,0)</f>
        <v>0</v>
      </c>
      <c r="AT38" s="518">
        <f>IF(YEAR('3 pr-2'!$AJ38)=2018,$AP38,0)</f>
        <v>0</v>
      </c>
      <c r="AU38" s="518">
        <f>IF(YEAR('3 pr-2'!$AJ38)=2019,$AP38,0)</f>
        <v>0</v>
      </c>
      <c r="AV38" s="518">
        <f>IF(YEAR('3 pr-2'!$AJ38)=2020,$AP38,0)</f>
        <v>0</v>
      </c>
      <c r="AW38" s="518">
        <f>IF(YEAR('3 pr-2'!$AJ38)=2021,$AP38,0)</f>
        <v>0</v>
      </c>
      <c r="AX38" s="518">
        <f>IF(YEAR('3 pr-2'!$AJ38)=2022,$AP38,0)</f>
        <v>0</v>
      </c>
      <c r="AY38" s="518">
        <f>IF(YEAR('3 pr-2'!$AJ38)=2023,$AP38,0)</f>
        <v>0</v>
      </c>
      <c r="AZ38" s="518"/>
      <c r="BA38" s="880"/>
      <c r="BB38" s="518"/>
      <c r="BC38" s="518"/>
      <c r="BD38" s="518"/>
      <c r="BE38" s="518"/>
      <c r="BF38" s="518"/>
      <c r="BG38" s="518"/>
      <c r="BH38" s="518"/>
      <c r="BI38" s="1337">
        <f t="shared" si="51"/>
        <v>0</v>
      </c>
      <c r="BJ38" s="518"/>
      <c r="BK38" s="1338"/>
      <c r="BL38" s="518"/>
      <c r="BM38" s="518">
        <f>IF(YEAR('3 pr-2'!AJ38)=2017,BJ38,0)</f>
        <v>0</v>
      </c>
      <c r="BN38" s="518">
        <f>IF(YEAR('3 pr-2'!AJ38)=2018,BJ38,0)</f>
        <v>0</v>
      </c>
      <c r="BO38" s="518">
        <f>IF(YEAR('3 pr-2'!AJ38)=2019,BJ38,0)</f>
        <v>0</v>
      </c>
      <c r="BP38" s="518">
        <f>IF(YEAR('3 pr-2'!AJ38)=2020,BJ38,0)</f>
        <v>0</v>
      </c>
      <c r="BQ38" s="518">
        <f>IF(YEAR('3 pr-2'!AJ38)=2021,BJ38,0)</f>
        <v>0</v>
      </c>
      <c r="BR38" s="518">
        <f>IF(YEAR('3 pr-2'!AJ38)=2022,BJ38,0)</f>
        <v>0</v>
      </c>
      <c r="BS38" s="518">
        <f>IF(YEAR('3 pr-2'!AJ38)=2023,BJ38,0)</f>
        <v>0</v>
      </c>
      <c r="BT38" s="523"/>
      <c r="BU38" s="881"/>
      <c r="BV38" s="518"/>
      <c r="BW38" s="518"/>
      <c r="BX38" s="518"/>
      <c r="BY38" s="518"/>
      <c r="BZ38" s="518"/>
      <c r="CA38" s="518"/>
      <c r="CB38" s="518"/>
      <c r="CC38" s="1337">
        <f t="shared" si="32"/>
        <v>0</v>
      </c>
      <c r="CD38" s="518"/>
      <c r="CE38" s="518"/>
      <c r="CF38" s="518"/>
      <c r="CG38" s="518">
        <f>IF(YEAR('3 pr-2'!$AJ38)=2017,$CD38,0)</f>
        <v>0</v>
      </c>
      <c r="CH38" s="518">
        <f>IF(YEAR('3 pr-2'!$AJ38)=2018,$CD38,0)</f>
        <v>0</v>
      </c>
      <c r="CI38" s="518">
        <f>IF(YEAR('3 pr-2'!$AJ38)=2019,$CD38,0)</f>
        <v>0</v>
      </c>
      <c r="CJ38" s="518">
        <f>IF(YEAR('3 pr-2'!$AJ38)=2020,$CD38,0)</f>
        <v>0</v>
      </c>
      <c r="CK38" s="518">
        <f>IF(YEAR('3 pr-2'!$AJ38)=2021,$CD38,0)</f>
        <v>0</v>
      </c>
      <c r="CL38" s="518">
        <f>IF(YEAR('3 pr-2'!$AJ38)=2022,$CD38,0)</f>
        <v>0</v>
      </c>
      <c r="CM38" s="518">
        <f>IF(YEAR('3 pr-2'!$AJ38)=2023,$CD38,0)</f>
        <v>0</v>
      </c>
      <c r="CN38" s="523"/>
      <c r="CO38" s="882"/>
      <c r="CP38" s="524"/>
      <c r="CQ38" s="518"/>
      <c r="CR38" s="518"/>
      <c r="CS38" s="518"/>
      <c r="CT38" s="518"/>
      <c r="CU38" s="518"/>
      <c r="CV38" s="518"/>
      <c r="CW38" s="1337">
        <f t="shared" si="33"/>
        <v>0</v>
      </c>
      <c r="CX38" s="524"/>
      <c r="CY38" s="504"/>
      <c r="CZ38" s="504"/>
      <c r="DA38" s="1332">
        <f>IF(YEAR('3 pr-2'!AJ38)=2017,CX38,0)</f>
        <v>0</v>
      </c>
      <c r="DB38" s="1332">
        <f>IF(YEAR('3 pr-2'!AJ38)=2018,CX38,0)</f>
        <v>0</v>
      </c>
      <c r="DC38" s="1332">
        <f>IF(YEAR('3 pr-2'!AJ38)=2019,CX38,0)</f>
        <v>0</v>
      </c>
      <c r="DD38" s="1332">
        <f>IF(YEAR('3 pr-2'!AJ38)=2020,CX38,0)</f>
        <v>0</v>
      </c>
      <c r="DE38" s="1332">
        <f>IF(YEAR('3 pr-2'!AJ38)=2021,CX38,0)</f>
        <v>0</v>
      </c>
      <c r="DF38" s="1332">
        <f>IF(YEAR('3 pr-2'!AJ38)=2022,CX38,0)</f>
        <v>0</v>
      </c>
      <c r="DG38" s="1332">
        <f>IF(YEAR('3 pr-2'!AJ38)=2023,CX38,0)</f>
        <v>0</v>
      </c>
    </row>
    <row r="39" spans="1:111" ht="42.75" thickBot="1" x14ac:dyDescent="0.3">
      <c r="A39" s="1257" t="str">
        <f>CONCATENATE('3 pr-2'!A39)</f>
        <v>1.1.1.3</v>
      </c>
      <c r="B39" s="1687" t="str">
        <f>CONCATENATE('3 pr-2'!B39)</f>
        <v>Priemonė:
Varėnos miesto kompleksinė plėtra</v>
      </c>
      <c r="C39" s="1688"/>
      <c r="D39" s="1688"/>
      <c r="E39" s="1688"/>
      <c r="F39" s="1688"/>
      <c r="G39" s="1688"/>
      <c r="H39" s="1688"/>
      <c r="I39" s="1688"/>
      <c r="J39" s="1688"/>
      <c r="K39" s="1689"/>
      <c r="L39" s="526" t="s">
        <v>486</v>
      </c>
      <c r="M39" s="1501" t="s">
        <v>487</v>
      </c>
      <c r="N39" s="1498">
        <f>SUM(N40:N44)</f>
        <v>0</v>
      </c>
      <c r="O39" s="1498">
        <f t="shared" ref="O39:T39" si="64">SUM(O40:O44)</f>
        <v>0</v>
      </c>
      <c r="P39" s="1498">
        <f t="shared" si="64"/>
        <v>0</v>
      </c>
      <c r="Q39" s="1498">
        <f t="shared" si="64"/>
        <v>0</v>
      </c>
      <c r="R39" s="1498">
        <f t="shared" si="64"/>
        <v>0</v>
      </c>
      <c r="S39" s="1498">
        <f t="shared" si="64"/>
        <v>0</v>
      </c>
      <c r="T39" s="1498">
        <f t="shared" si="64"/>
        <v>0</v>
      </c>
      <c r="U39" s="1502">
        <f t="shared" si="35"/>
        <v>0</v>
      </c>
      <c r="V39" s="501">
        <f>SUM(V40:V45)</f>
        <v>232125.41</v>
      </c>
      <c r="W39" s="1503"/>
      <c r="X39" s="1504"/>
      <c r="Y39" s="1498">
        <f t="shared" ref="Y39:AE39" si="65">SUM(Y40:Y45)</f>
        <v>0</v>
      </c>
      <c r="Z39" s="1498">
        <f t="shared" si="65"/>
        <v>19605</v>
      </c>
      <c r="AA39" s="1498">
        <f t="shared" si="65"/>
        <v>156457.41</v>
      </c>
      <c r="AB39" s="1498">
        <f t="shared" si="65"/>
        <v>56063</v>
      </c>
      <c r="AC39" s="1498">
        <f t="shared" si="65"/>
        <v>0</v>
      </c>
      <c r="AD39" s="1498">
        <f t="shared" si="65"/>
        <v>0</v>
      </c>
      <c r="AE39" s="1498">
        <f t="shared" si="65"/>
        <v>0</v>
      </c>
      <c r="AF39" s="1504" t="s">
        <v>491</v>
      </c>
      <c r="AG39" s="1495" t="s">
        <v>492</v>
      </c>
      <c r="AH39" s="1498"/>
      <c r="AI39" s="1498"/>
      <c r="AJ39" s="1498"/>
      <c r="AK39" s="1498"/>
      <c r="AL39" s="1498"/>
      <c r="AM39" s="1498"/>
      <c r="AN39" s="1498"/>
      <c r="AO39" s="501">
        <v>0</v>
      </c>
      <c r="AP39" s="501">
        <f>SUM(AP40:AP45)</f>
        <v>34.56</v>
      </c>
      <c r="AQ39" s="1498"/>
      <c r="AR39" s="1498"/>
      <c r="AS39" s="1498">
        <f t="shared" ref="AS39:AY39" si="66">SUM(AS40:AS45)</f>
        <v>0</v>
      </c>
      <c r="AT39" s="1498">
        <f t="shared" si="66"/>
        <v>0</v>
      </c>
      <c r="AU39" s="1498">
        <f t="shared" si="66"/>
        <v>34.56</v>
      </c>
      <c r="AV39" s="1498">
        <f t="shared" si="66"/>
        <v>0</v>
      </c>
      <c r="AW39" s="1498">
        <f t="shared" si="66"/>
        <v>0</v>
      </c>
      <c r="AX39" s="1498">
        <f t="shared" si="66"/>
        <v>0</v>
      </c>
      <c r="AY39" s="1498">
        <f t="shared" si="66"/>
        <v>0</v>
      </c>
      <c r="AZ39" s="501"/>
      <c r="BA39" s="1495"/>
      <c r="BB39" s="1498">
        <f>SUM(BB40:BB44)</f>
        <v>0</v>
      </c>
      <c r="BC39" s="1498">
        <f t="shared" ref="BC39" si="67">SUM(BC40:BC44)</f>
        <v>0</v>
      </c>
      <c r="BD39" s="1498">
        <f t="shared" ref="BD39" si="68">SUM(BD40:BD44)</f>
        <v>0</v>
      </c>
      <c r="BE39" s="1498">
        <f t="shared" ref="BE39" si="69">SUM(BE40:BE44)</f>
        <v>0</v>
      </c>
      <c r="BF39" s="1498">
        <f t="shared" ref="BF39" si="70">SUM(BF40:BF44)</f>
        <v>0</v>
      </c>
      <c r="BG39" s="1498">
        <f t="shared" ref="BG39" si="71">SUM(BG40:BG44)</f>
        <v>0</v>
      </c>
      <c r="BH39" s="1498">
        <f t="shared" ref="BH39" si="72">SUM(BH40:BH44)</f>
        <v>0</v>
      </c>
      <c r="BI39" s="501">
        <f t="shared" si="51"/>
        <v>0</v>
      </c>
      <c r="BJ39" s="501"/>
      <c r="BK39" s="1498"/>
      <c r="BL39" s="1498"/>
      <c r="BM39" s="1498"/>
      <c r="BN39" s="1498"/>
      <c r="BO39" s="1498"/>
      <c r="BP39" s="1498"/>
      <c r="BQ39" s="1498"/>
      <c r="BR39" s="1498"/>
      <c r="BS39" s="1498"/>
      <c r="BT39" s="1498"/>
      <c r="BU39" s="1497"/>
      <c r="BV39" s="1498">
        <f>SUM(BV40:BV44)</f>
        <v>0</v>
      </c>
      <c r="BW39" s="1498">
        <f t="shared" ref="BW39" si="73">SUM(BW40:BW44)</f>
        <v>0</v>
      </c>
      <c r="BX39" s="1498">
        <f t="shared" ref="BX39" si="74">SUM(BX40:BX44)</f>
        <v>0</v>
      </c>
      <c r="BY39" s="1498">
        <f t="shared" ref="BY39" si="75">SUM(BY40:BY44)</f>
        <v>0</v>
      </c>
      <c r="BZ39" s="1498">
        <f t="shared" ref="BZ39" si="76">SUM(BZ40:BZ44)</f>
        <v>0</v>
      </c>
      <c r="CA39" s="1498">
        <f t="shared" ref="CA39" si="77">SUM(CA40:CA44)</f>
        <v>0</v>
      </c>
      <c r="CB39" s="1498">
        <f t="shared" ref="CB39" si="78">SUM(CB40:CB44)</f>
        <v>0</v>
      </c>
      <c r="CC39" s="501">
        <f t="shared" si="32"/>
        <v>0</v>
      </c>
      <c r="CD39" s="1498"/>
      <c r="CE39" s="1498"/>
      <c r="CF39" s="1498"/>
      <c r="CG39" s="1498"/>
      <c r="CH39" s="1498"/>
      <c r="CI39" s="1498"/>
      <c r="CJ39" s="1498"/>
      <c r="CK39" s="1498"/>
      <c r="CL39" s="1498"/>
      <c r="CM39" s="1498"/>
      <c r="CN39" s="1502"/>
      <c r="CO39" s="1497"/>
      <c r="CP39" s="1505">
        <f>SUM(CP40:CP44)</f>
        <v>0</v>
      </c>
      <c r="CQ39" s="1498">
        <f t="shared" ref="CQ39" si="79">SUM(CQ40:CQ44)</f>
        <v>0</v>
      </c>
      <c r="CR39" s="1498">
        <f t="shared" ref="CR39" si="80">SUM(CR40:CR44)</f>
        <v>0</v>
      </c>
      <c r="CS39" s="1498">
        <f t="shared" ref="CS39" si="81">SUM(CS40:CS44)</f>
        <v>0</v>
      </c>
      <c r="CT39" s="1498">
        <f t="shared" ref="CT39" si="82">SUM(CT40:CT44)</f>
        <v>0</v>
      </c>
      <c r="CU39" s="1498">
        <f t="shared" ref="CU39" si="83">SUM(CU40:CU44)</f>
        <v>0</v>
      </c>
      <c r="CV39" s="1498">
        <f t="shared" ref="CV39" si="84">SUM(CV40:CV44)</f>
        <v>0</v>
      </c>
      <c r="CW39" s="501">
        <f t="shared" si="33"/>
        <v>0</v>
      </c>
      <c r="CX39" s="1498"/>
      <c r="CY39" s="1496"/>
      <c r="CZ39" s="1496"/>
      <c r="DA39" s="1496"/>
      <c r="DB39" s="1496"/>
      <c r="DC39" s="1496"/>
      <c r="DD39" s="1496"/>
      <c r="DE39" s="1496"/>
      <c r="DF39" s="1496"/>
      <c r="DG39" s="1496"/>
    </row>
    <row r="40" spans="1:111" ht="61.5" thickTop="1" thickBot="1" x14ac:dyDescent="0.3">
      <c r="A40" s="518" t="str">
        <f>CONCATENATE('3 pr-2'!A40)</f>
        <v>1.1.1.3.1</v>
      </c>
      <c r="B40" s="518" t="str">
        <f>CONCATENATE('3 pr-2'!B40)</f>
        <v>R01-9905-290000-1131</v>
      </c>
      <c r="C40" s="1449" t="str">
        <f>CONCATENATE('ketv. 2lent'!B39)</f>
        <v>07.1.1-CPVA-R-905-11-0001</v>
      </c>
      <c r="D40" s="189" t="str">
        <f>CONCATENATE('3 pr-2'!D40)</f>
        <v>Varėnos miesto centrinės dalies modernizavimas ir pritaikymas visuomenės poreikiams (I etapas)</v>
      </c>
      <c r="E40" s="480" t="str">
        <f>CONCATENATE('3 pr-2'!E40)</f>
        <v>Varėnos rajono savivaldybės administracija</v>
      </c>
      <c r="F40" s="480" t="str">
        <f>CONCATENATE('3 pr-2'!F40)</f>
        <v>Lietuvos Respublikos vidaus reikalų ministerija</v>
      </c>
      <c r="G40" s="480" t="str">
        <f>CONCATENATE('3 pr-2'!G40)</f>
        <v>Varėnos miestas</v>
      </c>
      <c r="H40" s="518" t="str">
        <f>CONCATENATE('3 pr-2'!H40)</f>
        <v xml:space="preserve">07.1.1-CPVA-R-905 </v>
      </c>
      <c r="I40" s="518" t="str">
        <f>CONCATENATE('3 pr-2'!I40)</f>
        <v>R</v>
      </c>
      <c r="J40" s="518" t="str">
        <f>CONCATENATE('3 pr-2'!J40)</f>
        <v>ITI</v>
      </c>
      <c r="K40" s="518" t="str">
        <f>CONCATENATE('3 pr-2'!K40)</f>
        <v>-</v>
      </c>
      <c r="L40" s="518" t="s">
        <v>486</v>
      </c>
      <c r="M40" s="881" t="s">
        <v>487</v>
      </c>
      <c r="N40" s="518"/>
      <c r="O40" s="518"/>
      <c r="P40" s="518"/>
      <c r="Q40" s="518"/>
      <c r="R40" s="518"/>
      <c r="S40" s="518"/>
      <c r="T40" s="518"/>
      <c r="U40" s="1335"/>
      <c r="V40" s="518">
        <v>19605</v>
      </c>
      <c r="W40" s="1336" t="str">
        <f>IF('ketv. 6 lent'!K39&gt;0,"19605",0)</f>
        <v>19605</v>
      </c>
      <c r="X40" s="518">
        <f>SUM(W40-V40)</f>
        <v>0</v>
      </c>
      <c r="Y40" s="518">
        <f>IF(YEAR('3 pr-2'!$AJ40)=2017,$V40,0)</f>
        <v>0</v>
      </c>
      <c r="Z40" s="518">
        <f>IF(YEAR('3 pr-2'!$AJ40)=2018,$V40,0)</f>
        <v>19605</v>
      </c>
      <c r="AA40" s="518">
        <f>IF(YEAR('3 pr-2'!$AJ40)=2019,$V40,0)</f>
        <v>0</v>
      </c>
      <c r="AB40" s="518">
        <f>IF(YEAR('3 pr-2'!$AJ40)=2020,$V40,0)</f>
        <v>0</v>
      </c>
      <c r="AC40" s="518">
        <f>IF(YEAR('3 pr-2'!$AJ40)=2021,$V40,0)</f>
        <v>0</v>
      </c>
      <c r="AD40" s="518">
        <f>IF(YEAR('3 pr-2'!$AJ40)=2022,$V40,0)</f>
        <v>0</v>
      </c>
      <c r="AE40" s="518">
        <f>IF(YEAR('3 pr-2'!$AJ40)=2023,$V40,0)</f>
        <v>0</v>
      </c>
      <c r="AF40" s="523"/>
      <c r="AG40" s="881"/>
      <c r="AH40" s="518"/>
      <c r="AI40" s="518"/>
      <c r="AJ40" s="518"/>
      <c r="AK40" s="518"/>
      <c r="AL40" s="518"/>
      <c r="AM40" s="518"/>
      <c r="AN40" s="518"/>
      <c r="AO40" s="1337">
        <f t="shared" ref="AO40:AO45" si="85">SUM(AH40:AN40)</f>
        <v>0</v>
      </c>
      <c r="AP40" s="518"/>
      <c r="AQ40" s="1338"/>
      <c r="AR40" s="518"/>
      <c r="AS40" s="518">
        <f>IF(YEAR('3 pr-2'!$AJ40)=2017,$AP40,0)</f>
        <v>0</v>
      </c>
      <c r="AT40" s="518">
        <f>IF(YEAR('3 pr-2'!$AJ40)=2018,$AP40,0)</f>
        <v>0</v>
      </c>
      <c r="AU40" s="518">
        <f>IF(YEAR('3 pr-2'!$AJ40)=2019,$AP40,0)</f>
        <v>0</v>
      </c>
      <c r="AV40" s="518">
        <f>IF(YEAR('3 pr-2'!$AJ40)=2020,$AP40,0)</f>
        <v>0</v>
      </c>
      <c r="AW40" s="518">
        <f>IF(YEAR('3 pr-2'!$AJ40)=2021,$AP40,0)</f>
        <v>0</v>
      </c>
      <c r="AX40" s="518">
        <f>IF(YEAR('3 pr-2'!$AJ40)=2022,$AP40,0)</f>
        <v>0</v>
      </c>
      <c r="AY40" s="518">
        <f>IF(YEAR('3 pr-2'!$AJ40)=2023,$AP40,0)</f>
        <v>0</v>
      </c>
      <c r="AZ40" s="518"/>
      <c r="BA40" s="880"/>
      <c r="BB40" s="518"/>
      <c r="BC40" s="518"/>
      <c r="BD40" s="518"/>
      <c r="BE40" s="518"/>
      <c r="BF40" s="518"/>
      <c r="BG40" s="518"/>
      <c r="BH40" s="518"/>
      <c r="BI40" s="1337">
        <f t="shared" si="51"/>
        <v>0</v>
      </c>
      <c r="BJ40" s="518"/>
      <c r="BK40" s="1338"/>
      <c r="BL40" s="518"/>
      <c r="BM40" s="518">
        <f>IF(YEAR('3 pr-2'!AJ40)=2017,BJ40,0)</f>
        <v>0</v>
      </c>
      <c r="BN40" s="518">
        <f>IF(YEAR('3 pr-2'!AJ40)=2018,BJ40,0)</f>
        <v>0</v>
      </c>
      <c r="BO40" s="518">
        <f>IF(YEAR('3 pr-2'!AJ40)=2019,BJ40,0)</f>
        <v>0</v>
      </c>
      <c r="BP40" s="518">
        <f>IF(YEAR('3 pr-2'!AJ40)=2020,BJ40,0)</f>
        <v>0</v>
      </c>
      <c r="BQ40" s="518">
        <f>IF(YEAR('3 pr-2'!AJ40)=2021,BJ40,0)</f>
        <v>0</v>
      </c>
      <c r="BR40" s="518">
        <f>IF(YEAR('3 pr-2'!AJ40)=2022,BJ40,0)</f>
        <v>0</v>
      </c>
      <c r="BS40" s="518">
        <f>IF(YEAR('3 pr-2'!AJ40)=2023,BJ40,0)</f>
        <v>0</v>
      </c>
      <c r="BT40" s="523"/>
      <c r="BU40" s="881"/>
      <c r="BV40" s="518"/>
      <c r="BW40" s="518"/>
      <c r="BX40" s="518"/>
      <c r="BY40" s="518"/>
      <c r="BZ40" s="518"/>
      <c r="CA40" s="518"/>
      <c r="CB40" s="518"/>
      <c r="CC40" s="1337">
        <f t="shared" si="32"/>
        <v>0</v>
      </c>
      <c r="CD40" s="518"/>
      <c r="CE40" s="518"/>
      <c r="CF40" s="518"/>
      <c r="CG40" s="518">
        <f>IF(YEAR('3 pr-2'!$AJ40)=2017,$CD40,0)</f>
        <v>0</v>
      </c>
      <c r="CH40" s="518">
        <f>IF(YEAR('3 pr-2'!$AJ40)=2018,$CD40,0)</f>
        <v>0</v>
      </c>
      <c r="CI40" s="518">
        <f>IF(YEAR('3 pr-2'!$AJ40)=2019,$CD40,0)</f>
        <v>0</v>
      </c>
      <c r="CJ40" s="518">
        <f>IF(YEAR('3 pr-2'!$AJ40)=2020,$CD40,0)</f>
        <v>0</v>
      </c>
      <c r="CK40" s="518">
        <f>IF(YEAR('3 pr-2'!$AJ40)=2021,$CD40,0)</f>
        <v>0</v>
      </c>
      <c r="CL40" s="518">
        <f>IF(YEAR('3 pr-2'!$AJ40)=2022,$CD40,0)</f>
        <v>0</v>
      </c>
      <c r="CM40" s="518">
        <f>IF(YEAR('3 pr-2'!$AJ40)=2023,$CD40,0)</f>
        <v>0</v>
      </c>
      <c r="CN40" s="523"/>
      <c r="CO40" s="882"/>
      <c r="CP40" s="524"/>
      <c r="CQ40" s="518"/>
      <c r="CR40" s="518"/>
      <c r="CS40" s="518"/>
      <c r="CT40" s="518"/>
      <c r="CU40" s="518"/>
      <c r="CV40" s="518"/>
      <c r="CW40" s="1337">
        <f t="shared" si="33"/>
        <v>0</v>
      </c>
      <c r="CX40" s="524"/>
      <c r="CY40" s="504"/>
      <c r="CZ40" s="504"/>
      <c r="DA40" s="1332">
        <f>IF(YEAR('3 pr-2'!AJ40)=2017,CX40,0)</f>
        <v>0</v>
      </c>
      <c r="DB40" s="1332">
        <f>IF(YEAR('3 pr-2'!AJ40)=2018,CX40,0)</f>
        <v>0</v>
      </c>
      <c r="DC40" s="1332">
        <f>IF(YEAR('3 pr-2'!AJ40)=2019,CX40,0)</f>
        <v>0</v>
      </c>
      <c r="DD40" s="1332">
        <f>IF(YEAR('3 pr-2'!AJ40)=2020,CX40,0)</f>
        <v>0</v>
      </c>
      <c r="DE40" s="1332">
        <f>IF(YEAR('3 pr-2'!AJ40)=2021,CX40,0)</f>
        <v>0</v>
      </c>
      <c r="DF40" s="1332">
        <f>IF(YEAR('3 pr-2'!AJ40)=2022,CX40,0)</f>
        <v>0</v>
      </c>
      <c r="DG40" s="1332">
        <f>IF(YEAR('3 pr-2'!AJ40)=2023,CX40,0)</f>
        <v>0</v>
      </c>
    </row>
    <row r="41" spans="1:111" ht="61.5" thickTop="1" thickBot="1" x14ac:dyDescent="0.3">
      <c r="A41" s="518" t="str">
        <f>CONCATENATE('3 pr-2'!A41)</f>
        <v>1.1.1.3.2</v>
      </c>
      <c r="B41" s="518" t="str">
        <f>CONCATENATE('3 pr-2'!B41)</f>
        <v>R01-9905-282900-1132</v>
      </c>
      <c r="C41" s="1449" t="str">
        <f>CONCATENATE('ketv. 2lent'!B40)</f>
        <v>07.1.1-CPVA-R-905-11-0002</v>
      </c>
      <c r="D41" s="189" t="str">
        <f>CONCATENATE('3 pr-2'!D41)</f>
        <v>Varėnos miesto centrinės dalies modernizavimas ir pritaikymas visuomenės poreikiams (II etapas)</v>
      </c>
      <c r="E41" s="480" t="str">
        <f>CONCATENATE('3 pr-2'!E41)</f>
        <v>Varėnos rajono savivaldybės administracija</v>
      </c>
      <c r="F41" s="480" t="str">
        <f>CONCATENATE('3 pr-2'!F41)</f>
        <v>Lietuvos Respublikos vidaus reikalų ministerija</v>
      </c>
      <c r="G41" s="480" t="str">
        <f>CONCATENATE('3 pr-2'!G41)</f>
        <v>Varėnos miestas</v>
      </c>
      <c r="H41" s="518" t="str">
        <f>CONCATENATE('3 pr-2'!H41)</f>
        <v xml:space="preserve">07.1.1-CPVA-R-905 </v>
      </c>
      <c r="I41" s="518" t="str">
        <f>CONCATENATE('3 pr-2'!I41)</f>
        <v>R</v>
      </c>
      <c r="J41" s="518" t="str">
        <f>CONCATENATE('3 pr-2'!J41)</f>
        <v>ITI</v>
      </c>
      <c r="K41" s="518" t="str">
        <f>CONCATENATE('3 pr-2'!K41)</f>
        <v>-</v>
      </c>
      <c r="L41" s="518" t="s">
        <v>486</v>
      </c>
      <c r="M41" s="881" t="s">
        <v>487</v>
      </c>
      <c r="N41" s="518"/>
      <c r="O41" s="518"/>
      <c r="P41" s="518"/>
      <c r="Q41" s="518"/>
      <c r="R41" s="518"/>
      <c r="S41" s="518"/>
      <c r="T41" s="518"/>
      <c r="U41" s="1335"/>
      <c r="V41" s="518">
        <v>62250</v>
      </c>
      <c r="W41" s="1336" t="str">
        <f>IF('ketv. 6 lent'!K40&gt;0,"62250",0)</f>
        <v>62250</v>
      </c>
      <c r="X41" s="518">
        <f>SUM(W41-V41)</f>
        <v>0</v>
      </c>
      <c r="Y41" s="518">
        <f>IF(YEAR('3 pr-2'!$AJ41)=2017,$V41,0)</f>
        <v>0</v>
      </c>
      <c r="Z41" s="518">
        <f>IF(YEAR('3 pr-2'!$AJ41)=2018,$V41,0)</f>
        <v>0</v>
      </c>
      <c r="AA41" s="518">
        <f>IF(YEAR('3 pr-2'!$AJ41)=2019,$V41,0)</f>
        <v>62250</v>
      </c>
      <c r="AB41" s="518">
        <f>IF(YEAR('3 pr-2'!$AJ41)=2020,$V41,0)</f>
        <v>0</v>
      </c>
      <c r="AC41" s="518">
        <f>IF(YEAR('3 pr-2'!$AJ41)=2021,$V41,0)</f>
        <v>0</v>
      </c>
      <c r="AD41" s="518">
        <f>IF(YEAR('3 pr-2'!$AJ41)=2022,$V41,0)</f>
        <v>0</v>
      </c>
      <c r="AE41" s="518">
        <f>IF(YEAR('3 pr-2'!$AJ41)=2023,$V41,0)</f>
        <v>0</v>
      </c>
      <c r="AF41" s="523" t="s">
        <v>491</v>
      </c>
      <c r="AG41" s="881" t="s">
        <v>492</v>
      </c>
      <c r="AH41" s="518"/>
      <c r="AI41" s="518"/>
      <c r="AJ41" s="518"/>
      <c r="AK41" s="518"/>
      <c r="AL41" s="518"/>
      <c r="AM41" s="518"/>
      <c r="AN41" s="518"/>
      <c r="AO41" s="1337">
        <f t="shared" si="85"/>
        <v>0</v>
      </c>
      <c r="AP41" s="518">
        <v>34.56</v>
      </c>
      <c r="AQ41" s="1338">
        <v>34.56</v>
      </c>
      <c r="AR41" s="518">
        <f>SUM(AQ41-AP41)</f>
        <v>0</v>
      </c>
      <c r="AS41" s="518">
        <f>IF(YEAR('3 pr-2'!$AJ41)=2017,$AP41,0)</f>
        <v>0</v>
      </c>
      <c r="AT41" s="518">
        <f>IF(YEAR('3 pr-2'!$AJ41)=2018,$AP41,0)</f>
        <v>0</v>
      </c>
      <c r="AU41" s="518">
        <f>IF(YEAR('3 pr-2'!$AJ41)=2019,$AP41,0)</f>
        <v>34.56</v>
      </c>
      <c r="AV41" s="518">
        <f>IF(YEAR('3 pr-2'!$AJ41)=2020,$AP41,0)</f>
        <v>0</v>
      </c>
      <c r="AW41" s="518">
        <f>IF(YEAR('3 pr-2'!$AJ41)=2021,$AP41,0)</f>
        <v>0</v>
      </c>
      <c r="AX41" s="518">
        <f>IF(YEAR('3 pr-2'!$AJ41)=2022,$AP41,0)</f>
        <v>0</v>
      </c>
      <c r="AY41" s="518">
        <f>IF(YEAR('3 pr-2'!$AJ41)=2023,$AP41,0)</f>
        <v>0</v>
      </c>
      <c r="AZ41" s="518"/>
      <c r="BA41" s="880"/>
      <c r="BB41" s="518"/>
      <c r="BC41" s="518"/>
      <c r="BD41" s="518"/>
      <c r="BE41" s="518"/>
      <c r="BF41" s="518"/>
      <c r="BG41" s="518"/>
      <c r="BH41" s="518"/>
      <c r="BI41" s="1337">
        <f t="shared" si="51"/>
        <v>0</v>
      </c>
      <c r="BJ41" s="518"/>
      <c r="BK41" s="1338"/>
      <c r="BL41" s="518"/>
      <c r="BM41" s="518">
        <f>IF(YEAR('3 pr-2'!AJ41)=2017,BJ41,0)</f>
        <v>0</v>
      </c>
      <c r="BN41" s="518">
        <f>IF(YEAR('3 pr-2'!AJ41)=2018,BJ41,0)</f>
        <v>0</v>
      </c>
      <c r="BO41" s="518">
        <f>IF(YEAR('3 pr-2'!AJ41)=2019,BJ41,0)</f>
        <v>0</v>
      </c>
      <c r="BP41" s="518">
        <f>IF(YEAR('3 pr-2'!AJ41)=2020,BJ41,0)</f>
        <v>0</v>
      </c>
      <c r="BQ41" s="518">
        <f>IF(YEAR('3 pr-2'!AJ41)=2021,BJ41,0)</f>
        <v>0</v>
      </c>
      <c r="BR41" s="518">
        <f>IF(YEAR('3 pr-2'!AJ41)=2022,BJ41,0)</f>
        <v>0</v>
      </c>
      <c r="BS41" s="518">
        <f>IF(YEAR('3 pr-2'!AJ41)=2023,BJ41,0)</f>
        <v>0</v>
      </c>
      <c r="BT41" s="523"/>
      <c r="BU41" s="881"/>
      <c r="BV41" s="518"/>
      <c r="BW41" s="518"/>
      <c r="BX41" s="518"/>
      <c r="BY41" s="518"/>
      <c r="BZ41" s="518"/>
      <c r="CA41" s="518"/>
      <c r="CB41" s="518"/>
      <c r="CC41" s="1337">
        <f t="shared" si="32"/>
        <v>0</v>
      </c>
      <c r="CD41" s="518"/>
      <c r="CE41" s="518"/>
      <c r="CF41" s="518"/>
      <c r="CG41" s="518">
        <f>IF(YEAR('3 pr-2'!$AJ41)=2017,$CD41,0)</f>
        <v>0</v>
      </c>
      <c r="CH41" s="518">
        <f>IF(YEAR('3 pr-2'!$AJ41)=2018,$CD41,0)</f>
        <v>0</v>
      </c>
      <c r="CI41" s="518">
        <f>IF(YEAR('3 pr-2'!$AJ41)=2019,$CD41,0)</f>
        <v>0</v>
      </c>
      <c r="CJ41" s="518">
        <f>IF(YEAR('3 pr-2'!$AJ41)=2020,$CD41,0)</f>
        <v>0</v>
      </c>
      <c r="CK41" s="518">
        <f>IF(YEAR('3 pr-2'!$AJ41)=2021,$CD41,0)</f>
        <v>0</v>
      </c>
      <c r="CL41" s="518">
        <f>IF(YEAR('3 pr-2'!$AJ41)=2022,$CD41,0)</f>
        <v>0</v>
      </c>
      <c r="CM41" s="518">
        <f>IF(YEAR('3 pr-2'!$AJ41)=2023,$CD41,0)</f>
        <v>0</v>
      </c>
      <c r="CN41" s="523"/>
      <c r="CO41" s="882"/>
      <c r="CP41" s="524"/>
      <c r="CQ41" s="518"/>
      <c r="CR41" s="518"/>
      <c r="CS41" s="518"/>
      <c r="CT41" s="518"/>
      <c r="CU41" s="518"/>
      <c r="CV41" s="518"/>
      <c r="CW41" s="1337">
        <f t="shared" si="33"/>
        <v>0</v>
      </c>
      <c r="CX41" s="524"/>
      <c r="CY41" s="504"/>
      <c r="CZ41" s="504"/>
      <c r="DA41" s="1332">
        <f>IF(YEAR('3 pr-2'!AJ41)=2017,CX41,0)</f>
        <v>0</v>
      </c>
      <c r="DB41" s="1332">
        <f>IF(YEAR('3 pr-2'!AJ41)=2018,CX41,0)</f>
        <v>0</v>
      </c>
      <c r="DC41" s="1332">
        <f>IF(YEAR('3 pr-2'!AJ41)=2019,CX41,0)</f>
        <v>0</v>
      </c>
      <c r="DD41" s="1332">
        <f>IF(YEAR('3 pr-2'!AJ41)=2020,CX41,0)</f>
        <v>0</v>
      </c>
      <c r="DE41" s="1332">
        <f>IF(YEAR('3 pr-2'!AJ41)=2021,CX41,0)</f>
        <v>0</v>
      </c>
      <c r="DF41" s="1332">
        <f>IF(YEAR('3 pr-2'!AJ41)=2022,CX41,0)</f>
        <v>0</v>
      </c>
      <c r="DG41" s="1332">
        <f>IF(YEAR('3 pr-2'!AJ41)=2023,CX41,0)</f>
        <v>0</v>
      </c>
    </row>
    <row r="42" spans="1:111" ht="61.5" thickTop="1" thickBot="1" x14ac:dyDescent="0.3">
      <c r="A42" s="518" t="str">
        <f>CONCATENATE('3 pr-2'!A42)</f>
        <v>1.1.1.3.3</v>
      </c>
      <c r="B42" s="518" t="str">
        <f>CONCATENATE('3 pr-2'!B42)</f>
        <v>R01-9905-292800-1133</v>
      </c>
      <c r="C42" s="1449" t="str">
        <f>CONCATENATE('ketv. 2lent'!B41)</f>
        <v/>
      </c>
      <c r="D42" s="189" t="str">
        <f>CONCATENATE('3 pr-2'!D42)</f>
        <v xml:space="preserve">Varėnos miesto Dainų slėnio infrastruktūros atnaujinimas ir pritaikymas visuomenės poreikiams </v>
      </c>
      <c r="E42" s="480" t="str">
        <f>CONCATENATE('3 pr-2'!E42)</f>
        <v>Varėnos rajono savivaldybės administracija</v>
      </c>
      <c r="F42" s="480" t="str">
        <f>CONCATENATE('3 pr-2'!F42)</f>
        <v>Lietuvos Respublikos vidaus reikalų ministerija</v>
      </c>
      <c r="G42" s="480" t="str">
        <f>CONCATENATE('3 pr-2'!G42)</f>
        <v>Varėnos miestas</v>
      </c>
      <c r="H42" s="518" t="str">
        <f>CONCATENATE('3 pr-2'!H42)</f>
        <v xml:space="preserve">07.1.1-CPVA-R-905 </v>
      </c>
      <c r="I42" s="518" t="str">
        <f>CONCATENATE('3 pr-2'!I42)</f>
        <v>R</v>
      </c>
      <c r="J42" s="518" t="str">
        <f>CONCATENATE('3 pr-2'!J42)</f>
        <v>ITI</v>
      </c>
      <c r="K42" s="518" t="str">
        <f>CONCATENATE('3 pr-2'!K42)</f>
        <v>-</v>
      </c>
      <c r="L42" s="518" t="s">
        <v>486</v>
      </c>
      <c r="M42" s="881" t="s">
        <v>488</v>
      </c>
      <c r="N42" s="518"/>
      <c r="O42" s="518"/>
      <c r="P42" s="518"/>
      <c r="Q42" s="518"/>
      <c r="R42" s="518"/>
      <c r="S42" s="518"/>
      <c r="T42" s="518"/>
      <c r="U42" s="1335"/>
      <c r="V42" s="518">
        <v>5063</v>
      </c>
      <c r="W42" s="1336">
        <f>IF('ketv. 6 lent'!K41&gt;0,"taip",0)</f>
        <v>0</v>
      </c>
      <c r="X42" s="518"/>
      <c r="Y42" s="518">
        <f>IF(YEAR('3 pr-2'!$AJ42)=2017,$V42,0)</f>
        <v>0</v>
      </c>
      <c r="Z42" s="518">
        <f>IF(YEAR('3 pr-2'!$AJ42)=2018,$V42,0)</f>
        <v>0</v>
      </c>
      <c r="AA42" s="518">
        <f>IF(YEAR('3 pr-2'!$AJ42)=2019,$V42,0)</f>
        <v>0</v>
      </c>
      <c r="AB42" s="518">
        <f>IF(YEAR('3 pr-2'!$AJ42)=2020,$V42,0)</f>
        <v>5063</v>
      </c>
      <c r="AC42" s="518">
        <f>IF(YEAR('3 pr-2'!$AJ42)=2021,$V42,0)</f>
        <v>0</v>
      </c>
      <c r="AD42" s="518">
        <f>IF(YEAR('3 pr-2'!$AJ42)=2022,$V42,0)</f>
        <v>0</v>
      </c>
      <c r="AE42" s="518">
        <f>IF(YEAR('3 pr-2'!$AJ42)=2023,$V42,0)</f>
        <v>0</v>
      </c>
      <c r="AF42" s="523"/>
      <c r="AG42" s="881"/>
      <c r="AH42" s="518"/>
      <c r="AI42" s="518"/>
      <c r="AJ42" s="518"/>
      <c r="AK42" s="518"/>
      <c r="AL42" s="518"/>
      <c r="AM42" s="518"/>
      <c r="AN42" s="518"/>
      <c r="AO42" s="1337">
        <f t="shared" si="85"/>
        <v>0</v>
      </c>
      <c r="AP42" s="518"/>
      <c r="AQ42" s="1338"/>
      <c r="AR42" s="518"/>
      <c r="AS42" s="518">
        <f>IF(YEAR('3 pr-2'!$AJ42)=2017,$AP42,0)</f>
        <v>0</v>
      </c>
      <c r="AT42" s="518">
        <f>IF(YEAR('3 pr-2'!$AJ42)=2018,$AP42,0)</f>
        <v>0</v>
      </c>
      <c r="AU42" s="518">
        <f>IF(YEAR('3 pr-2'!$AJ42)=2019,$AP42,0)</f>
        <v>0</v>
      </c>
      <c r="AV42" s="518">
        <f>IF(YEAR('3 pr-2'!$AJ42)=2020,$AP42,0)</f>
        <v>0</v>
      </c>
      <c r="AW42" s="518">
        <f>IF(YEAR('3 pr-2'!$AJ42)=2021,$AP42,0)</f>
        <v>0</v>
      </c>
      <c r="AX42" s="518">
        <f>IF(YEAR('3 pr-2'!$AJ42)=2022,$AP42,0)</f>
        <v>0</v>
      </c>
      <c r="AY42" s="518">
        <f>IF(YEAR('3 pr-2'!$AJ42)=2023,$AP42,0)</f>
        <v>0</v>
      </c>
      <c r="AZ42" s="518"/>
      <c r="BA42" s="880"/>
      <c r="BB42" s="518"/>
      <c r="BC42" s="518"/>
      <c r="BD42" s="518"/>
      <c r="BE42" s="518"/>
      <c r="BF42" s="518"/>
      <c r="BG42" s="518"/>
      <c r="BH42" s="518"/>
      <c r="BI42" s="1337">
        <f t="shared" si="51"/>
        <v>0</v>
      </c>
      <c r="BJ42" s="518"/>
      <c r="BK42" s="1338"/>
      <c r="BL42" s="518"/>
      <c r="BM42" s="518">
        <f>IF(YEAR('3 pr-2'!AJ42)=2017,BJ42,0)</f>
        <v>0</v>
      </c>
      <c r="BN42" s="518">
        <f>IF(YEAR('3 pr-2'!AJ42)=2018,BJ42,0)</f>
        <v>0</v>
      </c>
      <c r="BO42" s="518">
        <f>IF(YEAR('3 pr-2'!AJ42)=2019,BJ42,0)</f>
        <v>0</v>
      </c>
      <c r="BP42" s="518">
        <f>IF(YEAR('3 pr-2'!AJ42)=2020,BJ42,0)</f>
        <v>0</v>
      </c>
      <c r="BQ42" s="518">
        <f>IF(YEAR('3 pr-2'!AJ42)=2021,BJ42,0)</f>
        <v>0</v>
      </c>
      <c r="BR42" s="518">
        <f>IF(YEAR('3 pr-2'!AJ42)=2022,BJ42,0)</f>
        <v>0</v>
      </c>
      <c r="BS42" s="518">
        <f>IF(YEAR('3 pr-2'!AJ42)=2023,BJ42,0)</f>
        <v>0</v>
      </c>
      <c r="BT42" s="523"/>
      <c r="BU42" s="881"/>
      <c r="BV42" s="518"/>
      <c r="BW42" s="518"/>
      <c r="BX42" s="518"/>
      <c r="BY42" s="518"/>
      <c r="BZ42" s="518"/>
      <c r="CA42" s="518"/>
      <c r="CB42" s="518"/>
      <c r="CC42" s="1337">
        <f t="shared" si="32"/>
        <v>0</v>
      </c>
      <c r="CD42" s="518"/>
      <c r="CE42" s="518"/>
      <c r="CF42" s="518"/>
      <c r="CG42" s="518">
        <f>IF(YEAR('3 pr-2'!$AJ42)=2017,$CD42,0)</f>
        <v>0</v>
      </c>
      <c r="CH42" s="518">
        <f>IF(YEAR('3 pr-2'!$AJ42)=2018,$CD42,0)</f>
        <v>0</v>
      </c>
      <c r="CI42" s="518">
        <f>IF(YEAR('3 pr-2'!$AJ42)=2019,$CD42,0)</f>
        <v>0</v>
      </c>
      <c r="CJ42" s="518">
        <f>IF(YEAR('3 pr-2'!$AJ42)=2020,$CD42,0)</f>
        <v>0</v>
      </c>
      <c r="CK42" s="518">
        <f>IF(YEAR('3 pr-2'!$AJ42)=2021,$CD42,0)</f>
        <v>0</v>
      </c>
      <c r="CL42" s="518">
        <f>IF(YEAR('3 pr-2'!$AJ42)=2022,$CD42,0)</f>
        <v>0</v>
      </c>
      <c r="CM42" s="518">
        <f>IF(YEAR('3 pr-2'!$AJ42)=2023,$CD42,0)</f>
        <v>0</v>
      </c>
      <c r="CN42" s="523"/>
      <c r="CO42" s="882"/>
      <c r="CP42" s="524"/>
      <c r="CQ42" s="518"/>
      <c r="CR42" s="518"/>
      <c r="CS42" s="518"/>
      <c r="CT42" s="518"/>
      <c r="CU42" s="518"/>
      <c r="CV42" s="518"/>
      <c r="CW42" s="1337">
        <f t="shared" si="33"/>
        <v>0</v>
      </c>
      <c r="CX42" s="524"/>
      <c r="CY42" s="504"/>
      <c r="CZ42" s="504"/>
      <c r="DA42" s="1332">
        <f>IF(YEAR('3 pr-2'!AJ42)=2017,CX42,0)</f>
        <v>0</v>
      </c>
      <c r="DB42" s="1332">
        <f>IF(YEAR('3 pr-2'!AJ42)=2018,CX42,0)</f>
        <v>0</v>
      </c>
      <c r="DC42" s="1332">
        <f>IF(YEAR('3 pr-2'!AJ42)=2019,CX42,0)</f>
        <v>0</v>
      </c>
      <c r="DD42" s="1332">
        <f>IF(YEAR('3 pr-2'!AJ42)=2020,CX42,0)</f>
        <v>0</v>
      </c>
      <c r="DE42" s="1332">
        <f>IF(YEAR('3 pr-2'!AJ42)=2021,CX42,0)</f>
        <v>0</v>
      </c>
      <c r="DF42" s="1332">
        <f>IF(YEAR('3 pr-2'!AJ42)=2022,CX42,0)</f>
        <v>0</v>
      </c>
      <c r="DG42" s="1332">
        <f>IF(YEAR('3 pr-2'!AJ42)=2023,CX42,0)</f>
        <v>0</v>
      </c>
    </row>
    <row r="43" spans="1:111" ht="49.5" thickTop="1" thickBot="1" x14ac:dyDescent="0.3">
      <c r="A43" s="518" t="str">
        <f>CONCATENATE('3 pr-2'!A43)</f>
        <v>1.1.1.3.4</v>
      </c>
      <c r="B43" s="518" t="str">
        <f>CONCATENATE('3 pr-2'!B43)</f>
        <v>R01-9905-280000-1134</v>
      </c>
      <c r="C43" s="1449" t="str">
        <f>CONCATENATE('ketv. 2lent'!B42)</f>
        <v>07.1.1-CPVA-R-905-11-0003</v>
      </c>
      <c r="D43" s="189" t="str">
        <f>CONCATENATE('3 pr-2'!D43)</f>
        <v>Karloniškės ežero ir jo prieigų sutvarkymas ir pritaikymas aktyviam poilsiui</v>
      </c>
      <c r="E43" s="480" t="str">
        <f>CONCATENATE('3 pr-2'!E43)</f>
        <v>Varėnos rajono savivaldybės administracija</v>
      </c>
      <c r="F43" s="480" t="str">
        <f>CONCATENATE('3 pr-2'!F43)</f>
        <v>Lietuvos Respublikos vidaus reikalų ministerija</v>
      </c>
      <c r="G43" s="480" t="str">
        <f>CONCATENATE('3 pr-2'!G43)</f>
        <v>Varėnos miestas</v>
      </c>
      <c r="H43" s="518" t="str">
        <f>CONCATENATE('3 pr-2'!H43)</f>
        <v xml:space="preserve">07.1.1-CPVA-R-905 </v>
      </c>
      <c r="I43" s="518" t="str">
        <f>CONCATENATE('3 pr-2'!I43)</f>
        <v>R</v>
      </c>
      <c r="J43" s="518" t="str">
        <f>CONCATENATE('3 pr-2'!J43)</f>
        <v>ITI</v>
      </c>
      <c r="K43" s="518" t="str">
        <f>CONCATENATE('3 pr-2'!K43)</f>
        <v>-</v>
      </c>
      <c r="L43" s="518" t="s">
        <v>486</v>
      </c>
      <c r="M43" s="881" t="s">
        <v>488</v>
      </c>
      <c r="N43" s="518"/>
      <c r="O43" s="518"/>
      <c r="P43" s="518"/>
      <c r="Q43" s="518"/>
      <c r="R43" s="518"/>
      <c r="S43" s="518"/>
      <c r="T43" s="518"/>
      <c r="U43" s="1335"/>
      <c r="V43" s="893">
        <v>94207.41</v>
      </c>
      <c r="W43" s="1336" t="str">
        <f>IF('ketv. 6 lent'!K42&gt;0,"taip",0)</f>
        <v>taip</v>
      </c>
      <c r="X43" s="518"/>
      <c r="Y43" s="518">
        <f>IF(YEAR('3 pr-2'!$AJ43)=2017,$V43,0)</f>
        <v>0</v>
      </c>
      <c r="Z43" s="518">
        <f>IF(YEAR('3 pr-2'!$AJ43)=2018,$V43,0)</f>
        <v>0</v>
      </c>
      <c r="AA43" s="518">
        <f>IF(YEAR('3 pr-2'!$AJ43)=2019,$V43,0)</f>
        <v>94207.41</v>
      </c>
      <c r="AB43" s="518">
        <f>IF(YEAR('3 pr-2'!$AJ43)=2020,$V43,0)</f>
        <v>0</v>
      </c>
      <c r="AC43" s="518">
        <f>IF(YEAR('3 pr-2'!$AJ43)=2021,$V43,0)</f>
        <v>0</v>
      </c>
      <c r="AD43" s="518">
        <f>IF(YEAR('3 pr-2'!$AJ43)=2022,$V43,0)</f>
        <v>0</v>
      </c>
      <c r="AE43" s="518">
        <f>IF(YEAR('3 pr-2'!$AJ43)=2023,$V43,0)</f>
        <v>0</v>
      </c>
      <c r="AF43" s="523"/>
      <c r="AG43" s="881"/>
      <c r="AH43" s="518"/>
      <c r="AI43" s="518"/>
      <c r="AJ43" s="518"/>
      <c r="AK43" s="518"/>
      <c r="AL43" s="518"/>
      <c r="AM43" s="518"/>
      <c r="AN43" s="518"/>
      <c r="AO43" s="1337">
        <f t="shared" si="85"/>
        <v>0</v>
      </c>
      <c r="AP43" s="518"/>
      <c r="AQ43" s="1338"/>
      <c r="AR43" s="518"/>
      <c r="AS43" s="518">
        <f>IF(YEAR('3 pr-2'!$AJ43)=2017,$AP43,0)</f>
        <v>0</v>
      </c>
      <c r="AT43" s="518">
        <f>IF(YEAR('3 pr-2'!$AJ43)=2018,$AP43,0)</f>
        <v>0</v>
      </c>
      <c r="AU43" s="518">
        <f>IF(YEAR('3 pr-2'!$AJ43)=2019,$AP43,0)</f>
        <v>0</v>
      </c>
      <c r="AV43" s="518">
        <f>IF(YEAR('3 pr-2'!$AJ43)=2020,$AP43,0)</f>
        <v>0</v>
      </c>
      <c r="AW43" s="518">
        <f>IF(YEAR('3 pr-2'!$AJ43)=2021,$AP43,0)</f>
        <v>0</v>
      </c>
      <c r="AX43" s="518">
        <f>IF(YEAR('3 pr-2'!$AJ43)=2022,$AP43,0)</f>
        <v>0</v>
      </c>
      <c r="AY43" s="518">
        <f>IF(YEAR('3 pr-2'!$AJ43)=2023,$AP43,0)</f>
        <v>0</v>
      </c>
      <c r="AZ43" s="518"/>
      <c r="BA43" s="880"/>
      <c r="BB43" s="518"/>
      <c r="BC43" s="518"/>
      <c r="BD43" s="518"/>
      <c r="BE43" s="518"/>
      <c r="BF43" s="518"/>
      <c r="BG43" s="518"/>
      <c r="BH43" s="518"/>
      <c r="BI43" s="1337">
        <f t="shared" si="51"/>
        <v>0</v>
      </c>
      <c r="BJ43" s="518"/>
      <c r="BK43" s="1338"/>
      <c r="BL43" s="518"/>
      <c r="BM43" s="518">
        <f>IF(YEAR('3 pr-2'!AJ43)=2017,BJ43,0)</f>
        <v>0</v>
      </c>
      <c r="BN43" s="518">
        <f>IF(YEAR('3 pr-2'!AJ43)=2018,BJ43,0)</f>
        <v>0</v>
      </c>
      <c r="BO43" s="518">
        <f>IF(YEAR('3 pr-2'!AJ43)=2019,BJ43,0)</f>
        <v>0</v>
      </c>
      <c r="BP43" s="518">
        <f>IF(YEAR('3 pr-2'!AJ43)=2020,BJ43,0)</f>
        <v>0</v>
      </c>
      <c r="BQ43" s="518">
        <f>IF(YEAR('3 pr-2'!AJ43)=2021,BJ43,0)</f>
        <v>0</v>
      </c>
      <c r="BR43" s="518">
        <f>IF(YEAR('3 pr-2'!AJ43)=2022,BJ43,0)</f>
        <v>0</v>
      </c>
      <c r="BS43" s="518">
        <f>IF(YEAR('3 pr-2'!AJ43)=2023,BJ43,0)</f>
        <v>0</v>
      </c>
      <c r="BT43" s="523"/>
      <c r="BU43" s="881"/>
      <c r="BV43" s="518"/>
      <c r="BW43" s="518"/>
      <c r="BX43" s="518"/>
      <c r="BY43" s="518"/>
      <c r="BZ43" s="518"/>
      <c r="CA43" s="518"/>
      <c r="CB43" s="518"/>
      <c r="CC43" s="1337">
        <f t="shared" si="32"/>
        <v>0</v>
      </c>
      <c r="CD43" s="518"/>
      <c r="CE43" s="518"/>
      <c r="CF43" s="518"/>
      <c r="CG43" s="518">
        <f>IF(YEAR('3 pr-2'!$AJ43)=2017,$CD43,0)</f>
        <v>0</v>
      </c>
      <c r="CH43" s="518">
        <f>IF(YEAR('3 pr-2'!$AJ43)=2018,$CD43,0)</f>
        <v>0</v>
      </c>
      <c r="CI43" s="518">
        <f>IF(YEAR('3 pr-2'!$AJ43)=2019,$CD43,0)</f>
        <v>0</v>
      </c>
      <c r="CJ43" s="518">
        <f>IF(YEAR('3 pr-2'!$AJ43)=2020,$CD43,0)</f>
        <v>0</v>
      </c>
      <c r="CK43" s="518">
        <f>IF(YEAR('3 pr-2'!$AJ43)=2021,$CD43,0)</f>
        <v>0</v>
      </c>
      <c r="CL43" s="518">
        <f>IF(YEAR('3 pr-2'!$AJ43)=2022,$CD43,0)</f>
        <v>0</v>
      </c>
      <c r="CM43" s="518">
        <f>IF(YEAR('3 pr-2'!$AJ43)=2023,$CD43,0)</f>
        <v>0</v>
      </c>
      <c r="CN43" s="523"/>
      <c r="CO43" s="882"/>
      <c r="CP43" s="524"/>
      <c r="CQ43" s="518"/>
      <c r="CR43" s="518"/>
      <c r="CS43" s="518"/>
      <c r="CT43" s="518"/>
      <c r="CU43" s="518"/>
      <c r="CV43" s="518"/>
      <c r="CW43" s="1337">
        <f t="shared" si="33"/>
        <v>0</v>
      </c>
      <c r="CX43" s="524"/>
      <c r="CY43" s="504"/>
      <c r="CZ43" s="504"/>
      <c r="DA43" s="1332">
        <f>IF(YEAR('3 pr-2'!AJ43)=2017,CX43,0)</f>
        <v>0</v>
      </c>
      <c r="DB43" s="1332">
        <f>IF(YEAR('3 pr-2'!AJ43)=2018,CX43,0)</f>
        <v>0</v>
      </c>
      <c r="DC43" s="1332">
        <f>IF(YEAR('3 pr-2'!AJ43)=2019,CX43,0)</f>
        <v>0</v>
      </c>
      <c r="DD43" s="1332">
        <f>IF(YEAR('3 pr-2'!AJ43)=2020,CX43,0)</f>
        <v>0</v>
      </c>
      <c r="DE43" s="1332">
        <f>IF(YEAR('3 pr-2'!AJ43)=2021,CX43,0)</f>
        <v>0</v>
      </c>
      <c r="DF43" s="1332">
        <f>IF(YEAR('3 pr-2'!AJ43)=2022,CX43,0)</f>
        <v>0</v>
      </c>
      <c r="DG43" s="1332">
        <f>IF(YEAR('3 pr-2'!AJ43)=2023,CX43,0)</f>
        <v>0</v>
      </c>
    </row>
    <row r="44" spans="1:111" ht="49.5" thickTop="1" thickBot="1" x14ac:dyDescent="0.3">
      <c r="A44" s="518" t="str">
        <f>CONCATENATE('3 pr-2'!A44)</f>
        <v>1.1.1.3.5</v>
      </c>
      <c r="B44" s="518" t="str">
        <f>CONCATENATE('3 pr-2'!B44)</f>
        <v>R01-9905-362900-1135</v>
      </c>
      <c r="C44" s="1449" t="str">
        <f>CONCATENATE('ketv. 2lent'!B43)</f>
        <v/>
      </c>
      <c r="D44" s="189" t="str">
        <f>CONCATENATE('3 pr-2'!D44)</f>
        <v xml:space="preserve">Nenaudojamų teritorijų Varėnos mieste sutvarkymas ir pritaikymas verslui </v>
      </c>
      <c r="E44" s="480" t="str">
        <f>CONCATENATE('3 pr-2'!E44)</f>
        <v>Varėnos rajono savivaldybės administracija</v>
      </c>
      <c r="F44" s="480" t="str">
        <f>CONCATENATE('3 pr-2'!F44)</f>
        <v>Lietuvos Respublikos vidaus reikalų ministerija</v>
      </c>
      <c r="G44" s="480" t="str">
        <f>CONCATENATE('3 pr-2'!G44)</f>
        <v>Varėnos miestas</v>
      </c>
      <c r="H44" s="518" t="str">
        <f>CONCATENATE('3 pr-2'!H44)</f>
        <v xml:space="preserve">07.1.1-CPVA-R-905 </v>
      </c>
      <c r="I44" s="518" t="str">
        <f>CONCATENATE('3 pr-2'!I44)</f>
        <v>R</v>
      </c>
      <c r="J44" s="518" t="str">
        <f>CONCATENATE('3 pr-2'!J44)</f>
        <v>ITI</v>
      </c>
      <c r="K44" s="518" t="str">
        <f>CONCATENATE('3 pr-2'!K44)</f>
        <v>-</v>
      </c>
      <c r="L44" s="518" t="s">
        <v>486</v>
      </c>
      <c r="M44" s="881" t="s">
        <v>488</v>
      </c>
      <c r="N44" s="518"/>
      <c r="O44" s="518"/>
      <c r="P44" s="518"/>
      <c r="Q44" s="518"/>
      <c r="R44" s="518"/>
      <c r="S44" s="518"/>
      <c r="T44" s="518"/>
      <c r="U44" s="1335"/>
      <c r="V44" s="518">
        <v>41000</v>
      </c>
      <c r="W44" s="1336">
        <f>IF('ketv. 6 lent'!K43&gt;0,"taip",0)</f>
        <v>0</v>
      </c>
      <c r="X44" s="518"/>
      <c r="Y44" s="518">
        <f>IF(YEAR('3 pr-2'!$AJ44)=2017,$V44,0)</f>
        <v>0</v>
      </c>
      <c r="Z44" s="518">
        <f>IF(YEAR('3 pr-2'!$AJ44)=2018,$V44,0)</f>
        <v>0</v>
      </c>
      <c r="AA44" s="518">
        <f>IF(YEAR('3 pr-2'!$AJ44)=2019,$V44,0)</f>
        <v>0</v>
      </c>
      <c r="AB44" s="518">
        <f>IF(YEAR('3 pr-2'!$AJ44)=2020,$V44,0)</f>
        <v>41000</v>
      </c>
      <c r="AC44" s="518">
        <f>IF(YEAR('3 pr-2'!$AJ44)=2021,$V44,0)</f>
        <v>0</v>
      </c>
      <c r="AD44" s="518">
        <f>IF(YEAR('3 pr-2'!$AJ44)=2022,$V44,0)</f>
        <v>0</v>
      </c>
      <c r="AE44" s="518">
        <f>IF(YEAR('3 pr-2'!$AJ44)=2023,$V44,0)</f>
        <v>0</v>
      </c>
      <c r="AF44" s="523"/>
      <c r="AG44" s="881"/>
      <c r="AH44" s="518"/>
      <c r="AI44" s="518"/>
      <c r="AJ44" s="518"/>
      <c r="AK44" s="518"/>
      <c r="AL44" s="518"/>
      <c r="AM44" s="518"/>
      <c r="AN44" s="518"/>
      <c r="AO44" s="1337">
        <f t="shared" si="85"/>
        <v>0</v>
      </c>
      <c r="AP44" s="518"/>
      <c r="AQ44" s="1338"/>
      <c r="AR44" s="518"/>
      <c r="AS44" s="518">
        <f>IF(YEAR('3 pr-2'!$AJ44)=2017,$AP44,0)</f>
        <v>0</v>
      </c>
      <c r="AT44" s="518">
        <f>IF(YEAR('3 pr-2'!$AJ44)=2018,$AP44,0)</f>
        <v>0</v>
      </c>
      <c r="AU44" s="518">
        <f>IF(YEAR('3 pr-2'!$AJ44)=2019,$AP44,0)</f>
        <v>0</v>
      </c>
      <c r="AV44" s="518">
        <f>IF(YEAR('3 pr-2'!$AJ44)=2020,$AP44,0)</f>
        <v>0</v>
      </c>
      <c r="AW44" s="518">
        <f>IF(YEAR('3 pr-2'!$AJ44)=2021,$AP44,0)</f>
        <v>0</v>
      </c>
      <c r="AX44" s="518">
        <f>IF(YEAR('3 pr-2'!$AJ44)=2022,$AP44,0)</f>
        <v>0</v>
      </c>
      <c r="AY44" s="518">
        <f>IF(YEAR('3 pr-2'!$AJ44)=2023,$AP44,0)</f>
        <v>0</v>
      </c>
      <c r="AZ44" s="518"/>
      <c r="BA44" s="880"/>
      <c r="BB44" s="518"/>
      <c r="BC44" s="518"/>
      <c r="BD44" s="518"/>
      <c r="BE44" s="518"/>
      <c r="BF44" s="518"/>
      <c r="BG44" s="518"/>
      <c r="BH44" s="518"/>
      <c r="BI44" s="1337">
        <f t="shared" si="51"/>
        <v>0</v>
      </c>
      <c r="BJ44" s="518"/>
      <c r="BK44" s="1338"/>
      <c r="BL44" s="518"/>
      <c r="BM44" s="518">
        <f>IF(YEAR('3 pr-2'!AJ44)=2017,BJ44,0)</f>
        <v>0</v>
      </c>
      <c r="BN44" s="518">
        <f>IF(YEAR('3 pr-2'!AJ44)=2018,BJ44,0)</f>
        <v>0</v>
      </c>
      <c r="BO44" s="518">
        <f>IF(YEAR('3 pr-2'!AJ44)=2019,BJ44,0)</f>
        <v>0</v>
      </c>
      <c r="BP44" s="518">
        <f>IF(YEAR('3 pr-2'!AJ44)=2020,BJ44,0)</f>
        <v>0</v>
      </c>
      <c r="BQ44" s="518">
        <f>IF(YEAR('3 pr-2'!AJ44)=2021,BJ44,0)</f>
        <v>0</v>
      </c>
      <c r="BR44" s="518">
        <f>IF(YEAR('3 pr-2'!AJ44)=2022,BJ44,0)</f>
        <v>0</v>
      </c>
      <c r="BS44" s="518">
        <f>IF(YEAR('3 pr-2'!AJ44)=2023,BJ44,0)</f>
        <v>0</v>
      </c>
      <c r="BT44" s="523"/>
      <c r="BU44" s="881"/>
      <c r="BV44" s="518"/>
      <c r="BW44" s="518"/>
      <c r="BX44" s="518"/>
      <c r="BY44" s="518"/>
      <c r="BZ44" s="518"/>
      <c r="CA44" s="518"/>
      <c r="CB44" s="518"/>
      <c r="CC44" s="1337">
        <f t="shared" si="32"/>
        <v>0</v>
      </c>
      <c r="CD44" s="518"/>
      <c r="CE44" s="518"/>
      <c r="CF44" s="518"/>
      <c r="CG44" s="518">
        <f>IF(YEAR('3 pr-2'!$AJ44)=2017,$CD44,0)</f>
        <v>0</v>
      </c>
      <c r="CH44" s="518">
        <f>IF(YEAR('3 pr-2'!$AJ44)=2018,$CD44,0)</f>
        <v>0</v>
      </c>
      <c r="CI44" s="518">
        <f>IF(YEAR('3 pr-2'!$AJ44)=2019,$CD44,0)</f>
        <v>0</v>
      </c>
      <c r="CJ44" s="518">
        <f>IF(YEAR('3 pr-2'!$AJ44)=2020,$CD44,0)</f>
        <v>0</v>
      </c>
      <c r="CK44" s="518">
        <f>IF(YEAR('3 pr-2'!$AJ44)=2021,$CD44,0)</f>
        <v>0</v>
      </c>
      <c r="CL44" s="518">
        <f>IF(YEAR('3 pr-2'!$AJ44)=2022,$CD44,0)</f>
        <v>0</v>
      </c>
      <c r="CM44" s="518">
        <f>IF(YEAR('3 pr-2'!$AJ44)=2023,$CD44,0)</f>
        <v>0</v>
      </c>
      <c r="CN44" s="523"/>
      <c r="CO44" s="882"/>
      <c r="CP44" s="524"/>
      <c r="CQ44" s="518"/>
      <c r="CR44" s="518"/>
      <c r="CS44" s="518"/>
      <c r="CT44" s="518"/>
      <c r="CU44" s="518"/>
      <c r="CV44" s="518"/>
      <c r="CW44" s="1337">
        <f t="shared" si="33"/>
        <v>0</v>
      </c>
      <c r="CX44" s="524"/>
      <c r="CY44" s="504"/>
      <c r="CZ44" s="504"/>
      <c r="DA44" s="1332">
        <f>IF(YEAR('3 pr-2'!AJ44)=2017,CX44,0)</f>
        <v>0</v>
      </c>
      <c r="DB44" s="1332">
        <f>IF(YEAR('3 pr-2'!AJ44)=2018,CX44,0)</f>
        <v>0</v>
      </c>
      <c r="DC44" s="1332">
        <f>IF(YEAR('3 pr-2'!AJ44)=2019,CX44,0)</f>
        <v>0</v>
      </c>
      <c r="DD44" s="1332">
        <f>IF(YEAR('3 pr-2'!AJ44)=2020,CX44,0)</f>
        <v>0</v>
      </c>
      <c r="DE44" s="1332">
        <f>IF(YEAR('3 pr-2'!AJ44)=2021,CX44,0)</f>
        <v>0</v>
      </c>
      <c r="DF44" s="1332">
        <f>IF(YEAR('3 pr-2'!AJ44)=2022,CX44,0)</f>
        <v>0</v>
      </c>
      <c r="DG44" s="1332">
        <f>IF(YEAR('3 pr-2'!AJ44)=2023,CX44,0)</f>
        <v>0</v>
      </c>
    </row>
    <row r="45" spans="1:111" ht="73.5" thickTop="1" thickBot="1" x14ac:dyDescent="0.3">
      <c r="A45" s="518" t="str">
        <f>CONCATENATE('3 pr-2'!A45)</f>
        <v>1.1.1.3.6</v>
      </c>
      <c r="B45" s="518" t="str">
        <f>CONCATENATE('3 pr-2'!B45)</f>
        <v>R01-9905-290000-1136</v>
      </c>
      <c r="C45" s="1449" t="str">
        <f>CONCATENATE('ketv. 2lent'!B45)</f>
        <v/>
      </c>
      <c r="D45" s="189" t="str">
        <f>CONCATENATE('3 pr-2'!D45)</f>
        <v xml:space="preserve">Teritorijų prie daugiabučių gyvenamųjų pastatų Varėnos mieste sutvarkymas ir pritaikymas visuomenės poreikiams  </v>
      </c>
      <c r="E45" s="480" t="str">
        <f>CONCATENATE('3 pr-2'!E45)</f>
        <v>Varėnos rajono savivaldybės administracija</v>
      </c>
      <c r="F45" s="480" t="str">
        <f>CONCATENATE('3 pr-2'!F45)</f>
        <v>Lietuvos Respublikos vidaus reikalų ministerija</v>
      </c>
      <c r="G45" s="480" t="str">
        <f>CONCATENATE('3 pr-2'!G45)</f>
        <v>Varėnos miestas</v>
      </c>
      <c r="H45" s="518" t="str">
        <f>CONCATENATE('3 pr-2'!H45)</f>
        <v xml:space="preserve">07.1.1-CPVA-R-905 </v>
      </c>
      <c r="I45" s="518" t="str">
        <f>CONCATENATE('3 pr-2'!I45)</f>
        <v>R</v>
      </c>
      <c r="J45" s="518" t="str">
        <f>CONCATENATE('3 pr-2'!J45)</f>
        <v>ITI</v>
      </c>
      <c r="K45" s="518" t="str">
        <f>CONCATENATE('3 pr-2'!K45)</f>
        <v>-</v>
      </c>
      <c r="L45" s="518" t="s">
        <v>486</v>
      </c>
      <c r="M45" s="881" t="s">
        <v>488</v>
      </c>
      <c r="N45" s="518"/>
      <c r="O45" s="518"/>
      <c r="P45" s="518"/>
      <c r="Q45" s="518"/>
      <c r="R45" s="518"/>
      <c r="S45" s="518"/>
      <c r="T45" s="518"/>
      <c r="U45" s="1335"/>
      <c r="V45" s="518">
        <v>10000</v>
      </c>
      <c r="W45" s="1336">
        <f>IF('ketv. 6 lent'!K44&gt;0,"taip",0)</f>
        <v>0</v>
      </c>
      <c r="X45" s="518"/>
      <c r="Y45" s="518">
        <f>IF(YEAR('3 pr-2'!$AJ45)=2017,$V45,0)</f>
        <v>0</v>
      </c>
      <c r="Z45" s="518">
        <f>IF(YEAR('3 pr-2'!$AJ45)=2018,$V45,0)</f>
        <v>0</v>
      </c>
      <c r="AA45" s="518">
        <f>IF(YEAR('3 pr-2'!$AJ45)=2019,$V45,0)</f>
        <v>0</v>
      </c>
      <c r="AB45" s="518">
        <f>IF(YEAR('3 pr-2'!$AJ45)=2020,$V45,0)</f>
        <v>10000</v>
      </c>
      <c r="AC45" s="518">
        <f>IF(YEAR('3 pr-2'!$AJ45)=2021,$V45,0)</f>
        <v>0</v>
      </c>
      <c r="AD45" s="518">
        <f>IF(YEAR('3 pr-2'!$AJ45)=2022,$V45,0)</f>
        <v>0</v>
      </c>
      <c r="AE45" s="518">
        <f>IF(YEAR('3 pr-2'!$AJ45)=2023,$V45,0)</f>
        <v>0</v>
      </c>
      <c r="AF45" s="523"/>
      <c r="AG45" s="881"/>
      <c r="AH45" s="518"/>
      <c r="AI45" s="518"/>
      <c r="AJ45" s="518"/>
      <c r="AK45" s="518"/>
      <c r="AL45" s="518"/>
      <c r="AM45" s="518"/>
      <c r="AN45" s="518"/>
      <c r="AO45" s="1337">
        <f t="shared" si="85"/>
        <v>0</v>
      </c>
      <c r="AP45" s="518"/>
      <c r="AQ45" s="1338"/>
      <c r="AR45" s="518"/>
      <c r="AS45" s="518">
        <f>IF(YEAR('3 pr-2'!$AJ45)=2017,$AP45,0)</f>
        <v>0</v>
      </c>
      <c r="AT45" s="518">
        <f>IF(YEAR('3 pr-2'!$AJ45)=2018,$AP45,0)</f>
        <v>0</v>
      </c>
      <c r="AU45" s="518">
        <f>IF(YEAR('3 pr-2'!$AJ45)=2019,$AP45,0)</f>
        <v>0</v>
      </c>
      <c r="AV45" s="518">
        <f>IF(YEAR('3 pr-2'!$AJ45)=2020,$AP45,0)</f>
        <v>0</v>
      </c>
      <c r="AW45" s="518">
        <f>IF(YEAR('3 pr-2'!$AJ45)=2021,$AP45,0)</f>
        <v>0</v>
      </c>
      <c r="AX45" s="518">
        <f>IF(YEAR('3 pr-2'!$AJ45)=2022,$AP45,0)</f>
        <v>0</v>
      </c>
      <c r="AY45" s="518">
        <f>IF(YEAR('3 pr-2'!$AJ45)=2023,$AP45,0)</f>
        <v>0</v>
      </c>
      <c r="AZ45" s="518"/>
      <c r="BA45" s="880"/>
      <c r="BB45" s="518"/>
      <c r="BC45" s="518"/>
      <c r="BD45" s="518"/>
      <c r="BE45" s="518"/>
      <c r="BF45" s="518"/>
      <c r="BG45" s="518"/>
      <c r="BH45" s="518"/>
      <c r="BI45" s="1337">
        <f t="shared" si="51"/>
        <v>0</v>
      </c>
      <c r="BJ45" s="518"/>
      <c r="BK45" s="1338"/>
      <c r="BL45" s="518"/>
      <c r="BM45" s="518">
        <f>IF(YEAR('3 pr-2'!AJ45)=2017,BJ45,0)</f>
        <v>0</v>
      </c>
      <c r="BN45" s="518">
        <f>IF(YEAR('3 pr-2'!AJ45)=2018,BJ45,0)</f>
        <v>0</v>
      </c>
      <c r="BO45" s="518">
        <f>IF(YEAR('3 pr-2'!AJ45)=2019,BJ45,0)</f>
        <v>0</v>
      </c>
      <c r="BP45" s="518">
        <f>IF(YEAR('3 pr-2'!AJ45)=2020,BJ45,0)</f>
        <v>0</v>
      </c>
      <c r="BQ45" s="518">
        <f>IF(YEAR('3 pr-2'!AJ45)=2021,BJ45,0)</f>
        <v>0</v>
      </c>
      <c r="BR45" s="518">
        <f>IF(YEAR('3 pr-2'!AJ45)=2022,BJ45,0)</f>
        <v>0</v>
      </c>
      <c r="BS45" s="518">
        <f>IF(YEAR('3 pr-2'!AJ45)=2023,BJ45,0)</f>
        <v>0</v>
      </c>
      <c r="BT45" s="523"/>
      <c r="BU45" s="881"/>
      <c r="BV45" s="518"/>
      <c r="BW45" s="518"/>
      <c r="BX45" s="518"/>
      <c r="BY45" s="518"/>
      <c r="BZ45" s="518"/>
      <c r="CA45" s="518"/>
      <c r="CB45" s="518"/>
      <c r="CC45" s="1337">
        <f t="shared" si="32"/>
        <v>0</v>
      </c>
      <c r="CD45" s="518"/>
      <c r="CE45" s="518"/>
      <c r="CF45" s="518"/>
      <c r="CG45" s="518">
        <f>IF(YEAR('3 pr-2'!$AJ45)=2017,$CD45,0)</f>
        <v>0</v>
      </c>
      <c r="CH45" s="518">
        <f>IF(YEAR('3 pr-2'!$AJ45)=2018,$CD45,0)</f>
        <v>0</v>
      </c>
      <c r="CI45" s="518">
        <f>IF(YEAR('3 pr-2'!$AJ45)=2019,$CD45,0)</f>
        <v>0</v>
      </c>
      <c r="CJ45" s="518">
        <f>IF(YEAR('3 pr-2'!$AJ45)=2020,$CD45,0)</f>
        <v>0</v>
      </c>
      <c r="CK45" s="518">
        <f>IF(YEAR('3 pr-2'!$AJ45)=2021,$CD45,0)</f>
        <v>0</v>
      </c>
      <c r="CL45" s="518">
        <f>IF(YEAR('3 pr-2'!$AJ45)=2022,$CD45,0)</f>
        <v>0</v>
      </c>
      <c r="CM45" s="518">
        <f>IF(YEAR('3 pr-2'!$AJ45)=2023,$CD45,0)</f>
        <v>0</v>
      </c>
      <c r="CN45" s="523"/>
      <c r="CO45" s="882"/>
      <c r="CP45" s="524"/>
      <c r="CQ45" s="518"/>
      <c r="CR45" s="518"/>
      <c r="CS45" s="518"/>
      <c r="CT45" s="518"/>
      <c r="CU45" s="518"/>
      <c r="CV45" s="518"/>
      <c r="CW45" s="1337">
        <f t="shared" si="33"/>
        <v>0</v>
      </c>
      <c r="CX45" s="524"/>
      <c r="CY45" s="504"/>
      <c r="CZ45" s="504"/>
      <c r="DA45" s="1332">
        <f>IF(YEAR('3 pr-2'!AJ45)=2017,CX45,0)</f>
        <v>0</v>
      </c>
      <c r="DB45" s="1332">
        <f>IF(YEAR('3 pr-2'!AJ45)=2018,CX45,0)</f>
        <v>0</v>
      </c>
      <c r="DC45" s="1332">
        <f>IF(YEAR('3 pr-2'!AJ45)=2019,CX45,0)</f>
        <v>0</v>
      </c>
      <c r="DD45" s="1332">
        <f>IF(YEAR('3 pr-2'!AJ45)=2020,CX45,0)</f>
        <v>0</v>
      </c>
      <c r="DE45" s="1332">
        <f>IF(YEAR('3 pr-2'!AJ45)=2021,CX45,0)</f>
        <v>0</v>
      </c>
      <c r="DF45" s="1332">
        <f>IF(YEAR('3 pr-2'!AJ45)=2022,CX45,0)</f>
        <v>0</v>
      </c>
      <c r="DG45" s="1332">
        <f>IF(YEAR('3 pr-2'!AJ45)=2023,CX45,0)</f>
        <v>0</v>
      </c>
    </row>
    <row r="46" spans="1:111" ht="43.5" customHeight="1" thickBot="1" x14ac:dyDescent="0.3">
      <c r="A46" s="1257" t="str">
        <f>CONCATENATE('3 pr-2'!A46)</f>
        <v>1.1.1.4</v>
      </c>
      <c r="B46" s="1687" t="str">
        <f>CONCATENATE('3 pr-2'!B46)</f>
        <v xml:space="preserve">Priemonė:
Alytaus, Druskininkų ir Lazdijų miestų kompleksinė plėtra
</v>
      </c>
      <c r="C46" s="1688"/>
      <c r="D46" s="1688"/>
      <c r="E46" s="1688"/>
      <c r="F46" s="1688"/>
      <c r="G46" s="1688"/>
      <c r="H46" s="1688"/>
      <c r="I46" s="1688"/>
      <c r="J46" s="1688"/>
      <c r="K46" s="1689"/>
      <c r="L46" s="526" t="s">
        <v>489</v>
      </c>
      <c r="M46" s="1501" t="s">
        <v>490</v>
      </c>
      <c r="N46" s="1498">
        <f>SUM(N47:N49)</f>
        <v>0</v>
      </c>
      <c r="O46" s="1498">
        <f t="shared" ref="O46:T46" si="86">SUM(O47:O49)</f>
        <v>0</v>
      </c>
      <c r="P46" s="1498">
        <f t="shared" si="86"/>
        <v>0</v>
      </c>
      <c r="Q46" s="1498">
        <f t="shared" si="86"/>
        <v>0</v>
      </c>
      <c r="R46" s="1498">
        <f t="shared" si="86"/>
        <v>0</v>
      </c>
      <c r="S46" s="1498">
        <f t="shared" si="86"/>
        <v>0</v>
      </c>
      <c r="T46" s="1498">
        <f t="shared" si="86"/>
        <v>0</v>
      </c>
      <c r="U46" s="1502">
        <f>SUM(U47:U49)</f>
        <v>0</v>
      </c>
      <c r="V46" s="501">
        <f>SUM(V47:V49)</f>
        <v>24239.5</v>
      </c>
      <c r="W46" s="1503">
        <f t="shared" ref="W46:X46" si="87">SUM(W47:W49)</f>
        <v>16126.5</v>
      </c>
      <c r="X46" s="1504">
        <f t="shared" si="87"/>
        <v>0</v>
      </c>
      <c r="Y46" s="1498">
        <f t="shared" ref="Y46:AE46" si="88">SUM(Y47:Y49)</f>
        <v>0</v>
      </c>
      <c r="Z46" s="1498">
        <f t="shared" si="88"/>
        <v>24239.5</v>
      </c>
      <c r="AA46" s="1498">
        <f t="shared" si="88"/>
        <v>0</v>
      </c>
      <c r="AB46" s="1498">
        <f t="shared" si="88"/>
        <v>0</v>
      </c>
      <c r="AC46" s="1498">
        <f t="shared" si="88"/>
        <v>0</v>
      </c>
      <c r="AD46" s="1498">
        <f t="shared" si="88"/>
        <v>0</v>
      </c>
      <c r="AE46" s="1498">
        <f t="shared" si="88"/>
        <v>0</v>
      </c>
      <c r="AF46" s="1504" t="s">
        <v>491</v>
      </c>
      <c r="AG46" s="1495" t="s">
        <v>492</v>
      </c>
      <c r="AH46" s="1498">
        <f>SUM(AH47:AH49)</f>
        <v>0</v>
      </c>
      <c r="AI46" s="1498">
        <f t="shared" ref="AI46" si="89">SUM(AI47:AI49)</f>
        <v>0</v>
      </c>
      <c r="AJ46" s="1498">
        <f t="shared" ref="AJ46" si="90">SUM(AJ47:AJ49)</f>
        <v>0</v>
      </c>
      <c r="AK46" s="1498">
        <f t="shared" ref="AK46" si="91">SUM(AK47:AK49)</f>
        <v>0</v>
      </c>
      <c r="AL46" s="1498">
        <f t="shared" ref="AL46" si="92">SUM(AL47:AL49)</f>
        <v>0</v>
      </c>
      <c r="AM46" s="1498">
        <f t="shared" ref="AM46" si="93">SUM(AM47:AM49)</f>
        <v>0</v>
      </c>
      <c r="AN46" s="1498">
        <f t="shared" ref="AN46" si="94">SUM(AN47:AN49)</f>
        <v>0</v>
      </c>
      <c r="AO46" s="501">
        <f>SUM(AO47:AO49)</f>
        <v>0</v>
      </c>
      <c r="AP46" s="501">
        <f>SUM(AP47:AP49)</f>
        <v>690.97</v>
      </c>
      <c r="AQ46" s="1498"/>
      <c r="AR46" s="1498"/>
      <c r="AS46" s="1498">
        <f t="shared" ref="AS46" si="95">SUM(AS47:AS49)</f>
        <v>0</v>
      </c>
      <c r="AT46" s="1506">
        <f>SUM(AT47:AT49)</f>
        <v>690.97</v>
      </c>
      <c r="AU46" s="1498">
        <f t="shared" ref="AU46" si="96">SUM(AU47:AU49)</f>
        <v>0</v>
      </c>
      <c r="AV46" s="1498">
        <f t="shared" ref="AV46" si="97">SUM(AV47:AV49)</f>
        <v>0</v>
      </c>
      <c r="AW46" s="1498">
        <f t="shared" ref="AW46" si="98">SUM(AW47:AW49)</f>
        <v>0</v>
      </c>
      <c r="AX46" s="1498">
        <f t="shared" ref="AX46" si="99">SUM(AX47:AX49)</f>
        <v>0</v>
      </c>
      <c r="AY46" s="1498">
        <f t="shared" ref="AY46" si="100">SUM(AY47:AY49)</f>
        <v>0</v>
      </c>
      <c r="AZ46" s="501"/>
      <c r="BA46" s="1495"/>
      <c r="BB46" s="1498">
        <f>SUM(BB47:BB49)</f>
        <v>0</v>
      </c>
      <c r="BC46" s="1498">
        <f t="shared" ref="BC46" si="101">SUM(BC47:BC49)</f>
        <v>0</v>
      </c>
      <c r="BD46" s="1498">
        <f t="shared" ref="BD46" si="102">SUM(BD47:BD49)</f>
        <v>0</v>
      </c>
      <c r="BE46" s="1498">
        <f t="shared" ref="BE46" si="103">SUM(BE47:BE49)</f>
        <v>0</v>
      </c>
      <c r="BF46" s="1498">
        <f t="shared" ref="BF46" si="104">SUM(BF47:BF49)</f>
        <v>0</v>
      </c>
      <c r="BG46" s="1498">
        <f t="shared" ref="BG46" si="105">SUM(BG47:BG49)</f>
        <v>0</v>
      </c>
      <c r="BH46" s="1498">
        <f t="shared" ref="BH46" si="106">SUM(BH47:BH49)</f>
        <v>0</v>
      </c>
      <c r="BI46" s="501">
        <f>SUM(BI47:BI49)</f>
        <v>0</v>
      </c>
      <c r="BJ46" s="501">
        <f>SUM(BJ47:BJ49)</f>
        <v>0</v>
      </c>
      <c r="BK46" s="1498"/>
      <c r="BL46" s="1498"/>
      <c r="BM46" s="1498">
        <f t="shared" ref="BM46" si="107">SUM(BM47:BM49)</f>
        <v>0</v>
      </c>
      <c r="BN46" s="1498">
        <f t="shared" ref="BN46" si="108">SUM(BN47:BN49)</f>
        <v>0</v>
      </c>
      <c r="BO46" s="1498">
        <f t="shared" ref="BO46" si="109">SUM(BO47:BO49)</f>
        <v>0</v>
      </c>
      <c r="BP46" s="1498">
        <f t="shared" ref="BP46" si="110">SUM(BP47:BP49)</f>
        <v>0</v>
      </c>
      <c r="BQ46" s="1498">
        <f t="shared" ref="BQ46" si="111">SUM(BQ47:BQ49)</f>
        <v>0</v>
      </c>
      <c r="BR46" s="1498">
        <f t="shared" ref="BR46" si="112">SUM(BR47:BR49)</f>
        <v>0</v>
      </c>
      <c r="BS46" s="1498">
        <f t="shared" ref="BS46" si="113">SUM(BS47:BS49)</f>
        <v>0</v>
      </c>
      <c r="BT46" s="1498"/>
      <c r="BU46" s="1497"/>
      <c r="BV46" s="1498">
        <f>SUM(BV47:BV49)</f>
        <v>0</v>
      </c>
      <c r="BW46" s="1498">
        <f t="shared" ref="BW46" si="114">SUM(BW47:BW49)</f>
        <v>0</v>
      </c>
      <c r="BX46" s="1498">
        <f t="shared" ref="BX46" si="115">SUM(BX47:BX49)</f>
        <v>0</v>
      </c>
      <c r="BY46" s="1498">
        <f t="shared" ref="BY46" si="116">SUM(BY47:BY49)</f>
        <v>0</v>
      </c>
      <c r="BZ46" s="1498">
        <f t="shared" ref="BZ46" si="117">SUM(BZ47:BZ49)</f>
        <v>0</v>
      </c>
      <c r="CA46" s="1498">
        <f t="shared" ref="CA46" si="118">SUM(CA47:CA49)</f>
        <v>0</v>
      </c>
      <c r="CB46" s="1498">
        <f t="shared" ref="CB46" si="119">SUM(CB47:CB49)</f>
        <v>0</v>
      </c>
      <c r="CC46" s="501">
        <f>SUM(CC47:CC49)</f>
        <v>0</v>
      </c>
      <c r="CD46" s="1498"/>
      <c r="CE46" s="1498"/>
      <c r="CF46" s="1498"/>
      <c r="CG46" s="1498"/>
      <c r="CH46" s="1498"/>
      <c r="CI46" s="1498"/>
      <c r="CJ46" s="1498"/>
      <c r="CK46" s="1498"/>
      <c r="CL46" s="1498"/>
      <c r="CM46" s="1498"/>
      <c r="CN46" s="1502"/>
      <c r="CO46" s="1497"/>
      <c r="CP46" s="1505">
        <f>SUM(CP47:CP49)</f>
        <v>0</v>
      </c>
      <c r="CQ46" s="1498">
        <f t="shared" ref="CQ46" si="120">SUM(CQ47:CQ49)</f>
        <v>0</v>
      </c>
      <c r="CR46" s="1498">
        <f t="shared" ref="CR46" si="121">SUM(CR47:CR49)</f>
        <v>0</v>
      </c>
      <c r="CS46" s="1498">
        <f t="shared" ref="CS46" si="122">SUM(CS47:CS49)</f>
        <v>0</v>
      </c>
      <c r="CT46" s="1498">
        <f t="shared" ref="CT46" si="123">SUM(CT47:CT49)</f>
        <v>0</v>
      </c>
      <c r="CU46" s="1498">
        <f t="shared" ref="CU46" si="124">SUM(CU47:CU49)</f>
        <v>0</v>
      </c>
      <c r="CV46" s="1498">
        <f t="shared" ref="CV46" si="125">SUM(CV47:CV49)</f>
        <v>0</v>
      </c>
      <c r="CW46" s="501">
        <f>SUM(CW47:CW49)</f>
        <v>0</v>
      </c>
      <c r="CX46" s="1498"/>
      <c r="CY46" s="1496"/>
      <c r="CZ46" s="1496"/>
      <c r="DA46" s="1496"/>
      <c r="DB46" s="1496"/>
      <c r="DC46" s="1496"/>
      <c r="DD46" s="1496"/>
      <c r="DE46" s="1496"/>
      <c r="DF46" s="1496"/>
      <c r="DG46" s="1496"/>
    </row>
    <row r="47" spans="1:111" ht="61.5" thickTop="1" thickBot="1" x14ac:dyDescent="0.3">
      <c r="A47" s="518" t="str">
        <f>CONCATENATE('3 pr-2'!A47)</f>
        <v>1.1.1.4.1</v>
      </c>
      <c r="B47" s="518" t="str">
        <f>CONCATENATE('3 pr-2'!B47)</f>
        <v>R01-9902-310000-1141</v>
      </c>
      <c r="C47" s="1449" t="str">
        <f>CONCATENATE('ketv. 2lent'!B46)</f>
        <v>07.1.1-CPVA-V-902-01-0008</v>
      </c>
      <c r="D47" s="189" t="str">
        <f>CONCATENATE('3 pr-2'!D47)</f>
        <v>Buvusios pramoninės teritorijos Pramonės g. 1 Alytuje, pritaikymas verslo vystymui ir plėtrai.</v>
      </c>
      <c r="E47" s="480" t="str">
        <f>CONCATENATE('3 pr-2'!E47)</f>
        <v>Alytaus miesto savivaldybės administracija</v>
      </c>
      <c r="F47" s="480" t="str">
        <f>CONCATENATE('3 pr-2'!F47)</f>
        <v>Lietuvos Respublikos vidaus reikalų ministerija</v>
      </c>
      <c r="G47" s="480" t="str">
        <f>CONCATENATE('3 pr-2'!G47)</f>
        <v>Alytaus m.</v>
      </c>
      <c r="H47" s="518" t="str">
        <f>CONCATENATE('3 pr-2'!H47)</f>
        <v>07.1.1-CPVA-V-902</v>
      </c>
      <c r="I47" s="518" t="str">
        <f>CONCATENATE('3 pr-2'!I47)</f>
        <v>V</v>
      </c>
      <c r="J47" s="518" t="str">
        <f>CONCATENATE('3 pr-2'!J47)</f>
        <v>ITI</v>
      </c>
      <c r="K47" s="518" t="str">
        <f>CONCATENATE('3 pr-2'!K47)</f>
        <v>-</v>
      </c>
      <c r="L47" s="518" t="s">
        <v>489</v>
      </c>
      <c r="M47" s="881" t="s">
        <v>490</v>
      </c>
      <c r="N47" s="518"/>
      <c r="O47" s="518"/>
      <c r="P47" s="518"/>
      <c r="Q47" s="518"/>
      <c r="R47" s="518"/>
      <c r="S47" s="518"/>
      <c r="T47" s="518"/>
      <c r="U47" s="1335"/>
      <c r="V47" s="518">
        <v>16126.5</v>
      </c>
      <c r="W47" s="1339">
        <v>16126.5</v>
      </c>
      <c r="X47" s="518">
        <f>SUM(W47-V47)</f>
        <v>0</v>
      </c>
      <c r="Y47" s="518">
        <f>IF(YEAR('3 pr-2'!$AJ47)=2017,$V47,0)</f>
        <v>0</v>
      </c>
      <c r="Z47" s="518">
        <f>IF(YEAR('3 pr-2'!$AJ47)=2018,$V47,0)</f>
        <v>16126.5</v>
      </c>
      <c r="AA47" s="518">
        <f>IF(YEAR('3 pr-2'!$AJ47)=2019,$V47,0)</f>
        <v>0</v>
      </c>
      <c r="AB47" s="518">
        <f>IF(YEAR('3 pr-2'!$AJ47)=2020,$V47,0)</f>
        <v>0</v>
      </c>
      <c r="AC47" s="518">
        <f>IF(YEAR('3 pr-2'!$AJ47)=2021,$V47,0)</f>
        <v>0</v>
      </c>
      <c r="AD47" s="518">
        <f>IF(YEAR('3 pr-2'!$AJ47)=2022,$V47,0)</f>
        <v>0</v>
      </c>
      <c r="AE47" s="518">
        <f>IF(YEAR('3 pr-2'!$AJ47)=2023,$V47,0)</f>
        <v>0</v>
      </c>
      <c r="AF47" s="523"/>
      <c r="AG47" s="881"/>
      <c r="AH47" s="518"/>
      <c r="AI47" s="518"/>
      <c r="AJ47" s="518"/>
      <c r="AK47" s="518"/>
      <c r="AL47" s="518"/>
      <c r="AM47" s="518"/>
      <c r="AN47" s="518"/>
      <c r="AO47" s="1337">
        <f t="shared" ref="AO47:AO72" si="126">SUM(AH47:AN47)</f>
        <v>0</v>
      </c>
      <c r="AP47" s="518"/>
      <c r="AQ47" s="1338"/>
      <c r="AR47" s="518"/>
      <c r="AS47" s="518">
        <f>IF(YEAR('3 pr-2'!$AJ47)=2017,$AP47,0)</f>
        <v>0</v>
      </c>
      <c r="AT47" s="518">
        <f>IF(YEAR('3 pr-2'!$AJ47)=2018,$AP47,0)</f>
        <v>0</v>
      </c>
      <c r="AU47" s="518">
        <f>IF(YEAR('3 pr-2'!$AJ47)=2019,$AP47,0)</f>
        <v>0</v>
      </c>
      <c r="AV47" s="518">
        <f>IF(YEAR('3 pr-2'!$AJ47)=2020,$AP47,0)</f>
        <v>0</v>
      </c>
      <c r="AW47" s="518">
        <f>IF(YEAR('3 pr-2'!$AJ47)=2021,$AP47,0)</f>
        <v>0</v>
      </c>
      <c r="AX47" s="518">
        <f>IF(YEAR('3 pr-2'!$AJ47)=2022,$AP47,0)</f>
        <v>0</v>
      </c>
      <c r="AY47" s="518">
        <f>IF(YEAR('3 pr-2'!$AJ47)=2023,$AP47,0)</f>
        <v>0</v>
      </c>
      <c r="AZ47" s="518"/>
      <c r="BA47" s="880"/>
      <c r="BB47" s="518"/>
      <c r="BC47" s="518"/>
      <c r="BD47" s="518"/>
      <c r="BE47" s="518"/>
      <c r="BF47" s="518"/>
      <c r="BG47" s="518"/>
      <c r="BH47" s="518"/>
      <c r="BI47" s="1337">
        <f t="shared" ref="BI47:BI49" si="127">SUM(BB47:BH47)</f>
        <v>0</v>
      </c>
      <c r="BJ47" s="518"/>
      <c r="BK47" s="1338"/>
      <c r="BL47" s="518"/>
      <c r="BM47" s="518">
        <f>IF(YEAR('3 pr-2'!AJ47)=2017,BJ47,0)</f>
        <v>0</v>
      </c>
      <c r="BN47" s="518">
        <f>IF(YEAR('3 pr-2'!AJ47)=2018,BJ47,0)</f>
        <v>0</v>
      </c>
      <c r="BO47" s="518">
        <f>IF(YEAR('3 pr-2'!AJ47)=2019,BJ47,0)</f>
        <v>0</v>
      </c>
      <c r="BP47" s="518">
        <f>IF(YEAR('3 pr-2'!AJ47)=2020,BJ47,0)</f>
        <v>0</v>
      </c>
      <c r="BQ47" s="518">
        <f>IF(YEAR('3 pr-2'!AJ47)=2021,BJ47,0)</f>
        <v>0</v>
      </c>
      <c r="BR47" s="518">
        <f>IF(YEAR('3 pr-2'!AJ47)=2022,BJ47,0)</f>
        <v>0</v>
      </c>
      <c r="BS47" s="518">
        <f>IF(YEAR('3 pr-2'!AJ47)=2023,BJ47,0)</f>
        <v>0</v>
      </c>
      <c r="BT47" s="523"/>
      <c r="BU47" s="881"/>
      <c r="BV47" s="518"/>
      <c r="BW47" s="518"/>
      <c r="BX47" s="518"/>
      <c r="BY47" s="518"/>
      <c r="BZ47" s="518"/>
      <c r="CA47" s="518"/>
      <c r="CB47" s="518"/>
      <c r="CC47" s="1337">
        <f t="shared" ref="CC47:CC72" si="128">SUM(BV47:CB47)</f>
        <v>0</v>
      </c>
      <c r="CD47" s="518"/>
      <c r="CE47" s="518"/>
      <c r="CF47" s="518"/>
      <c r="CG47" s="518">
        <f>IF(YEAR('3 pr-2'!$AJ47)=2017,$CD47,0)</f>
        <v>0</v>
      </c>
      <c r="CH47" s="518">
        <f>IF(YEAR('3 pr-2'!$AJ47)=2018,$CD47,0)</f>
        <v>0</v>
      </c>
      <c r="CI47" s="518">
        <f>IF(YEAR('3 pr-2'!$AJ47)=2019,$CD47,0)</f>
        <v>0</v>
      </c>
      <c r="CJ47" s="518">
        <f>IF(YEAR('3 pr-2'!$AJ47)=2020,$CD47,0)</f>
        <v>0</v>
      </c>
      <c r="CK47" s="518">
        <f>IF(YEAR('3 pr-2'!$AJ47)=2021,$CD47,0)</f>
        <v>0</v>
      </c>
      <c r="CL47" s="518">
        <f>IF(YEAR('3 pr-2'!$AJ47)=2022,$CD47,0)</f>
        <v>0</v>
      </c>
      <c r="CM47" s="518">
        <f>IF(YEAR('3 pr-2'!$AJ47)=2023,$CD47,0)</f>
        <v>0</v>
      </c>
      <c r="CN47" s="523"/>
      <c r="CO47" s="882"/>
      <c r="CP47" s="524"/>
      <c r="CQ47" s="518"/>
      <c r="CR47" s="518"/>
      <c r="CS47" s="518"/>
      <c r="CT47" s="518"/>
      <c r="CU47" s="518"/>
      <c r="CV47" s="518"/>
      <c r="CW47" s="1337">
        <f t="shared" ref="CW47:CW72" si="129">SUM(CP47:CV47)</f>
        <v>0</v>
      </c>
      <c r="CX47" s="524"/>
      <c r="CY47" s="504"/>
      <c r="CZ47" s="504"/>
      <c r="DA47" s="1332">
        <f>IF(YEAR('3 pr-2'!AJ47)=2017,CX47,0)</f>
        <v>0</v>
      </c>
      <c r="DB47" s="1332">
        <f>IF(YEAR('3 pr-2'!AJ47)=2018,CX47,0)</f>
        <v>0</v>
      </c>
      <c r="DC47" s="1332">
        <f>IF(YEAR('3 pr-2'!AJ47)=2019,CX47,0)</f>
        <v>0</v>
      </c>
      <c r="DD47" s="1332">
        <f>IF(YEAR('3 pr-2'!AJ47)=2020,CX47,0)</f>
        <v>0</v>
      </c>
      <c r="DE47" s="1332">
        <f>IF(YEAR('3 pr-2'!AJ47)=2021,CX47,0)</f>
        <v>0</v>
      </c>
      <c r="DF47" s="1332">
        <f>IF(YEAR('3 pr-2'!AJ47)=2022,CX47,0)</f>
        <v>0</v>
      </c>
      <c r="DG47" s="1332">
        <f>IF(YEAR('3 pr-2'!AJ47)=2023,CX47,0)</f>
        <v>0</v>
      </c>
    </row>
    <row r="48" spans="1:111" ht="49.5" thickTop="1" thickBot="1" x14ac:dyDescent="0.3">
      <c r="A48" s="518" t="str">
        <f>CONCATENATE('3 pr-2'!A48)</f>
        <v>1.1.1.4.2</v>
      </c>
      <c r="B48" s="518" t="str">
        <f>CONCATENATE('3 pr-2'!B48)</f>
        <v>R01-9903-290000-1142</v>
      </c>
      <c r="C48" s="1449" t="str">
        <f>CONCATENATE('ketv. 2lent'!B47)</f>
        <v>07.1.1-CPVA-R-903-11-0001</v>
      </c>
      <c r="D48" s="189" t="str">
        <f>CONCATENATE('3 pr-2'!D48)</f>
        <v>Amatų centro „Menų kalvė“ Druskininkuose įkūrimas</v>
      </c>
      <c r="E48" s="480" t="str">
        <f>CONCATENATE('3 pr-2'!E48)</f>
        <v xml:space="preserve">Druskininkų savivaldybės administracija  </v>
      </c>
      <c r="F48" s="480" t="str">
        <f>CONCATENATE('3 pr-2'!F48)</f>
        <v>Lietuvos Respublikos vidaus reikalų ministerija</v>
      </c>
      <c r="G48" s="480" t="str">
        <f>CONCATENATE('3 pr-2'!G48)</f>
        <v>Druskininkų miestas</v>
      </c>
      <c r="H48" s="518" t="str">
        <f>CONCATENATE('3 pr-2'!H48)</f>
        <v>07.1.1-CPVA-R-903</v>
      </c>
      <c r="I48" s="518" t="str">
        <f>CONCATENATE('3 pr-2'!I48)</f>
        <v>R</v>
      </c>
      <c r="J48" s="518" t="str">
        <f>CONCATENATE('3 pr-2'!J48)</f>
        <v>ITI</v>
      </c>
      <c r="K48" s="518" t="str">
        <f>CONCATENATE('3 pr-2'!K48)</f>
        <v>-</v>
      </c>
      <c r="L48" s="518" t="s">
        <v>489</v>
      </c>
      <c r="M48" s="881" t="s">
        <v>490</v>
      </c>
      <c r="N48" s="518"/>
      <c r="O48" s="518"/>
      <c r="P48" s="518"/>
      <c r="Q48" s="518"/>
      <c r="R48" s="518"/>
      <c r="S48" s="518"/>
      <c r="T48" s="518"/>
      <c r="U48" s="1335"/>
      <c r="V48" s="518">
        <v>2113</v>
      </c>
      <c r="W48" s="1339" t="str">
        <f>IF('ketv. 6 lent'!$K$47&gt;0,"2113,00",0)</f>
        <v>2113,00</v>
      </c>
      <c r="X48" s="518">
        <f>SUM(W48-V48)</f>
        <v>0</v>
      </c>
      <c r="Y48" s="518">
        <f>IF(YEAR('3 pr-2'!$AJ48)=2017,$V48,0)</f>
        <v>0</v>
      </c>
      <c r="Z48" s="518">
        <f>IF(YEAR('3 pr-2'!$AJ48)=2018,$V48,0)</f>
        <v>2113</v>
      </c>
      <c r="AA48" s="518">
        <f>IF(YEAR('3 pr-2'!$AJ48)=2019,$V48,0)</f>
        <v>0</v>
      </c>
      <c r="AB48" s="518">
        <f>IF(YEAR('3 pr-2'!$AJ48)=2020,$V48,0)</f>
        <v>0</v>
      </c>
      <c r="AC48" s="518">
        <f>IF(YEAR('3 pr-2'!$AJ48)=2021,$V48,0)</f>
        <v>0</v>
      </c>
      <c r="AD48" s="518">
        <f>IF(YEAR('3 pr-2'!$AJ48)=2022,$V48,0)</f>
        <v>0</v>
      </c>
      <c r="AE48" s="518">
        <f>IF(YEAR('3 pr-2'!$AJ48)=2023,$V48,0)</f>
        <v>0</v>
      </c>
      <c r="AF48" s="523" t="s">
        <v>491</v>
      </c>
      <c r="AG48" s="881" t="s">
        <v>492</v>
      </c>
      <c r="AH48" s="518"/>
      <c r="AI48" s="518"/>
      <c r="AJ48" s="518"/>
      <c r="AK48" s="518"/>
      <c r="AL48" s="518"/>
      <c r="AM48" s="518"/>
      <c r="AN48" s="518"/>
      <c r="AO48" s="1337">
        <f t="shared" si="126"/>
        <v>0</v>
      </c>
      <c r="AP48" s="1109">
        <v>690.97</v>
      </c>
      <c r="AQ48" s="1336" t="str">
        <f>IF('ketv. 6 lent'!$K$47&gt;0,"690,97",0)</f>
        <v>690,97</v>
      </c>
      <c r="AR48" s="518">
        <f>SUM(AQ48-AP48)</f>
        <v>0</v>
      </c>
      <c r="AS48" s="518">
        <f>IF(YEAR('3 pr-2'!$AJ48)=2017,$AP48,0)</f>
        <v>0</v>
      </c>
      <c r="AT48" s="518">
        <f>IF(YEAR('3 pr-2'!$AJ48)=2018,$AP48,0)</f>
        <v>690.97</v>
      </c>
      <c r="AU48" s="518">
        <f>IF(YEAR('3 pr-2'!$AJ48)=2019,$AP48,0)</f>
        <v>0</v>
      </c>
      <c r="AV48" s="518">
        <f>IF(YEAR('3 pr-2'!$AJ48)=2020,$AP48,0)</f>
        <v>0</v>
      </c>
      <c r="AW48" s="518">
        <f>IF(YEAR('3 pr-2'!$AJ48)=2021,$AP48,0)</f>
        <v>0</v>
      </c>
      <c r="AX48" s="518">
        <f>IF(YEAR('3 pr-2'!$AJ48)=2022,$AP48,0)</f>
        <v>0</v>
      </c>
      <c r="AY48" s="518">
        <f>IF(YEAR('3 pr-2'!$AJ48)=2023,$AP48,0)</f>
        <v>0</v>
      </c>
      <c r="AZ48" s="518"/>
      <c r="BA48" s="880"/>
      <c r="BB48" s="518"/>
      <c r="BC48" s="518"/>
      <c r="BD48" s="518"/>
      <c r="BE48" s="518"/>
      <c r="BF48" s="518"/>
      <c r="BG48" s="518"/>
      <c r="BH48" s="518"/>
      <c r="BI48" s="1337">
        <f t="shared" si="127"/>
        <v>0</v>
      </c>
      <c r="BJ48" s="518"/>
      <c r="BK48" s="1338"/>
      <c r="BL48" s="518"/>
      <c r="BM48" s="518">
        <f>IF(YEAR('3 pr-2'!AJ48)=2017,BJ48,0)</f>
        <v>0</v>
      </c>
      <c r="BN48" s="518">
        <f>IF(YEAR('3 pr-2'!AJ48)=2018,BJ48,0)</f>
        <v>0</v>
      </c>
      <c r="BO48" s="518">
        <f>IF(YEAR('3 pr-2'!AJ48)=2019,BJ48,0)</f>
        <v>0</v>
      </c>
      <c r="BP48" s="518">
        <f>IF(YEAR('3 pr-2'!AJ48)=2020,BJ48,0)</f>
        <v>0</v>
      </c>
      <c r="BQ48" s="518">
        <f>IF(YEAR('3 pr-2'!AJ48)=2021,BJ48,0)</f>
        <v>0</v>
      </c>
      <c r="BR48" s="518">
        <f>IF(YEAR('3 pr-2'!AJ48)=2022,BJ48,0)</f>
        <v>0</v>
      </c>
      <c r="BS48" s="518">
        <f>IF(YEAR('3 pr-2'!AJ48)=2023,BJ48,0)</f>
        <v>0</v>
      </c>
      <c r="BT48" s="523"/>
      <c r="BU48" s="881"/>
      <c r="BV48" s="518"/>
      <c r="BW48" s="518"/>
      <c r="BX48" s="518"/>
      <c r="BY48" s="518"/>
      <c r="BZ48" s="518"/>
      <c r="CA48" s="518"/>
      <c r="CB48" s="518"/>
      <c r="CC48" s="1337">
        <f t="shared" si="128"/>
        <v>0</v>
      </c>
      <c r="CD48" s="518"/>
      <c r="CE48" s="518"/>
      <c r="CF48" s="518"/>
      <c r="CG48" s="518">
        <f>IF(YEAR('3 pr-2'!$AJ48)=2017,$CD48,0)</f>
        <v>0</v>
      </c>
      <c r="CH48" s="518">
        <f>IF(YEAR('3 pr-2'!$AJ48)=2018,$CD48,0)</f>
        <v>0</v>
      </c>
      <c r="CI48" s="518">
        <f>IF(YEAR('3 pr-2'!$AJ48)=2019,$CD48,0)</f>
        <v>0</v>
      </c>
      <c r="CJ48" s="518">
        <f>IF(YEAR('3 pr-2'!$AJ48)=2020,$CD48,0)</f>
        <v>0</v>
      </c>
      <c r="CK48" s="518">
        <f>IF(YEAR('3 pr-2'!$AJ48)=2021,$CD48,0)</f>
        <v>0</v>
      </c>
      <c r="CL48" s="518">
        <f>IF(YEAR('3 pr-2'!$AJ48)=2022,$CD48,0)</f>
        <v>0</v>
      </c>
      <c r="CM48" s="518">
        <f>IF(YEAR('3 pr-2'!$AJ48)=2023,$CD48,0)</f>
        <v>0</v>
      </c>
      <c r="CN48" s="523"/>
      <c r="CO48" s="882"/>
      <c r="CP48" s="524"/>
      <c r="CQ48" s="518"/>
      <c r="CR48" s="518"/>
      <c r="CS48" s="518"/>
      <c r="CT48" s="518"/>
      <c r="CU48" s="518"/>
      <c r="CV48" s="518"/>
      <c r="CW48" s="1337">
        <f t="shared" si="129"/>
        <v>0</v>
      </c>
      <c r="CX48" s="524"/>
      <c r="CY48" s="504"/>
      <c r="CZ48" s="504"/>
      <c r="DA48" s="1332">
        <f>IF(YEAR('3 pr-2'!AJ48)=2017,CX48,0)</f>
        <v>0</v>
      </c>
      <c r="DB48" s="1332">
        <f>IF(YEAR('3 pr-2'!AJ48)=2018,CX48,0)</f>
        <v>0</v>
      </c>
      <c r="DC48" s="1332">
        <f>IF(YEAR('3 pr-2'!AJ48)=2019,CX48,0)</f>
        <v>0</v>
      </c>
      <c r="DD48" s="1332">
        <f>IF(YEAR('3 pr-2'!AJ48)=2020,CX48,0)</f>
        <v>0</v>
      </c>
      <c r="DE48" s="1332">
        <f>IF(YEAR('3 pr-2'!AJ48)=2021,CX48,0)</f>
        <v>0</v>
      </c>
      <c r="DF48" s="1332">
        <f>IF(YEAR('3 pr-2'!AJ48)=2022,CX48,0)</f>
        <v>0</v>
      </c>
      <c r="DG48" s="1332">
        <f>IF(YEAR('3 pr-2'!AJ48)=2023,CX48,0)</f>
        <v>0</v>
      </c>
    </row>
    <row r="49" spans="1:111" ht="49.5" thickTop="1" thickBot="1" x14ac:dyDescent="0.3">
      <c r="A49" s="518" t="str">
        <f>CONCATENATE('3 pr-2'!A49)</f>
        <v>1.1.1.4.3</v>
      </c>
      <c r="B49" s="518" t="str">
        <f>CONCATENATE('3 pr-2'!B49)</f>
        <v>R01-9903-290000-1143</v>
      </c>
      <c r="C49" s="1449" t="str">
        <f>CONCATENATE('ketv. 2lent'!B48)</f>
        <v>07.1.1-CPVA-R-903-11-0002</v>
      </c>
      <c r="D49" s="189" t="str">
        <f>CONCATENATE('3 pr-2'!D49)</f>
        <v>Lazdijų miesto kompleksinė infrastruktūros plėtra, III etapas</v>
      </c>
      <c r="E49" s="480" t="str">
        <f>CONCATENATE('3 pr-2'!E49)</f>
        <v>Lazdijų rajono savivaldybės administracija</v>
      </c>
      <c r="F49" s="480" t="str">
        <f>CONCATENATE('3 pr-2'!F49)</f>
        <v>Lietuvos Respublikos vidaus reikalų ministerija</v>
      </c>
      <c r="G49" s="480" t="str">
        <f>CONCATENATE('3 pr-2'!G49)</f>
        <v>Lazdijų miestas</v>
      </c>
      <c r="H49" s="518" t="str">
        <f>CONCATENATE('3 pr-2'!H49)</f>
        <v>07.1.1-CPVA-R-903</v>
      </c>
      <c r="I49" s="518" t="str">
        <f>CONCATENATE('3 pr-2'!I49)</f>
        <v>R</v>
      </c>
      <c r="J49" s="518" t="str">
        <f>CONCATENATE('3 pr-2'!J49)</f>
        <v>ITI</v>
      </c>
      <c r="K49" s="518" t="str">
        <f>CONCATENATE('3 pr-2'!K49)</f>
        <v>-</v>
      </c>
      <c r="L49" s="518" t="s">
        <v>489</v>
      </c>
      <c r="M49" s="881" t="s">
        <v>494</v>
      </c>
      <c r="N49" s="518"/>
      <c r="O49" s="518"/>
      <c r="P49" s="518"/>
      <c r="Q49" s="518"/>
      <c r="R49" s="518"/>
      <c r="S49" s="518"/>
      <c r="T49" s="518"/>
      <c r="U49" s="1335"/>
      <c r="V49" s="518">
        <v>6000</v>
      </c>
      <c r="W49" s="1339" t="str">
        <f>IF('ketv. 6 lent'!K48&gt;0,"6000",0)</f>
        <v>6000</v>
      </c>
      <c r="X49" s="518">
        <f>SUM(W49-V49)</f>
        <v>0</v>
      </c>
      <c r="Y49" s="518">
        <f>IF(YEAR('3 pr-2'!$AJ49)=2017,$V49,0)</f>
        <v>0</v>
      </c>
      <c r="Z49" s="518">
        <f>IF(YEAR('3 pr-2'!$AJ49)=2018,$V49,0)</f>
        <v>6000</v>
      </c>
      <c r="AA49" s="518">
        <f>IF(YEAR('3 pr-2'!$AJ49)=2019,$V49,0)</f>
        <v>0</v>
      </c>
      <c r="AB49" s="518">
        <f>IF(YEAR('3 pr-2'!$AJ49)=2020,$V49,0)</f>
        <v>0</v>
      </c>
      <c r="AC49" s="518">
        <f>IF(YEAR('3 pr-2'!$AJ49)=2021,$V49,0)</f>
        <v>0</v>
      </c>
      <c r="AD49" s="518">
        <f>IF(YEAR('3 pr-2'!$AJ49)=2022,$V49,0)</f>
        <v>0</v>
      </c>
      <c r="AE49" s="518">
        <f>IF(YEAR('3 pr-2'!$AJ49)=2023,$V49,0)</f>
        <v>0</v>
      </c>
      <c r="AF49" s="523"/>
      <c r="AG49" s="881"/>
      <c r="AH49" s="518"/>
      <c r="AI49" s="518"/>
      <c r="AJ49" s="518"/>
      <c r="AK49" s="518"/>
      <c r="AL49" s="518"/>
      <c r="AM49" s="518"/>
      <c r="AN49" s="518"/>
      <c r="AO49" s="1337">
        <f t="shared" si="126"/>
        <v>0</v>
      </c>
      <c r="AP49" s="518"/>
      <c r="AQ49" s="1338"/>
      <c r="AR49" s="518"/>
      <c r="AS49" s="518">
        <f>IF(YEAR('3 pr-2'!$AJ49)=2017,$AP49,0)</f>
        <v>0</v>
      </c>
      <c r="AT49" s="518">
        <f>IF(YEAR('3 pr-2'!$AJ49)=2018,$AP49,0)</f>
        <v>0</v>
      </c>
      <c r="AU49" s="518">
        <f>IF(YEAR('3 pr-2'!$AJ49)=2019,$AP49,0)</f>
        <v>0</v>
      </c>
      <c r="AV49" s="518">
        <f>IF(YEAR('3 pr-2'!$AJ49)=2020,$AP49,0)</f>
        <v>0</v>
      </c>
      <c r="AW49" s="518">
        <f>IF(YEAR('3 pr-2'!$AJ49)=2021,$AP49,0)</f>
        <v>0</v>
      </c>
      <c r="AX49" s="518">
        <f>IF(YEAR('3 pr-2'!$AJ49)=2022,$AP49,0)</f>
        <v>0</v>
      </c>
      <c r="AY49" s="518">
        <f>IF(YEAR('3 pr-2'!$AJ49)=2023,$AP49,0)</f>
        <v>0</v>
      </c>
      <c r="AZ49" s="518"/>
      <c r="BA49" s="880"/>
      <c r="BB49" s="518"/>
      <c r="BC49" s="518"/>
      <c r="BD49" s="518"/>
      <c r="BE49" s="518"/>
      <c r="BF49" s="518"/>
      <c r="BG49" s="518"/>
      <c r="BH49" s="518"/>
      <c r="BI49" s="1337">
        <f t="shared" si="127"/>
        <v>0</v>
      </c>
      <c r="BJ49" s="518"/>
      <c r="BK49" s="1338"/>
      <c r="BL49" s="518"/>
      <c r="BM49" s="518">
        <f>IF(YEAR('3 pr-2'!AJ49)=2017,BJ49,0)</f>
        <v>0</v>
      </c>
      <c r="BN49" s="518">
        <f>IF(YEAR('3 pr-2'!AJ49)=2018,BJ49,0)</f>
        <v>0</v>
      </c>
      <c r="BO49" s="518">
        <f>IF(YEAR('3 pr-2'!AJ49)=2019,BJ49,0)</f>
        <v>0</v>
      </c>
      <c r="BP49" s="518">
        <f>IF(YEAR('3 pr-2'!AJ49)=2020,BJ49,0)</f>
        <v>0</v>
      </c>
      <c r="BQ49" s="518">
        <f>IF(YEAR('3 pr-2'!AJ49)=2021,BJ49,0)</f>
        <v>0</v>
      </c>
      <c r="BR49" s="518">
        <f>IF(YEAR('3 pr-2'!AJ49)=2022,BJ49,0)</f>
        <v>0</v>
      </c>
      <c r="BS49" s="518">
        <f>IF(YEAR('3 pr-2'!AJ49)=2023,BJ49,0)</f>
        <v>0</v>
      </c>
      <c r="BT49" s="523"/>
      <c r="BU49" s="881"/>
      <c r="BV49" s="518"/>
      <c r="BW49" s="518"/>
      <c r="BX49" s="518"/>
      <c r="BY49" s="518"/>
      <c r="BZ49" s="518"/>
      <c r="CA49" s="518"/>
      <c r="CB49" s="518"/>
      <c r="CC49" s="1337">
        <f t="shared" si="128"/>
        <v>0</v>
      </c>
      <c r="CD49" s="518"/>
      <c r="CE49" s="518"/>
      <c r="CF49" s="518"/>
      <c r="CG49" s="518">
        <f>IF(YEAR('3 pr-2'!$AJ49)=2017,$CD49,0)</f>
        <v>0</v>
      </c>
      <c r="CH49" s="518">
        <f>IF(YEAR('3 pr-2'!$AJ49)=2018,$CD49,0)</f>
        <v>0</v>
      </c>
      <c r="CI49" s="518">
        <f>IF(YEAR('3 pr-2'!$AJ49)=2019,$CD49,0)</f>
        <v>0</v>
      </c>
      <c r="CJ49" s="518">
        <f>IF(YEAR('3 pr-2'!$AJ49)=2020,$CD49,0)</f>
        <v>0</v>
      </c>
      <c r="CK49" s="518">
        <f>IF(YEAR('3 pr-2'!$AJ49)=2021,$CD49,0)</f>
        <v>0</v>
      </c>
      <c r="CL49" s="518">
        <f>IF(YEAR('3 pr-2'!$AJ49)=2022,$CD49,0)</f>
        <v>0</v>
      </c>
      <c r="CM49" s="518">
        <f>IF(YEAR('3 pr-2'!$AJ49)=2023,$CD49,0)</f>
        <v>0</v>
      </c>
      <c r="CN49" s="523"/>
      <c r="CO49" s="882"/>
      <c r="CP49" s="524"/>
      <c r="CQ49" s="518"/>
      <c r="CR49" s="518"/>
      <c r="CS49" s="518"/>
      <c r="CT49" s="518"/>
      <c r="CU49" s="518"/>
      <c r="CV49" s="518"/>
      <c r="CW49" s="1337">
        <f t="shared" si="129"/>
        <v>0</v>
      </c>
      <c r="CX49" s="524"/>
      <c r="CY49" s="504"/>
      <c r="CZ49" s="504"/>
      <c r="DA49" s="1332">
        <f>IF(YEAR('3 pr-2'!AJ49)=2017,CX49,0)</f>
        <v>0</v>
      </c>
      <c r="DB49" s="1332">
        <f>IF(YEAR('3 pr-2'!AJ49)=2018,CX49,0)</f>
        <v>0</v>
      </c>
      <c r="DC49" s="1332">
        <f>IF(YEAR('3 pr-2'!AJ49)=2019,CX49,0)</f>
        <v>0</v>
      </c>
      <c r="DD49" s="1332">
        <f>IF(YEAR('3 pr-2'!AJ49)=2020,CX49,0)</f>
        <v>0</v>
      </c>
      <c r="DE49" s="1332">
        <f>IF(YEAR('3 pr-2'!AJ49)=2021,CX49,0)</f>
        <v>0</v>
      </c>
      <c r="DF49" s="1332">
        <f>IF(YEAR('3 pr-2'!AJ49)=2022,CX49,0)</f>
        <v>0</v>
      </c>
      <c r="DG49" s="1332">
        <f>IF(YEAR('3 pr-2'!AJ49)=2023,CX49,0)</f>
        <v>0</v>
      </c>
    </row>
    <row r="50" spans="1:111" ht="74.25" thickBot="1" x14ac:dyDescent="0.3">
      <c r="A50" s="1257" t="str">
        <f>CONCATENATE('3 pr-2'!A50)</f>
        <v>1.1.1.5</v>
      </c>
      <c r="B50" s="1687" t="str">
        <f>CONCATENATE('3 pr-2'!B50)</f>
        <v xml:space="preserve">Priemonė:
Geriamojo vandens tiekimo ir nuotekų tvarkymo sistemų renovavimas ir plėtra, įmonių valdymo tobulinimas </v>
      </c>
      <c r="C50" s="1688"/>
      <c r="D50" s="1688"/>
      <c r="E50" s="1688"/>
      <c r="F50" s="1688"/>
      <c r="G50" s="1688"/>
      <c r="H50" s="1688"/>
      <c r="I50" s="1688"/>
      <c r="J50" s="1688"/>
      <c r="K50" s="1689"/>
      <c r="L50" s="526" t="s">
        <v>495</v>
      </c>
      <c r="M50" s="1501" t="s">
        <v>496</v>
      </c>
      <c r="N50" s="501">
        <f>SUM(N51:N55)</f>
        <v>0</v>
      </c>
      <c r="O50" s="501">
        <f t="shared" ref="O50:T50" si="130">SUM(O51:O55)</f>
        <v>0</v>
      </c>
      <c r="P50" s="501">
        <f t="shared" si="130"/>
        <v>0</v>
      </c>
      <c r="Q50" s="501">
        <f t="shared" si="130"/>
        <v>0</v>
      </c>
      <c r="R50" s="501">
        <f t="shared" si="130"/>
        <v>0</v>
      </c>
      <c r="S50" s="501">
        <f t="shared" si="130"/>
        <v>0</v>
      </c>
      <c r="T50" s="501">
        <f t="shared" si="130"/>
        <v>0</v>
      </c>
      <c r="U50" s="526">
        <f t="shared" ref="U50" si="131">SUM(N50:T50)</f>
        <v>0</v>
      </c>
      <c r="V50" s="501">
        <f>SUM(V51:V55)</f>
        <v>900</v>
      </c>
      <c r="W50" s="1503"/>
      <c r="X50" s="1504"/>
      <c r="Y50" s="501">
        <f t="shared" ref="Y50:AE50" si="132">SUM(Y51:Y55)</f>
        <v>0</v>
      </c>
      <c r="Z50" s="501">
        <f t="shared" si="132"/>
        <v>0</v>
      </c>
      <c r="AA50" s="501">
        <f t="shared" si="132"/>
        <v>240</v>
      </c>
      <c r="AB50" s="501">
        <f t="shared" si="132"/>
        <v>238</v>
      </c>
      <c r="AC50" s="501">
        <f t="shared" si="132"/>
        <v>422</v>
      </c>
      <c r="AD50" s="501">
        <f t="shared" si="132"/>
        <v>0</v>
      </c>
      <c r="AE50" s="501">
        <f t="shared" si="132"/>
        <v>0</v>
      </c>
      <c r="AF50" s="1504" t="s">
        <v>503</v>
      </c>
      <c r="AG50" s="1495" t="s">
        <v>504</v>
      </c>
      <c r="AH50" s="501">
        <f>SUM(AH51:AH55)</f>
        <v>0</v>
      </c>
      <c r="AI50" s="501">
        <f t="shared" ref="AI50" si="133">SUM(AI51:AI55)</f>
        <v>0</v>
      </c>
      <c r="AJ50" s="501">
        <f t="shared" ref="AJ50" si="134">SUM(AJ51:AJ55)</f>
        <v>0</v>
      </c>
      <c r="AK50" s="501">
        <f t="shared" ref="AK50" si="135">SUM(AK51:AK55)</f>
        <v>0</v>
      </c>
      <c r="AL50" s="501">
        <f t="shared" ref="AL50" si="136">SUM(AL51:AL55)</f>
        <v>0</v>
      </c>
      <c r="AM50" s="501">
        <f t="shared" ref="AM50" si="137">SUM(AM51:AM55)</f>
        <v>0</v>
      </c>
      <c r="AN50" s="501">
        <f t="shared" ref="AN50" si="138">SUM(AN51:AN55)</f>
        <v>0</v>
      </c>
      <c r="AO50" s="501">
        <f t="shared" si="126"/>
        <v>0</v>
      </c>
      <c r="AP50" s="1551">
        <f>SUM(AP51:AP55)</f>
        <v>41337</v>
      </c>
      <c r="AQ50" s="501"/>
      <c r="AR50" s="501"/>
      <c r="AS50" s="501">
        <f t="shared" ref="AS50" si="139">SUM(AS51:AS55)</f>
        <v>0</v>
      </c>
      <c r="AT50" s="501">
        <f t="shared" ref="AT50" si="140">SUM(AT51:AT55)</f>
        <v>0</v>
      </c>
      <c r="AU50" s="501">
        <f t="shared" ref="AU50" si="141">SUM(AU51:AU55)</f>
        <v>0</v>
      </c>
      <c r="AV50" s="501">
        <f t="shared" ref="AV50" si="142">SUM(AV51:AV55)</f>
        <v>25450</v>
      </c>
      <c r="AW50" s="501">
        <f t="shared" ref="AW50" si="143">SUM(AW51:AW55)</f>
        <v>15887</v>
      </c>
      <c r="AX50" s="501">
        <f t="shared" ref="AX50" si="144">SUM(AX51:AX55)</f>
        <v>0</v>
      </c>
      <c r="AY50" s="501">
        <f t="shared" ref="AY50" si="145">SUM(AY51:AY55)</f>
        <v>0</v>
      </c>
      <c r="AZ50" s="501" t="s">
        <v>497</v>
      </c>
      <c r="BA50" s="1495" t="s">
        <v>506</v>
      </c>
      <c r="BB50" s="501">
        <f>SUM(BB51:BB55)</f>
        <v>0</v>
      </c>
      <c r="BC50" s="501">
        <f t="shared" ref="BC50" si="146">SUM(BC51:BC55)</f>
        <v>0</v>
      </c>
      <c r="BD50" s="501">
        <f t="shared" ref="BD50" si="147">SUM(BD51:BD55)</f>
        <v>0</v>
      </c>
      <c r="BE50" s="501">
        <f t="shared" ref="BE50" si="148">SUM(BE51:BE55)</f>
        <v>0</v>
      </c>
      <c r="BF50" s="501">
        <f t="shared" ref="BF50" si="149">SUM(BF51:BF55)</f>
        <v>0</v>
      </c>
      <c r="BG50" s="501">
        <f t="shared" ref="BG50" si="150">SUM(BG51:BG55)</f>
        <v>0</v>
      </c>
      <c r="BH50" s="501">
        <f t="shared" ref="BH50" si="151">SUM(BH51:BH55)</f>
        <v>0</v>
      </c>
      <c r="BI50" s="501">
        <f t="shared" ref="BI50:BI72" si="152">SUM(BB50:BH50)</f>
        <v>0</v>
      </c>
      <c r="BJ50" s="1533">
        <f>SUM(BJ51:BJ55)</f>
        <v>1439</v>
      </c>
      <c r="BK50" s="501"/>
      <c r="BL50" s="501"/>
      <c r="BM50" s="501">
        <f t="shared" ref="BM50" si="153">SUM(BM51:BM55)</f>
        <v>0</v>
      </c>
      <c r="BN50" s="501">
        <f t="shared" ref="BN50" si="154">SUM(BN51:BN55)</f>
        <v>0</v>
      </c>
      <c r="BO50" s="501">
        <f t="shared" ref="BO50" si="155">SUM(BO51:BO55)</f>
        <v>210</v>
      </c>
      <c r="BP50" s="501">
        <f t="shared" ref="BP50" si="156">SUM(BP51:BP55)</f>
        <v>798</v>
      </c>
      <c r="BQ50" s="501">
        <f t="shared" ref="BQ50" si="157">SUM(BQ51:BQ55)</f>
        <v>431</v>
      </c>
      <c r="BR50" s="501">
        <f t="shared" ref="BR50" si="158">SUM(BR51:BR55)</f>
        <v>0</v>
      </c>
      <c r="BS50" s="501">
        <f t="shared" ref="BS50" si="159">SUM(BS51:BS55)</f>
        <v>0</v>
      </c>
      <c r="BT50" s="501" t="s">
        <v>499</v>
      </c>
      <c r="BU50" s="1501" t="s">
        <v>500</v>
      </c>
      <c r="BV50" s="501">
        <f>SUM(BV51:BV55)</f>
        <v>0</v>
      </c>
      <c r="BW50" s="501">
        <f t="shared" ref="BW50" si="160">SUM(BW51:BW55)</f>
        <v>0</v>
      </c>
      <c r="BX50" s="501">
        <f t="shared" ref="BX50" si="161">SUM(BX51:BX55)</f>
        <v>0</v>
      </c>
      <c r="BY50" s="501">
        <f t="shared" ref="BY50" si="162">SUM(BY51:BY55)</f>
        <v>0</v>
      </c>
      <c r="BZ50" s="501">
        <f t="shared" ref="BZ50" si="163">SUM(BZ51:BZ55)</f>
        <v>0</v>
      </c>
      <c r="CA50" s="501">
        <f t="shared" ref="CA50" si="164">SUM(CA51:CA55)</f>
        <v>0</v>
      </c>
      <c r="CB50" s="501">
        <f t="shared" ref="CB50" si="165">SUM(CB51:CB55)</f>
        <v>0</v>
      </c>
      <c r="CC50" s="501">
        <f t="shared" si="128"/>
        <v>0</v>
      </c>
      <c r="CD50" s="501">
        <f>SUM(CD51:CD55)</f>
        <v>1449</v>
      </c>
      <c r="CE50" s="501"/>
      <c r="CF50" s="501"/>
      <c r="CG50" s="501">
        <f t="shared" ref="CG50" si="166">SUM(CG51:CG55)</f>
        <v>0</v>
      </c>
      <c r="CH50" s="501">
        <f t="shared" ref="CH50" si="167">SUM(CH51:CH55)</f>
        <v>0</v>
      </c>
      <c r="CI50" s="501">
        <f t="shared" ref="CI50" si="168">SUM(CI51:CI55)</f>
        <v>210</v>
      </c>
      <c r="CJ50" s="501">
        <f t="shared" ref="CJ50" si="169">SUM(CJ51:CJ55)</f>
        <v>1239</v>
      </c>
      <c r="CK50" s="501">
        <f t="shared" ref="CK50" si="170">SUM(CK51:CK55)</f>
        <v>0</v>
      </c>
      <c r="CL50" s="501">
        <f t="shared" ref="CL50" si="171">SUM(CL51:CL55)</f>
        <v>0</v>
      </c>
      <c r="CM50" s="501">
        <f t="shared" ref="CM50" si="172">SUM(CM51:CM55)</f>
        <v>0</v>
      </c>
      <c r="CN50" s="526" t="s">
        <v>501</v>
      </c>
      <c r="CO50" s="1501" t="s">
        <v>502</v>
      </c>
      <c r="CP50" s="1507">
        <f>SUM(CP51:CP55)</f>
        <v>0</v>
      </c>
      <c r="CQ50" s="501">
        <f t="shared" ref="CQ50" si="173">SUM(CQ51:CQ55)</f>
        <v>0</v>
      </c>
      <c r="CR50" s="501">
        <f t="shared" ref="CR50" si="174">SUM(CR51:CR55)</f>
        <v>0</v>
      </c>
      <c r="CS50" s="501">
        <f t="shared" ref="CS50" si="175">SUM(CS51:CS55)</f>
        <v>0</v>
      </c>
      <c r="CT50" s="501">
        <f t="shared" ref="CT50" si="176">SUM(CT51:CT55)</f>
        <v>0</v>
      </c>
      <c r="CU50" s="501">
        <f t="shared" ref="CU50" si="177">SUM(CU51:CU55)</f>
        <v>0</v>
      </c>
      <c r="CV50" s="501">
        <f t="shared" ref="CV50" si="178">SUM(CV51:CV55)</f>
        <v>0</v>
      </c>
      <c r="CW50" s="501">
        <f t="shared" si="129"/>
        <v>0</v>
      </c>
      <c r="CX50" s="501">
        <f>SUM(CX51:CX55)</f>
        <v>22.52</v>
      </c>
      <c r="CY50" s="1496"/>
      <c r="CZ50" s="1496"/>
      <c r="DA50" s="1496">
        <f t="shared" ref="DA50" si="179">SUM(DA51:DA55)</f>
        <v>0</v>
      </c>
      <c r="DB50" s="1496">
        <f t="shared" ref="DB50" si="180">SUM(DB51:DB55)</f>
        <v>0</v>
      </c>
      <c r="DC50" s="1496">
        <f t="shared" ref="DC50" si="181">SUM(DC51:DC55)</f>
        <v>0</v>
      </c>
      <c r="DD50" s="1496">
        <f t="shared" ref="DD50" si="182">SUM(DD51:DD55)</f>
        <v>19.32</v>
      </c>
      <c r="DE50" s="1496">
        <f t="shared" ref="DE50" si="183">SUM(DE51:DE55)</f>
        <v>3.2</v>
      </c>
      <c r="DF50" s="1496">
        <f t="shared" ref="DF50" si="184">SUM(DF51:DF55)</f>
        <v>0</v>
      </c>
      <c r="DG50" s="1496">
        <f t="shared" ref="DG50" si="185">SUM(DG51:DG55)</f>
        <v>0</v>
      </c>
    </row>
    <row r="51" spans="1:111" ht="64.5" thickTop="1" thickBot="1" x14ac:dyDescent="0.3">
      <c r="A51" s="518" t="str">
        <f>CONCATENATE('3 pr-2'!A51)</f>
        <v>1.1.1.5.1</v>
      </c>
      <c r="B51" s="518" t="str">
        <f>CONCATENATE('3 pr-2'!B51)</f>
        <v>R01-0014-060700-1151</v>
      </c>
      <c r="C51" s="1449" t="str">
        <f>CONCATENATE('ketv. 2lent'!B50)</f>
        <v>05.3.2-APVA-R-014-11-0001</v>
      </c>
      <c r="D51" s="189" t="str">
        <f>CONCATENATE('3 pr-2'!D51)</f>
        <v>Geriamojo vandens tiekimo ir nuotekų tvarkymo sistemų renovavimas ir plėtra Varėnos rajone</v>
      </c>
      <c r="E51" s="480" t="str">
        <f>CONCATENATE('3 pr-2'!E51)</f>
        <v>UAB „Varėnos vandenys“</v>
      </c>
      <c r="F51" s="480" t="str">
        <f>CONCATENATE('3 pr-2'!F51)</f>
        <v>Lietuvos Respublikos aplinkos ministerija</v>
      </c>
      <c r="G51" s="480" t="str">
        <f>CONCATENATE('3 pr-2'!G51)</f>
        <v>Varėnos rajono savivaldybė</v>
      </c>
      <c r="H51" s="518" t="str">
        <f>CONCATENATE('3 pr-2'!H51)</f>
        <v>05.3.2-APVA-R-014</v>
      </c>
      <c r="I51" s="518" t="str">
        <f>CONCATENATE('3 pr-2'!I51)</f>
        <v>R</v>
      </c>
      <c r="J51" s="518" t="str">
        <f>CONCATENATE('3 pr-2'!J51)</f>
        <v>ITI</v>
      </c>
      <c r="K51" s="518" t="str">
        <f>CONCATENATE('3 pr-2'!K51)</f>
        <v>-</v>
      </c>
      <c r="L51" s="518" t="s">
        <v>495</v>
      </c>
      <c r="M51" s="881" t="s">
        <v>496</v>
      </c>
      <c r="N51" s="518"/>
      <c r="O51" s="518"/>
      <c r="P51" s="518"/>
      <c r="Q51" s="518"/>
      <c r="R51" s="518"/>
      <c r="S51" s="518"/>
      <c r="T51" s="518"/>
      <c r="U51" s="1335"/>
      <c r="V51" s="518">
        <v>148</v>
      </c>
      <c r="W51" s="1336" t="str">
        <f>IF('ketv. 6 lent'!K50&gt;0,"148",0)</f>
        <v>148</v>
      </c>
      <c r="X51" s="518">
        <f>SUM(W51-V51)</f>
        <v>0</v>
      </c>
      <c r="Y51" s="518">
        <f>IF(YEAR('3 pr-2'!$AJ51)=2017,$V51,0)</f>
        <v>0</v>
      </c>
      <c r="Z51" s="518">
        <f>IF(YEAR('3 pr-2'!$AJ51)=2018,$V51,0)</f>
        <v>0</v>
      </c>
      <c r="AA51" s="518">
        <f>IF(YEAR('3 pr-2'!$AJ51)=2019,$V51,0)</f>
        <v>0</v>
      </c>
      <c r="AB51" s="518">
        <f>IF(YEAR('3 pr-2'!$AJ51)=2020,$V51,0)</f>
        <v>148</v>
      </c>
      <c r="AC51" s="518">
        <f>IF(YEAR('3 pr-2'!$AJ51)=2021,$V51,0)</f>
        <v>0</v>
      </c>
      <c r="AD51" s="518">
        <f>IF(YEAR('3 pr-2'!$AJ51)=2022,$V51,0)</f>
        <v>0</v>
      </c>
      <c r="AE51" s="518">
        <f>IF(YEAR('3 pr-2'!$AJ51)=2023,$V51,0)</f>
        <v>0</v>
      </c>
      <c r="AF51" s="523"/>
      <c r="AG51" s="881"/>
      <c r="AH51" s="518"/>
      <c r="AI51" s="518"/>
      <c r="AJ51" s="518"/>
      <c r="AK51" s="518"/>
      <c r="AL51" s="518"/>
      <c r="AM51" s="518"/>
      <c r="AN51" s="518"/>
      <c r="AO51" s="1337">
        <f t="shared" si="126"/>
        <v>0</v>
      </c>
      <c r="AP51" s="518"/>
      <c r="AQ51" s="1338"/>
      <c r="AR51" s="518"/>
      <c r="AS51" s="518">
        <f>IF(YEAR('3 pr-2'!$AJ51)=2017,$AP51,0)</f>
        <v>0</v>
      </c>
      <c r="AT51" s="518">
        <f>IF(YEAR('3 pr-2'!$AJ51)=2018,$AP51,0)</f>
        <v>0</v>
      </c>
      <c r="AU51" s="518">
        <f>IF(YEAR('3 pr-2'!$AJ51)=2019,$AP51,0)</f>
        <v>0</v>
      </c>
      <c r="AV51" s="518">
        <f>IF(YEAR('3 pr-2'!$AJ51)=2020,$AP51,0)</f>
        <v>0</v>
      </c>
      <c r="AW51" s="518">
        <f>IF(YEAR('3 pr-2'!$AJ51)=2021,$AP51,0)</f>
        <v>0</v>
      </c>
      <c r="AX51" s="518">
        <f>IF(YEAR('3 pr-2'!$AJ51)=2022,$AP51,0)</f>
        <v>0</v>
      </c>
      <c r="AY51" s="518">
        <f>IF(YEAR('3 pr-2'!$AJ51)=2023,$AP51,0)</f>
        <v>0</v>
      </c>
      <c r="AZ51" s="518" t="s">
        <v>497</v>
      </c>
      <c r="BA51" s="880" t="s">
        <v>498</v>
      </c>
      <c r="BB51" s="518"/>
      <c r="BC51" s="518"/>
      <c r="BD51" s="518"/>
      <c r="BE51" s="518"/>
      <c r="BF51" s="518"/>
      <c r="BG51" s="518"/>
      <c r="BH51" s="518"/>
      <c r="BI51" s="1337">
        <f t="shared" si="152"/>
        <v>0</v>
      </c>
      <c r="BJ51" s="518">
        <v>387</v>
      </c>
      <c r="BK51" s="1338">
        <v>387</v>
      </c>
      <c r="BL51" s="518">
        <f>SUM(BK51-BJ51)</f>
        <v>0</v>
      </c>
      <c r="BM51" s="518">
        <f>IF(YEAR('3 pr-2'!AJ51)=2017,BJ51,0)</f>
        <v>0</v>
      </c>
      <c r="BN51" s="518">
        <f>IF(YEAR('3 pr-2'!AJ51)=2018,BJ51,0)</f>
        <v>0</v>
      </c>
      <c r="BO51" s="518">
        <f>IF(YEAR('3 pr-2'!AJ51)=2019,BJ51,0)</f>
        <v>0</v>
      </c>
      <c r="BP51" s="518">
        <f>IF(YEAR('3 pr-2'!AJ51)=2020,BJ51,0)</f>
        <v>387</v>
      </c>
      <c r="BQ51" s="518">
        <f>IF(YEAR('3 pr-2'!AJ51)=2021,BJ51,0)</f>
        <v>0</v>
      </c>
      <c r="BR51" s="518">
        <f>IF(YEAR('3 pr-2'!AJ51)=2022,BJ51,0)</f>
        <v>0</v>
      </c>
      <c r="BS51" s="518">
        <f>IF(YEAR('3 pr-2'!AJ51)=2023,BJ51,0)</f>
        <v>0</v>
      </c>
      <c r="BT51" s="523" t="s">
        <v>499</v>
      </c>
      <c r="BU51" s="881" t="s">
        <v>500</v>
      </c>
      <c r="BV51" s="518"/>
      <c r="BW51" s="518"/>
      <c r="BX51" s="518"/>
      <c r="BY51" s="518"/>
      <c r="BZ51" s="518"/>
      <c r="CA51" s="518"/>
      <c r="CB51" s="518"/>
      <c r="CC51" s="1337">
        <f t="shared" si="128"/>
        <v>0</v>
      </c>
      <c r="CD51" s="518">
        <v>828</v>
      </c>
      <c r="CE51" s="518">
        <v>828</v>
      </c>
      <c r="CF51" s="518">
        <f>SUM(CE51-CD51)</f>
        <v>0</v>
      </c>
      <c r="CG51" s="518">
        <f>IF(YEAR('3 pr-2'!$AJ51)=2017,$CD51,0)</f>
        <v>0</v>
      </c>
      <c r="CH51" s="518">
        <f>IF(YEAR('3 pr-2'!$AJ51)=2018,$CD51,0)</f>
        <v>0</v>
      </c>
      <c r="CI51" s="518">
        <f>IF(YEAR('3 pr-2'!$AJ51)=2019,$CD51,0)</f>
        <v>0</v>
      </c>
      <c r="CJ51" s="518">
        <f>IF(YEAR('3 pr-2'!$AJ51)=2020,$CD51,0)</f>
        <v>828</v>
      </c>
      <c r="CK51" s="518">
        <f>IF(YEAR('3 pr-2'!$AJ51)=2021,$CD51,0)</f>
        <v>0</v>
      </c>
      <c r="CL51" s="518">
        <f>IF(YEAR('3 pr-2'!$AJ51)=2022,$CD51,0)</f>
        <v>0</v>
      </c>
      <c r="CM51" s="518">
        <f>IF(YEAR('3 pr-2'!$AJ51)=2023,$CD51,0)</f>
        <v>0</v>
      </c>
      <c r="CN51" s="523" t="s">
        <v>501</v>
      </c>
      <c r="CO51" s="882" t="s">
        <v>502</v>
      </c>
      <c r="CP51" s="524"/>
      <c r="CQ51" s="518"/>
      <c r="CR51" s="518"/>
      <c r="CS51" s="518"/>
      <c r="CT51" s="518"/>
      <c r="CU51" s="518"/>
      <c r="CV51" s="518"/>
      <c r="CW51" s="1337">
        <f t="shared" si="129"/>
        <v>0</v>
      </c>
      <c r="CX51" s="524">
        <v>2.9</v>
      </c>
      <c r="CY51" s="504">
        <v>2.9</v>
      </c>
      <c r="CZ51" s="504">
        <f>SUM(CY51-CX51)</f>
        <v>0</v>
      </c>
      <c r="DA51" s="1332">
        <f>IF(YEAR('3 pr-2'!AJ51)=2017,CX51,0)</f>
        <v>0</v>
      </c>
      <c r="DB51" s="1332">
        <f>IF(YEAR('3 pr-2'!AJ51)=2018,CX51,0)</f>
        <v>0</v>
      </c>
      <c r="DC51" s="1332">
        <f>IF(YEAR('3 pr-2'!AJ51)=2019,CX51,0)</f>
        <v>0</v>
      </c>
      <c r="DD51" s="1332">
        <f>IF(YEAR('3 pr-2'!AJ51)=2020,CX51,0)</f>
        <v>2.9</v>
      </c>
      <c r="DE51" s="1332">
        <f>IF(YEAR('3 pr-2'!AJ51)=2021,CX51,0)</f>
        <v>0</v>
      </c>
      <c r="DF51" s="1332">
        <f>IF(YEAR('3 pr-2'!AJ51)=2022,CX51,0)</f>
        <v>0</v>
      </c>
      <c r="DG51" s="1332">
        <f>IF(YEAR('3 pr-2'!AJ51)=2023,CX51,0)</f>
        <v>0</v>
      </c>
    </row>
    <row r="52" spans="1:111" ht="64.5" thickTop="1" thickBot="1" x14ac:dyDescent="0.3">
      <c r="A52" s="518" t="str">
        <f>CONCATENATE('3 pr-2'!A52)</f>
        <v>1.1.1.5.2.</v>
      </c>
      <c r="B52" s="518" t="str">
        <f>CONCATENATE('3 pr-2'!B52)</f>
        <v>R01-0014-060700-1152</v>
      </c>
      <c r="C52" s="1449" t="str">
        <f>CONCATENATE('ketv. 2lent'!B51)</f>
        <v>05.3.2-APVA-R-014-11-0002</v>
      </c>
      <c r="D52" s="189" t="str">
        <f>CONCATENATE('3 pr-2'!D52)</f>
        <v>Geriamojo vandens ir nuotekų tvarkymo sistemų renovavimas Alytaus mieste</v>
      </c>
      <c r="E52" s="480" t="str">
        <f>CONCATENATE('3 pr-2'!E52)</f>
        <v>UAB “Dzūkijos vandenys“</v>
      </c>
      <c r="F52" s="480" t="str">
        <f>CONCATENATE('3 pr-2'!F52)</f>
        <v>Lietuvos Respublikos aplinkos ministerija</v>
      </c>
      <c r="G52" s="480" t="str">
        <f>CONCATENATE('3 pr-2'!G52)</f>
        <v>Alytaus miestas</v>
      </c>
      <c r="H52" s="518" t="str">
        <f>CONCATENATE('3 pr-2'!H52)</f>
        <v xml:space="preserve">05.3.2-APVA-R-014 </v>
      </c>
      <c r="I52" s="518" t="str">
        <f>CONCATENATE('3 pr-2'!I52)</f>
        <v>R</v>
      </c>
      <c r="J52" s="518" t="str">
        <f>CONCATENATE('3 pr-2'!J52)</f>
        <v>ITI</v>
      </c>
      <c r="K52" s="518" t="str">
        <f>CONCATENATE('3 pr-2'!K52)</f>
        <v>-</v>
      </c>
      <c r="L52" s="518"/>
      <c r="M52" s="881"/>
      <c r="N52" s="518"/>
      <c r="O52" s="518"/>
      <c r="P52" s="518"/>
      <c r="Q52" s="518"/>
      <c r="R52" s="518"/>
      <c r="S52" s="518"/>
      <c r="T52" s="518"/>
      <c r="U52" s="1335"/>
      <c r="V52" s="518"/>
      <c r="W52" s="1336" t="str">
        <f>IF('ketv. 6 lent'!K51&gt;0,"taip",0)</f>
        <v>taip</v>
      </c>
      <c r="X52" s="518"/>
      <c r="Y52" s="518">
        <f>IF(YEAR('3 pr-2'!$AJ52)=2017,$V52,0)</f>
        <v>0</v>
      </c>
      <c r="Z52" s="518">
        <f>IF(YEAR('3 pr-2'!$AJ52)=2018,$V52,0)</f>
        <v>0</v>
      </c>
      <c r="AA52" s="518">
        <f>IF(YEAR('3 pr-2'!$AJ52)=2019,$V52,0)</f>
        <v>0</v>
      </c>
      <c r="AB52" s="518">
        <f>IF(YEAR('3 pr-2'!$AJ52)=2020,$V52,0)</f>
        <v>0</v>
      </c>
      <c r="AC52" s="518">
        <f>IF(YEAR('3 pr-2'!$AJ52)=2021,$V52,0)</f>
        <v>0</v>
      </c>
      <c r="AD52" s="518">
        <f>IF(YEAR('3 pr-2'!$AJ52)=2022,$V52,0)</f>
        <v>0</v>
      </c>
      <c r="AE52" s="518">
        <f>IF(YEAR('3 pr-2'!$AJ52)=2023,$V52,0)</f>
        <v>0</v>
      </c>
      <c r="AF52" s="523" t="s">
        <v>503</v>
      </c>
      <c r="AG52" s="881" t="s">
        <v>504</v>
      </c>
      <c r="AH52" s="518"/>
      <c r="AI52" s="518"/>
      <c r="AJ52" s="518"/>
      <c r="AK52" s="518"/>
      <c r="AL52" s="518"/>
      <c r="AM52" s="518"/>
      <c r="AN52" s="518"/>
      <c r="AO52" s="1337">
        <f t="shared" si="126"/>
        <v>0</v>
      </c>
      <c r="AP52" s="518">
        <v>25000</v>
      </c>
      <c r="AQ52" s="1338">
        <v>25000</v>
      </c>
      <c r="AR52" s="518">
        <f>SUM(AQ52-AP52)</f>
        <v>0</v>
      </c>
      <c r="AS52" s="518">
        <f>IF(YEAR('3 pr-2'!$AJ52)=2017,$AP52,0)</f>
        <v>0</v>
      </c>
      <c r="AT52" s="518">
        <f>IF(YEAR('3 pr-2'!$AJ52)=2018,$AP52,0)</f>
        <v>0</v>
      </c>
      <c r="AU52" s="518">
        <f>IF(YEAR('3 pr-2'!$AJ52)=2019,$AP52,0)</f>
        <v>0</v>
      </c>
      <c r="AV52" s="518">
        <f>IF(YEAR('3 pr-2'!$AJ52)=2020,$AP52,0)</f>
        <v>25000</v>
      </c>
      <c r="AW52" s="518">
        <f>IF(YEAR('3 pr-2'!$AJ52)=2021,$AP52,0)</f>
        <v>0</v>
      </c>
      <c r="AX52" s="518">
        <f>IF(YEAR('3 pr-2'!$AJ52)=2022,$AP52,0)</f>
        <v>0</v>
      </c>
      <c r="AY52" s="518">
        <f>IF(YEAR('3 pr-2'!$AJ52)=2023,$AP52,0)</f>
        <v>0</v>
      </c>
      <c r="AZ52" s="518"/>
      <c r="BA52" s="880"/>
      <c r="BB52" s="518"/>
      <c r="BC52" s="518"/>
      <c r="BD52" s="518"/>
      <c r="BE52" s="518"/>
      <c r="BF52" s="518"/>
      <c r="BG52" s="518"/>
      <c r="BH52" s="518"/>
      <c r="BI52" s="1337">
        <f t="shared" si="152"/>
        <v>0</v>
      </c>
      <c r="BJ52" s="518"/>
      <c r="BK52" s="1338"/>
      <c r="BL52" s="518"/>
      <c r="BM52" s="518">
        <f>IF(YEAR('3 pr-2'!AJ52)=2017,BJ52,0)</f>
        <v>0</v>
      </c>
      <c r="BN52" s="518">
        <f>IF(YEAR('3 pr-2'!AJ52)=2018,BJ52,0)</f>
        <v>0</v>
      </c>
      <c r="BO52" s="518">
        <f>IF(YEAR('3 pr-2'!AJ52)=2019,BJ52,0)</f>
        <v>0</v>
      </c>
      <c r="BP52" s="518">
        <f>IF(YEAR('3 pr-2'!AJ52)=2020,BJ52,0)</f>
        <v>0</v>
      </c>
      <c r="BQ52" s="518">
        <f>IF(YEAR('3 pr-2'!AJ52)=2021,BJ52,0)</f>
        <v>0</v>
      </c>
      <c r="BR52" s="518">
        <f>IF(YEAR('3 pr-2'!AJ52)=2022,BJ52,0)</f>
        <v>0</v>
      </c>
      <c r="BS52" s="518">
        <f>IF(YEAR('3 pr-2'!AJ52)=2023,BJ52,0)</f>
        <v>0</v>
      </c>
      <c r="BT52" s="523"/>
      <c r="BU52" s="881"/>
      <c r="BV52" s="518"/>
      <c r="BW52" s="518"/>
      <c r="BX52" s="518"/>
      <c r="BY52" s="518"/>
      <c r="BZ52" s="518"/>
      <c r="CA52" s="518"/>
      <c r="CB52" s="518"/>
      <c r="CC52" s="1337">
        <f t="shared" si="128"/>
        <v>0</v>
      </c>
      <c r="CD52" s="518"/>
      <c r="CE52" s="518"/>
      <c r="CF52" s="518"/>
      <c r="CG52" s="518">
        <f>IF(YEAR('3 pr-2'!$AJ52)=2017,$CD52,0)</f>
        <v>0</v>
      </c>
      <c r="CH52" s="518">
        <f>IF(YEAR('3 pr-2'!$AJ52)=2018,$CD52,0)</f>
        <v>0</v>
      </c>
      <c r="CI52" s="518">
        <f>IF(YEAR('3 pr-2'!$AJ52)=2019,$CD52,0)</f>
        <v>0</v>
      </c>
      <c r="CJ52" s="518">
        <f>IF(YEAR('3 pr-2'!$AJ52)=2020,$CD52,0)</f>
        <v>0</v>
      </c>
      <c r="CK52" s="518">
        <f>IF(YEAR('3 pr-2'!$AJ52)=2021,$CD52,0)</f>
        <v>0</v>
      </c>
      <c r="CL52" s="518">
        <f>IF(YEAR('3 pr-2'!$AJ52)=2022,$CD52,0)</f>
        <v>0</v>
      </c>
      <c r="CM52" s="518">
        <f>IF(YEAR('3 pr-2'!$AJ52)=2023,$CD52,0)</f>
        <v>0</v>
      </c>
      <c r="CN52" s="523" t="s">
        <v>501</v>
      </c>
      <c r="CO52" s="882" t="s">
        <v>502</v>
      </c>
      <c r="CP52" s="524"/>
      <c r="CQ52" s="518"/>
      <c r="CR52" s="518"/>
      <c r="CS52" s="518"/>
      <c r="CT52" s="518"/>
      <c r="CU52" s="518"/>
      <c r="CV52" s="518"/>
      <c r="CW52" s="1337">
        <f t="shared" si="129"/>
        <v>0</v>
      </c>
      <c r="CX52" s="524">
        <v>16.420000000000002</v>
      </c>
      <c r="CY52" s="504">
        <v>16.420000000000002</v>
      </c>
      <c r="CZ52" s="504">
        <f>SUM(CY52-CX52)</f>
        <v>0</v>
      </c>
      <c r="DA52" s="1332">
        <f>IF(YEAR('3 pr-2'!AJ52)=2017,CX52,0)</f>
        <v>0</v>
      </c>
      <c r="DB52" s="1332">
        <f>IF(YEAR('3 pr-2'!AJ52)=2018,CX52,0)</f>
        <v>0</v>
      </c>
      <c r="DC52" s="1332">
        <f>IF(YEAR('3 pr-2'!AJ52)=2019,CX52,0)</f>
        <v>0</v>
      </c>
      <c r="DD52" s="1332">
        <f>IF(YEAR('3 pr-2'!AJ52)=2020,CX52,0)</f>
        <v>16.420000000000002</v>
      </c>
      <c r="DE52" s="1332">
        <f>IF(YEAR('3 pr-2'!AJ52)=2021,CX52,0)</f>
        <v>0</v>
      </c>
      <c r="DF52" s="1332">
        <f>IF(YEAR('3 pr-2'!AJ52)=2022,CX52,0)</f>
        <v>0</v>
      </c>
      <c r="DG52" s="1332">
        <f>IF(YEAR('3 pr-2'!AJ52)=2023,CX52,0)</f>
        <v>0</v>
      </c>
    </row>
    <row r="53" spans="1:111" ht="73.5" thickTop="1" thickBot="1" x14ac:dyDescent="0.3">
      <c r="A53" s="518" t="str">
        <f>CONCATENATE('3 pr-2'!A53)</f>
        <v>1.1.1.5.3</v>
      </c>
      <c r="B53" s="518" t="str">
        <f>CONCATENATE('3 pr-2'!B53)</f>
        <v>R01-0014-060700-1153</v>
      </c>
      <c r="C53" s="1449" t="str">
        <f>CONCATENATE('ketv. 2lent'!B52)</f>
        <v>05.3.2-APVA-R-014-11-0004</v>
      </c>
      <c r="D53" s="189" t="str">
        <f>CONCATENATE('3 pr-2'!D53)</f>
        <v>Geriamojo vandens tiekimo ir nuotekų tvarkymo sistemų renovavimas ir plėtra Lazdijų rajono savivaldybėje</v>
      </c>
      <c r="E53" s="480" t="str">
        <f>CONCATENATE('3 pr-2'!E53)</f>
        <v>UAB „Lazdijų vanduo“</v>
      </c>
      <c r="F53" s="480" t="str">
        <f>CONCATENATE('3 pr-2'!F53)</f>
        <v>Lietuvos Respublikos aplinkos ministerija</v>
      </c>
      <c r="G53" s="480" t="str">
        <f>CONCATENATE('3 pr-2'!G53)</f>
        <v>Lazdijų rajono savivaldybė</v>
      </c>
      <c r="H53" s="518" t="str">
        <f>CONCATENATE('3 pr-2'!H53)</f>
        <v>05.3.2-APVA-R-014</v>
      </c>
      <c r="I53" s="518" t="str">
        <f>CONCATENATE('3 pr-2'!I53)</f>
        <v>R</v>
      </c>
      <c r="J53" s="518" t="str">
        <f>CONCATENATE('3 pr-2'!J53)</f>
        <v>-</v>
      </c>
      <c r="K53" s="518" t="str">
        <f>CONCATENATE('3 pr-2'!K53)</f>
        <v>-</v>
      </c>
      <c r="L53" s="518" t="s">
        <v>495</v>
      </c>
      <c r="M53" s="881" t="s">
        <v>505</v>
      </c>
      <c r="N53" s="518"/>
      <c r="O53" s="518"/>
      <c r="P53" s="518"/>
      <c r="Q53" s="518"/>
      <c r="R53" s="518"/>
      <c r="S53" s="518"/>
      <c r="T53" s="518"/>
      <c r="U53" s="1335"/>
      <c r="V53" s="518">
        <v>240</v>
      </c>
      <c r="W53" s="1336" t="str">
        <f>IF('ketv. 6 lent'!K52&gt;0,"240",0)</f>
        <v>240</v>
      </c>
      <c r="X53" s="518">
        <f>SUM(W53-V53)</f>
        <v>0</v>
      </c>
      <c r="Y53" s="518">
        <f>IF(YEAR('3 pr-2'!$AJ53)=2017,$V53,0)</f>
        <v>0</v>
      </c>
      <c r="Z53" s="518">
        <f>IF(YEAR('3 pr-2'!$AJ53)=2018,$V53,0)</f>
        <v>0</v>
      </c>
      <c r="AA53" s="518">
        <f>IF(YEAR('3 pr-2'!$AJ53)=2019,$V53,0)</f>
        <v>240</v>
      </c>
      <c r="AB53" s="518">
        <f>IF(YEAR('3 pr-2'!$AJ53)=2020,$V53,0)</f>
        <v>0</v>
      </c>
      <c r="AC53" s="518">
        <f>IF(YEAR('3 pr-2'!$AJ53)=2021,$V53,0)</f>
        <v>0</v>
      </c>
      <c r="AD53" s="518">
        <f>IF(YEAR('3 pr-2'!$AJ53)=2022,$V53,0)</f>
        <v>0</v>
      </c>
      <c r="AE53" s="518">
        <f>IF(YEAR('3 pr-2'!$AJ53)=2023,$V53,0)</f>
        <v>0</v>
      </c>
      <c r="AF53" s="523"/>
      <c r="AG53" s="881"/>
      <c r="AH53" s="518"/>
      <c r="AI53" s="518"/>
      <c r="AJ53" s="518"/>
      <c r="AK53" s="518"/>
      <c r="AL53" s="518"/>
      <c r="AM53" s="518"/>
      <c r="AN53" s="518"/>
      <c r="AO53" s="1337">
        <f t="shared" si="126"/>
        <v>0</v>
      </c>
      <c r="AP53" s="518"/>
      <c r="AQ53" s="1338"/>
      <c r="AR53" s="518"/>
      <c r="AS53" s="518">
        <f>IF(YEAR('3 pr-2'!$AJ53)=2017,$AP53,0)</f>
        <v>0</v>
      </c>
      <c r="AT53" s="518">
        <f>IF(YEAR('3 pr-2'!$AJ53)=2018,$AP53,0)</f>
        <v>0</v>
      </c>
      <c r="AU53" s="518">
        <f>IF(YEAR('3 pr-2'!$AJ53)=2019,$AP53,0)</f>
        <v>0</v>
      </c>
      <c r="AV53" s="518">
        <f>IF(YEAR('3 pr-2'!$AJ53)=2020,$AP53,0)</f>
        <v>0</v>
      </c>
      <c r="AW53" s="518">
        <f>IF(YEAR('3 pr-2'!$AJ53)=2021,$AP53,0)</f>
        <v>0</v>
      </c>
      <c r="AX53" s="518">
        <f>IF(YEAR('3 pr-2'!$AJ53)=2022,$AP53,0)</f>
        <v>0</v>
      </c>
      <c r="AY53" s="518">
        <f>IF(YEAR('3 pr-2'!$AJ53)=2023,$AP53,0)</f>
        <v>0</v>
      </c>
      <c r="AZ53" s="518" t="s">
        <v>497</v>
      </c>
      <c r="BA53" s="880" t="s">
        <v>506</v>
      </c>
      <c r="BB53" s="518"/>
      <c r="BC53" s="518"/>
      <c r="BD53" s="518"/>
      <c r="BE53" s="518"/>
      <c r="BF53" s="518"/>
      <c r="BG53" s="518"/>
      <c r="BH53" s="518"/>
      <c r="BI53" s="1337">
        <f t="shared" si="152"/>
        <v>0</v>
      </c>
      <c r="BJ53" s="518">
        <v>210</v>
      </c>
      <c r="BK53" s="1338">
        <v>210</v>
      </c>
      <c r="BL53" s="518">
        <f>SUM(BK53-BJ53)</f>
        <v>0</v>
      </c>
      <c r="BM53" s="518">
        <f>IF(YEAR('3 pr-2'!AJ53)=2017,BJ53,0)</f>
        <v>0</v>
      </c>
      <c r="BN53" s="518">
        <f>IF(YEAR('3 pr-2'!AJ53)=2018,BJ53,0)</f>
        <v>0</v>
      </c>
      <c r="BO53" s="518">
        <f>IF(YEAR('3 pr-2'!AJ53)=2019,BJ53,0)</f>
        <v>210</v>
      </c>
      <c r="BP53" s="518">
        <f>IF(YEAR('3 pr-2'!AJ53)=2020,BJ53,0)</f>
        <v>0</v>
      </c>
      <c r="BQ53" s="518">
        <f>IF(YEAR('3 pr-2'!AJ53)=2021,BJ53,0)</f>
        <v>0</v>
      </c>
      <c r="BR53" s="518">
        <f>IF(YEAR('3 pr-2'!AJ53)=2022,BJ53,0)</f>
        <v>0</v>
      </c>
      <c r="BS53" s="518">
        <f>IF(YEAR('3 pr-2'!AJ53)=2023,BJ53,0)</f>
        <v>0</v>
      </c>
      <c r="BT53" s="523" t="s">
        <v>499</v>
      </c>
      <c r="BU53" s="881" t="s">
        <v>507</v>
      </c>
      <c r="BV53" s="518"/>
      <c r="BW53" s="518"/>
      <c r="BX53" s="518"/>
      <c r="BY53" s="518"/>
      <c r="BZ53" s="518"/>
      <c r="CA53" s="518"/>
      <c r="CB53" s="518"/>
      <c r="CC53" s="1337">
        <f t="shared" si="128"/>
        <v>0</v>
      </c>
      <c r="CD53" s="518">
        <v>210</v>
      </c>
      <c r="CE53" s="518">
        <v>210</v>
      </c>
      <c r="CF53" s="518">
        <f>SUM(CE53-CD53)</f>
        <v>0</v>
      </c>
      <c r="CG53" s="518">
        <f>IF(YEAR('3 pr-2'!$AJ53)=2017,$CD53,0)</f>
        <v>0</v>
      </c>
      <c r="CH53" s="518">
        <f>IF(YEAR('3 pr-2'!$AJ53)=2018,$CD53,0)</f>
        <v>0</v>
      </c>
      <c r="CI53" s="518">
        <f>IF(YEAR('3 pr-2'!$AJ53)=2019,$CD53,0)</f>
        <v>210</v>
      </c>
      <c r="CJ53" s="518">
        <f>IF(YEAR('3 pr-2'!$AJ53)=2020,$CD53,0)</f>
        <v>0</v>
      </c>
      <c r="CK53" s="518">
        <f>IF(YEAR('3 pr-2'!$AJ53)=2021,$CD53,0)</f>
        <v>0</v>
      </c>
      <c r="CL53" s="518">
        <f>IF(YEAR('3 pr-2'!$AJ53)=2022,$CD53,0)</f>
        <v>0</v>
      </c>
      <c r="CM53" s="518">
        <f>IF(YEAR('3 pr-2'!$AJ53)=2023,$CD53,0)</f>
        <v>0</v>
      </c>
      <c r="CN53" s="523"/>
      <c r="CO53" s="882"/>
      <c r="CP53" s="524"/>
      <c r="CQ53" s="518"/>
      <c r="CR53" s="518"/>
      <c r="CS53" s="518"/>
      <c r="CT53" s="518"/>
      <c r="CU53" s="518"/>
      <c r="CV53" s="518"/>
      <c r="CW53" s="1337">
        <f t="shared" si="129"/>
        <v>0</v>
      </c>
      <c r="CX53" s="524"/>
      <c r="CY53" s="504"/>
      <c r="CZ53" s="504"/>
      <c r="DA53" s="1332">
        <f>IF(YEAR('3 pr-2'!AJ53)=2017,CX53,0)</f>
        <v>0</v>
      </c>
      <c r="DB53" s="1332">
        <f>IF(YEAR('3 pr-2'!AJ53)=2018,CX53,0)</f>
        <v>0</v>
      </c>
      <c r="DC53" s="1332">
        <f>IF(YEAR('3 pr-2'!AJ53)=2019,CX53,0)</f>
        <v>0</v>
      </c>
      <c r="DD53" s="1332">
        <f>IF(YEAR('3 pr-2'!AJ53)=2020,CX53,0)</f>
        <v>0</v>
      </c>
      <c r="DE53" s="1332">
        <f>IF(YEAR('3 pr-2'!AJ53)=2021,CX53,0)</f>
        <v>0</v>
      </c>
      <c r="DF53" s="1332">
        <f>IF(YEAR('3 pr-2'!AJ53)=2022,CX53,0)</f>
        <v>0</v>
      </c>
      <c r="DG53" s="1332">
        <f>IF(YEAR('3 pr-2'!AJ53)=2023,CX53,0)</f>
        <v>0</v>
      </c>
    </row>
    <row r="54" spans="1:111" ht="73.5" thickTop="1" thickBot="1" x14ac:dyDescent="0.3">
      <c r="A54" s="518" t="str">
        <f>CONCATENATE('3 pr-2'!A54)</f>
        <v>1.1.1.5.4.</v>
      </c>
      <c r="B54" s="518" t="str">
        <f>CONCATENATE('3 pr-2'!B54)</f>
        <v>R01-0014-060700-1154</v>
      </c>
      <c r="C54" s="1449" t="str">
        <f>CONCATENATE('ketv. 2lent'!B53)</f>
        <v>05.3.2-APVA-R-014-11-0003</v>
      </c>
      <c r="D54" s="189" t="str">
        <f>CONCATENATE('3 pr-2'!D54)</f>
        <v>Vandens tiekimo ir nuotekų šalinimo infrastruktūros renovavimas ir plėtra Druskininkų savivaldybėje</v>
      </c>
      <c r="E54" s="480" t="str">
        <f>CONCATENATE('3 pr-2'!E54)</f>
        <v>UAB "Druskininkų vandenys"</v>
      </c>
      <c r="F54" s="480" t="str">
        <f>CONCATENATE('3 pr-2'!F54)</f>
        <v>Lietuvos Respublikos aplinkos ministerija</v>
      </c>
      <c r="G54" s="480" t="str">
        <f>CONCATENATE('3 pr-2'!G54)</f>
        <v>Druskininkų miestas</v>
      </c>
      <c r="H54" s="518" t="str">
        <f>CONCATENATE('3 pr-2'!H54)</f>
        <v>05.3.2-APVA-R-014</v>
      </c>
      <c r="I54" s="518" t="str">
        <f>CONCATENATE('3 pr-2'!I54)</f>
        <v>R</v>
      </c>
      <c r="J54" s="518" t="str">
        <f>CONCATENATE('3 pr-2'!J54)</f>
        <v>-</v>
      </c>
      <c r="K54" s="518" t="str">
        <f>CONCATENATE('3 pr-2'!K54)</f>
        <v>-</v>
      </c>
      <c r="L54" s="518" t="s">
        <v>495</v>
      </c>
      <c r="M54" s="881" t="s">
        <v>496</v>
      </c>
      <c r="N54" s="518"/>
      <c r="O54" s="518"/>
      <c r="P54" s="518"/>
      <c r="Q54" s="518"/>
      <c r="R54" s="518"/>
      <c r="S54" s="518"/>
      <c r="T54" s="518"/>
      <c r="U54" s="1335"/>
      <c r="V54" s="518">
        <v>422</v>
      </c>
      <c r="W54" s="1336" t="str">
        <f>IF('ketv. 6 lent'!K53&gt;0,"422",0)</f>
        <v>422</v>
      </c>
      <c r="X54" s="518">
        <f>SUM(W54-V54)</f>
        <v>0</v>
      </c>
      <c r="Y54" s="518">
        <f>IF(YEAR('3 pr-2'!$AJ54)=2017,$V54,0)</f>
        <v>0</v>
      </c>
      <c r="Z54" s="518">
        <f>IF(YEAR('3 pr-2'!$AJ54)=2018,$V54,0)</f>
        <v>0</v>
      </c>
      <c r="AA54" s="518">
        <f>IF(YEAR('3 pr-2'!$AJ54)=2019,$V54,0)</f>
        <v>0</v>
      </c>
      <c r="AB54" s="518">
        <f>IF(YEAR('3 pr-2'!$AJ54)=2020,$V54,0)</f>
        <v>0</v>
      </c>
      <c r="AC54" s="518">
        <f>IF(YEAR('3 pr-2'!$AJ54)=2021,$V54,0)</f>
        <v>422</v>
      </c>
      <c r="AD54" s="518">
        <f>IF(YEAR('3 pr-2'!$AJ54)=2022,$V54,0)</f>
        <v>0</v>
      </c>
      <c r="AE54" s="518">
        <f>IF(YEAR('3 pr-2'!$AJ54)=2023,$V54,0)</f>
        <v>0</v>
      </c>
      <c r="AF54" s="523" t="s">
        <v>503</v>
      </c>
      <c r="AG54" s="1204" t="s">
        <v>504</v>
      </c>
      <c r="AH54" s="518"/>
      <c r="AI54" s="518"/>
      <c r="AJ54" s="518"/>
      <c r="AK54" s="518"/>
      <c r="AL54" s="518"/>
      <c r="AM54" s="518"/>
      <c r="AN54" s="518"/>
      <c r="AO54" s="1337">
        <f t="shared" si="126"/>
        <v>0</v>
      </c>
      <c r="AP54" s="518">
        <v>15887</v>
      </c>
      <c r="AQ54" s="1338"/>
      <c r="AR54" s="518"/>
      <c r="AS54" s="518">
        <f>IF(YEAR('3 pr-2'!$AJ54)=2017,$AP54,0)</f>
        <v>0</v>
      </c>
      <c r="AT54" s="518">
        <f>IF(YEAR('3 pr-2'!$AJ54)=2018,$AP54,0)</f>
        <v>0</v>
      </c>
      <c r="AU54" s="518">
        <f>IF(YEAR('3 pr-2'!$AJ54)=2019,$AP54,0)</f>
        <v>0</v>
      </c>
      <c r="AV54" s="518">
        <f>IF(YEAR('3 pr-2'!$AJ54)=2020,$AP54,0)</f>
        <v>0</v>
      </c>
      <c r="AW54" s="518">
        <f>IF(YEAR('3 pr-2'!$AJ54)=2021,$AP54,0)</f>
        <v>15887</v>
      </c>
      <c r="AX54" s="518">
        <f>IF(YEAR('3 pr-2'!$AJ54)=2022,$AP54,0)</f>
        <v>0</v>
      </c>
      <c r="AY54" s="518">
        <f>IF(YEAR('3 pr-2'!$AJ54)=2023,$AP54,0)</f>
        <v>0</v>
      </c>
      <c r="AZ54" s="518" t="s">
        <v>497</v>
      </c>
      <c r="BA54" s="894" t="s">
        <v>498</v>
      </c>
      <c r="BB54" s="518"/>
      <c r="BC54" s="518"/>
      <c r="BD54" s="518"/>
      <c r="BE54" s="518"/>
      <c r="BF54" s="518"/>
      <c r="BG54" s="518"/>
      <c r="BH54" s="518"/>
      <c r="BI54" s="1337">
        <f t="shared" si="152"/>
        <v>0</v>
      </c>
      <c r="BJ54" s="518">
        <v>431</v>
      </c>
      <c r="BK54" s="1338">
        <v>419</v>
      </c>
      <c r="BL54" s="518">
        <f>SUM(BK54-BJ54)</f>
        <v>-12</v>
      </c>
      <c r="BM54" s="518">
        <f>IF(YEAR('3 pr-2'!AJ54)=2017,BJ54,0)</f>
        <v>0</v>
      </c>
      <c r="BN54" s="518">
        <f>IF(YEAR('3 pr-2'!AJ54)=2018,BJ54,0)</f>
        <v>0</v>
      </c>
      <c r="BO54" s="518">
        <f>IF(YEAR('3 pr-2'!AJ54)=2019,BJ54,0)</f>
        <v>0</v>
      </c>
      <c r="BP54" s="518">
        <f>IF(YEAR('3 pr-2'!AJ54)=2020,BJ54,0)</f>
        <v>0</v>
      </c>
      <c r="BQ54" s="518">
        <f>IF(YEAR('3 pr-2'!AJ54)=2021,BJ54,0)</f>
        <v>431</v>
      </c>
      <c r="BR54" s="518">
        <f>IF(YEAR('3 pr-2'!AJ54)=2022,BJ54,0)</f>
        <v>0</v>
      </c>
      <c r="BS54" s="518">
        <f>IF(YEAR('3 pr-2'!AJ54)=2023,BJ54,0)</f>
        <v>0</v>
      </c>
      <c r="BT54" s="523"/>
      <c r="BU54" s="1204"/>
      <c r="BV54" s="518"/>
      <c r="BW54" s="518"/>
      <c r="BX54" s="518"/>
      <c r="BY54" s="518"/>
      <c r="BZ54" s="518"/>
      <c r="CA54" s="518"/>
      <c r="CB54" s="518"/>
      <c r="CC54" s="1337">
        <f t="shared" si="128"/>
        <v>0</v>
      </c>
      <c r="CD54" s="518"/>
      <c r="CE54" s="518"/>
      <c r="CF54" s="518"/>
      <c r="CG54" s="518">
        <f>IF(YEAR('3 pr-2'!$AJ54)=2017,$CD54,0)</f>
        <v>0</v>
      </c>
      <c r="CH54" s="518">
        <f>IF(YEAR('3 pr-2'!$AJ54)=2018,$CD54,0)</f>
        <v>0</v>
      </c>
      <c r="CI54" s="518">
        <f>IF(YEAR('3 pr-2'!$AJ54)=2019,$CD54,0)</f>
        <v>0</v>
      </c>
      <c r="CJ54" s="518">
        <f>IF(YEAR('3 pr-2'!$AJ54)=2020,$CD54,0)</f>
        <v>0</v>
      </c>
      <c r="CK54" s="518">
        <f>IF(YEAR('3 pr-2'!$AJ54)=2021,$CD54,0)</f>
        <v>0</v>
      </c>
      <c r="CL54" s="518">
        <f>IF(YEAR('3 pr-2'!$AJ54)=2022,$CD54,0)</f>
        <v>0</v>
      </c>
      <c r="CM54" s="518">
        <f>IF(YEAR('3 pr-2'!$AJ54)=2023,$CD54,0)</f>
        <v>0</v>
      </c>
      <c r="CN54" s="523" t="s">
        <v>501</v>
      </c>
      <c r="CO54" s="882" t="s">
        <v>502</v>
      </c>
      <c r="CP54" s="524"/>
      <c r="CQ54" s="518"/>
      <c r="CR54" s="518"/>
      <c r="CS54" s="518"/>
      <c r="CT54" s="518"/>
      <c r="CU54" s="518"/>
      <c r="CV54" s="518"/>
      <c r="CW54" s="1337">
        <f t="shared" si="129"/>
        <v>0</v>
      </c>
      <c r="CX54" s="524">
        <v>3.2</v>
      </c>
      <c r="CY54" s="504">
        <v>3.2</v>
      </c>
      <c r="CZ54" s="504">
        <f>SUM(CY54-CX54)</f>
        <v>0</v>
      </c>
      <c r="DA54" s="1332">
        <f>IF(YEAR('3 pr-2'!AJ54)=2017,CX54,0)</f>
        <v>0</v>
      </c>
      <c r="DB54" s="1332">
        <f>IF(YEAR('3 pr-2'!AJ54)=2018,CX54,0)</f>
        <v>0</v>
      </c>
      <c r="DC54" s="1332">
        <f>IF(YEAR('3 pr-2'!AJ54)=2019,CX54,0)</f>
        <v>0</v>
      </c>
      <c r="DD54" s="1332">
        <f>IF(YEAR('3 pr-2'!AJ54)=2020,CX54,0)</f>
        <v>0</v>
      </c>
      <c r="DE54" s="1332">
        <f>IF(YEAR('3 pr-2'!AJ54)=2021,CX54,0)</f>
        <v>3.2</v>
      </c>
      <c r="DF54" s="1332">
        <f>IF(YEAR('3 pr-2'!AJ54)=2022,CX54,0)</f>
        <v>0</v>
      </c>
      <c r="DG54" s="1332">
        <f>IF(YEAR('3 pr-2'!AJ54)=2023,CX54,0)</f>
        <v>0</v>
      </c>
    </row>
    <row r="55" spans="1:111" ht="64.5" thickTop="1" thickBot="1" x14ac:dyDescent="0.3">
      <c r="A55" s="518" t="str">
        <f>CONCATENATE('3 pr-2'!A55)</f>
        <v>1.1.1.5.5.</v>
      </c>
      <c r="B55" s="518" t="str">
        <f>CONCATENATE('3 pr-2'!B55)</f>
        <v>R01-0014-060700-1155</v>
      </c>
      <c r="C55" s="1449" t="str">
        <f>CONCATENATE('ketv. 2lent'!B54)</f>
        <v>05.3.2-APVA-R-014-11-0005</v>
      </c>
      <c r="D55" s="189" t="str">
        <f>CONCATENATE('3 pr-2'!D55)</f>
        <v>Vandens tiekimo ir nuotekų tvarkymo infrastruktūros plėtra Alytaus rajone (Krokialaukyje)</v>
      </c>
      <c r="E55" s="480" t="str">
        <f>CONCATENATE('3 pr-2'!E55)</f>
        <v>SĮ „Simno komunalininkas“</v>
      </c>
      <c r="F55" s="480" t="str">
        <f>CONCATENATE('3 pr-2'!F55)</f>
        <v>Lietuvos Respublikos aplinkos ministerija</v>
      </c>
      <c r="G55" s="480" t="str">
        <f>CONCATENATE('3 pr-2'!G55)</f>
        <v>Alytaus  rajono savivaldybė</v>
      </c>
      <c r="H55" s="518" t="str">
        <f>CONCATENATE('3 pr-2'!H55)</f>
        <v>05.3.2-APVA-R-014</v>
      </c>
      <c r="I55" s="518" t="str">
        <f>CONCATENATE('3 pr-2'!I55)</f>
        <v>R</v>
      </c>
      <c r="J55" s="518" t="str">
        <f>CONCATENATE('3 pr-2'!J55)</f>
        <v>-</v>
      </c>
      <c r="K55" s="518" t="str">
        <f>CONCATENATE('3 pr-2'!K55)</f>
        <v>-</v>
      </c>
      <c r="L55" s="518" t="s">
        <v>495</v>
      </c>
      <c r="M55" s="881" t="s">
        <v>496</v>
      </c>
      <c r="N55" s="518"/>
      <c r="O55" s="518"/>
      <c r="P55" s="518"/>
      <c r="Q55" s="518"/>
      <c r="R55" s="518"/>
      <c r="S55" s="518"/>
      <c r="T55" s="518"/>
      <c r="U55" s="1335"/>
      <c r="V55" s="518">
        <v>90</v>
      </c>
      <c r="W55" s="1336" t="str">
        <f>IF('ketv. 6 lent'!K54&gt;0,"taip",0)</f>
        <v>taip</v>
      </c>
      <c r="X55" s="518"/>
      <c r="Y55" s="518">
        <f>IF(YEAR('3 pr-2'!$AJ55)=2017,$V55,0)</f>
        <v>0</v>
      </c>
      <c r="Z55" s="518">
        <f>IF(YEAR('3 pr-2'!$AJ55)=2018,$V55,0)</f>
        <v>0</v>
      </c>
      <c r="AA55" s="518">
        <f>IF(YEAR('3 pr-2'!$AJ55)=2019,$V55,0)</f>
        <v>0</v>
      </c>
      <c r="AB55" s="518">
        <f>IF(YEAR('3 pr-2'!$AJ55)=2020,$V55,0)</f>
        <v>90</v>
      </c>
      <c r="AC55" s="518">
        <f>IF(YEAR('3 pr-2'!$AJ55)=2021,$V55,0)</f>
        <v>0</v>
      </c>
      <c r="AD55" s="518">
        <f>IF(YEAR('3 pr-2'!$AJ55)=2022,$V55,0)</f>
        <v>0</v>
      </c>
      <c r="AE55" s="518">
        <f>IF(YEAR('3 pr-2'!$AJ55)=2023,$V55,0)</f>
        <v>0</v>
      </c>
      <c r="AF55" s="523" t="s">
        <v>503</v>
      </c>
      <c r="AG55" s="881" t="s">
        <v>504</v>
      </c>
      <c r="AH55" s="518"/>
      <c r="AI55" s="518"/>
      <c r="AJ55" s="518"/>
      <c r="AK55" s="518"/>
      <c r="AL55" s="518"/>
      <c r="AM55" s="518"/>
      <c r="AN55" s="518"/>
      <c r="AO55" s="1337">
        <f t="shared" si="126"/>
        <v>0</v>
      </c>
      <c r="AP55" s="518">
        <v>450</v>
      </c>
      <c r="AQ55" s="1338"/>
      <c r="AR55" s="518"/>
      <c r="AS55" s="518">
        <f>IF(YEAR('3 pr-2'!$AJ55)=2017,$AP55,0)</f>
        <v>0</v>
      </c>
      <c r="AT55" s="518">
        <f>IF(YEAR('3 pr-2'!$AJ55)=2018,$AP55,0)</f>
        <v>0</v>
      </c>
      <c r="AU55" s="518">
        <f>IF(YEAR('3 pr-2'!$AJ55)=2019,$AP55,0)</f>
        <v>0</v>
      </c>
      <c r="AV55" s="518">
        <f>IF(YEAR('3 pr-2'!$AJ55)=2020,$AP55,0)</f>
        <v>450</v>
      </c>
      <c r="AW55" s="518">
        <f>IF(YEAR('3 pr-2'!$AJ55)=2021,$AP55,0)</f>
        <v>0</v>
      </c>
      <c r="AX55" s="518">
        <f>IF(YEAR('3 pr-2'!$AJ55)=2022,$AP55,0)</f>
        <v>0</v>
      </c>
      <c r="AY55" s="518">
        <f>IF(YEAR('3 pr-2'!$AJ55)=2023,$AP55,0)</f>
        <v>0</v>
      </c>
      <c r="AZ55" s="518" t="s">
        <v>497</v>
      </c>
      <c r="BA55" s="880" t="s">
        <v>498</v>
      </c>
      <c r="BB55" s="518"/>
      <c r="BC55" s="518"/>
      <c r="BD55" s="518"/>
      <c r="BE55" s="518"/>
      <c r="BF55" s="518"/>
      <c r="BG55" s="518"/>
      <c r="BH55" s="518"/>
      <c r="BI55" s="1337">
        <f t="shared" si="152"/>
        <v>0</v>
      </c>
      <c r="BJ55" s="518">
        <v>411</v>
      </c>
      <c r="BK55" s="1338">
        <v>411</v>
      </c>
      <c r="BL55" s="518">
        <f>SUM(BK55-BJ55)</f>
        <v>0</v>
      </c>
      <c r="BM55" s="518">
        <f>IF(YEAR('3 pr-2'!AJ55)=2017,BJ55,0)</f>
        <v>0</v>
      </c>
      <c r="BN55" s="518">
        <f>IF(YEAR('3 pr-2'!AJ55)=2018,BJ55,0)</f>
        <v>0</v>
      </c>
      <c r="BO55" s="518">
        <f>IF(YEAR('3 pr-2'!AJ55)=2019,BJ55,0)</f>
        <v>0</v>
      </c>
      <c r="BP55" s="518">
        <f>IF(YEAR('3 pr-2'!AJ55)=2020,BJ55,0)</f>
        <v>411</v>
      </c>
      <c r="BQ55" s="518">
        <f>IF(YEAR('3 pr-2'!AJ55)=2021,BJ55,0)</f>
        <v>0</v>
      </c>
      <c r="BR55" s="518">
        <f>IF(YEAR('3 pr-2'!AJ55)=2022,BJ55,0)</f>
        <v>0</v>
      </c>
      <c r="BS55" s="518">
        <f>IF(YEAR('3 pr-2'!AJ55)=2023,BJ55,0)</f>
        <v>0</v>
      </c>
      <c r="BT55" s="523" t="s">
        <v>499</v>
      </c>
      <c r="BU55" s="881" t="s">
        <v>500</v>
      </c>
      <c r="BV55" s="518"/>
      <c r="BW55" s="518"/>
      <c r="BX55" s="518"/>
      <c r="BY55" s="518"/>
      <c r="BZ55" s="518"/>
      <c r="CA55" s="518"/>
      <c r="CB55" s="518"/>
      <c r="CC55" s="1337">
        <f t="shared" si="128"/>
        <v>0</v>
      </c>
      <c r="CD55" s="518">
        <v>411</v>
      </c>
      <c r="CE55" s="518">
        <v>411</v>
      </c>
      <c r="CF55" s="518">
        <f>SUM(CE55-CD55)</f>
        <v>0</v>
      </c>
      <c r="CG55" s="518">
        <f>IF(YEAR('3 pr-2'!$AJ55)=2017,$CD55,0)</f>
        <v>0</v>
      </c>
      <c r="CH55" s="518">
        <f>IF(YEAR('3 pr-2'!$AJ55)=2018,$CD55,0)</f>
        <v>0</v>
      </c>
      <c r="CI55" s="518">
        <f>IF(YEAR('3 pr-2'!$AJ55)=2019,$CD55,0)</f>
        <v>0</v>
      </c>
      <c r="CJ55" s="518">
        <f>IF(YEAR('3 pr-2'!$AJ55)=2020,$CD55,0)</f>
        <v>411</v>
      </c>
      <c r="CK55" s="518">
        <f>IF(YEAR('3 pr-2'!$AJ55)=2021,$CD55,0)</f>
        <v>0</v>
      </c>
      <c r="CL55" s="518">
        <f>IF(YEAR('3 pr-2'!$AJ55)=2022,$CD55,0)</f>
        <v>0</v>
      </c>
      <c r="CM55" s="518">
        <f>IF(YEAR('3 pr-2'!$AJ55)=2023,$CD55,0)</f>
        <v>0</v>
      </c>
      <c r="CN55" s="523"/>
      <c r="CO55" s="882"/>
      <c r="CP55" s="524"/>
      <c r="CQ55" s="518"/>
      <c r="CR55" s="518"/>
      <c r="CS55" s="518"/>
      <c r="CT55" s="518"/>
      <c r="CU55" s="518"/>
      <c r="CV55" s="518"/>
      <c r="CW55" s="1337">
        <f t="shared" si="129"/>
        <v>0</v>
      </c>
      <c r="CX55" s="524"/>
      <c r="CY55" s="504"/>
      <c r="CZ55" s="504"/>
      <c r="DA55" s="1332">
        <f>IF(YEAR('3 pr-2'!AJ55)=2017,CX55,0)</f>
        <v>0</v>
      </c>
      <c r="DB55" s="1332">
        <f>IF(YEAR('3 pr-2'!AJ55)=2018,CX55,0)</f>
        <v>0</v>
      </c>
      <c r="DC55" s="1332">
        <f>IF(YEAR('3 pr-2'!AJ55)=2019,CX55,0)</f>
        <v>0</v>
      </c>
      <c r="DD55" s="1332">
        <f>IF(YEAR('3 pr-2'!AJ55)=2020,CX55,0)</f>
        <v>0</v>
      </c>
      <c r="DE55" s="1332">
        <f>IF(YEAR('3 pr-2'!AJ55)=2021,CX55,0)</f>
        <v>0</v>
      </c>
      <c r="DF55" s="1332">
        <f>IF(YEAR('3 pr-2'!AJ55)=2022,CX55,0)</f>
        <v>0</v>
      </c>
      <c r="DG55" s="1332">
        <f>IF(YEAR('3 pr-2'!AJ55)=2023,CX55,0)</f>
        <v>0</v>
      </c>
    </row>
    <row r="56" spans="1:111" ht="64.5" customHeight="1" thickBot="1" x14ac:dyDescent="0.3">
      <c r="A56" s="1257" t="str">
        <f>CONCATENATE('3 pr-2'!A56)</f>
        <v>1.1.1.6</v>
      </c>
      <c r="B56" s="1687" t="str">
        <f>CONCATENATE('3 pr-2'!B56)</f>
        <v>Priemonė:
Paviršinių nuotekų sistemų tvarkymas</v>
      </c>
      <c r="C56" s="1688"/>
      <c r="D56" s="1688"/>
      <c r="E56" s="1688"/>
      <c r="F56" s="1688"/>
      <c r="G56" s="1688"/>
      <c r="H56" s="1688"/>
      <c r="I56" s="1688"/>
      <c r="J56" s="1688"/>
      <c r="K56" s="1689"/>
      <c r="L56" s="1328" t="s">
        <v>508</v>
      </c>
      <c r="M56" s="884" t="s">
        <v>509</v>
      </c>
      <c r="N56" s="505">
        <f>SUM(N57)</f>
        <v>0</v>
      </c>
      <c r="O56" s="505">
        <f t="shared" ref="O56:T56" si="186">SUM(O57)</f>
        <v>0</v>
      </c>
      <c r="P56" s="505">
        <f t="shared" si="186"/>
        <v>0</v>
      </c>
      <c r="Q56" s="505">
        <f t="shared" si="186"/>
        <v>0</v>
      </c>
      <c r="R56" s="505">
        <f t="shared" si="186"/>
        <v>0</v>
      </c>
      <c r="S56" s="505">
        <f t="shared" si="186"/>
        <v>0</v>
      </c>
      <c r="T56" s="505">
        <f t="shared" si="186"/>
        <v>0</v>
      </c>
      <c r="U56" s="1329">
        <f t="shared" ref="U56:U57" si="187">SUM(N56:T56)</f>
        <v>0</v>
      </c>
      <c r="V56" s="1299">
        <f>SUM(V57)</f>
        <v>262.58999999999997</v>
      </c>
      <c r="W56" s="1317"/>
      <c r="X56" s="1316"/>
      <c r="Y56" s="505">
        <f t="shared" ref="Y56:AE56" si="188">SUM(Y57)</f>
        <v>0</v>
      </c>
      <c r="Z56" s="505">
        <f t="shared" si="188"/>
        <v>0</v>
      </c>
      <c r="AA56" s="505">
        <f t="shared" si="188"/>
        <v>0</v>
      </c>
      <c r="AB56" s="505">
        <f t="shared" si="188"/>
        <v>262.58999999999997</v>
      </c>
      <c r="AC56" s="505">
        <f t="shared" si="188"/>
        <v>0</v>
      </c>
      <c r="AD56" s="505">
        <f t="shared" si="188"/>
        <v>0</v>
      </c>
      <c r="AE56" s="505">
        <f t="shared" si="188"/>
        <v>0</v>
      </c>
      <c r="AF56" s="1316" t="s">
        <v>510</v>
      </c>
      <c r="AG56" s="1331" t="s">
        <v>511</v>
      </c>
      <c r="AH56" s="505">
        <f>SUM(AH57)</f>
        <v>0.54</v>
      </c>
      <c r="AI56" s="505">
        <f t="shared" ref="AI56" si="189">SUM(AI57)</f>
        <v>0</v>
      </c>
      <c r="AJ56" s="505">
        <f t="shared" ref="AJ56" si="190">SUM(AJ57)</f>
        <v>0</v>
      </c>
      <c r="AK56" s="505">
        <f t="shared" ref="AK56" si="191">SUM(AK57)</f>
        <v>0</v>
      </c>
      <c r="AL56" s="505">
        <f t="shared" ref="AL56" si="192">SUM(AL57)</f>
        <v>0</v>
      </c>
      <c r="AM56" s="505">
        <f t="shared" ref="AM56" si="193">SUM(AM57)</f>
        <v>0</v>
      </c>
      <c r="AN56" s="505">
        <f t="shared" ref="AN56" si="194">SUM(AN57)</f>
        <v>0</v>
      </c>
      <c r="AO56" s="1299">
        <f t="shared" si="126"/>
        <v>0.54</v>
      </c>
      <c r="AP56" s="1299">
        <f>SUM(AP57)</f>
        <v>26</v>
      </c>
      <c r="AQ56" s="505"/>
      <c r="AR56" s="505"/>
      <c r="AS56" s="505">
        <f t="shared" ref="AS56" si="195">SUM(AS57)</f>
        <v>0</v>
      </c>
      <c r="AT56" s="505">
        <f t="shared" ref="AT56" si="196">SUM(AT57)</f>
        <v>0</v>
      </c>
      <c r="AU56" s="505">
        <f t="shared" ref="AU56" si="197">SUM(AU57)</f>
        <v>0</v>
      </c>
      <c r="AV56" s="505">
        <f t="shared" ref="AV56" si="198">SUM(AV57)</f>
        <v>26</v>
      </c>
      <c r="AW56" s="505">
        <f t="shared" ref="AW56" si="199">SUM(AW57)</f>
        <v>0</v>
      </c>
      <c r="AX56" s="505">
        <f t="shared" ref="AX56" si="200">SUM(AX57)</f>
        <v>0</v>
      </c>
      <c r="AY56" s="505">
        <f t="shared" ref="AY56" si="201">SUM(AY57)</f>
        <v>0</v>
      </c>
      <c r="AZ56" s="1299"/>
      <c r="BA56" s="1331"/>
      <c r="BB56" s="505">
        <f>SUM(BB57)</f>
        <v>0</v>
      </c>
      <c r="BC56" s="505">
        <f t="shared" ref="BC56" si="202">SUM(BC57)</f>
        <v>0</v>
      </c>
      <c r="BD56" s="505">
        <f t="shared" ref="BD56" si="203">SUM(BD57)</f>
        <v>0</v>
      </c>
      <c r="BE56" s="505">
        <f t="shared" ref="BE56" si="204">SUM(BE57)</f>
        <v>0</v>
      </c>
      <c r="BF56" s="505">
        <f t="shared" ref="BF56" si="205">SUM(BF57)</f>
        <v>0</v>
      </c>
      <c r="BG56" s="505">
        <f t="shared" ref="BG56" si="206">SUM(BG57)</f>
        <v>0</v>
      </c>
      <c r="BH56" s="505">
        <f t="shared" ref="BH56" si="207">SUM(BH57)</f>
        <v>0</v>
      </c>
      <c r="BI56" s="1299">
        <f t="shared" si="152"/>
        <v>0</v>
      </c>
      <c r="BJ56" s="1299"/>
      <c r="BK56" s="505"/>
      <c r="BL56" s="505"/>
      <c r="BM56" s="505"/>
      <c r="BN56" s="505"/>
      <c r="BO56" s="505"/>
      <c r="BP56" s="505"/>
      <c r="BQ56" s="505"/>
      <c r="BR56" s="505"/>
      <c r="BS56" s="505"/>
      <c r="BT56" s="505"/>
      <c r="BU56" s="882"/>
      <c r="BV56" s="505">
        <f>SUM(BV57)</f>
        <v>0</v>
      </c>
      <c r="BW56" s="505">
        <f t="shared" ref="BW56" si="208">SUM(BW57)</f>
        <v>0</v>
      </c>
      <c r="BX56" s="505">
        <f t="shared" ref="BX56" si="209">SUM(BX57)</f>
        <v>0</v>
      </c>
      <c r="BY56" s="505">
        <f t="shared" ref="BY56" si="210">SUM(BY57)</f>
        <v>0</v>
      </c>
      <c r="BZ56" s="505">
        <f t="shared" ref="BZ56" si="211">SUM(BZ57)</f>
        <v>0</v>
      </c>
      <c r="CA56" s="505">
        <f t="shared" ref="CA56" si="212">SUM(CA57)</f>
        <v>0</v>
      </c>
      <c r="CB56" s="505">
        <f t="shared" ref="CB56" si="213">SUM(CB57)</f>
        <v>0</v>
      </c>
      <c r="CC56" s="1299">
        <f t="shared" si="128"/>
        <v>0</v>
      </c>
      <c r="CD56" s="505"/>
      <c r="CE56" s="505"/>
      <c r="CF56" s="505"/>
      <c r="CG56" s="505"/>
      <c r="CH56" s="505"/>
      <c r="CI56" s="505"/>
      <c r="CJ56" s="505"/>
      <c r="CK56" s="505"/>
      <c r="CL56" s="505"/>
      <c r="CM56" s="505"/>
      <c r="CN56" s="1329"/>
      <c r="CO56" s="882"/>
      <c r="CP56" s="1287">
        <f>SUM(CP57)</f>
        <v>0</v>
      </c>
      <c r="CQ56" s="505">
        <f t="shared" ref="CQ56" si="214">SUM(CQ57)</f>
        <v>0</v>
      </c>
      <c r="CR56" s="505">
        <f t="shared" ref="CR56" si="215">SUM(CR57)</f>
        <v>0</v>
      </c>
      <c r="CS56" s="505">
        <f t="shared" ref="CS56" si="216">SUM(CS57)</f>
        <v>0</v>
      </c>
      <c r="CT56" s="505">
        <f t="shared" ref="CT56" si="217">SUM(CT57)</f>
        <v>0</v>
      </c>
      <c r="CU56" s="505">
        <f t="shared" ref="CU56" si="218">SUM(CU57)</f>
        <v>0</v>
      </c>
      <c r="CV56" s="505">
        <f t="shared" ref="CV56" si="219">SUM(CV57)</f>
        <v>0</v>
      </c>
      <c r="CW56" s="1299">
        <f t="shared" si="129"/>
        <v>0</v>
      </c>
      <c r="CX56" s="505"/>
      <c r="CY56" s="1332"/>
      <c r="CZ56" s="1332"/>
      <c r="DA56" s="1332">
        <f>IF(YEAR('3 pr-2'!AJ56)=2017,CX56,0)</f>
        <v>0</v>
      </c>
      <c r="DB56" s="1332">
        <f>IF(YEAR('3 pr-2'!AJ56)=2018,CX56,0)</f>
        <v>0</v>
      </c>
      <c r="DC56" s="1332">
        <f>IF(YEAR('3 pr-2'!AJ56)=2019,CX56,0)</f>
        <v>0</v>
      </c>
      <c r="DD56" s="1332">
        <f>IF(YEAR('3 pr-2'!AJ56)=2020,CX56,0)</f>
        <v>0</v>
      </c>
      <c r="DE56" s="1332">
        <f>IF(YEAR('3 pr-2'!AJ56)=2021,CX56,0)</f>
        <v>0</v>
      </c>
      <c r="DF56" s="1332">
        <f>IF(YEAR('3 pr-2'!AJ56)=2022,CX56,0)</f>
        <v>0</v>
      </c>
      <c r="DG56" s="1332">
        <f>IF(YEAR('3 pr-2'!AJ56)=2023,CX56,0)</f>
        <v>0</v>
      </c>
    </row>
    <row r="57" spans="1:111" ht="64.5" thickTop="1" thickBot="1" x14ac:dyDescent="0.3">
      <c r="A57" s="480" t="str">
        <f>CONCATENATE('3 pr-2'!A57)</f>
        <v>1.1.1.6.1</v>
      </c>
      <c r="B57" s="480" t="str">
        <f>CONCATENATE('3 pr-2'!B57)</f>
        <v>R01-0007-080000-1161</v>
      </c>
      <c r="C57" s="1451" t="str">
        <f>CONCATENATE('ketv. 2lent'!B56)</f>
        <v>05.1.1-APVA-R-007-11-0001</v>
      </c>
      <c r="D57" s="189" t="str">
        <f>CONCATENATE('3 pr-2'!D57)</f>
        <v>Paviršinių nuotekų sistemų tvarkymas Alytaus mieste</v>
      </c>
      <c r="E57" s="480" t="str">
        <f>CONCATENATE('3 pr-2'!E57)</f>
        <v>UAB “Dzūkijos vandenys“</v>
      </c>
      <c r="F57" s="480" t="str">
        <f>CONCATENATE('3 pr-2'!F57)</f>
        <v>Lietuvos Respublikos aplinkos ministerija</v>
      </c>
      <c r="G57" s="480" t="str">
        <f>CONCATENATE('3 pr-2'!G57)</f>
        <v>Alytaus  miestas</v>
      </c>
      <c r="H57" s="480" t="str">
        <f>CONCATENATE('3 pr-2'!H57)</f>
        <v>05.1.1-APVA-R-007</v>
      </c>
      <c r="I57" s="480" t="str">
        <f>CONCATENATE('3 pr-2'!I57)</f>
        <v>R</v>
      </c>
      <c r="J57" s="480" t="str">
        <f>CONCATENATE('3 pr-2'!J57)</f>
        <v>-</v>
      </c>
      <c r="K57" s="480" t="str">
        <f>CONCATENATE('3 pr-2'!K57)</f>
        <v xml:space="preserve"> -</v>
      </c>
      <c r="L57" s="502" t="s">
        <v>508</v>
      </c>
      <c r="M57" s="881" t="s">
        <v>509</v>
      </c>
      <c r="N57" s="505"/>
      <c r="O57" s="505"/>
      <c r="P57" s="505"/>
      <c r="Q57" s="505"/>
      <c r="R57" s="505"/>
      <c r="S57" s="505"/>
      <c r="T57" s="505"/>
      <c r="U57" s="1328">
        <f t="shared" si="187"/>
        <v>0</v>
      </c>
      <c r="V57" s="502">
        <v>262.58999999999997</v>
      </c>
      <c r="W57" s="1341"/>
      <c r="X57" s="502"/>
      <c r="Y57" s="518">
        <f>IF(YEAR('3 pr-2'!$AJ57)=2017,$V57,0)</f>
        <v>0</v>
      </c>
      <c r="Z57" s="518">
        <f>IF(YEAR('3 pr-2'!$AJ57)=2018,$V57,0)</f>
        <v>0</v>
      </c>
      <c r="AA57" s="518">
        <f>IF(YEAR('3 pr-2'!$AJ57)=2019,$V57,0)</f>
        <v>0</v>
      </c>
      <c r="AB57" s="518">
        <f>IF(YEAR('3 pr-2'!$AJ57)=2020,$V57,0)</f>
        <v>262.58999999999997</v>
      </c>
      <c r="AC57" s="518">
        <f>IF(YEAR('3 pr-2'!$AJ57)=2021,$V57,0)</f>
        <v>0</v>
      </c>
      <c r="AD57" s="518">
        <f>IF(YEAR('3 pr-2'!$AJ57)=2022,$V57,0)</f>
        <v>0</v>
      </c>
      <c r="AE57" s="518">
        <f>IF(YEAR('3 pr-2'!$AJ57)=2023,$V57,0)</f>
        <v>0</v>
      </c>
      <c r="AF57" s="503" t="s">
        <v>510</v>
      </c>
      <c r="AG57" s="881" t="s">
        <v>511</v>
      </c>
      <c r="AH57" s="505">
        <v>0.54</v>
      </c>
      <c r="AI57" s="505"/>
      <c r="AJ57" s="505"/>
      <c r="AK57" s="505"/>
      <c r="AL57" s="505"/>
      <c r="AM57" s="505"/>
      <c r="AN57" s="505"/>
      <c r="AO57" s="1299">
        <f t="shared" si="126"/>
        <v>0.54</v>
      </c>
      <c r="AP57" s="502">
        <v>26</v>
      </c>
      <c r="AQ57" s="1342"/>
      <c r="AR57" s="502"/>
      <c r="AS57" s="518">
        <f>IF(YEAR('3 pr-2'!$AJ57)=2017,$AP57,0)</f>
        <v>0</v>
      </c>
      <c r="AT57" s="518">
        <f>IF(YEAR('3 pr-2'!$AJ57)=2018,$AP57,0)</f>
        <v>0</v>
      </c>
      <c r="AU57" s="518">
        <f>IF(YEAR('3 pr-2'!$AJ57)=2019,$AP57,0)</f>
        <v>0</v>
      </c>
      <c r="AV57" s="518">
        <f>IF(YEAR('3 pr-2'!$AJ57)=2020,$AP57,0)</f>
        <v>26</v>
      </c>
      <c r="AW57" s="518">
        <f>IF(YEAR('3 pr-2'!$AJ57)=2021,$AP57,0)</f>
        <v>0</v>
      </c>
      <c r="AX57" s="518">
        <f>IF(YEAR('3 pr-2'!$AJ57)=2022,$AP57,0)</f>
        <v>0</v>
      </c>
      <c r="AY57" s="518">
        <f>IF(YEAR('3 pr-2'!$AJ57)=2023,$AP57,0)</f>
        <v>0</v>
      </c>
      <c r="AZ57" s="502"/>
      <c r="BA57" s="880"/>
      <c r="BB57" s="505"/>
      <c r="BC57" s="505"/>
      <c r="BD57" s="505"/>
      <c r="BE57" s="505"/>
      <c r="BF57" s="505"/>
      <c r="BG57" s="505"/>
      <c r="BH57" s="505"/>
      <c r="BI57" s="1299">
        <f>SUM(BB57:BH57)</f>
        <v>0</v>
      </c>
      <c r="BJ57" s="502"/>
      <c r="BK57" s="1342"/>
      <c r="BL57" s="502"/>
      <c r="BM57" s="518">
        <f>IF(YEAR('3 pr-2'!AJ57)=2017,BJ57,0)</f>
        <v>0</v>
      </c>
      <c r="BN57" s="518">
        <f>IF(YEAR('3 pr-2'!AJ57)=2018,BJ57,0)</f>
        <v>0</v>
      </c>
      <c r="BO57" s="518">
        <f>IF(YEAR('3 pr-2'!AJ57)=2019,BJ57,0)</f>
        <v>0</v>
      </c>
      <c r="BP57" s="518">
        <f>IF(YEAR('3 pr-2'!AJ57)=2020,BJ57,0)</f>
        <v>0</v>
      </c>
      <c r="BQ57" s="518">
        <f>IF(YEAR('3 pr-2'!AJ57)=2021,BJ57,0)</f>
        <v>0</v>
      </c>
      <c r="BR57" s="518">
        <f>IF(YEAR('3 pr-2'!AJ57)=2022,BJ57,0)</f>
        <v>0</v>
      </c>
      <c r="BS57" s="518">
        <f>IF(YEAR('3 pr-2'!AJ57)=2023,BJ57,0)</f>
        <v>0</v>
      </c>
      <c r="BT57" s="503"/>
      <c r="BU57" s="881"/>
      <c r="BV57" s="505"/>
      <c r="BW57" s="505"/>
      <c r="BX57" s="505"/>
      <c r="BY57" s="505"/>
      <c r="BZ57" s="505"/>
      <c r="CA57" s="505"/>
      <c r="CB57" s="505"/>
      <c r="CC57" s="1299">
        <f t="shared" si="128"/>
        <v>0</v>
      </c>
      <c r="CD57" s="502"/>
      <c r="CE57" s="502"/>
      <c r="CF57" s="502"/>
      <c r="CG57" s="518">
        <f>IF(YEAR('3 pr-2'!$AJ57)=2017,$CD57,0)</f>
        <v>0</v>
      </c>
      <c r="CH57" s="518">
        <f>IF(YEAR('3 pr-2'!$AJ57)=2018,$CD57,0)</f>
        <v>0</v>
      </c>
      <c r="CI57" s="518">
        <f>IF(YEAR('3 pr-2'!$AJ57)=2019,$CD57,0)</f>
        <v>0</v>
      </c>
      <c r="CJ57" s="518">
        <f>IF(YEAR('3 pr-2'!$AJ57)=2020,$CD57,0)</f>
        <v>0</v>
      </c>
      <c r="CK57" s="518">
        <f>IF(YEAR('3 pr-2'!$AJ57)=2021,$CD57,0)</f>
        <v>0</v>
      </c>
      <c r="CL57" s="518">
        <f>IF(YEAR('3 pr-2'!$AJ57)=2022,$CD57,0)</f>
        <v>0</v>
      </c>
      <c r="CM57" s="518">
        <f>IF(YEAR('3 pr-2'!$AJ57)=2023,$CD57,0)</f>
        <v>0</v>
      </c>
      <c r="CN57" s="503"/>
      <c r="CO57" s="882"/>
      <c r="CP57" s="1287"/>
      <c r="CQ57" s="505"/>
      <c r="CR57" s="505"/>
      <c r="CS57" s="505"/>
      <c r="CT57" s="505"/>
      <c r="CU57" s="505"/>
      <c r="CV57" s="505"/>
      <c r="CW57" s="1299">
        <f t="shared" si="129"/>
        <v>0</v>
      </c>
      <c r="CX57" s="504"/>
      <c r="CY57" s="504"/>
      <c r="CZ57" s="504"/>
      <c r="DA57" s="1332">
        <f>IF(YEAR('3 pr-2'!AJ57)=2017,CX57,0)</f>
        <v>0</v>
      </c>
      <c r="DB57" s="1332">
        <f>IF(YEAR('3 pr-2'!AJ57)=2018,CX57,0)</f>
        <v>0</v>
      </c>
      <c r="DC57" s="1332">
        <f>IF(YEAR('3 pr-2'!AJ57)=2019,CX57,0)</f>
        <v>0</v>
      </c>
      <c r="DD57" s="1332">
        <f>IF(YEAR('3 pr-2'!AJ57)=2020,CX57,0)</f>
        <v>0</v>
      </c>
      <c r="DE57" s="1332">
        <f>IF(YEAR('3 pr-2'!AJ57)=2021,CX57,0)</f>
        <v>0</v>
      </c>
      <c r="DF57" s="1332">
        <f>IF(YEAR('3 pr-2'!AJ57)=2022,CX57,0)</f>
        <v>0</v>
      </c>
      <c r="DG57" s="1332">
        <f>IF(YEAR('3 pr-2'!AJ57)=2023,CX57,0)</f>
        <v>0</v>
      </c>
    </row>
    <row r="58" spans="1:111" ht="22.5" customHeight="1" thickBot="1" x14ac:dyDescent="0.3">
      <c r="A58" s="1257" t="str">
        <f>CONCATENATE('3 pr-2'!A58)</f>
        <v>1.1.1.7</v>
      </c>
      <c r="B58" s="1687" t="str">
        <f>CONCATENATE('3 pr-2'!B58)</f>
        <v/>
      </c>
      <c r="C58" s="1688"/>
      <c r="D58" s="1688"/>
      <c r="E58" s="1688"/>
      <c r="F58" s="1688"/>
      <c r="G58" s="1688"/>
      <c r="H58" s="1688"/>
      <c r="I58" s="1688"/>
      <c r="J58" s="1688"/>
      <c r="K58" s="1689"/>
      <c r="L58" s="526" t="s">
        <v>512</v>
      </c>
      <c r="M58" s="1501" t="s">
        <v>513</v>
      </c>
      <c r="N58" s="1498">
        <f>SUM(N59:N61)</f>
        <v>0</v>
      </c>
      <c r="O58" s="1498">
        <f t="shared" ref="O58:T58" si="220">SUM(O59:O61)</f>
        <v>0</v>
      </c>
      <c r="P58" s="1498">
        <f t="shared" si="220"/>
        <v>0</v>
      </c>
      <c r="Q58" s="1498">
        <f t="shared" si="220"/>
        <v>0</v>
      </c>
      <c r="R58" s="1498">
        <f t="shared" si="220"/>
        <v>0</v>
      </c>
      <c r="S58" s="1498">
        <f t="shared" si="220"/>
        <v>0</v>
      </c>
      <c r="T58" s="1498">
        <f t="shared" si="220"/>
        <v>0</v>
      </c>
      <c r="U58" s="1502">
        <f t="shared" ref="U58:U61" si="221">SUM(N58:T58)</f>
        <v>0</v>
      </c>
      <c r="V58" s="501">
        <f>SUM(V59:V61)</f>
        <v>633</v>
      </c>
      <c r="W58" s="1503"/>
      <c r="X58" s="1504"/>
      <c r="Y58" s="1498">
        <f t="shared" ref="Y58:AE58" si="222">SUM(Y59:Y61)</f>
        <v>0</v>
      </c>
      <c r="Z58" s="1498">
        <f t="shared" si="222"/>
        <v>0</v>
      </c>
      <c r="AA58" s="1498">
        <f t="shared" si="222"/>
        <v>595</v>
      </c>
      <c r="AB58" s="1498">
        <f t="shared" si="222"/>
        <v>38</v>
      </c>
      <c r="AC58" s="1498">
        <f t="shared" si="222"/>
        <v>0</v>
      </c>
      <c r="AD58" s="1498">
        <f t="shared" si="222"/>
        <v>0</v>
      </c>
      <c r="AE58" s="1498">
        <f t="shared" si="222"/>
        <v>0</v>
      </c>
      <c r="AF58" s="1504"/>
      <c r="AG58" s="1495"/>
      <c r="AH58" s="1498">
        <f>SUM(AH59:AH61)</f>
        <v>0</v>
      </c>
      <c r="AI58" s="1498">
        <f t="shared" ref="AI58" si="223">SUM(AI59:AI61)</f>
        <v>0</v>
      </c>
      <c r="AJ58" s="1498">
        <f t="shared" ref="AJ58" si="224">SUM(AJ59:AJ61)</f>
        <v>0</v>
      </c>
      <c r="AK58" s="1498">
        <f t="shared" ref="AK58" si="225">SUM(AK59:AK61)</f>
        <v>0</v>
      </c>
      <c r="AL58" s="1498">
        <f t="shared" ref="AL58" si="226">SUM(AL59:AL61)</f>
        <v>0</v>
      </c>
      <c r="AM58" s="1498">
        <f t="shared" ref="AM58" si="227">SUM(AM59:AM61)</f>
        <v>0</v>
      </c>
      <c r="AN58" s="1498">
        <f t="shared" ref="AN58" si="228">SUM(AN59:AN61)</f>
        <v>0</v>
      </c>
      <c r="AO58" s="501">
        <f t="shared" si="126"/>
        <v>0</v>
      </c>
      <c r="AP58" s="501"/>
      <c r="AQ58" s="1498"/>
      <c r="AR58" s="1498"/>
      <c r="AS58" s="1498"/>
      <c r="AT58" s="1498"/>
      <c r="AU58" s="1498"/>
      <c r="AV58" s="1498"/>
      <c r="AW58" s="1498"/>
      <c r="AX58" s="1498"/>
      <c r="AY58" s="1498"/>
      <c r="AZ58" s="501"/>
      <c r="BA58" s="1495"/>
      <c r="BB58" s="1498">
        <f>SUM(BB59:BB61)</f>
        <v>0</v>
      </c>
      <c r="BC58" s="1498">
        <f t="shared" ref="BC58" si="229">SUM(BC59:BC61)</f>
        <v>0</v>
      </c>
      <c r="BD58" s="1498">
        <f t="shared" ref="BD58" si="230">SUM(BD59:BD61)</f>
        <v>0</v>
      </c>
      <c r="BE58" s="1498">
        <f t="shared" ref="BE58" si="231">SUM(BE59:BE61)</f>
        <v>0</v>
      </c>
      <c r="BF58" s="1498">
        <f t="shared" ref="BF58" si="232">SUM(BF59:BF61)</f>
        <v>0</v>
      </c>
      <c r="BG58" s="1498">
        <f t="shared" ref="BG58" si="233">SUM(BG59:BG61)</f>
        <v>0</v>
      </c>
      <c r="BH58" s="1498">
        <f t="shared" ref="BH58" si="234">SUM(BH59:BH61)</f>
        <v>0</v>
      </c>
      <c r="BI58" s="501">
        <f t="shared" si="152"/>
        <v>0</v>
      </c>
      <c r="BJ58" s="501"/>
      <c r="BK58" s="1498"/>
      <c r="BL58" s="1498"/>
      <c r="BM58" s="1498"/>
      <c r="BN58" s="1498"/>
      <c r="BO58" s="1498"/>
      <c r="BP58" s="1498"/>
      <c r="BQ58" s="1498"/>
      <c r="BR58" s="1498"/>
      <c r="BS58" s="1498"/>
      <c r="BT58" s="1498"/>
      <c r="BU58" s="1497"/>
      <c r="BV58" s="1498">
        <f>SUM(BV59:BV61)</f>
        <v>0</v>
      </c>
      <c r="BW58" s="1498">
        <f t="shared" ref="BW58" si="235">SUM(BW59:BW61)</f>
        <v>0</v>
      </c>
      <c r="BX58" s="1498">
        <f t="shared" ref="BX58" si="236">SUM(BX59:BX61)</f>
        <v>0</v>
      </c>
      <c r="BY58" s="1498">
        <f t="shared" ref="BY58" si="237">SUM(BY59:BY61)</f>
        <v>0</v>
      </c>
      <c r="BZ58" s="1498">
        <f t="shared" ref="BZ58" si="238">SUM(BZ59:BZ61)</f>
        <v>0</v>
      </c>
      <c r="CA58" s="1498">
        <f t="shared" ref="CA58" si="239">SUM(CA59:CA61)</f>
        <v>0</v>
      </c>
      <c r="CB58" s="1498">
        <f t="shared" ref="CB58" si="240">SUM(CB59:CB61)</f>
        <v>0</v>
      </c>
      <c r="CC58" s="501">
        <f t="shared" si="128"/>
        <v>0</v>
      </c>
      <c r="CD58" s="1498"/>
      <c r="CE58" s="1498"/>
      <c r="CF58" s="1498"/>
      <c r="CG58" s="1498"/>
      <c r="CH58" s="1498"/>
      <c r="CI58" s="1498"/>
      <c r="CJ58" s="1498"/>
      <c r="CK58" s="1498"/>
      <c r="CL58" s="1498"/>
      <c r="CM58" s="1498"/>
      <c r="CN58" s="1502"/>
      <c r="CO58" s="1497"/>
      <c r="CP58" s="1505">
        <f>SUM(CP59:CP61)</f>
        <v>0</v>
      </c>
      <c r="CQ58" s="1498">
        <f t="shared" ref="CQ58" si="241">SUM(CQ59:CQ61)</f>
        <v>0</v>
      </c>
      <c r="CR58" s="1498">
        <f t="shared" ref="CR58" si="242">SUM(CR59:CR61)</f>
        <v>0</v>
      </c>
      <c r="CS58" s="1498">
        <f t="shared" ref="CS58" si="243">SUM(CS59:CS61)</f>
        <v>0</v>
      </c>
      <c r="CT58" s="1498">
        <f t="shared" ref="CT58" si="244">SUM(CT59:CT61)</f>
        <v>0</v>
      </c>
      <c r="CU58" s="1498">
        <f t="shared" ref="CU58" si="245">SUM(CU59:CU61)</f>
        <v>0</v>
      </c>
      <c r="CV58" s="1498">
        <f t="shared" ref="CV58" si="246">SUM(CV59:CV61)</f>
        <v>0</v>
      </c>
      <c r="CW58" s="501">
        <f t="shared" si="129"/>
        <v>0</v>
      </c>
      <c r="CX58" s="1498"/>
      <c r="CY58" s="1496"/>
      <c r="CZ58" s="1496"/>
      <c r="DA58" s="1496"/>
      <c r="DB58" s="1496"/>
      <c r="DC58" s="1496"/>
      <c r="DD58" s="1496"/>
      <c r="DE58" s="1496"/>
      <c r="DF58" s="1496"/>
      <c r="DG58" s="1496"/>
    </row>
    <row r="59" spans="1:111" ht="37.5" thickTop="1" thickBot="1" x14ac:dyDescent="0.3">
      <c r="A59" s="518" t="str">
        <f>CONCATENATE('3 pr-2'!A59)</f>
        <v>1.1.1.7.1</v>
      </c>
      <c r="B59" s="518" t="str">
        <f>CONCATENATE('3 pr-2'!B59)</f>
        <v>R01-8821-420000-1171</v>
      </c>
      <c r="C59" s="1449" t="str">
        <f>CONCATENATE('ketv. 2lent'!B58)</f>
        <v>05.4.1-LVPA-R-821-11-0002</v>
      </c>
      <c r="D59" s="189" t="str">
        <f>CONCATENATE('3 pr-2'!D59)</f>
        <v>Alytaus regiono turizmo informacinės infrastruktūros plėtra</v>
      </c>
      <c r="E59" s="480" t="str">
        <f>CONCATENATE('3 pr-2'!E59)</f>
        <v>Alytaus miesto savivaldybės administracija</v>
      </c>
      <c r="F59" s="480" t="str">
        <f>CONCATENATE('3 pr-2'!F59)</f>
        <v>Lietuvos Respublikos ūkio ministerija</v>
      </c>
      <c r="G59" s="480" t="str">
        <f>CONCATENATE('3 pr-2'!G59)</f>
        <v>Alytaus regionas</v>
      </c>
      <c r="H59" s="518" t="str">
        <f>CONCATENATE('3 pr-2'!H59)</f>
        <v>05.4.1-LVPA-R-821</v>
      </c>
      <c r="I59" s="518" t="str">
        <f>CONCATENATE('3 pr-2'!I59)</f>
        <v>R</v>
      </c>
      <c r="J59" s="518" t="str">
        <f>CONCATENATE('3 pr-2'!J59)</f>
        <v>-</v>
      </c>
      <c r="K59" s="518" t="str">
        <f>CONCATENATE('3 pr-2'!K59)</f>
        <v>-</v>
      </c>
      <c r="L59" s="518" t="s">
        <v>512</v>
      </c>
      <c r="M59" s="881" t="s">
        <v>513</v>
      </c>
      <c r="N59" s="518"/>
      <c r="O59" s="518"/>
      <c r="P59" s="518"/>
      <c r="Q59" s="518"/>
      <c r="R59" s="518"/>
      <c r="S59" s="518"/>
      <c r="T59" s="518"/>
      <c r="U59" s="1335">
        <f t="shared" si="221"/>
        <v>0</v>
      </c>
      <c r="V59" s="518">
        <v>294</v>
      </c>
      <c r="W59" s="1336" t="str">
        <f>IF('ketv. 6 lent'!K58&gt;0,"294",0)</f>
        <v>294</v>
      </c>
      <c r="X59" s="518">
        <f>SUM(W59-V59)</f>
        <v>0</v>
      </c>
      <c r="Y59" s="518">
        <f>IF(YEAR('3 pr-2'!$AJ59)=2017,$V59,0)</f>
        <v>0</v>
      </c>
      <c r="Z59" s="518">
        <f>IF(YEAR('3 pr-2'!$AJ59)=2018,$V59,0)</f>
        <v>0</v>
      </c>
      <c r="AA59" s="518">
        <f>IF(YEAR('3 pr-2'!$AJ59)=2019,$V59,0)</f>
        <v>294</v>
      </c>
      <c r="AB59" s="518">
        <f>IF(YEAR('3 pr-2'!$AJ59)=2020,$V59,0)</f>
        <v>0</v>
      </c>
      <c r="AC59" s="518">
        <f>IF(YEAR('3 pr-2'!$AJ59)=2021,$V59,0)</f>
        <v>0</v>
      </c>
      <c r="AD59" s="518">
        <f>IF(YEAR('3 pr-2'!$AJ59)=2022,$V59,0)</f>
        <v>0</v>
      </c>
      <c r="AE59" s="518">
        <f>IF(YEAR('3 pr-2'!$AJ59)=2023,$V59,0)</f>
        <v>0</v>
      </c>
      <c r="AF59" s="523"/>
      <c r="AG59" s="881"/>
      <c r="AH59" s="518"/>
      <c r="AI59" s="518"/>
      <c r="AJ59" s="518"/>
      <c r="AK59" s="518"/>
      <c r="AL59" s="518"/>
      <c r="AM59" s="518"/>
      <c r="AN59" s="518"/>
      <c r="AO59" s="1337">
        <f t="shared" si="126"/>
        <v>0</v>
      </c>
      <c r="AP59" s="518"/>
      <c r="AQ59" s="1338"/>
      <c r="AR59" s="518"/>
      <c r="AS59" s="518">
        <f>IF(YEAR('3 pr-2'!$AJ59)=2017,$AP59,0)</f>
        <v>0</v>
      </c>
      <c r="AT59" s="518">
        <f>IF(YEAR('3 pr-2'!$AJ59)=2018,$AP59,0)</f>
        <v>0</v>
      </c>
      <c r="AU59" s="518">
        <f>IF(YEAR('3 pr-2'!$AJ59)=2019,$AP59,0)</f>
        <v>0</v>
      </c>
      <c r="AV59" s="518">
        <f>IF(YEAR('3 pr-2'!$AJ59)=2020,$AP59,0)</f>
        <v>0</v>
      </c>
      <c r="AW59" s="518">
        <f>IF(YEAR('3 pr-2'!$AJ59)=2021,$AP59,0)</f>
        <v>0</v>
      </c>
      <c r="AX59" s="518">
        <f>IF(YEAR('3 pr-2'!$AJ59)=2022,$AP59,0)</f>
        <v>0</v>
      </c>
      <c r="AY59" s="518">
        <f>IF(YEAR('3 pr-2'!$AJ59)=2023,$AP59,0)</f>
        <v>0</v>
      </c>
      <c r="AZ59" s="518"/>
      <c r="BA59" s="880"/>
      <c r="BB59" s="518"/>
      <c r="BC59" s="518"/>
      <c r="BD59" s="518"/>
      <c r="BE59" s="518"/>
      <c r="BF59" s="518"/>
      <c r="BG59" s="518"/>
      <c r="BH59" s="518"/>
      <c r="BI59" s="1337">
        <f t="shared" si="152"/>
        <v>0</v>
      </c>
      <c r="BJ59" s="518"/>
      <c r="BK59" s="1338"/>
      <c r="BL59" s="518"/>
      <c r="BM59" s="518">
        <f>IF(YEAR('3 pr-2'!AJ59)=2017,BJ59,0)</f>
        <v>0</v>
      </c>
      <c r="BN59" s="518">
        <f>IF(YEAR('3 pr-2'!AJ59)=2018,BJ59,0)</f>
        <v>0</v>
      </c>
      <c r="BO59" s="518">
        <f>IF(YEAR('3 pr-2'!AJ59)=2019,BJ59,0)</f>
        <v>0</v>
      </c>
      <c r="BP59" s="518">
        <f>IF(YEAR('3 pr-2'!AJ59)=2020,BJ59,0)</f>
        <v>0</v>
      </c>
      <c r="BQ59" s="518">
        <f>IF(YEAR('3 pr-2'!AJ59)=2021,BJ59,0)</f>
        <v>0</v>
      </c>
      <c r="BR59" s="518">
        <f>IF(YEAR('3 pr-2'!AJ59)=2022,BJ59,0)</f>
        <v>0</v>
      </c>
      <c r="BS59" s="518">
        <f>IF(YEAR('3 pr-2'!AJ59)=2023,BJ59,0)</f>
        <v>0</v>
      </c>
      <c r="BT59" s="523"/>
      <c r="BU59" s="881"/>
      <c r="BV59" s="518"/>
      <c r="BW59" s="518"/>
      <c r="BX59" s="518"/>
      <c r="BY59" s="518"/>
      <c r="BZ59" s="518"/>
      <c r="CA59" s="518"/>
      <c r="CB59" s="518"/>
      <c r="CC59" s="1337">
        <f t="shared" si="128"/>
        <v>0</v>
      </c>
      <c r="CD59" s="518"/>
      <c r="CE59" s="518"/>
      <c r="CF59" s="518"/>
      <c r="CG59" s="518">
        <f>IF(YEAR('3 pr-2'!$AJ59)=2017,$CD59,0)</f>
        <v>0</v>
      </c>
      <c r="CH59" s="518">
        <f>IF(YEAR('3 pr-2'!$AJ59)=2018,$CD59,0)</f>
        <v>0</v>
      </c>
      <c r="CI59" s="518">
        <f>IF(YEAR('3 pr-2'!$AJ59)=2019,$CD59,0)</f>
        <v>0</v>
      </c>
      <c r="CJ59" s="518">
        <f>IF(YEAR('3 pr-2'!$AJ59)=2020,$CD59,0)</f>
        <v>0</v>
      </c>
      <c r="CK59" s="518">
        <f>IF(YEAR('3 pr-2'!$AJ59)=2021,$CD59,0)</f>
        <v>0</v>
      </c>
      <c r="CL59" s="518">
        <f>IF(YEAR('3 pr-2'!$AJ59)=2022,$CD59,0)</f>
        <v>0</v>
      </c>
      <c r="CM59" s="518">
        <f>IF(YEAR('3 pr-2'!$AJ59)=2023,$CD59,0)</f>
        <v>0</v>
      </c>
      <c r="CN59" s="523"/>
      <c r="CO59" s="882"/>
      <c r="CP59" s="524"/>
      <c r="CQ59" s="518"/>
      <c r="CR59" s="518"/>
      <c r="CS59" s="518"/>
      <c r="CT59" s="518"/>
      <c r="CU59" s="518"/>
      <c r="CV59" s="518"/>
      <c r="CW59" s="1337">
        <f t="shared" si="129"/>
        <v>0</v>
      </c>
      <c r="CX59" s="524"/>
      <c r="CY59" s="504"/>
      <c r="CZ59" s="504"/>
      <c r="DA59" s="1332">
        <f>IF(YEAR('3 pr-2'!AJ59)=2017,CX59,0)</f>
        <v>0</v>
      </c>
      <c r="DB59" s="1332">
        <f>IF(YEAR('3 pr-2'!AJ59)=2018,CX59,0)</f>
        <v>0</v>
      </c>
      <c r="DC59" s="1332">
        <f>IF(YEAR('3 pr-2'!AJ59)=2019,CX59,0)</f>
        <v>0</v>
      </c>
      <c r="DD59" s="1332">
        <f>IF(YEAR('3 pr-2'!AJ59)=2020,CX59,0)</f>
        <v>0</v>
      </c>
      <c r="DE59" s="1332">
        <f>IF(YEAR('3 pr-2'!AJ59)=2021,CX59,0)</f>
        <v>0</v>
      </c>
      <c r="DF59" s="1332">
        <f>IF(YEAR('3 pr-2'!AJ59)=2022,CX59,0)</f>
        <v>0</v>
      </c>
      <c r="DG59" s="1332">
        <f>IF(YEAR('3 pr-2'!AJ59)=2023,CX59,0)</f>
        <v>0</v>
      </c>
    </row>
    <row r="60" spans="1:111" ht="73.5" thickTop="1" thickBot="1" x14ac:dyDescent="0.3">
      <c r="A60" s="518" t="str">
        <f>CONCATENATE('3 pr-2'!A60)</f>
        <v>1.1.1.7.2</v>
      </c>
      <c r="B60" s="518" t="str">
        <f>CONCATENATE('3 pr-2'!B60)</f>
        <v>R01-8821-420000-1172</v>
      </c>
      <c r="C60" s="1449" t="str">
        <f>CONCATENATE('ketv. 2lent'!B59)</f>
        <v>05.4.1-LVPA-R-821-11-0001</v>
      </c>
      <c r="D60" s="189" t="str">
        <f>CONCATENATE('3 pr-2'!D60)</f>
        <v>„Turizmo trasų ir maršrutų informacinės infrastruktūros plėtra  Lazdijų, Varėnos rajonų ir Druskininkų savivaldybėse“</v>
      </c>
      <c r="E60" s="480" t="str">
        <f>CONCATENATE('3 pr-2'!E60)</f>
        <v>Lazdijų rajono savivaldybės administracija</v>
      </c>
      <c r="F60" s="480" t="str">
        <f>CONCATENATE('3 pr-2'!F60)</f>
        <v>Lietuvos Respublikos ūkio ministerija</v>
      </c>
      <c r="G60" s="480" t="str">
        <f>CONCATENATE('3 pr-2'!G60)</f>
        <v xml:space="preserve">Lazdijų, Varėnos rajonų ir Druskininkų savivaldybės </v>
      </c>
      <c r="H60" s="518" t="str">
        <f>CONCATENATE('3 pr-2'!H60)</f>
        <v>05.4.1-LVPA-R-821</v>
      </c>
      <c r="I60" s="518" t="str">
        <f>CONCATENATE('3 pr-2'!I60)</f>
        <v>R</v>
      </c>
      <c r="J60" s="518" t="str">
        <f>CONCATENATE('3 pr-2'!J60)</f>
        <v>-</v>
      </c>
      <c r="K60" s="518" t="str">
        <f>CONCATENATE('3 pr-2'!K60)</f>
        <v>-</v>
      </c>
      <c r="L60" s="518" t="s">
        <v>512</v>
      </c>
      <c r="M60" s="881" t="s">
        <v>513</v>
      </c>
      <c r="N60" s="518"/>
      <c r="O60" s="518"/>
      <c r="P60" s="518"/>
      <c r="Q60" s="518"/>
      <c r="R60" s="518"/>
      <c r="S60" s="518"/>
      <c r="T60" s="518"/>
      <c r="U60" s="1335">
        <f t="shared" si="221"/>
        <v>0</v>
      </c>
      <c r="V60" s="518">
        <v>301</v>
      </c>
      <c r="W60" s="1336" t="str">
        <f>IF('ketv. 6 lent'!K59&gt;0,"301",0)</f>
        <v>301</v>
      </c>
      <c r="X60" s="518">
        <f>SUM(W60-V60)</f>
        <v>0</v>
      </c>
      <c r="Y60" s="518">
        <f>IF(YEAR('3 pr-2'!$AJ60)=2017,$V60,0)</f>
        <v>0</v>
      </c>
      <c r="Z60" s="518">
        <f>IF(YEAR('3 pr-2'!$AJ60)=2018,$V60,0)</f>
        <v>0</v>
      </c>
      <c r="AA60" s="518">
        <f>IF(YEAR('3 pr-2'!$AJ60)=2019,$V60,0)</f>
        <v>301</v>
      </c>
      <c r="AB60" s="518">
        <f>IF(YEAR('3 pr-2'!$AJ60)=2020,$V60,0)</f>
        <v>0</v>
      </c>
      <c r="AC60" s="518">
        <f>IF(YEAR('3 pr-2'!$AJ60)=2021,$V60,0)</f>
        <v>0</v>
      </c>
      <c r="AD60" s="518">
        <f>IF(YEAR('3 pr-2'!$AJ60)=2022,$V60,0)</f>
        <v>0</v>
      </c>
      <c r="AE60" s="518">
        <f>IF(YEAR('3 pr-2'!$AJ60)=2023,$V60,0)</f>
        <v>0</v>
      </c>
      <c r="AF60" s="523"/>
      <c r="AG60" s="881"/>
      <c r="AH60" s="518"/>
      <c r="AI60" s="518"/>
      <c r="AJ60" s="518"/>
      <c r="AK60" s="518"/>
      <c r="AL60" s="518"/>
      <c r="AM60" s="518"/>
      <c r="AN60" s="518"/>
      <c r="AO60" s="1337">
        <f t="shared" si="126"/>
        <v>0</v>
      </c>
      <c r="AP60" s="518"/>
      <c r="AQ60" s="1338"/>
      <c r="AR60" s="518"/>
      <c r="AS60" s="518">
        <f>IF(YEAR('3 pr-2'!$AJ60)=2017,$AP60,0)</f>
        <v>0</v>
      </c>
      <c r="AT60" s="518">
        <f>IF(YEAR('3 pr-2'!$AJ60)=2018,$AP60,0)</f>
        <v>0</v>
      </c>
      <c r="AU60" s="518">
        <f>IF(YEAR('3 pr-2'!$AJ60)=2019,$AP60,0)</f>
        <v>0</v>
      </c>
      <c r="AV60" s="518">
        <f>IF(YEAR('3 pr-2'!$AJ60)=2020,$AP60,0)</f>
        <v>0</v>
      </c>
      <c r="AW60" s="518">
        <f>IF(YEAR('3 pr-2'!$AJ60)=2021,$AP60,0)</f>
        <v>0</v>
      </c>
      <c r="AX60" s="518">
        <f>IF(YEAR('3 pr-2'!$AJ60)=2022,$AP60,0)</f>
        <v>0</v>
      </c>
      <c r="AY60" s="518">
        <f>IF(YEAR('3 pr-2'!$AJ60)=2023,$AP60,0)</f>
        <v>0</v>
      </c>
      <c r="AZ60" s="518"/>
      <c r="BA60" s="880"/>
      <c r="BB60" s="518"/>
      <c r="BC60" s="518"/>
      <c r="BD60" s="518"/>
      <c r="BE60" s="518"/>
      <c r="BF60" s="518"/>
      <c r="BG60" s="518"/>
      <c r="BH60" s="518"/>
      <c r="BI60" s="1337">
        <f t="shared" si="152"/>
        <v>0</v>
      </c>
      <c r="BJ60" s="518"/>
      <c r="BK60" s="1338"/>
      <c r="BL60" s="518"/>
      <c r="BM60" s="518">
        <f>IF(YEAR('3 pr-2'!AJ60)=2017,BJ60,0)</f>
        <v>0</v>
      </c>
      <c r="BN60" s="518">
        <f>IF(YEAR('3 pr-2'!AJ60)=2018,BJ60,0)</f>
        <v>0</v>
      </c>
      <c r="BO60" s="518">
        <f>IF(YEAR('3 pr-2'!AJ60)=2019,BJ60,0)</f>
        <v>0</v>
      </c>
      <c r="BP60" s="518">
        <f>IF(YEAR('3 pr-2'!AJ60)=2020,BJ60,0)</f>
        <v>0</v>
      </c>
      <c r="BQ60" s="518">
        <f>IF(YEAR('3 pr-2'!AJ60)=2021,BJ60,0)</f>
        <v>0</v>
      </c>
      <c r="BR60" s="518">
        <f>IF(YEAR('3 pr-2'!AJ60)=2022,BJ60,0)</f>
        <v>0</v>
      </c>
      <c r="BS60" s="518">
        <f>IF(YEAR('3 pr-2'!AJ60)=2023,BJ60,0)</f>
        <v>0</v>
      </c>
      <c r="BT60" s="523"/>
      <c r="BU60" s="881"/>
      <c r="BV60" s="518"/>
      <c r="BW60" s="518"/>
      <c r="BX60" s="518"/>
      <c r="BY60" s="518"/>
      <c r="BZ60" s="518"/>
      <c r="CA60" s="518"/>
      <c r="CB60" s="518"/>
      <c r="CC60" s="1337">
        <f t="shared" si="128"/>
        <v>0</v>
      </c>
      <c r="CD60" s="518"/>
      <c r="CE60" s="518"/>
      <c r="CF60" s="518"/>
      <c r="CG60" s="518">
        <f>IF(YEAR('3 pr-2'!$AJ60)=2017,$CD60,0)</f>
        <v>0</v>
      </c>
      <c r="CH60" s="518">
        <f>IF(YEAR('3 pr-2'!$AJ60)=2018,$CD60,0)</f>
        <v>0</v>
      </c>
      <c r="CI60" s="518">
        <f>IF(YEAR('3 pr-2'!$AJ60)=2019,$CD60,0)</f>
        <v>0</v>
      </c>
      <c r="CJ60" s="518">
        <f>IF(YEAR('3 pr-2'!$AJ60)=2020,$CD60,0)</f>
        <v>0</v>
      </c>
      <c r="CK60" s="518">
        <f>IF(YEAR('3 pr-2'!$AJ60)=2021,$CD60,0)</f>
        <v>0</v>
      </c>
      <c r="CL60" s="518">
        <f>IF(YEAR('3 pr-2'!$AJ60)=2022,$CD60,0)</f>
        <v>0</v>
      </c>
      <c r="CM60" s="518">
        <f>IF(YEAR('3 pr-2'!$AJ60)=2023,$CD60,0)</f>
        <v>0</v>
      </c>
      <c r="CN60" s="523"/>
      <c r="CO60" s="882"/>
      <c r="CP60" s="524"/>
      <c r="CQ60" s="518"/>
      <c r="CR60" s="518"/>
      <c r="CS60" s="518"/>
      <c r="CT60" s="518"/>
      <c r="CU60" s="518"/>
      <c r="CV60" s="518"/>
      <c r="CW60" s="1337">
        <f t="shared" si="129"/>
        <v>0</v>
      </c>
      <c r="CX60" s="524"/>
      <c r="CY60" s="504"/>
      <c r="CZ60" s="504"/>
      <c r="DA60" s="1332">
        <f>IF(YEAR('3 pr-2'!AJ60)=2017,CX60,0)</f>
        <v>0</v>
      </c>
      <c r="DB60" s="1332">
        <f>IF(YEAR('3 pr-2'!AJ60)=2018,CX60,0)</f>
        <v>0</v>
      </c>
      <c r="DC60" s="1332">
        <f>IF(YEAR('3 pr-2'!AJ60)=2019,CX60,0)</f>
        <v>0</v>
      </c>
      <c r="DD60" s="1332">
        <f>IF(YEAR('3 pr-2'!AJ60)=2020,CX60,0)</f>
        <v>0</v>
      </c>
      <c r="DE60" s="1332">
        <f>IF(YEAR('3 pr-2'!AJ60)=2021,CX60,0)</f>
        <v>0</v>
      </c>
      <c r="DF60" s="1332">
        <f>IF(YEAR('3 pr-2'!AJ60)=2022,CX60,0)</f>
        <v>0</v>
      </c>
      <c r="DG60" s="1332">
        <f>IF(YEAR('3 pr-2'!AJ60)=2023,CX60,0)</f>
        <v>0</v>
      </c>
    </row>
    <row r="61" spans="1:111" ht="73.5" thickTop="1" thickBot="1" x14ac:dyDescent="0.3">
      <c r="A61" s="518" t="str">
        <f>CONCATENATE('3 pr-2'!A61)</f>
        <v>1.1.1.7.3</v>
      </c>
      <c r="B61" s="518" t="str">
        <f>CONCATENATE('3 pr-2'!B61)</f>
        <v>R01-8821-420000-1173</v>
      </c>
      <c r="C61" s="1449" t="str">
        <f>CONCATENATE('ketv. 2lent'!B60)</f>
        <v/>
      </c>
      <c r="D61" s="189" t="str">
        <f>CONCATENATE('3 pr-2'!D61)</f>
        <v>„Turizmo trasų ir maršrutų informacinės infrastruktūros plėtra  Lazdijų, Varėnos rajonų ir Druskininkų savivaldybėse II etapas“</v>
      </c>
      <c r="E61" s="480" t="str">
        <f>CONCATENATE('3 pr-2'!E61)</f>
        <v>Lazdijų rajono savivaldybės administracija</v>
      </c>
      <c r="F61" s="480" t="str">
        <f>CONCATENATE('3 pr-2'!F61)</f>
        <v>Lietuvos Respublikos ūkio ministerija</v>
      </c>
      <c r="G61" s="480" t="str">
        <f>CONCATENATE('3 pr-2'!G61)</f>
        <v xml:space="preserve">Lazdijų, Varėnos rajonų ir Druskininkų savivaldybės </v>
      </c>
      <c r="H61" s="518" t="str">
        <f>CONCATENATE('3 pr-2'!H61)</f>
        <v>05.4.1-LVPA-R-821</v>
      </c>
      <c r="I61" s="518" t="str">
        <f>CONCATENATE('3 pr-2'!I61)</f>
        <v>R</v>
      </c>
      <c r="J61" s="518" t="str">
        <f>CONCATENATE('3 pr-2'!J61)</f>
        <v>-</v>
      </c>
      <c r="K61" s="518" t="str">
        <f>CONCATENATE('3 pr-2'!K61)</f>
        <v>-</v>
      </c>
      <c r="L61" s="518" t="s">
        <v>512</v>
      </c>
      <c r="M61" s="881" t="s">
        <v>513</v>
      </c>
      <c r="N61" s="518"/>
      <c r="O61" s="518"/>
      <c r="P61" s="518"/>
      <c r="Q61" s="518"/>
      <c r="R61" s="518"/>
      <c r="S61" s="518"/>
      <c r="T61" s="518"/>
      <c r="U61" s="1335">
        <f t="shared" si="221"/>
        <v>0</v>
      </c>
      <c r="V61" s="518">
        <v>38</v>
      </c>
      <c r="W61" s="1336">
        <f>IF('ketv. 6 lent'!K60&gt;0,"taip",0)</f>
        <v>0</v>
      </c>
      <c r="X61" s="518"/>
      <c r="Y61" s="518">
        <f>IF(YEAR('3 pr-2'!$AJ61)=2017,$V61,0)</f>
        <v>0</v>
      </c>
      <c r="Z61" s="518">
        <f>IF(YEAR('3 pr-2'!$AJ61)=2018,$V61,0)</f>
        <v>0</v>
      </c>
      <c r="AA61" s="518">
        <f>IF(YEAR('3 pr-2'!$AJ61)=2019,$V61,0)</f>
        <v>0</v>
      </c>
      <c r="AB61" s="518">
        <f>IF(YEAR('3 pr-2'!$AJ61)=2020,$V61,0)</f>
        <v>38</v>
      </c>
      <c r="AC61" s="518">
        <f>IF(YEAR('3 pr-2'!$AJ61)=2021,$V61,0)</f>
        <v>0</v>
      </c>
      <c r="AD61" s="518">
        <f>IF(YEAR('3 pr-2'!$AJ61)=2022,$V61,0)</f>
        <v>0</v>
      </c>
      <c r="AE61" s="518">
        <f>IF(YEAR('3 pr-2'!$AJ61)=2023,$V61,0)</f>
        <v>0</v>
      </c>
      <c r="AF61" s="523"/>
      <c r="AG61" s="881"/>
      <c r="AH61" s="518"/>
      <c r="AI61" s="518"/>
      <c r="AJ61" s="518"/>
      <c r="AK61" s="518"/>
      <c r="AL61" s="518"/>
      <c r="AM61" s="518"/>
      <c r="AN61" s="518"/>
      <c r="AO61" s="1337">
        <f t="shared" si="126"/>
        <v>0</v>
      </c>
      <c r="AP61" s="518"/>
      <c r="AQ61" s="1338"/>
      <c r="AR61" s="518"/>
      <c r="AS61" s="518">
        <f>IF(YEAR('3 pr-2'!$AJ61)=2017,$AP61,0)</f>
        <v>0</v>
      </c>
      <c r="AT61" s="518">
        <f>IF(YEAR('3 pr-2'!$AJ61)=2018,$AP61,0)</f>
        <v>0</v>
      </c>
      <c r="AU61" s="518">
        <f>IF(YEAR('3 pr-2'!$AJ61)=2019,$AP61,0)</f>
        <v>0</v>
      </c>
      <c r="AV61" s="518">
        <f>IF(YEAR('3 pr-2'!$AJ61)=2020,$AP61,0)</f>
        <v>0</v>
      </c>
      <c r="AW61" s="518">
        <f>IF(YEAR('3 pr-2'!$AJ61)=2021,$AP61,0)</f>
        <v>0</v>
      </c>
      <c r="AX61" s="518">
        <f>IF(YEAR('3 pr-2'!$AJ61)=2022,$AP61,0)</f>
        <v>0</v>
      </c>
      <c r="AY61" s="518">
        <f>IF(YEAR('3 pr-2'!$AJ61)=2023,$AP61,0)</f>
        <v>0</v>
      </c>
      <c r="AZ61" s="518"/>
      <c r="BA61" s="880"/>
      <c r="BB61" s="518"/>
      <c r="BC61" s="518"/>
      <c r="BD61" s="518"/>
      <c r="BE61" s="518"/>
      <c r="BF61" s="518"/>
      <c r="BG61" s="518"/>
      <c r="BH61" s="518"/>
      <c r="BI61" s="1337">
        <f t="shared" si="152"/>
        <v>0</v>
      </c>
      <c r="BJ61" s="518"/>
      <c r="BK61" s="1338"/>
      <c r="BL61" s="518"/>
      <c r="BM61" s="518">
        <f>IF(YEAR('3 pr-2'!AJ61)=2017,BJ61,0)</f>
        <v>0</v>
      </c>
      <c r="BN61" s="518">
        <f>IF(YEAR('3 pr-2'!AJ61)=2018,BJ61,0)</f>
        <v>0</v>
      </c>
      <c r="BO61" s="518">
        <f>IF(YEAR('3 pr-2'!AJ61)=2019,BJ61,0)</f>
        <v>0</v>
      </c>
      <c r="BP61" s="518">
        <f>IF(YEAR('3 pr-2'!AJ61)=2020,BJ61,0)</f>
        <v>0</v>
      </c>
      <c r="BQ61" s="518">
        <f>IF(YEAR('3 pr-2'!AJ61)=2021,BJ61,0)</f>
        <v>0</v>
      </c>
      <c r="BR61" s="518">
        <f>IF(YEAR('3 pr-2'!AJ61)=2022,BJ61,0)</f>
        <v>0</v>
      </c>
      <c r="BS61" s="518">
        <f>IF(YEAR('3 pr-2'!AJ61)=2023,BJ61,0)</f>
        <v>0</v>
      </c>
      <c r="BT61" s="523"/>
      <c r="BU61" s="881"/>
      <c r="BV61" s="518"/>
      <c r="BW61" s="518"/>
      <c r="BX61" s="518"/>
      <c r="BY61" s="518"/>
      <c r="BZ61" s="518"/>
      <c r="CA61" s="518"/>
      <c r="CB61" s="518"/>
      <c r="CC61" s="1337">
        <f t="shared" si="128"/>
        <v>0</v>
      </c>
      <c r="CD61" s="518"/>
      <c r="CE61" s="518"/>
      <c r="CF61" s="518"/>
      <c r="CG61" s="518">
        <f>IF(YEAR('3 pr-2'!$AJ61)=2017,$CD61,0)</f>
        <v>0</v>
      </c>
      <c r="CH61" s="518">
        <f>IF(YEAR('3 pr-2'!$AJ61)=2018,$CD61,0)</f>
        <v>0</v>
      </c>
      <c r="CI61" s="518">
        <f>IF(YEAR('3 pr-2'!$AJ61)=2019,$CD61,0)</f>
        <v>0</v>
      </c>
      <c r="CJ61" s="518">
        <f>IF(YEAR('3 pr-2'!$AJ61)=2020,$CD61,0)</f>
        <v>0</v>
      </c>
      <c r="CK61" s="518">
        <f>IF(YEAR('3 pr-2'!$AJ61)=2021,$CD61,0)</f>
        <v>0</v>
      </c>
      <c r="CL61" s="518">
        <f>IF(YEAR('3 pr-2'!$AJ61)=2022,$CD61,0)</f>
        <v>0</v>
      </c>
      <c r="CM61" s="518">
        <f>IF(YEAR('3 pr-2'!$AJ61)=2023,$CD61,0)</f>
        <v>0</v>
      </c>
      <c r="CN61" s="523"/>
      <c r="CO61" s="882"/>
      <c r="CP61" s="524"/>
      <c r="CQ61" s="518"/>
      <c r="CR61" s="518"/>
      <c r="CS61" s="518"/>
      <c r="CT61" s="518"/>
      <c r="CU61" s="518"/>
      <c r="CV61" s="518"/>
      <c r="CW61" s="1337">
        <f t="shared" si="129"/>
        <v>0</v>
      </c>
      <c r="CX61" s="524"/>
      <c r="CY61" s="504"/>
      <c r="CZ61" s="504"/>
      <c r="DA61" s="1332">
        <f>IF(YEAR('3 pr-2'!AJ61)=2017,CX61,0)</f>
        <v>0</v>
      </c>
      <c r="DB61" s="1332">
        <f>IF(YEAR('3 pr-2'!AJ61)=2018,CX61,0)</f>
        <v>0</v>
      </c>
      <c r="DC61" s="1332">
        <f>IF(YEAR('3 pr-2'!AJ61)=2019,CX61,0)</f>
        <v>0</v>
      </c>
      <c r="DD61" s="1332">
        <f>IF(YEAR('3 pr-2'!AJ61)=2020,CX61,0)</f>
        <v>0</v>
      </c>
      <c r="DE61" s="1332">
        <f>IF(YEAR('3 pr-2'!AJ61)=2021,CX61,0)</f>
        <v>0</v>
      </c>
      <c r="DF61" s="1332">
        <f>IF(YEAR('3 pr-2'!AJ61)=2022,CX61,0)</f>
        <v>0</v>
      </c>
      <c r="DG61" s="1332">
        <f>IF(YEAR('3 pr-2'!AJ61)=2023,CX61,0)</f>
        <v>0</v>
      </c>
    </row>
    <row r="62" spans="1:111" ht="33" customHeight="1" thickBot="1" x14ac:dyDescent="0.3">
      <c r="A62" s="1257" t="str">
        <f>CONCATENATE('3 pr-2'!A62)</f>
        <v>1.1.1.8</v>
      </c>
      <c r="B62" s="1687" t="str">
        <f>CONCATENATE('3 pr-2'!B62)</f>
        <v>Priemonė:
Modernizuoti savivaldybių kultūros infrastruktūrą</v>
      </c>
      <c r="C62" s="1688"/>
      <c r="D62" s="1688"/>
      <c r="E62" s="1688"/>
      <c r="F62" s="1688"/>
      <c r="G62" s="1688"/>
      <c r="H62" s="1688"/>
      <c r="I62" s="1688"/>
      <c r="J62" s="1688"/>
      <c r="K62" s="1689"/>
      <c r="L62" s="1328" t="s">
        <v>514</v>
      </c>
      <c r="M62" s="884" t="s">
        <v>515</v>
      </c>
      <c r="N62" s="505">
        <f>SUM(N63:N66)</f>
        <v>0</v>
      </c>
      <c r="O62" s="505">
        <f t="shared" ref="O62:T62" si="247">SUM(O63:O66)</f>
        <v>0</v>
      </c>
      <c r="P62" s="505">
        <f t="shared" si="247"/>
        <v>0</v>
      </c>
      <c r="Q62" s="505">
        <f t="shared" si="247"/>
        <v>0</v>
      </c>
      <c r="R62" s="505">
        <f t="shared" si="247"/>
        <v>0</v>
      </c>
      <c r="S62" s="505">
        <f t="shared" si="247"/>
        <v>0</v>
      </c>
      <c r="T62" s="505">
        <f t="shared" si="247"/>
        <v>0</v>
      </c>
      <c r="U62" s="1329">
        <f t="shared" ref="U62:U66" si="248">SUM(N62:T62)</f>
        <v>0</v>
      </c>
      <c r="V62" s="1299">
        <f>SUM(V63:V66)</f>
        <v>5</v>
      </c>
      <c r="W62" s="1317"/>
      <c r="X62" s="1316"/>
      <c r="Y62" s="505">
        <f t="shared" ref="Y62:AE62" si="249">SUM(Y63:Y66)</f>
        <v>0</v>
      </c>
      <c r="Z62" s="505">
        <f t="shared" si="249"/>
        <v>4</v>
      </c>
      <c r="AA62" s="505">
        <f t="shared" si="249"/>
        <v>0</v>
      </c>
      <c r="AB62" s="505">
        <f t="shared" si="249"/>
        <v>1</v>
      </c>
      <c r="AC62" s="505">
        <f t="shared" si="249"/>
        <v>0</v>
      </c>
      <c r="AD62" s="505">
        <f t="shared" si="249"/>
        <v>0</v>
      </c>
      <c r="AE62" s="505">
        <f t="shared" si="249"/>
        <v>0</v>
      </c>
      <c r="AF62" s="1316"/>
      <c r="AG62" s="1331"/>
      <c r="AH62" s="505">
        <f>SUM(AH63:AH66)</f>
        <v>0</v>
      </c>
      <c r="AI62" s="505">
        <f t="shared" ref="AI62" si="250">SUM(AI63:AI66)</f>
        <v>0</v>
      </c>
      <c r="AJ62" s="505">
        <f t="shared" ref="AJ62" si="251">SUM(AJ63:AJ66)</f>
        <v>0</v>
      </c>
      <c r="AK62" s="505">
        <f t="shared" ref="AK62" si="252">SUM(AK63:AK66)</f>
        <v>0</v>
      </c>
      <c r="AL62" s="505">
        <f t="shared" ref="AL62" si="253">SUM(AL63:AL66)</f>
        <v>0</v>
      </c>
      <c r="AM62" s="505">
        <f t="shared" ref="AM62" si="254">SUM(AM63:AM66)</f>
        <v>0</v>
      </c>
      <c r="AN62" s="505">
        <f t="shared" ref="AN62" si="255">SUM(AN63:AN66)</f>
        <v>0</v>
      </c>
      <c r="AO62" s="1299">
        <f t="shared" si="126"/>
        <v>0</v>
      </c>
      <c r="AP62" s="1299"/>
      <c r="AQ62" s="505"/>
      <c r="AR62" s="505"/>
      <c r="AS62" s="505">
        <f t="shared" ref="AS62" si="256">SUM(AS63:AS66)</f>
        <v>0</v>
      </c>
      <c r="AT62" s="505">
        <f t="shared" ref="AT62" si="257">SUM(AT63:AT66)</f>
        <v>0</v>
      </c>
      <c r="AU62" s="505">
        <f t="shared" ref="AU62" si="258">SUM(AU63:AU66)</f>
        <v>0</v>
      </c>
      <c r="AV62" s="505">
        <f t="shared" ref="AV62" si="259">SUM(AV63:AV66)</f>
        <v>0</v>
      </c>
      <c r="AW62" s="505">
        <f t="shared" ref="AW62" si="260">SUM(AW63:AW66)</f>
        <v>0</v>
      </c>
      <c r="AX62" s="505">
        <f t="shared" ref="AX62" si="261">SUM(AX63:AX66)</f>
        <v>0</v>
      </c>
      <c r="AY62" s="505">
        <f t="shared" ref="AY62" si="262">SUM(AY63:AY66)</f>
        <v>0</v>
      </c>
      <c r="AZ62" s="1299"/>
      <c r="BA62" s="1331"/>
      <c r="BB62" s="505">
        <f>SUM(BB63:BB66)</f>
        <v>0</v>
      </c>
      <c r="BC62" s="505">
        <f t="shared" ref="BC62" si="263">SUM(BC63:BC66)</f>
        <v>0</v>
      </c>
      <c r="BD62" s="505">
        <f t="shared" ref="BD62" si="264">SUM(BD63:BD66)</f>
        <v>0</v>
      </c>
      <c r="BE62" s="505">
        <f t="shared" ref="BE62" si="265">SUM(BE63:BE66)</f>
        <v>0</v>
      </c>
      <c r="BF62" s="505">
        <f t="shared" ref="BF62" si="266">SUM(BF63:BF66)</f>
        <v>0</v>
      </c>
      <c r="BG62" s="505">
        <f t="shared" ref="BG62" si="267">SUM(BG63:BG66)</f>
        <v>0</v>
      </c>
      <c r="BH62" s="505">
        <f t="shared" ref="BH62" si="268">SUM(BH63:BH66)</f>
        <v>0</v>
      </c>
      <c r="BI62" s="1299">
        <f t="shared" si="152"/>
        <v>0</v>
      </c>
      <c r="BJ62" s="1299"/>
      <c r="BK62" s="505"/>
      <c r="BL62" s="505"/>
      <c r="BM62" s="505"/>
      <c r="BN62" s="505"/>
      <c r="BO62" s="505"/>
      <c r="BP62" s="505"/>
      <c r="BQ62" s="505"/>
      <c r="BR62" s="505"/>
      <c r="BS62" s="505"/>
      <c r="BT62" s="505"/>
      <c r="BU62" s="882"/>
      <c r="BV62" s="505">
        <f>SUM(BV63:BV66)</f>
        <v>0</v>
      </c>
      <c r="BW62" s="505">
        <f t="shared" ref="BW62" si="269">SUM(BW63:BW66)</f>
        <v>0</v>
      </c>
      <c r="BX62" s="505">
        <f t="shared" ref="BX62" si="270">SUM(BX63:BX66)</f>
        <v>0</v>
      </c>
      <c r="BY62" s="505">
        <f t="shared" ref="BY62" si="271">SUM(BY63:BY66)</f>
        <v>0</v>
      </c>
      <c r="BZ62" s="505">
        <f t="shared" ref="BZ62" si="272">SUM(BZ63:BZ66)</f>
        <v>0</v>
      </c>
      <c r="CA62" s="505">
        <f t="shared" ref="CA62" si="273">SUM(CA63:CA66)</f>
        <v>0</v>
      </c>
      <c r="CB62" s="505">
        <f t="shared" ref="CB62" si="274">SUM(CB63:CB66)</f>
        <v>0</v>
      </c>
      <c r="CC62" s="1299">
        <f t="shared" si="128"/>
        <v>0</v>
      </c>
      <c r="CD62" s="505"/>
      <c r="CE62" s="505"/>
      <c r="CF62" s="505"/>
      <c r="CG62" s="505"/>
      <c r="CH62" s="505"/>
      <c r="CI62" s="505"/>
      <c r="CJ62" s="505"/>
      <c r="CK62" s="505"/>
      <c r="CL62" s="505"/>
      <c r="CM62" s="505"/>
      <c r="CN62" s="1329"/>
      <c r="CO62" s="882"/>
      <c r="CP62" s="1287">
        <f>SUM(CP63:CP66)</f>
        <v>0</v>
      </c>
      <c r="CQ62" s="505">
        <f t="shared" ref="CQ62" si="275">SUM(CQ63:CQ66)</f>
        <v>0</v>
      </c>
      <c r="CR62" s="505">
        <f t="shared" ref="CR62" si="276">SUM(CR63:CR66)</f>
        <v>0</v>
      </c>
      <c r="CS62" s="505">
        <f t="shared" ref="CS62" si="277">SUM(CS63:CS66)</f>
        <v>0</v>
      </c>
      <c r="CT62" s="505">
        <f t="shared" ref="CT62" si="278">SUM(CT63:CT66)</f>
        <v>0</v>
      </c>
      <c r="CU62" s="505">
        <f t="shared" ref="CU62" si="279">SUM(CU63:CU66)</f>
        <v>0</v>
      </c>
      <c r="CV62" s="505">
        <f t="shared" ref="CV62" si="280">SUM(CV63:CV66)</f>
        <v>0</v>
      </c>
      <c r="CW62" s="1299">
        <f t="shared" si="129"/>
        <v>0</v>
      </c>
      <c r="CX62" s="505"/>
      <c r="CY62" s="1332"/>
      <c r="CZ62" s="1332"/>
      <c r="DA62" s="1332"/>
      <c r="DB62" s="1332"/>
      <c r="DC62" s="1332"/>
      <c r="DD62" s="1332"/>
      <c r="DE62" s="1332"/>
      <c r="DF62" s="1332"/>
      <c r="DG62" s="1332"/>
    </row>
    <row r="63" spans="1:111" ht="49.5" thickTop="1" thickBot="1" x14ac:dyDescent="0.3">
      <c r="A63" s="518" t="str">
        <f>CONCATENATE('3 pr-2'!A63)</f>
        <v>1.1.1.8.1</v>
      </c>
      <c r="B63" s="518" t="str">
        <f>CONCATENATE('3 pr-2'!B63)</f>
        <v>R01-3305-330000-1181</v>
      </c>
      <c r="C63" s="1449" t="str">
        <f>CONCATENATE('ketv. 2lent'!B62)</f>
        <v>07.1.1-CPVA-R-305-11-0001</v>
      </c>
      <c r="D63" s="189" t="str">
        <f>CONCATENATE('3 pr-2'!D63)</f>
        <v>Kultūros įstaigų infrastruktūros modernizavimas Varėnos mieste</v>
      </c>
      <c r="E63" s="480" t="str">
        <f>CONCATENATE('3 pr-2'!E63)</f>
        <v>Varėnos rajono savivaldybės administracija</v>
      </c>
      <c r="F63" s="480" t="str">
        <f>CONCATENATE('3 pr-2'!F63)</f>
        <v>Lietuvos Respublikos kultūros ministerija</v>
      </c>
      <c r="G63" s="480" t="str">
        <f>CONCATENATE('3 pr-2'!G63)</f>
        <v>Varėnos miestas</v>
      </c>
      <c r="H63" s="518" t="str">
        <f>CONCATENATE('3 pr-2'!H63)</f>
        <v>07.1.1-CPVA-R-305</v>
      </c>
      <c r="I63" s="518" t="str">
        <f>CONCATENATE('3 pr-2'!I63)</f>
        <v>R</v>
      </c>
      <c r="J63" s="518" t="str">
        <f>CONCATENATE('3 pr-2'!J63)</f>
        <v>ITI</v>
      </c>
      <c r="K63" s="518" t="str">
        <f>CONCATENATE('3 pr-2'!K63)</f>
        <v>-</v>
      </c>
      <c r="L63" s="518" t="s">
        <v>514</v>
      </c>
      <c r="M63" s="881" t="s">
        <v>515</v>
      </c>
      <c r="N63" s="518"/>
      <c r="O63" s="518"/>
      <c r="P63" s="518"/>
      <c r="Q63" s="518"/>
      <c r="R63" s="518"/>
      <c r="S63" s="518"/>
      <c r="T63" s="518"/>
      <c r="U63" s="1335">
        <f t="shared" si="248"/>
        <v>0</v>
      </c>
      <c r="V63" s="518">
        <v>2</v>
      </c>
      <c r="W63" s="1336" t="str">
        <f>IF('ketv. 6 lent'!K62&gt;0,"2",0)</f>
        <v>2</v>
      </c>
      <c r="X63" s="518">
        <f>SUM(W63-V63)</f>
        <v>0</v>
      </c>
      <c r="Y63" s="518">
        <f>IF(YEAR('3 pr-2'!$AJ63)=2017,$V63,0)</f>
        <v>0</v>
      </c>
      <c r="Z63" s="518">
        <f>IF(YEAR('3 pr-2'!$AJ63)=2018,$V63,0)</f>
        <v>2</v>
      </c>
      <c r="AA63" s="518">
        <f>IF(YEAR('3 pr-2'!$AJ63)=2019,$V63,0)</f>
        <v>0</v>
      </c>
      <c r="AB63" s="518">
        <f>IF(YEAR('3 pr-2'!$AJ63)=2020,$V63,0)</f>
        <v>0</v>
      </c>
      <c r="AC63" s="518">
        <f>IF(YEAR('3 pr-2'!$AJ63)=2021,$V63,0)</f>
        <v>0</v>
      </c>
      <c r="AD63" s="518">
        <f>IF(YEAR('3 pr-2'!$AJ63)=2022,$V63,0)</f>
        <v>0</v>
      </c>
      <c r="AE63" s="518">
        <f>IF(YEAR('3 pr-2'!$AJ63)=2023,$V63,0)</f>
        <v>0</v>
      </c>
      <c r="AF63" s="523"/>
      <c r="AG63" s="881"/>
      <c r="AH63" s="518"/>
      <c r="AI63" s="518"/>
      <c r="AJ63" s="518"/>
      <c r="AK63" s="518"/>
      <c r="AL63" s="518"/>
      <c r="AM63" s="518"/>
      <c r="AN63" s="518"/>
      <c r="AO63" s="1337">
        <f t="shared" si="126"/>
        <v>0</v>
      </c>
      <c r="AP63" s="518"/>
      <c r="AQ63" s="1338"/>
      <c r="AR63" s="518"/>
      <c r="AS63" s="518">
        <f>IF(YEAR('3 pr-2'!$AJ63)=2017,$AP63,0)</f>
        <v>0</v>
      </c>
      <c r="AT63" s="518">
        <f>IF(YEAR('3 pr-2'!$AJ63)=2018,$AP63,0)</f>
        <v>0</v>
      </c>
      <c r="AU63" s="518">
        <f>IF(YEAR('3 pr-2'!$AJ63)=2019,$AP63,0)</f>
        <v>0</v>
      </c>
      <c r="AV63" s="518">
        <f>IF(YEAR('3 pr-2'!$AJ63)=2020,$AP63,0)</f>
        <v>0</v>
      </c>
      <c r="AW63" s="518">
        <f>IF(YEAR('3 pr-2'!$AJ63)=2021,$AP63,0)</f>
        <v>0</v>
      </c>
      <c r="AX63" s="518">
        <f>IF(YEAR('3 pr-2'!$AJ63)=2022,$AP63,0)</f>
        <v>0</v>
      </c>
      <c r="AY63" s="518">
        <f>IF(YEAR('3 pr-2'!$AJ63)=2023,$AP63,0)</f>
        <v>0</v>
      </c>
      <c r="AZ63" s="518"/>
      <c r="BA63" s="880"/>
      <c r="BB63" s="518"/>
      <c r="BC63" s="518"/>
      <c r="BD63" s="518"/>
      <c r="BE63" s="518"/>
      <c r="BF63" s="518"/>
      <c r="BG63" s="518"/>
      <c r="BH63" s="518"/>
      <c r="BI63" s="1337">
        <f t="shared" si="152"/>
        <v>0</v>
      </c>
      <c r="BJ63" s="518"/>
      <c r="BK63" s="1338"/>
      <c r="BL63" s="518"/>
      <c r="BM63" s="518">
        <f>IF(YEAR('3 pr-2'!AJ63)=2017,BJ63,0)</f>
        <v>0</v>
      </c>
      <c r="BN63" s="518">
        <f>IF(YEAR('3 pr-2'!AJ63)=2018,BJ63,0)</f>
        <v>0</v>
      </c>
      <c r="BO63" s="518">
        <f>IF(YEAR('3 pr-2'!AJ63)=2019,BJ63,0)</f>
        <v>0</v>
      </c>
      <c r="BP63" s="518">
        <f>IF(YEAR('3 pr-2'!AJ63)=2020,BJ63,0)</f>
        <v>0</v>
      </c>
      <c r="BQ63" s="518">
        <f>IF(YEAR('3 pr-2'!AJ63)=2021,BJ63,0)</f>
        <v>0</v>
      </c>
      <c r="BR63" s="518">
        <f>IF(YEAR('3 pr-2'!AJ63)=2022,BJ63,0)</f>
        <v>0</v>
      </c>
      <c r="BS63" s="518">
        <f>IF(YEAR('3 pr-2'!AJ63)=2023,BJ63,0)</f>
        <v>0</v>
      </c>
      <c r="BT63" s="523"/>
      <c r="BU63" s="881"/>
      <c r="BV63" s="518"/>
      <c r="BW63" s="518"/>
      <c r="BX63" s="518"/>
      <c r="BY63" s="518"/>
      <c r="BZ63" s="518"/>
      <c r="CA63" s="518"/>
      <c r="CB63" s="518"/>
      <c r="CC63" s="1337">
        <f t="shared" si="128"/>
        <v>0</v>
      </c>
      <c r="CD63" s="518"/>
      <c r="CE63" s="518"/>
      <c r="CF63" s="518"/>
      <c r="CG63" s="518">
        <f>IF(YEAR('3 pr-2'!$AJ63)=2017,$CD63,0)</f>
        <v>0</v>
      </c>
      <c r="CH63" s="518">
        <f>IF(YEAR('3 pr-2'!$AJ63)=2018,$CD63,0)</f>
        <v>0</v>
      </c>
      <c r="CI63" s="518">
        <f>IF(YEAR('3 pr-2'!$AJ63)=2019,$CD63,0)</f>
        <v>0</v>
      </c>
      <c r="CJ63" s="518">
        <f>IF(YEAR('3 pr-2'!$AJ63)=2020,$CD63,0)</f>
        <v>0</v>
      </c>
      <c r="CK63" s="518">
        <f>IF(YEAR('3 pr-2'!$AJ63)=2021,$CD63,0)</f>
        <v>0</v>
      </c>
      <c r="CL63" s="518">
        <f>IF(YEAR('3 pr-2'!$AJ63)=2022,$CD63,0)</f>
        <v>0</v>
      </c>
      <c r="CM63" s="518">
        <f>IF(YEAR('3 pr-2'!$AJ63)=2023,$CD63,0)</f>
        <v>0</v>
      </c>
      <c r="CN63" s="523"/>
      <c r="CO63" s="882"/>
      <c r="CP63" s="524"/>
      <c r="CQ63" s="518"/>
      <c r="CR63" s="518"/>
      <c r="CS63" s="518"/>
      <c r="CT63" s="518"/>
      <c r="CU63" s="518"/>
      <c r="CV63" s="518"/>
      <c r="CW63" s="1337">
        <f t="shared" si="129"/>
        <v>0</v>
      </c>
      <c r="CX63" s="524"/>
      <c r="CY63" s="504"/>
      <c r="CZ63" s="504"/>
      <c r="DA63" s="1332">
        <f>IF(YEAR('3 pr-2'!AJ63)=2017,CX63,0)</f>
        <v>0</v>
      </c>
      <c r="DB63" s="1332">
        <f>IF(YEAR('3 pr-2'!AJ63)=2018,CX63,0)</f>
        <v>0</v>
      </c>
      <c r="DC63" s="1332">
        <f>IF(YEAR('3 pr-2'!AJ63)=2019,CX63,0)</f>
        <v>0</v>
      </c>
      <c r="DD63" s="1332">
        <f>IF(YEAR('3 pr-2'!AJ63)=2020,CX63,0)</f>
        <v>0</v>
      </c>
      <c r="DE63" s="1332">
        <f>IF(YEAR('3 pr-2'!AJ63)=2021,CX63,0)</f>
        <v>0</v>
      </c>
      <c r="DF63" s="1332">
        <f>IF(YEAR('3 pr-2'!AJ63)=2022,CX63,0)</f>
        <v>0</v>
      </c>
      <c r="DG63" s="1332">
        <f>IF(YEAR('3 pr-2'!AJ63)=2023,CX63,0)</f>
        <v>0</v>
      </c>
    </row>
    <row r="64" spans="1:111" ht="61.5" thickTop="1" thickBot="1" x14ac:dyDescent="0.3">
      <c r="A64" s="518" t="str">
        <f>CONCATENATE('3 pr-2'!A64)</f>
        <v>1.1.1.8.2</v>
      </c>
      <c r="B64" s="518" t="str">
        <f>CONCATENATE('3 pr-2'!B64)</f>
        <v>R01-3305-330000-1182</v>
      </c>
      <c r="C64" s="1449" t="str">
        <f>CONCATENATE('ketv. 2lent'!B63)</f>
        <v>07.1.1-CPVA-R-305-11-0002</v>
      </c>
      <c r="D64" s="189" t="str">
        <f>CONCATENATE('3 pr-2'!D64)</f>
        <v>VšĮ Alytaus kultūros ir komunikacijos centro pastato Alytuje, Pramonės g. 1B, rekonstravimas</v>
      </c>
      <c r="E64" s="480" t="str">
        <f>CONCATENATE('3 pr-2'!E64)</f>
        <v>Alytaus miesto savivaldybės administracija</v>
      </c>
      <c r="F64" s="480" t="str">
        <f>CONCATENATE('3 pr-2'!F64)</f>
        <v>Lietuvos Respublikos kultūros ministerija</v>
      </c>
      <c r="G64" s="480" t="str">
        <f>CONCATENATE('3 pr-2'!G64)</f>
        <v>Alytaus miestas</v>
      </c>
      <c r="H64" s="518" t="str">
        <f>CONCATENATE('3 pr-2'!H64)</f>
        <v>07.1.1-CPVA-R-305</v>
      </c>
      <c r="I64" s="518" t="str">
        <f>CONCATENATE('3 pr-2'!I64)</f>
        <v>R</v>
      </c>
      <c r="J64" s="518" t="str">
        <f>CONCATENATE('3 pr-2'!J64)</f>
        <v>ITI</v>
      </c>
      <c r="K64" s="518" t="str">
        <f>CONCATENATE('3 pr-2'!K64)</f>
        <v>-</v>
      </c>
      <c r="L64" s="518" t="s">
        <v>514</v>
      </c>
      <c r="M64" s="881" t="s">
        <v>515</v>
      </c>
      <c r="N64" s="518"/>
      <c r="O64" s="518"/>
      <c r="P64" s="518"/>
      <c r="Q64" s="518"/>
      <c r="R64" s="518"/>
      <c r="S64" s="518"/>
      <c r="T64" s="518"/>
      <c r="U64" s="1335">
        <f t="shared" si="248"/>
        <v>0</v>
      </c>
      <c r="V64" s="518">
        <v>1</v>
      </c>
      <c r="W64" s="1336" t="str">
        <f>IF('ketv. 6 lent'!K63&gt;0,"1",0)</f>
        <v>1</v>
      </c>
      <c r="X64" s="518"/>
      <c r="Y64" s="518">
        <f>IF(YEAR('3 pr-2'!$AJ64)=2017,$V64,0)</f>
        <v>0</v>
      </c>
      <c r="Z64" s="518">
        <f>IF(YEAR('3 pr-2'!$AJ64)=2018,$V64,0)</f>
        <v>1</v>
      </c>
      <c r="AA64" s="518">
        <f>IF(YEAR('3 pr-2'!$AJ64)=2019,$V64,0)</f>
        <v>0</v>
      </c>
      <c r="AB64" s="518">
        <f>IF(YEAR('3 pr-2'!$AJ64)=2020,$V64,0)</f>
        <v>0</v>
      </c>
      <c r="AC64" s="518">
        <f>IF(YEAR('3 pr-2'!$AJ64)=2021,$V64,0)</f>
        <v>0</v>
      </c>
      <c r="AD64" s="518">
        <f>IF(YEAR('3 pr-2'!$AJ64)=2022,$V64,0)</f>
        <v>0</v>
      </c>
      <c r="AE64" s="518">
        <f>IF(YEAR('3 pr-2'!$AJ64)=2023,$V64,0)</f>
        <v>0</v>
      </c>
      <c r="AF64" s="523"/>
      <c r="AG64" s="881"/>
      <c r="AH64" s="518"/>
      <c r="AI64" s="518"/>
      <c r="AJ64" s="518"/>
      <c r="AK64" s="518"/>
      <c r="AL64" s="518"/>
      <c r="AM64" s="518"/>
      <c r="AN64" s="518"/>
      <c r="AO64" s="1337">
        <f t="shared" si="126"/>
        <v>0</v>
      </c>
      <c r="AP64" s="518"/>
      <c r="AQ64" s="1338"/>
      <c r="AR64" s="518"/>
      <c r="AS64" s="518">
        <f>IF(YEAR('3 pr-2'!$AJ64)=2017,$AP64,0)</f>
        <v>0</v>
      </c>
      <c r="AT64" s="518">
        <f>IF(YEAR('3 pr-2'!$AJ64)=2018,$AP64,0)</f>
        <v>0</v>
      </c>
      <c r="AU64" s="518">
        <f>IF(YEAR('3 pr-2'!$AJ64)=2019,$AP64,0)</f>
        <v>0</v>
      </c>
      <c r="AV64" s="518">
        <f>IF(YEAR('3 pr-2'!$AJ64)=2020,$AP64,0)</f>
        <v>0</v>
      </c>
      <c r="AW64" s="518">
        <f>IF(YEAR('3 pr-2'!$AJ64)=2021,$AP64,0)</f>
        <v>0</v>
      </c>
      <c r="AX64" s="518">
        <f>IF(YEAR('3 pr-2'!$AJ64)=2022,$AP64,0)</f>
        <v>0</v>
      </c>
      <c r="AY64" s="518">
        <f>IF(YEAR('3 pr-2'!$AJ64)=2023,$AP64,0)</f>
        <v>0</v>
      </c>
      <c r="AZ64" s="518"/>
      <c r="BA64" s="880"/>
      <c r="BB64" s="518"/>
      <c r="BC64" s="518"/>
      <c r="BD64" s="518"/>
      <c r="BE64" s="518"/>
      <c r="BF64" s="518"/>
      <c r="BG64" s="518"/>
      <c r="BH64" s="518"/>
      <c r="BI64" s="1337">
        <f t="shared" si="152"/>
        <v>0</v>
      </c>
      <c r="BJ64" s="518"/>
      <c r="BK64" s="1338"/>
      <c r="BL64" s="518"/>
      <c r="BM64" s="518">
        <f>IF(YEAR('3 pr-2'!AJ64)=2017,BJ64,0)</f>
        <v>0</v>
      </c>
      <c r="BN64" s="518">
        <f>IF(YEAR('3 pr-2'!AJ64)=2018,BJ64,0)</f>
        <v>0</v>
      </c>
      <c r="BO64" s="518">
        <f>IF(YEAR('3 pr-2'!AJ64)=2019,BJ64,0)</f>
        <v>0</v>
      </c>
      <c r="BP64" s="518">
        <f>IF(YEAR('3 pr-2'!AJ64)=2020,BJ64,0)</f>
        <v>0</v>
      </c>
      <c r="BQ64" s="518">
        <f>IF(YEAR('3 pr-2'!AJ64)=2021,BJ64,0)</f>
        <v>0</v>
      </c>
      <c r="BR64" s="518">
        <f>IF(YEAR('3 pr-2'!AJ64)=2022,BJ64,0)</f>
        <v>0</v>
      </c>
      <c r="BS64" s="518">
        <f>IF(YEAR('3 pr-2'!AJ64)=2023,BJ64,0)</f>
        <v>0</v>
      </c>
      <c r="BT64" s="523"/>
      <c r="BU64" s="881"/>
      <c r="BV64" s="518"/>
      <c r="BW64" s="518"/>
      <c r="BX64" s="518"/>
      <c r="BY64" s="518"/>
      <c r="BZ64" s="518"/>
      <c r="CA64" s="518"/>
      <c r="CB64" s="518"/>
      <c r="CC64" s="1337">
        <f t="shared" si="128"/>
        <v>0</v>
      </c>
      <c r="CD64" s="518"/>
      <c r="CE64" s="518"/>
      <c r="CF64" s="518"/>
      <c r="CG64" s="518">
        <f>IF(YEAR('3 pr-2'!AJ64)=2017,CD64,0)</f>
        <v>0</v>
      </c>
      <c r="CH64" s="518">
        <f>IF(YEAR('3 pr-2'!AJ64)=2018,CD64,0)</f>
        <v>0</v>
      </c>
      <c r="CI64" s="518">
        <f>IF(YEAR('3 pr-2'!AJ64)=2019,CD64,0)</f>
        <v>0</v>
      </c>
      <c r="CJ64" s="518">
        <f>IF(YEAR('3 pr-2'!AJ64)=2020,CD64,0)</f>
        <v>0</v>
      </c>
      <c r="CK64" s="518">
        <f>IF(YEAR('3 pr-2'!AJ64)=2021,CD64,0)</f>
        <v>0</v>
      </c>
      <c r="CL64" s="518">
        <f>IF(YEAR('3 pr-2'!AJ64)=2022,CD64,0)</f>
        <v>0</v>
      </c>
      <c r="CM64" s="518">
        <f>IF(YEAR('3 pr-2'!AJ64)=2023,CD64,0)</f>
        <v>0</v>
      </c>
      <c r="CN64" s="523"/>
      <c r="CO64" s="882"/>
      <c r="CP64" s="524"/>
      <c r="CQ64" s="518"/>
      <c r="CR64" s="518"/>
      <c r="CS64" s="518"/>
      <c r="CT64" s="518"/>
      <c r="CU64" s="518"/>
      <c r="CV64" s="518"/>
      <c r="CW64" s="1337">
        <f t="shared" si="129"/>
        <v>0</v>
      </c>
      <c r="CX64" s="524"/>
      <c r="CY64" s="504"/>
      <c r="CZ64" s="504"/>
      <c r="DA64" s="1332">
        <f>IF(YEAR('3 pr-2'!AJ64)=2017,CX64,0)</f>
        <v>0</v>
      </c>
      <c r="DB64" s="1332">
        <f>IF(YEAR('3 pr-2'!AJ64)=2018,CX64,0)</f>
        <v>0</v>
      </c>
      <c r="DC64" s="1332">
        <f>IF(YEAR('3 pr-2'!AJ64)=2019,CX64,0)</f>
        <v>0</v>
      </c>
      <c r="DD64" s="1332">
        <f>IF(YEAR('3 pr-2'!AJ64)=2020,CX64,0)</f>
        <v>0</v>
      </c>
      <c r="DE64" s="1332">
        <f>IF(YEAR('3 pr-2'!AJ64)=2021,CX64,0)</f>
        <v>0</v>
      </c>
      <c r="DF64" s="1332">
        <f>IF(YEAR('3 pr-2'!AJ64)=2022,CX64,0)</f>
        <v>0</v>
      </c>
      <c r="DG64" s="1332">
        <f>IF(YEAR('3 pr-2'!AJ64)=2023,CX64,0)</f>
        <v>0</v>
      </c>
    </row>
    <row r="65" spans="1:112" ht="85.5" thickTop="1" thickBot="1" x14ac:dyDescent="0.3">
      <c r="A65" s="518" t="str">
        <f>CONCATENATE('3 pr-2'!A65)</f>
        <v>1.1.1.8.3</v>
      </c>
      <c r="B65" s="518" t="str">
        <f>CONCATENATE('3 pr-2'!B65)</f>
        <v>R01-3305-330000-1183</v>
      </c>
      <c r="C65" s="1449" t="str">
        <f>CONCATENATE('ketv. 2lent'!B64)</f>
        <v>07.1.1-CPVA-R-305-11-0003</v>
      </c>
      <c r="D65" s="189" t="str">
        <f>CONCATENATE('3 pr-2'!D65)</f>
        <v>Druskininkų kultūros centro lauko scenos, Vilniaus al. 24, Druskininkai, modernizavimas ir pritaikymas kultūros  poreikiams</v>
      </c>
      <c r="E65" s="480" t="str">
        <f>CONCATENATE('3 pr-2'!E65)</f>
        <v xml:space="preserve">Druskininkų savivaldybės administracija  </v>
      </c>
      <c r="F65" s="480" t="str">
        <f>CONCATENATE('3 pr-2'!F65)</f>
        <v>Lietuvos Respublikos kultūros ministerija</v>
      </c>
      <c r="G65" s="480" t="str">
        <f>CONCATENATE('3 pr-2'!G65)</f>
        <v>Druskininkų  miestas</v>
      </c>
      <c r="H65" s="518" t="str">
        <f>CONCATENATE('3 pr-2'!H65)</f>
        <v>07.1.1-CPVA-R-305</v>
      </c>
      <c r="I65" s="518" t="str">
        <f>CONCATENATE('3 pr-2'!I65)</f>
        <v>R</v>
      </c>
      <c r="J65" s="518" t="str">
        <f>CONCATENATE('3 pr-2'!J65)</f>
        <v>ITI</v>
      </c>
      <c r="K65" s="518" t="str">
        <f>CONCATENATE('3 pr-2'!K65)</f>
        <v>-</v>
      </c>
      <c r="L65" s="518" t="s">
        <v>514</v>
      </c>
      <c r="M65" s="881" t="s">
        <v>515</v>
      </c>
      <c r="N65" s="518"/>
      <c r="O65" s="518"/>
      <c r="P65" s="518"/>
      <c r="Q65" s="518"/>
      <c r="R65" s="518"/>
      <c r="S65" s="518"/>
      <c r="T65" s="518"/>
      <c r="U65" s="1335">
        <f t="shared" si="248"/>
        <v>0</v>
      </c>
      <c r="V65" s="518">
        <v>1</v>
      </c>
      <c r="W65" s="1336" t="str">
        <f>IF('ketv. 6 lent'!K64&gt;0,"1",0)</f>
        <v>1</v>
      </c>
      <c r="X65" s="518"/>
      <c r="Y65" s="518">
        <f>IF(YEAR('3 pr-2'!$AJ65)=2017,$V65,0)</f>
        <v>0</v>
      </c>
      <c r="Z65" s="518">
        <f>IF(YEAR('3 pr-2'!$AJ65)=2018,$V65,0)</f>
        <v>1</v>
      </c>
      <c r="AA65" s="518">
        <f>IF(YEAR('3 pr-2'!$AJ65)=2019,$V65,0)</f>
        <v>0</v>
      </c>
      <c r="AB65" s="518">
        <f>IF(YEAR('3 pr-2'!$AJ65)=2020,$V65,0)</f>
        <v>0</v>
      </c>
      <c r="AC65" s="518">
        <f>IF(YEAR('3 pr-2'!$AJ65)=2021,$V65,0)</f>
        <v>0</v>
      </c>
      <c r="AD65" s="518">
        <f>IF(YEAR('3 pr-2'!$AJ65)=2022,$V65,0)</f>
        <v>0</v>
      </c>
      <c r="AE65" s="518">
        <f>IF(YEAR('3 pr-2'!$AJ65)=2023,$V65,0)</f>
        <v>0</v>
      </c>
      <c r="AF65" s="523"/>
      <c r="AG65" s="881"/>
      <c r="AH65" s="518"/>
      <c r="AI65" s="518"/>
      <c r="AJ65" s="518"/>
      <c r="AK65" s="518"/>
      <c r="AL65" s="518"/>
      <c r="AM65" s="518"/>
      <c r="AN65" s="518"/>
      <c r="AO65" s="1337">
        <f t="shared" si="126"/>
        <v>0</v>
      </c>
      <c r="AP65" s="518"/>
      <c r="AQ65" s="1338"/>
      <c r="AR65" s="518"/>
      <c r="AS65" s="518">
        <f>IF(YEAR('3 pr-2'!$AJ65)=2017,$AP65,0)</f>
        <v>0</v>
      </c>
      <c r="AT65" s="518">
        <f>IF(YEAR('3 pr-2'!$AJ65)=2018,$AP65,0)</f>
        <v>0</v>
      </c>
      <c r="AU65" s="518">
        <f>IF(YEAR('3 pr-2'!$AJ65)=2019,$AP65,0)</f>
        <v>0</v>
      </c>
      <c r="AV65" s="518">
        <f>IF(YEAR('3 pr-2'!$AJ65)=2020,$AP65,0)</f>
        <v>0</v>
      </c>
      <c r="AW65" s="518">
        <f>IF(YEAR('3 pr-2'!$AJ65)=2021,$AP65,0)</f>
        <v>0</v>
      </c>
      <c r="AX65" s="518">
        <f>IF(YEAR('3 pr-2'!$AJ65)=2022,$AP65,0)</f>
        <v>0</v>
      </c>
      <c r="AY65" s="518">
        <f>IF(YEAR('3 pr-2'!$AJ65)=2023,$AP65,0)</f>
        <v>0</v>
      </c>
      <c r="AZ65" s="518"/>
      <c r="BA65" s="880"/>
      <c r="BB65" s="518"/>
      <c r="BC65" s="518"/>
      <c r="BD65" s="518"/>
      <c r="BE65" s="518"/>
      <c r="BF65" s="518"/>
      <c r="BG65" s="518"/>
      <c r="BH65" s="518"/>
      <c r="BI65" s="1337">
        <f t="shared" si="152"/>
        <v>0</v>
      </c>
      <c r="BJ65" s="518"/>
      <c r="BK65" s="1338"/>
      <c r="BL65" s="518"/>
      <c r="BM65" s="518">
        <f>IF(YEAR('3 pr-2'!AJ65)=2017,BJ65,0)</f>
        <v>0</v>
      </c>
      <c r="BN65" s="518">
        <f>IF(YEAR('3 pr-2'!AJ65)=2018,BJ65,0)</f>
        <v>0</v>
      </c>
      <c r="BO65" s="518">
        <f>IF(YEAR('3 pr-2'!AJ65)=2019,BJ65,0)</f>
        <v>0</v>
      </c>
      <c r="BP65" s="518">
        <f>IF(YEAR('3 pr-2'!AJ65)=2020,BJ65,0)</f>
        <v>0</v>
      </c>
      <c r="BQ65" s="518">
        <f>IF(YEAR('3 pr-2'!AJ65)=2021,BJ65,0)</f>
        <v>0</v>
      </c>
      <c r="BR65" s="518">
        <f>IF(YEAR('3 pr-2'!AJ65)=2022,BJ65,0)</f>
        <v>0</v>
      </c>
      <c r="BS65" s="518">
        <f>IF(YEAR('3 pr-2'!AJ65)=2023,BJ65,0)</f>
        <v>0</v>
      </c>
      <c r="BT65" s="523"/>
      <c r="BU65" s="881"/>
      <c r="BV65" s="518"/>
      <c r="BW65" s="518"/>
      <c r="BX65" s="518"/>
      <c r="BY65" s="518"/>
      <c r="BZ65" s="518"/>
      <c r="CA65" s="518"/>
      <c r="CB65" s="518"/>
      <c r="CC65" s="1337">
        <f t="shared" si="128"/>
        <v>0</v>
      </c>
      <c r="CD65" s="518"/>
      <c r="CE65" s="518"/>
      <c r="CF65" s="518"/>
      <c r="CG65" s="518">
        <f>IF(YEAR('3 pr-2'!$AJ65)=2017,$CD65,0)</f>
        <v>0</v>
      </c>
      <c r="CH65" s="518">
        <f>IF(YEAR('3 pr-2'!$AJ65)=2018,$CD65,0)</f>
        <v>0</v>
      </c>
      <c r="CI65" s="518">
        <f>IF(YEAR('3 pr-2'!$AJ65)=2019,$CD65,0)</f>
        <v>0</v>
      </c>
      <c r="CJ65" s="518">
        <f>IF(YEAR('3 pr-2'!$AJ65)=2020,$CD65,0)</f>
        <v>0</v>
      </c>
      <c r="CK65" s="518">
        <f>IF(YEAR('3 pr-2'!$AJ65)=2021,$CD65,0)</f>
        <v>0</v>
      </c>
      <c r="CL65" s="518">
        <f>IF(YEAR('3 pr-2'!$AJ65)=2022,$CD65,0)</f>
        <v>0</v>
      </c>
      <c r="CM65" s="518">
        <f>IF(YEAR('3 pr-2'!$AJ65)=2023,$CD65,0)</f>
        <v>0</v>
      </c>
      <c r="CN65" s="523"/>
      <c r="CO65" s="882"/>
      <c r="CP65" s="524"/>
      <c r="CQ65" s="518"/>
      <c r="CR65" s="518"/>
      <c r="CS65" s="518"/>
      <c r="CT65" s="518"/>
      <c r="CU65" s="518"/>
      <c r="CV65" s="518"/>
      <c r="CW65" s="1337">
        <f t="shared" si="129"/>
        <v>0</v>
      </c>
      <c r="CX65" s="524"/>
      <c r="CY65" s="504"/>
      <c r="CZ65" s="504"/>
      <c r="DA65" s="1332">
        <f>IF(YEAR('3 pr-2'!AJ65)=2017,CX65,0)</f>
        <v>0</v>
      </c>
      <c r="DB65" s="1332">
        <f>IF(YEAR('3 pr-2'!AJ65)=2018,CX65,0)</f>
        <v>0</v>
      </c>
      <c r="DC65" s="1332">
        <f>IF(YEAR('3 pr-2'!AJ65)=2019,CX65,0)</f>
        <v>0</v>
      </c>
      <c r="DD65" s="1332">
        <f>IF(YEAR('3 pr-2'!AJ65)=2020,CX65,0)</f>
        <v>0</v>
      </c>
      <c r="DE65" s="1332">
        <f>IF(YEAR('3 pr-2'!AJ65)=2021,CX65,0)</f>
        <v>0</v>
      </c>
      <c r="DF65" s="1332">
        <f>IF(YEAR('3 pr-2'!AJ65)=2022,CX65,0)</f>
        <v>0</v>
      </c>
      <c r="DG65" s="1332">
        <f>IF(YEAR('3 pr-2'!AJ65)=2023,CX65,0)</f>
        <v>0</v>
      </c>
    </row>
    <row r="66" spans="1:112" ht="61.5" thickTop="1" thickBot="1" x14ac:dyDescent="0.3">
      <c r="A66" s="518" t="str">
        <f>CONCATENATE('3 pr-2'!A66)</f>
        <v>1.1.1.8.4</v>
      </c>
      <c r="B66" s="518" t="str">
        <f>CONCATENATE('3 pr-2'!B66)</f>
        <v>R01-3305-330200-1184</v>
      </c>
      <c r="C66" s="1449" t="str">
        <f>CONCATENATE('ketv. 2lent'!B65)</f>
        <v>07.1.1-CPVA-R-305-11-0004</v>
      </c>
      <c r="D66" s="189" t="str">
        <f>CONCATENATE('3 pr-2'!D66)</f>
        <v>Pastato rekonstrukcija ir pritaikymas kultūrinėms, muziejinėms ir edukacinėms reikmėms</v>
      </c>
      <c r="E66" s="480" t="str">
        <f>CONCATENATE('3 pr-2'!E66)</f>
        <v>Lazdijų rajono savivaldybės administracija</v>
      </c>
      <c r="F66" s="480" t="str">
        <f>CONCATENATE('3 pr-2'!F66)</f>
        <v>Lietuvos Respublikos kultūros ministerija</v>
      </c>
      <c r="G66" s="480" t="str">
        <f>CONCATENATE('3 pr-2'!G66)</f>
        <v>Lazdijų miestas</v>
      </c>
      <c r="H66" s="518" t="str">
        <f>CONCATENATE('3 pr-2'!H66)</f>
        <v>07.1.1-CPVA-R-305</v>
      </c>
      <c r="I66" s="518" t="str">
        <f>CONCATENATE('3 pr-2'!I66)</f>
        <v>R</v>
      </c>
      <c r="J66" s="518" t="str">
        <f>CONCATENATE('3 pr-2'!J66)</f>
        <v>ITI</v>
      </c>
      <c r="K66" s="518" t="str">
        <f>CONCATENATE('3 pr-2'!K66)</f>
        <v>-</v>
      </c>
      <c r="L66" s="518" t="s">
        <v>514</v>
      </c>
      <c r="M66" s="881" t="s">
        <v>515</v>
      </c>
      <c r="N66" s="518"/>
      <c r="O66" s="518"/>
      <c r="P66" s="518"/>
      <c r="Q66" s="518"/>
      <c r="R66" s="518"/>
      <c r="S66" s="518"/>
      <c r="T66" s="518"/>
      <c r="U66" s="1335">
        <f t="shared" si="248"/>
        <v>0</v>
      </c>
      <c r="V66" s="518">
        <v>1</v>
      </c>
      <c r="W66" s="1336">
        <f>IF('ketv. 6 lent'!K65&gt;0,"taip",0)</f>
        <v>0</v>
      </c>
      <c r="X66" s="518"/>
      <c r="Y66" s="518">
        <f>IF(YEAR('3 pr-2'!$AJ66)=2017,$V66,0)</f>
        <v>0</v>
      </c>
      <c r="Z66" s="518">
        <f>IF(YEAR('3 pr-2'!$AJ66)=2018,$V66,0)</f>
        <v>0</v>
      </c>
      <c r="AA66" s="518">
        <f>IF(YEAR('3 pr-2'!$AJ66)=2019,$V66,0)</f>
        <v>0</v>
      </c>
      <c r="AB66" s="518">
        <f>IF(YEAR('3 pr-2'!$AJ66)=2020,$V66,0)</f>
        <v>1</v>
      </c>
      <c r="AC66" s="518">
        <f>IF(YEAR('3 pr-2'!$AJ66)=2021,$V66,0)</f>
        <v>0</v>
      </c>
      <c r="AD66" s="518">
        <f>IF(YEAR('3 pr-2'!$AJ66)=2022,$V66,0)</f>
        <v>0</v>
      </c>
      <c r="AE66" s="518">
        <f>IF(YEAR('3 pr-2'!$AJ66)=2023,$V66,0)</f>
        <v>0</v>
      </c>
      <c r="AF66" s="523"/>
      <c r="AG66" s="881"/>
      <c r="AH66" s="518"/>
      <c r="AI66" s="518"/>
      <c r="AJ66" s="518"/>
      <c r="AK66" s="518"/>
      <c r="AL66" s="518"/>
      <c r="AM66" s="518"/>
      <c r="AN66" s="518"/>
      <c r="AO66" s="1337">
        <f t="shared" si="126"/>
        <v>0</v>
      </c>
      <c r="AP66" s="518"/>
      <c r="AQ66" s="1338"/>
      <c r="AR66" s="518"/>
      <c r="AS66" s="518">
        <f>IF(YEAR('3 pr-2'!$AJ66)=2017,$AP66,0)</f>
        <v>0</v>
      </c>
      <c r="AT66" s="518">
        <f>IF(YEAR('3 pr-2'!$AJ66)=2018,$AP66,0)</f>
        <v>0</v>
      </c>
      <c r="AU66" s="518">
        <f>IF(YEAR('3 pr-2'!$AJ66)=2019,$AP66,0)</f>
        <v>0</v>
      </c>
      <c r="AV66" s="518">
        <f>IF(YEAR('3 pr-2'!$AJ66)=2020,$AP66,0)</f>
        <v>0</v>
      </c>
      <c r="AW66" s="518">
        <f>IF(YEAR('3 pr-2'!$AJ66)=2021,$AP66,0)</f>
        <v>0</v>
      </c>
      <c r="AX66" s="518">
        <f>IF(YEAR('3 pr-2'!$AJ66)=2022,$AP66,0)</f>
        <v>0</v>
      </c>
      <c r="AY66" s="518">
        <f>IF(YEAR('3 pr-2'!$AJ66)=2023,$AP66,0)</f>
        <v>0</v>
      </c>
      <c r="AZ66" s="518"/>
      <c r="BA66" s="880"/>
      <c r="BB66" s="518"/>
      <c r="BC66" s="518"/>
      <c r="BD66" s="518"/>
      <c r="BE66" s="518"/>
      <c r="BF66" s="518"/>
      <c r="BG66" s="518"/>
      <c r="BH66" s="518"/>
      <c r="BI66" s="1337">
        <f t="shared" si="152"/>
        <v>0</v>
      </c>
      <c r="BJ66" s="518"/>
      <c r="BK66" s="1338"/>
      <c r="BL66" s="518"/>
      <c r="BM66" s="518">
        <f>IF(YEAR('3 pr-2'!AJ66)=2017,BJ66,0)</f>
        <v>0</v>
      </c>
      <c r="BN66" s="518">
        <f>IF(YEAR('3 pr-2'!AJ66)=2018,BJ66,0)</f>
        <v>0</v>
      </c>
      <c r="BO66" s="518">
        <f>IF(YEAR('3 pr-2'!AJ66)=2019,BJ66,0)</f>
        <v>0</v>
      </c>
      <c r="BP66" s="518">
        <f>IF(YEAR('3 pr-2'!AJ66)=2020,BJ66,0)</f>
        <v>0</v>
      </c>
      <c r="BQ66" s="518">
        <f>IF(YEAR('3 pr-2'!AJ66)=2021,BJ66,0)</f>
        <v>0</v>
      </c>
      <c r="BR66" s="518">
        <f>IF(YEAR('3 pr-2'!AJ66)=2022,BJ66,0)</f>
        <v>0</v>
      </c>
      <c r="BS66" s="518">
        <f>IF(YEAR('3 pr-2'!AJ66)=2023,BJ66,0)</f>
        <v>0</v>
      </c>
      <c r="BT66" s="523"/>
      <c r="BU66" s="881"/>
      <c r="BV66" s="518"/>
      <c r="BW66" s="518"/>
      <c r="BX66" s="518"/>
      <c r="BY66" s="518"/>
      <c r="BZ66" s="518"/>
      <c r="CA66" s="518"/>
      <c r="CB66" s="518"/>
      <c r="CC66" s="1337">
        <f t="shared" si="128"/>
        <v>0</v>
      </c>
      <c r="CD66" s="518"/>
      <c r="CE66" s="518"/>
      <c r="CF66" s="518"/>
      <c r="CG66" s="518">
        <f>IF(YEAR('3 pr-2'!$AJ66)=2017,$CD66,0)</f>
        <v>0</v>
      </c>
      <c r="CH66" s="518">
        <f>IF(YEAR('3 pr-2'!$AJ66)=2018,$CD66,0)</f>
        <v>0</v>
      </c>
      <c r="CI66" s="518">
        <f>IF(YEAR('3 pr-2'!$AJ66)=2019,$CD66,0)</f>
        <v>0</v>
      </c>
      <c r="CJ66" s="518">
        <f>IF(YEAR('3 pr-2'!$AJ66)=2020,$CD66,0)</f>
        <v>0</v>
      </c>
      <c r="CK66" s="518">
        <f>IF(YEAR('3 pr-2'!$AJ66)=2021,$CD66,0)</f>
        <v>0</v>
      </c>
      <c r="CL66" s="518">
        <f>IF(YEAR('3 pr-2'!$AJ66)=2022,$CD66,0)</f>
        <v>0</v>
      </c>
      <c r="CM66" s="518">
        <f>IF(YEAR('3 pr-2'!$AJ66)=2023,$CD66,0)</f>
        <v>0</v>
      </c>
      <c r="CN66" s="523"/>
      <c r="CO66" s="882"/>
      <c r="CP66" s="524"/>
      <c r="CQ66" s="518"/>
      <c r="CR66" s="518"/>
      <c r="CS66" s="518"/>
      <c r="CT66" s="518"/>
      <c r="CU66" s="518"/>
      <c r="CV66" s="518"/>
      <c r="CW66" s="1337">
        <f t="shared" si="129"/>
        <v>0</v>
      </c>
      <c r="CX66" s="524"/>
      <c r="CY66" s="504"/>
      <c r="CZ66" s="504"/>
      <c r="DA66" s="1332">
        <f>IF(YEAR('3 pr-2'!AJ66)=2017,CX66,0)</f>
        <v>0</v>
      </c>
      <c r="DB66" s="1332">
        <f>IF(YEAR('3 pr-2'!AJ66)=2018,CX66,0)</f>
        <v>0</v>
      </c>
      <c r="DC66" s="1332">
        <f>IF(YEAR('3 pr-2'!AJ66)=2019,CX66,0)</f>
        <v>0</v>
      </c>
      <c r="DD66" s="1332">
        <f>IF(YEAR('3 pr-2'!AJ66)=2020,CX66,0)</f>
        <v>0</v>
      </c>
      <c r="DE66" s="1332">
        <f>IF(YEAR('3 pr-2'!AJ66)=2021,CX66,0)</f>
        <v>0</v>
      </c>
      <c r="DF66" s="1332">
        <f>IF(YEAR('3 pr-2'!AJ66)=2022,CX66,0)</f>
        <v>0</v>
      </c>
      <c r="DG66" s="1332">
        <f>IF(YEAR('3 pr-2'!AJ66)=2023,CX66,0)</f>
        <v>0</v>
      </c>
    </row>
    <row r="67" spans="1:112" ht="63.75" thickBot="1" x14ac:dyDescent="0.3">
      <c r="A67" s="1257" t="str">
        <f>CONCATENATE('3 pr-2'!A67)</f>
        <v>1.1.1.9</v>
      </c>
      <c r="B67" s="1687" t="str">
        <f>CONCATENATE('3 pr-2'!B67)</f>
        <v>Priemonė:
Aktualizuoti savivaldybių kultūros paveldo objektus</v>
      </c>
      <c r="C67" s="1688"/>
      <c r="D67" s="1688"/>
      <c r="E67" s="1688"/>
      <c r="F67" s="1688"/>
      <c r="G67" s="1688"/>
      <c r="H67" s="1688"/>
      <c r="I67" s="1688"/>
      <c r="J67" s="1688"/>
      <c r="K67" s="1689"/>
      <c r="L67" s="1328" t="s">
        <v>516</v>
      </c>
      <c r="M67" s="884" t="s">
        <v>517</v>
      </c>
      <c r="N67" s="505">
        <f>SUM(N68:N72)</f>
        <v>0</v>
      </c>
      <c r="O67" s="505">
        <f t="shared" ref="O67:T67" si="281">SUM(O68:O72)</f>
        <v>0</v>
      </c>
      <c r="P67" s="505">
        <f t="shared" si="281"/>
        <v>0</v>
      </c>
      <c r="Q67" s="505">
        <f t="shared" si="281"/>
        <v>0</v>
      </c>
      <c r="R67" s="505">
        <f t="shared" si="281"/>
        <v>0</v>
      </c>
      <c r="S67" s="505">
        <f t="shared" si="281"/>
        <v>0</v>
      </c>
      <c r="T67" s="505">
        <f t="shared" si="281"/>
        <v>0</v>
      </c>
      <c r="U67" s="1329">
        <f t="shared" ref="U67:U72" si="282">SUM(N67:T67)</f>
        <v>0</v>
      </c>
      <c r="V67" s="1299">
        <f>SUM(V68:V72)</f>
        <v>5</v>
      </c>
      <c r="W67" s="1317"/>
      <c r="X67" s="1316"/>
      <c r="Y67" s="505">
        <f t="shared" ref="Y67:AE67" si="283">SUM(Y68:Y72)</f>
        <v>0</v>
      </c>
      <c r="Z67" s="505">
        <f t="shared" si="283"/>
        <v>0</v>
      </c>
      <c r="AA67" s="505">
        <f t="shared" si="283"/>
        <v>2</v>
      </c>
      <c r="AB67" s="505">
        <f t="shared" si="283"/>
        <v>3</v>
      </c>
      <c r="AC67" s="505">
        <f t="shared" si="283"/>
        <v>0</v>
      </c>
      <c r="AD67" s="505">
        <f t="shared" si="283"/>
        <v>0</v>
      </c>
      <c r="AE67" s="505">
        <f t="shared" si="283"/>
        <v>0</v>
      </c>
      <c r="AF67" s="1316" t="s">
        <v>1683</v>
      </c>
      <c r="AG67" s="1331" t="s">
        <v>1684</v>
      </c>
      <c r="AH67" s="505">
        <f>SUM(AH68:AH72)</f>
        <v>0</v>
      </c>
      <c r="AI67" s="505">
        <f t="shared" ref="AI67" si="284">SUM(AI68:AI72)</f>
        <v>0</v>
      </c>
      <c r="AJ67" s="505">
        <f t="shared" ref="AJ67" si="285">SUM(AJ68:AJ72)</f>
        <v>0</v>
      </c>
      <c r="AK67" s="505">
        <f t="shared" ref="AK67" si="286">SUM(AK68:AK72)</f>
        <v>0</v>
      </c>
      <c r="AL67" s="505">
        <f t="shared" ref="AL67" si="287">SUM(AL68:AL72)</f>
        <v>0</v>
      </c>
      <c r="AM67" s="505">
        <f t="shared" ref="AM67" si="288">SUM(AM68:AM72)</f>
        <v>0</v>
      </c>
      <c r="AN67" s="505">
        <f t="shared" ref="AN67" si="289">SUM(AN68:AN72)</f>
        <v>0</v>
      </c>
      <c r="AO67" s="1299">
        <f t="shared" si="126"/>
        <v>0</v>
      </c>
      <c r="AP67" s="1299">
        <f>SUM(AP68:AP72)</f>
        <v>3500</v>
      </c>
      <c r="AQ67" s="505"/>
      <c r="AR67" s="505"/>
      <c r="AS67" s="505">
        <f t="shared" ref="AS67:AY67" si="290">SUM(AS68:AS72)</f>
        <v>0</v>
      </c>
      <c r="AT67" s="505">
        <f t="shared" si="290"/>
        <v>0</v>
      </c>
      <c r="AU67" s="505">
        <f t="shared" si="290"/>
        <v>3500</v>
      </c>
      <c r="AV67" s="505">
        <f t="shared" si="290"/>
        <v>0</v>
      </c>
      <c r="AW67" s="505">
        <f t="shared" si="290"/>
        <v>0</v>
      </c>
      <c r="AX67" s="505">
        <f t="shared" si="290"/>
        <v>0</v>
      </c>
      <c r="AY67" s="505">
        <f t="shared" si="290"/>
        <v>0</v>
      </c>
      <c r="AZ67" s="1299"/>
      <c r="BA67" s="1331"/>
      <c r="BB67" s="505">
        <f>SUM(BB68:BB72)</f>
        <v>0</v>
      </c>
      <c r="BC67" s="505">
        <f t="shared" ref="BC67" si="291">SUM(BC68:BC72)</f>
        <v>0</v>
      </c>
      <c r="BD67" s="505">
        <f t="shared" ref="BD67" si="292">SUM(BD68:BD72)</f>
        <v>0</v>
      </c>
      <c r="BE67" s="505">
        <f t="shared" ref="BE67" si="293">SUM(BE68:BE72)</f>
        <v>0</v>
      </c>
      <c r="BF67" s="505">
        <f t="shared" ref="BF67" si="294">SUM(BF68:BF72)</f>
        <v>0</v>
      </c>
      <c r="BG67" s="505">
        <f t="shared" ref="BG67" si="295">SUM(BG68:BG72)</f>
        <v>0</v>
      </c>
      <c r="BH67" s="505">
        <f t="shared" ref="BH67" si="296">SUM(BH68:BH72)</f>
        <v>0</v>
      </c>
      <c r="BI67" s="1299">
        <f t="shared" si="152"/>
        <v>0</v>
      </c>
      <c r="BJ67" s="1299"/>
      <c r="BK67" s="505"/>
      <c r="BL67" s="505"/>
      <c r="BM67" s="505"/>
      <c r="BN67" s="505"/>
      <c r="BO67" s="505"/>
      <c r="BP67" s="505"/>
      <c r="BQ67" s="505"/>
      <c r="BR67" s="505"/>
      <c r="BS67" s="505"/>
      <c r="BT67" s="505"/>
      <c r="BU67" s="882"/>
      <c r="BV67" s="505">
        <f>SUM(BV68:BV72)</f>
        <v>0</v>
      </c>
      <c r="BW67" s="505">
        <f t="shared" ref="BW67" si="297">SUM(BW68:BW72)</f>
        <v>0</v>
      </c>
      <c r="BX67" s="505">
        <f t="shared" ref="BX67" si="298">SUM(BX68:BX72)</f>
        <v>0</v>
      </c>
      <c r="BY67" s="505">
        <f t="shared" ref="BY67" si="299">SUM(BY68:BY72)</f>
        <v>0</v>
      </c>
      <c r="BZ67" s="505">
        <f t="shared" ref="BZ67" si="300">SUM(BZ68:BZ72)</f>
        <v>0</v>
      </c>
      <c r="CA67" s="505">
        <f t="shared" ref="CA67" si="301">SUM(CA68:CA72)</f>
        <v>0</v>
      </c>
      <c r="CB67" s="505">
        <f t="shared" ref="CB67" si="302">SUM(CB68:CB72)</f>
        <v>0</v>
      </c>
      <c r="CC67" s="1299">
        <f t="shared" si="128"/>
        <v>0</v>
      </c>
      <c r="CD67" s="505"/>
      <c r="CE67" s="505"/>
      <c r="CF67" s="505"/>
      <c r="CG67" s="505"/>
      <c r="CH67" s="505"/>
      <c r="CI67" s="505"/>
      <c r="CJ67" s="505"/>
      <c r="CK67" s="505"/>
      <c r="CL67" s="505"/>
      <c r="CM67" s="505"/>
      <c r="CN67" s="1329"/>
      <c r="CO67" s="882"/>
      <c r="CP67" s="1287">
        <f>SUM(CP68:CP72)</f>
        <v>0</v>
      </c>
      <c r="CQ67" s="505">
        <f t="shared" ref="CQ67" si="303">SUM(CQ68:CQ72)</f>
        <v>0</v>
      </c>
      <c r="CR67" s="505">
        <f t="shared" ref="CR67" si="304">SUM(CR68:CR72)</f>
        <v>0</v>
      </c>
      <c r="CS67" s="505">
        <f t="shared" ref="CS67" si="305">SUM(CS68:CS72)</f>
        <v>0</v>
      </c>
      <c r="CT67" s="505">
        <f t="shared" ref="CT67" si="306">SUM(CT68:CT72)</f>
        <v>0</v>
      </c>
      <c r="CU67" s="505">
        <f t="shared" ref="CU67" si="307">SUM(CU68:CU72)</f>
        <v>0</v>
      </c>
      <c r="CV67" s="505">
        <f t="shared" ref="CV67" si="308">SUM(CV68:CV72)</f>
        <v>0</v>
      </c>
      <c r="CW67" s="1299">
        <f t="shared" si="129"/>
        <v>0</v>
      </c>
      <c r="CX67" s="505"/>
      <c r="CY67" s="1332"/>
      <c r="CZ67" s="1332"/>
      <c r="DA67" s="1332"/>
      <c r="DB67" s="1332"/>
      <c r="DC67" s="1332"/>
      <c r="DD67" s="1332"/>
      <c r="DE67" s="1332"/>
      <c r="DF67" s="1332"/>
      <c r="DG67" s="1332"/>
    </row>
    <row r="68" spans="1:112" ht="61.5" thickTop="1" thickBot="1" x14ac:dyDescent="0.3">
      <c r="A68" s="518" t="str">
        <f>CONCATENATE('3 pr-2'!A68)</f>
        <v>1.1.1.9.1</v>
      </c>
      <c r="B68" s="518" t="str">
        <f>CONCATENATE('3 pr-2'!B68)</f>
        <v>R01-3302-440000-1191</v>
      </c>
      <c r="C68" s="1449" t="str">
        <f>CONCATENATE('ketv. 2lent'!B67)</f>
        <v/>
      </c>
      <c r="D68" s="189" t="str">
        <f>CONCATENATE('3 pr-2'!D68)</f>
        <v>Buvusios sinagogos pastato Kauno g. 9A Alytuje rekonstravimas ir aplinkinės teritorijos sutvarkymas</v>
      </c>
      <c r="E68" s="480" t="str">
        <f>CONCATENATE('3 pr-2'!E68)</f>
        <v>Alytaus miesto savivaldybės administracija</v>
      </c>
      <c r="F68" s="480" t="str">
        <f>CONCATENATE('3 pr-2'!F68)</f>
        <v>Lietuvos Respublikos kultūros ministerija</v>
      </c>
      <c r="G68" s="480" t="str">
        <f>CONCATENATE('3 pr-2'!G68)</f>
        <v>Alytaus  miestas</v>
      </c>
      <c r="H68" s="518" t="str">
        <f>CONCATENATE('3 pr-2'!H68)</f>
        <v>05.4.1-CPVA-R-302</v>
      </c>
      <c r="I68" s="518" t="str">
        <f>CONCATENATE('3 pr-2'!I68)</f>
        <v>R</v>
      </c>
      <c r="J68" s="518" t="str">
        <f>CONCATENATE('3 pr-2'!J68)</f>
        <v>ITI</v>
      </c>
      <c r="K68" s="518" t="str">
        <f>CONCATENATE('3 pr-2'!K68)</f>
        <v xml:space="preserve"> -</v>
      </c>
      <c r="L68" s="518" t="s">
        <v>516</v>
      </c>
      <c r="M68" s="881" t="s">
        <v>517</v>
      </c>
      <c r="N68" s="518"/>
      <c r="O68" s="518"/>
      <c r="P68" s="518"/>
      <c r="Q68" s="518"/>
      <c r="R68" s="518"/>
      <c r="S68" s="518"/>
      <c r="T68" s="518"/>
      <c r="U68" s="1335">
        <f t="shared" si="282"/>
        <v>0</v>
      </c>
      <c r="V68" s="518">
        <v>1</v>
      </c>
      <c r="W68" s="1336">
        <f>IF('ketv. 6 lent'!K67&gt;0,"taip",0)</f>
        <v>0</v>
      </c>
      <c r="X68" s="518"/>
      <c r="Y68" s="518">
        <f>IF(YEAR('3 pr-2'!$AJ68)=2017,$V68,0)</f>
        <v>0</v>
      </c>
      <c r="Z68" s="518">
        <f>IF(YEAR('3 pr-2'!$AJ68)=2018,$V68,0)</f>
        <v>0</v>
      </c>
      <c r="AA68" s="518">
        <f>IF(YEAR('3 pr-2'!$AJ68)=2019,$V68,0)</f>
        <v>0</v>
      </c>
      <c r="AB68" s="518">
        <f>IF(YEAR('3 pr-2'!$AJ68)=2020,$V68,0)</f>
        <v>1</v>
      </c>
      <c r="AC68" s="518">
        <f>IF(YEAR('3 pr-2'!$AJ68)=2021,$V68,0)</f>
        <v>0</v>
      </c>
      <c r="AD68" s="518">
        <f>IF(YEAR('3 pr-2'!$AJ68)=2022,$V68,0)</f>
        <v>0</v>
      </c>
      <c r="AE68" s="518">
        <f>IF(YEAR('3 pr-2'!$AJ68)=2023,$V68,0)</f>
        <v>0</v>
      </c>
      <c r="AF68" s="523"/>
      <c r="AG68" s="1204"/>
      <c r="AH68" s="518"/>
      <c r="AI68" s="518"/>
      <c r="AJ68" s="518"/>
      <c r="AK68" s="518"/>
      <c r="AL68" s="518"/>
      <c r="AM68" s="518"/>
      <c r="AN68" s="518"/>
      <c r="AO68" s="1337"/>
      <c r="AP68" s="518"/>
      <c r="AQ68" s="1338"/>
      <c r="AR68" s="518"/>
      <c r="AS68" s="518">
        <f>IF(YEAR('3 pr-2'!$AJ68)=2017,$AP68,0)</f>
        <v>0</v>
      </c>
      <c r="AT68" s="518">
        <f>IF(YEAR('3 pr-2'!$AJ68)=2018,$AP68,0)</f>
        <v>0</v>
      </c>
      <c r="AU68" s="518">
        <f>IF(YEAR('3 pr-2'!$AJ68)=2019,$AP68,0)</f>
        <v>0</v>
      </c>
      <c r="AV68" s="518">
        <f>IF(YEAR('3 pr-2'!$AJ68)=2020,$AP68,0)</f>
        <v>0</v>
      </c>
      <c r="AW68" s="518">
        <f>IF(YEAR('3 pr-2'!$AJ68)=2021,$AP68,0)</f>
        <v>0</v>
      </c>
      <c r="AX68" s="518">
        <f>IF(YEAR('3 pr-2'!$AJ68)=2022,$AP68,0)</f>
        <v>0</v>
      </c>
      <c r="AY68" s="518">
        <f>IF(YEAR('3 pr-2'!$AJ68)=2023,$AP68,0)</f>
        <v>0</v>
      </c>
      <c r="AZ68" s="518"/>
      <c r="BA68" s="880"/>
      <c r="BB68" s="518"/>
      <c r="BC68" s="518"/>
      <c r="BD68" s="518"/>
      <c r="BE68" s="518"/>
      <c r="BF68" s="518"/>
      <c r="BG68" s="518"/>
      <c r="BH68" s="518"/>
      <c r="BI68" s="1337">
        <f t="shared" si="152"/>
        <v>0</v>
      </c>
      <c r="BJ68" s="518"/>
      <c r="BK68" s="1338"/>
      <c r="BL68" s="518"/>
      <c r="BM68" s="518">
        <f>IF(YEAR('3 pr-2'!AJ68)=2017,BJ68,0)</f>
        <v>0</v>
      </c>
      <c r="BN68" s="518">
        <f>IF(YEAR('3 pr-2'!AJ68)=2018,BJ68,0)</f>
        <v>0</v>
      </c>
      <c r="BO68" s="518">
        <f>IF(YEAR('3 pr-2'!AJ68)=2019,BJ68,0)</f>
        <v>0</v>
      </c>
      <c r="BP68" s="518">
        <f>IF(YEAR('3 pr-2'!AJ68)=2020,BJ68,0)</f>
        <v>0</v>
      </c>
      <c r="BQ68" s="518">
        <f>IF(YEAR('3 pr-2'!AJ68)=2021,BJ68,0)</f>
        <v>0</v>
      </c>
      <c r="BR68" s="518">
        <f>IF(YEAR('3 pr-2'!AJ68)=2022,BJ68,0)</f>
        <v>0</v>
      </c>
      <c r="BS68" s="518">
        <f>IF(YEAR('3 pr-2'!AJ68)=2023,BJ68,0)</f>
        <v>0</v>
      </c>
      <c r="BT68" s="523"/>
      <c r="BU68" s="881"/>
      <c r="BV68" s="518"/>
      <c r="BW68" s="518"/>
      <c r="BX68" s="518"/>
      <c r="BY68" s="518"/>
      <c r="BZ68" s="518"/>
      <c r="CA68" s="518"/>
      <c r="CB68" s="518"/>
      <c r="CC68" s="1337">
        <f t="shared" si="128"/>
        <v>0</v>
      </c>
      <c r="CD68" s="518"/>
      <c r="CE68" s="518"/>
      <c r="CF68" s="518"/>
      <c r="CG68" s="518">
        <f>IF(YEAR('3 pr-2'!$AJ68)=2017,$CD68,0)</f>
        <v>0</v>
      </c>
      <c r="CH68" s="518">
        <f>IF(YEAR('3 pr-2'!$AJ68)=2018,$CD68,0)</f>
        <v>0</v>
      </c>
      <c r="CI68" s="518">
        <f>IF(YEAR('3 pr-2'!$AJ68)=2019,$CD68,0)</f>
        <v>0</v>
      </c>
      <c r="CJ68" s="518">
        <f>IF(YEAR('3 pr-2'!$AJ68)=2020,$CD68,0)</f>
        <v>0</v>
      </c>
      <c r="CK68" s="518">
        <f>IF(YEAR('3 pr-2'!$AJ68)=2021,$CD68,0)</f>
        <v>0</v>
      </c>
      <c r="CL68" s="518">
        <f>IF(YEAR('3 pr-2'!$AJ68)=2022,$CD68,0)</f>
        <v>0</v>
      </c>
      <c r="CM68" s="518">
        <f>IF(YEAR('3 pr-2'!$AJ68)=2023,$CD68,0)</f>
        <v>0</v>
      </c>
      <c r="CN68" s="523"/>
      <c r="CO68" s="882"/>
      <c r="CP68" s="524"/>
      <c r="CQ68" s="518"/>
      <c r="CR68" s="518"/>
      <c r="CS68" s="518"/>
      <c r="CT68" s="518"/>
      <c r="CU68" s="518"/>
      <c r="CV68" s="518"/>
      <c r="CW68" s="1337">
        <f t="shared" si="129"/>
        <v>0</v>
      </c>
      <c r="CX68" s="524"/>
      <c r="CY68" s="504"/>
      <c r="CZ68" s="504"/>
      <c r="DA68" s="1332">
        <f>IF(YEAR('3 pr-2'!AJ68)=2017,CX68,0)</f>
        <v>0</v>
      </c>
      <c r="DB68" s="1332">
        <f>IF(YEAR('3 pr-2'!AJ68)=2018,CX68,0)</f>
        <v>0</v>
      </c>
      <c r="DC68" s="1332">
        <f>IF(YEAR('3 pr-2'!AJ68)=2019,CX68,0)</f>
        <v>0</v>
      </c>
      <c r="DD68" s="1332">
        <f>IF(YEAR('3 pr-2'!AJ68)=2020,CX68,0)</f>
        <v>0</v>
      </c>
      <c r="DE68" s="1332">
        <f>IF(YEAR('3 pr-2'!AJ68)=2021,CX68,0)</f>
        <v>0</v>
      </c>
      <c r="DF68" s="1332">
        <f>IF(YEAR('3 pr-2'!AJ68)=2022,CX68,0)</f>
        <v>0</v>
      </c>
      <c r="DG68" s="1332">
        <f>IF(YEAR('3 pr-2'!AJ68)=2023,CX68,0)</f>
        <v>0</v>
      </c>
    </row>
    <row r="69" spans="1:112" ht="85.5" thickTop="1" thickBot="1" x14ac:dyDescent="0.3">
      <c r="A69" s="518" t="str">
        <f>CONCATENATE('3 pr-2'!A69)</f>
        <v>1.1.1.9.2</v>
      </c>
      <c r="B69" s="518" t="str">
        <f>CONCATENATE('3 pr-2'!B69)</f>
        <v>R01-3302-440000-1192</v>
      </c>
      <c r="C69" s="1449" t="str">
        <f>CONCATENATE('ketv. 2lent'!B68)</f>
        <v/>
      </c>
      <c r="D69" s="189" t="str">
        <f>CONCATENATE('3 pr-2'!D69)</f>
        <v>Mažosios dailės galerijos, M.K.Čiurlionio g. 37, Druskininkai, modernizavimas ir pritaikymas kultūros poreikiams</v>
      </c>
      <c r="E69" s="480" t="str">
        <f>CONCATENATE('3 pr-2'!E69)</f>
        <v xml:space="preserve">Druskininkų savivaldybės administracija  </v>
      </c>
      <c r="F69" s="480" t="str">
        <f>CONCATENATE('3 pr-2'!F69)</f>
        <v>Lietuvos Respublikos kultūros ministerija</v>
      </c>
      <c r="G69" s="480" t="str">
        <f>CONCATENATE('3 pr-2'!G69)</f>
        <v>Druskininkų  miestas</v>
      </c>
      <c r="H69" s="518" t="str">
        <f>CONCATENATE('3 pr-2'!H69)</f>
        <v>05.4.1-CPVA-R-302</v>
      </c>
      <c r="I69" s="518" t="str">
        <f>CONCATENATE('3 pr-2'!I69)</f>
        <v>R</v>
      </c>
      <c r="J69" s="518" t="str">
        <f>CONCATENATE('3 pr-2'!J69)</f>
        <v>ITI</v>
      </c>
      <c r="K69" s="518" t="str">
        <f>CONCATENATE('3 pr-2'!K69)</f>
        <v/>
      </c>
      <c r="L69" s="518" t="s">
        <v>516</v>
      </c>
      <c r="M69" s="881" t="s">
        <v>518</v>
      </c>
      <c r="N69" s="518"/>
      <c r="O69" s="518"/>
      <c r="P69" s="518"/>
      <c r="Q69" s="518"/>
      <c r="R69" s="518"/>
      <c r="S69" s="518"/>
      <c r="T69" s="518"/>
      <c r="U69" s="1335">
        <f t="shared" si="282"/>
        <v>0</v>
      </c>
      <c r="V69" s="518">
        <v>1</v>
      </c>
      <c r="W69" s="1336">
        <f>IF('ketv. 6 lent'!K68&gt;0,"taip",0)</f>
        <v>0</v>
      </c>
      <c r="X69" s="518"/>
      <c r="Y69" s="518">
        <f>IF(YEAR('3 pr-2'!$AJ69)=2017,$V69,0)</f>
        <v>0</v>
      </c>
      <c r="Z69" s="518">
        <f>IF(YEAR('3 pr-2'!$AJ69)=2018,$V69,0)</f>
        <v>0</v>
      </c>
      <c r="AA69" s="518">
        <f>IF(YEAR('3 pr-2'!$AJ69)=2019,$V69,0)</f>
        <v>1</v>
      </c>
      <c r="AB69" s="518">
        <f>IF(YEAR('3 pr-2'!$AJ69)=2020,$V69,0)</f>
        <v>0</v>
      </c>
      <c r="AC69" s="518">
        <f>IF(YEAR('3 pr-2'!$AJ69)=2021,$V69,0)</f>
        <v>0</v>
      </c>
      <c r="AD69" s="518">
        <f>IF(YEAR('3 pr-2'!$AJ69)=2022,$V69,0)</f>
        <v>0</v>
      </c>
      <c r="AE69" s="518">
        <f>IF(YEAR('3 pr-2'!$AJ69)=2023,$V69,0)</f>
        <v>0</v>
      </c>
      <c r="AF69" s="523" t="s">
        <v>1683</v>
      </c>
      <c r="AG69" s="1204" t="s">
        <v>1684</v>
      </c>
      <c r="AH69" s="518"/>
      <c r="AI69" s="518"/>
      <c r="AJ69" s="518"/>
      <c r="AK69" s="518"/>
      <c r="AL69" s="518"/>
      <c r="AM69" s="518"/>
      <c r="AN69" s="518"/>
      <c r="AO69" s="1337">
        <f t="shared" ref="AO69" si="309">SUM(AH69:AN69)</f>
        <v>0</v>
      </c>
      <c r="AP69" s="518">
        <v>3500</v>
      </c>
      <c r="AQ69" s="1338"/>
      <c r="AR69" s="518"/>
      <c r="AS69" s="518">
        <f>IF(YEAR('3 pr-2'!$AJ69)=2017,$AP69,0)</f>
        <v>0</v>
      </c>
      <c r="AT69" s="518">
        <f>IF(YEAR('3 pr-2'!$AJ69)=2018,$AP69,0)</f>
        <v>0</v>
      </c>
      <c r="AU69" s="518">
        <f>IF(YEAR('3 pr-2'!$AJ69)=2019,$AP69,0)</f>
        <v>3500</v>
      </c>
      <c r="AV69" s="518">
        <f>IF(YEAR('3 pr-2'!$AJ69)=2020,$AP69,0)</f>
        <v>0</v>
      </c>
      <c r="AW69" s="518">
        <f>IF(YEAR('3 pr-2'!$AJ69)=2021,$AP69,0)</f>
        <v>0</v>
      </c>
      <c r="AX69" s="518">
        <f>IF(YEAR('3 pr-2'!$AJ69)=2022,$AP69,0)</f>
        <v>0</v>
      </c>
      <c r="AY69" s="518">
        <f>IF(YEAR('3 pr-2'!$AJ69)=2023,$AP69,0)</f>
        <v>0</v>
      </c>
      <c r="AZ69" s="518"/>
      <c r="BA69" s="880"/>
      <c r="BB69" s="518"/>
      <c r="BC69" s="518"/>
      <c r="BD69" s="518"/>
      <c r="BE69" s="518"/>
      <c r="BF69" s="518"/>
      <c r="BG69" s="518"/>
      <c r="BH69" s="518"/>
      <c r="BI69" s="1337">
        <f t="shared" si="152"/>
        <v>0</v>
      </c>
      <c r="BJ69" s="518"/>
      <c r="BK69" s="1338"/>
      <c r="BL69" s="518"/>
      <c r="BM69" s="518">
        <f>IF(YEAR('3 pr-2'!AJ69)=2017,BJ69,0)</f>
        <v>0</v>
      </c>
      <c r="BN69" s="518">
        <f>IF(YEAR('3 pr-2'!AJ69)=2018,BJ69,0)</f>
        <v>0</v>
      </c>
      <c r="BO69" s="518">
        <f>IF(YEAR('3 pr-2'!AJ69)=2019,BJ69,0)</f>
        <v>0</v>
      </c>
      <c r="BP69" s="518">
        <f>IF(YEAR('3 pr-2'!AJ69)=2020,BJ69,0)</f>
        <v>0</v>
      </c>
      <c r="BQ69" s="518">
        <f>IF(YEAR('3 pr-2'!AJ69)=2021,BJ69,0)</f>
        <v>0</v>
      </c>
      <c r="BR69" s="518">
        <f>IF(YEAR('3 pr-2'!AJ69)=2022,BJ69,0)</f>
        <v>0</v>
      </c>
      <c r="BS69" s="518">
        <f>IF(YEAR('3 pr-2'!AJ69)=2023,BJ69,0)</f>
        <v>0</v>
      </c>
      <c r="BT69" s="523"/>
      <c r="BU69" s="881"/>
      <c r="BV69" s="518"/>
      <c r="BW69" s="518"/>
      <c r="BX69" s="518"/>
      <c r="BY69" s="518"/>
      <c r="BZ69" s="518"/>
      <c r="CA69" s="518"/>
      <c r="CB69" s="518"/>
      <c r="CC69" s="1337">
        <f t="shared" si="128"/>
        <v>0</v>
      </c>
      <c r="CD69" s="518"/>
      <c r="CE69" s="518"/>
      <c r="CF69" s="518"/>
      <c r="CG69" s="518">
        <f>IF(YEAR('3 pr-2'!$AJ69)=2017,$CD69,0)</f>
        <v>0</v>
      </c>
      <c r="CH69" s="518">
        <f>IF(YEAR('3 pr-2'!$AJ69)=2018,$CD69,0)</f>
        <v>0</v>
      </c>
      <c r="CI69" s="518">
        <f>IF(YEAR('3 pr-2'!$AJ69)=2019,$CD69,0)</f>
        <v>0</v>
      </c>
      <c r="CJ69" s="518">
        <f>IF(YEAR('3 pr-2'!$AJ69)=2020,$CD69,0)</f>
        <v>0</v>
      </c>
      <c r="CK69" s="518">
        <f>IF(YEAR('3 pr-2'!$AJ69)=2021,$CD69,0)</f>
        <v>0</v>
      </c>
      <c r="CL69" s="518">
        <f>IF(YEAR('3 pr-2'!$AJ69)=2022,$CD69,0)</f>
        <v>0</v>
      </c>
      <c r="CM69" s="518">
        <f>IF(YEAR('3 pr-2'!$AJ69)=2023,$CD69,0)</f>
        <v>0</v>
      </c>
      <c r="CN69" s="523"/>
      <c r="CO69" s="882"/>
      <c r="CP69" s="524"/>
      <c r="CQ69" s="518"/>
      <c r="CR69" s="518"/>
      <c r="CS69" s="518"/>
      <c r="CT69" s="518"/>
      <c r="CU69" s="518"/>
      <c r="CV69" s="518"/>
      <c r="CW69" s="1337">
        <f t="shared" si="129"/>
        <v>0</v>
      </c>
      <c r="CX69" s="524"/>
      <c r="CY69" s="504"/>
      <c r="CZ69" s="504"/>
      <c r="DA69" s="1332">
        <f>IF(YEAR('3 pr-2'!AJ69)=2017,CX69,0)</f>
        <v>0</v>
      </c>
      <c r="DB69" s="1332">
        <f>IF(YEAR('3 pr-2'!AJ69)=2018,CX69,0)</f>
        <v>0</v>
      </c>
      <c r="DC69" s="1332">
        <f>IF(YEAR('3 pr-2'!AJ69)=2019,CX69,0)</f>
        <v>0</v>
      </c>
      <c r="DD69" s="1332">
        <f>IF(YEAR('3 pr-2'!AJ69)=2020,CX69,0)</f>
        <v>0</v>
      </c>
      <c r="DE69" s="1332">
        <f>IF(YEAR('3 pr-2'!AJ69)=2021,CX69,0)</f>
        <v>0</v>
      </c>
      <c r="DF69" s="1332">
        <f>IF(YEAR('3 pr-2'!AJ69)=2022,CX69,0)</f>
        <v>0</v>
      </c>
      <c r="DG69" s="1332">
        <f>IF(YEAR('3 pr-2'!AJ69)=2023,CX69,0)</f>
        <v>0</v>
      </c>
    </row>
    <row r="70" spans="1:112" ht="49.5" thickTop="1" thickBot="1" x14ac:dyDescent="0.3">
      <c r="A70" s="518" t="str">
        <f>CONCATENATE('3 pr-2'!A70)</f>
        <v>1.1.1.9.3</v>
      </c>
      <c r="B70" s="518" t="str">
        <f>CONCATENATE('3 pr-2'!B70)</f>
        <v>R01-3302-440200-1193</v>
      </c>
      <c r="C70" s="1449" t="str">
        <f>CONCATENATE('ketv. 2lent'!B69)</f>
        <v/>
      </c>
      <c r="D70" s="189" t="str">
        <f>CONCATENATE('3 pr-2'!D70)</f>
        <v>Motiejaus  Gustaičio  memorialinio  namo  kompleksinis sutvarkymas</v>
      </c>
      <c r="E70" s="480" t="str">
        <f>CONCATENATE('3 pr-2'!E70)</f>
        <v>Lazdijų rajono savivaldybės administracija</v>
      </c>
      <c r="F70" s="480" t="str">
        <f>CONCATENATE('3 pr-2'!F70)</f>
        <v>Lietuvos Respublikos kultūros ministerija</v>
      </c>
      <c r="G70" s="480" t="str">
        <f>CONCATENATE('3 pr-2'!G70)</f>
        <v>Lazdijų miestas</v>
      </c>
      <c r="H70" s="518" t="str">
        <f>CONCATENATE('3 pr-2'!H70)</f>
        <v>05.4.1-CPVA-R-302</v>
      </c>
      <c r="I70" s="518" t="str">
        <f>CONCATENATE('3 pr-2'!I70)</f>
        <v>R</v>
      </c>
      <c r="J70" s="518" t="str">
        <f>CONCATENATE('3 pr-2'!J70)</f>
        <v>ITI</v>
      </c>
      <c r="K70" s="518" t="str">
        <f>CONCATENATE('3 pr-2'!K70)</f>
        <v>-</v>
      </c>
      <c r="L70" s="518" t="s">
        <v>516</v>
      </c>
      <c r="M70" s="881" t="s">
        <v>518</v>
      </c>
      <c r="N70" s="518"/>
      <c r="O70" s="518"/>
      <c r="P70" s="518"/>
      <c r="Q70" s="518"/>
      <c r="R70" s="518"/>
      <c r="S70" s="518"/>
      <c r="T70" s="518"/>
      <c r="U70" s="1335">
        <f t="shared" si="282"/>
        <v>0</v>
      </c>
      <c r="V70" s="518">
        <v>1</v>
      </c>
      <c r="W70" s="1336">
        <f>IF('ketv. 6 lent'!K69&gt;0,"taip",0)</f>
        <v>0</v>
      </c>
      <c r="X70" s="518"/>
      <c r="Y70" s="518">
        <f>IF(YEAR('3 pr-2'!$AJ70)=2017,$V70,0)</f>
        <v>0</v>
      </c>
      <c r="Z70" s="518">
        <f>IF(YEAR('3 pr-2'!$AJ70)=2018,$V70,0)</f>
        <v>0</v>
      </c>
      <c r="AA70" s="518">
        <f>IF(YEAR('3 pr-2'!$AJ70)=2019,$V70,0)</f>
        <v>1</v>
      </c>
      <c r="AB70" s="518">
        <f>IF(YEAR('3 pr-2'!$AJ70)=2020,$V70,0)</f>
        <v>0</v>
      </c>
      <c r="AC70" s="518">
        <f>IF(YEAR('3 pr-2'!$AJ70)=2021,$V70,0)</f>
        <v>0</v>
      </c>
      <c r="AD70" s="518">
        <f>IF(YEAR('3 pr-2'!$AJ70)=2022,$V70,0)</f>
        <v>0</v>
      </c>
      <c r="AE70" s="518">
        <f>IF(YEAR('3 pr-2'!$AJ70)=2023,$V70,0)</f>
        <v>0</v>
      </c>
      <c r="AF70" s="523"/>
      <c r="AG70" s="881"/>
      <c r="AH70" s="518"/>
      <c r="AI70" s="518"/>
      <c r="AJ70" s="518"/>
      <c r="AK70" s="518"/>
      <c r="AL70" s="518"/>
      <c r="AM70" s="518"/>
      <c r="AN70" s="518"/>
      <c r="AO70" s="1337">
        <f t="shared" si="126"/>
        <v>0</v>
      </c>
      <c r="AP70" s="518"/>
      <c r="AQ70" s="1338"/>
      <c r="AR70" s="518"/>
      <c r="AS70" s="518">
        <f>IF(YEAR('3 pr-2'!$AJ70)=2017,$AP70,0)</f>
        <v>0</v>
      </c>
      <c r="AT70" s="518">
        <f>IF(YEAR('3 pr-2'!$AJ70)=2018,$AP70,0)</f>
        <v>0</v>
      </c>
      <c r="AU70" s="518">
        <f>IF(YEAR('3 pr-2'!$AJ70)=2019,$AP70,0)</f>
        <v>0</v>
      </c>
      <c r="AV70" s="518">
        <f>IF(YEAR('3 pr-2'!$AJ70)=2020,$AP70,0)</f>
        <v>0</v>
      </c>
      <c r="AW70" s="518">
        <f>IF(YEAR('3 pr-2'!$AJ70)=2021,$AP70,0)</f>
        <v>0</v>
      </c>
      <c r="AX70" s="518">
        <f>IF(YEAR('3 pr-2'!$AJ70)=2022,$AP70,0)</f>
        <v>0</v>
      </c>
      <c r="AY70" s="518">
        <f>IF(YEAR('3 pr-2'!$AJ70)=2023,$AP70,0)</f>
        <v>0</v>
      </c>
      <c r="AZ70" s="518"/>
      <c r="BA70" s="880"/>
      <c r="BB70" s="518"/>
      <c r="BC70" s="518"/>
      <c r="BD70" s="518"/>
      <c r="BE70" s="518"/>
      <c r="BF70" s="518"/>
      <c r="BG70" s="518"/>
      <c r="BH70" s="518"/>
      <c r="BI70" s="1337">
        <f t="shared" si="152"/>
        <v>0</v>
      </c>
      <c r="BJ70" s="518"/>
      <c r="BK70" s="1338"/>
      <c r="BL70" s="518"/>
      <c r="BM70" s="518">
        <f>IF(YEAR('3 pr-2'!AJ70)=2017,BJ70,0)</f>
        <v>0</v>
      </c>
      <c r="BN70" s="518">
        <f>IF(YEAR('3 pr-2'!AJ70)=2018,BJ70,0)</f>
        <v>0</v>
      </c>
      <c r="BO70" s="518">
        <f>IF(YEAR('3 pr-2'!AJ70)=2019,BJ70,0)</f>
        <v>0</v>
      </c>
      <c r="BP70" s="518">
        <f>IF(YEAR('3 pr-2'!AJ70)=2020,BJ70,0)</f>
        <v>0</v>
      </c>
      <c r="BQ70" s="518">
        <f>IF(YEAR('3 pr-2'!AJ70)=2021,BJ70,0)</f>
        <v>0</v>
      </c>
      <c r="BR70" s="518">
        <f>IF(YEAR('3 pr-2'!AJ70)=2022,BJ70,0)</f>
        <v>0</v>
      </c>
      <c r="BS70" s="518">
        <f>IF(YEAR('3 pr-2'!AJ70)=2023,BJ70,0)</f>
        <v>0</v>
      </c>
      <c r="BT70" s="523"/>
      <c r="BU70" s="881"/>
      <c r="BV70" s="518"/>
      <c r="BW70" s="518"/>
      <c r="BX70" s="518"/>
      <c r="BY70" s="518"/>
      <c r="BZ70" s="518"/>
      <c r="CA70" s="518"/>
      <c r="CB70" s="518"/>
      <c r="CC70" s="1337">
        <f t="shared" si="128"/>
        <v>0</v>
      </c>
      <c r="CD70" s="518"/>
      <c r="CE70" s="518"/>
      <c r="CF70" s="518"/>
      <c r="CG70" s="518">
        <f>IF(YEAR('3 pr-2'!$AJ70)=2017,$CD70,0)</f>
        <v>0</v>
      </c>
      <c r="CH70" s="518">
        <f>IF(YEAR('3 pr-2'!$AJ70)=2018,$CD70,0)</f>
        <v>0</v>
      </c>
      <c r="CI70" s="518">
        <f>IF(YEAR('3 pr-2'!$AJ70)=2019,$CD70,0)</f>
        <v>0</v>
      </c>
      <c r="CJ70" s="518">
        <f>IF(YEAR('3 pr-2'!$AJ70)=2020,$CD70,0)</f>
        <v>0</v>
      </c>
      <c r="CK70" s="518">
        <f>IF(YEAR('3 pr-2'!$AJ70)=2021,$CD70,0)</f>
        <v>0</v>
      </c>
      <c r="CL70" s="518">
        <f>IF(YEAR('3 pr-2'!$AJ70)=2022,$CD70,0)</f>
        <v>0</v>
      </c>
      <c r="CM70" s="518">
        <f>IF(YEAR('3 pr-2'!$AJ70)=2023,$CD70,0)</f>
        <v>0</v>
      </c>
      <c r="CN70" s="523"/>
      <c r="CO70" s="882"/>
      <c r="CP70" s="524"/>
      <c r="CQ70" s="518"/>
      <c r="CR70" s="518"/>
      <c r="CS70" s="518"/>
      <c r="CT70" s="518"/>
      <c r="CU70" s="518"/>
      <c r="CV70" s="518"/>
      <c r="CW70" s="1337">
        <f t="shared" si="129"/>
        <v>0</v>
      </c>
      <c r="CX70" s="524"/>
      <c r="CY70" s="504"/>
      <c r="CZ70" s="504"/>
      <c r="DA70" s="1332">
        <f>IF(YEAR('3 pr-2'!AJ70)=2017,CX70,0)</f>
        <v>0</v>
      </c>
      <c r="DB70" s="1332">
        <f>IF(YEAR('3 pr-2'!AJ70)=2018,CX70,0)</f>
        <v>0</v>
      </c>
      <c r="DC70" s="1332">
        <f>IF(YEAR('3 pr-2'!AJ70)=2019,CX70,0)</f>
        <v>0</v>
      </c>
      <c r="DD70" s="1332">
        <f>IF(YEAR('3 pr-2'!AJ70)=2020,CX70,0)</f>
        <v>0</v>
      </c>
      <c r="DE70" s="1332">
        <f>IF(YEAR('3 pr-2'!AJ70)=2021,CX70,0)</f>
        <v>0</v>
      </c>
      <c r="DF70" s="1332">
        <f>IF(YEAR('3 pr-2'!AJ70)=2022,CX70,0)</f>
        <v>0</v>
      </c>
      <c r="DG70" s="1332">
        <f>IF(YEAR('3 pr-2'!AJ70)=2023,CX70,0)</f>
        <v>0</v>
      </c>
    </row>
    <row r="71" spans="1:112" ht="49.5" thickTop="1" thickBot="1" x14ac:dyDescent="0.3">
      <c r="A71" s="518" t="str">
        <f>CONCATENATE('3 pr-2'!A71)</f>
        <v>1.1.1.9.4</v>
      </c>
      <c r="B71" s="518" t="str">
        <f>CONCATENATE('3 pr-2'!B71)</f>
        <v>R01-3302-440000-1194</v>
      </c>
      <c r="C71" s="1449" t="str">
        <f>CONCATENATE('ketv. 2lent'!B70)</f>
        <v/>
      </c>
      <c r="D71" s="189" t="str">
        <f>CONCATENATE('3 pr-2'!D71)</f>
        <v>Kurnėnų Lauryno Radziukyno mokyklos pritaikymas kultūrinėms ir turistinėms reikmėms</v>
      </c>
      <c r="E71" s="480" t="str">
        <f>CONCATENATE('3 pr-2'!E71)</f>
        <v>Alytaus rajono savivaldybės administracija</v>
      </c>
      <c r="F71" s="480" t="str">
        <f>CONCATENATE('3 pr-2'!F71)</f>
        <v>Lietuvos Respublikos kultūros ministerija</v>
      </c>
      <c r="G71" s="480" t="str">
        <f>CONCATENATE('3 pr-2'!G71)</f>
        <v>Alytaus  rajono savivaldybė</v>
      </c>
      <c r="H71" s="518" t="str">
        <f>CONCATENATE('3 pr-2'!H71)</f>
        <v>05.4.1-CPVA-R-302</v>
      </c>
      <c r="I71" s="518" t="str">
        <f>CONCATENATE('3 pr-2'!I71)</f>
        <v>R</v>
      </c>
      <c r="J71" s="518" t="str">
        <f>CONCATENATE('3 pr-2'!J71)</f>
        <v>-</v>
      </c>
      <c r="K71" s="518" t="str">
        <f>CONCATENATE('3 pr-2'!K71)</f>
        <v>-</v>
      </c>
      <c r="L71" s="518" t="s">
        <v>516</v>
      </c>
      <c r="M71" s="881" t="s">
        <v>518</v>
      </c>
      <c r="N71" s="518"/>
      <c r="O71" s="518"/>
      <c r="P71" s="518"/>
      <c r="Q71" s="518"/>
      <c r="R71" s="518"/>
      <c r="S71" s="518"/>
      <c r="T71" s="518"/>
      <c r="U71" s="1335">
        <f t="shared" si="282"/>
        <v>0</v>
      </c>
      <c r="V71" s="518">
        <v>1</v>
      </c>
      <c r="W71" s="1336">
        <f>IF('ketv. 6 lent'!K70&gt;0,"taip",0)</f>
        <v>0</v>
      </c>
      <c r="X71" s="518"/>
      <c r="Y71" s="518">
        <f>IF(YEAR('3 pr-2'!$AJ71)=2017,$V71,0)</f>
        <v>0</v>
      </c>
      <c r="Z71" s="518">
        <f>IF(YEAR('3 pr-2'!$AJ71)=2018,$V71,0)</f>
        <v>0</v>
      </c>
      <c r="AA71" s="518">
        <f>IF(YEAR('3 pr-2'!$AJ71)=2019,$V71,0)</f>
        <v>0</v>
      </c>
      <c r="AB71" s="518">
        <f>IF(YEAR('3 pr-2'!$AJ71)=2020,$V71,0)</f>
        <v>1</v>
      </c>
      <c r="AC71" s="518">
        <f>IF(YEAR('3 pr-2'!$AJ71)=2021,$V71,0)</f>
        <v>0</v>
      </c>
      <c r="AD71" s="518">
        <f>IF(YEAR('3 pr-2'!$AJ71)=2022,$V71,0)</f>
        <v>0</v>
      </c>
      <c r="AE71" s="518">
        <f>IF(YEAR('3 pr-2'!$AJ71)=2023,$V71,0)</f>
        <v>0</v>
      </c>
      <c r="AF71" s="523"/>
      <c r="AG71" s="881"/>
      <c r="AH71" s="518"/>
      <c r="AI71" s="518"/>
      <c r="AJ71" s="518"/>
      <c r="AK71" s="518"/>
      <c r="AL71" s="518"/>
      <c r="AM71" s="518"/>
      <c r="AN71" s="518"/>
      <c r="AO71" s="1337">
        <f t="shared" si="126"/>
        <v>0</v>
      </c>
      <c r="AP71" s="518"/>
      <c r="AQ71" s="1338"/>
      <c r="AR71" s="518"/>
      <c r="AS71" s="518">
        <f>IF(YEAR('3 pr-2'!$AJ71)=2017,$AP71,0)</f>
        <v>0</v>
      </c>
      <c r="AT71" s="518">
        <f>IF(YEAR('3 pr-2'!$AJ71)=2018,$AP71,0)</f>
        <v>0</v>
      </c>
      <c r="AU71" s="518">
        <f>IF(YEAR('3 pr-2'!$AJ71)=2019,$AP71,0)</f>
        <v>0</v>
      </c>
      <c r="AV71" s="518">
        <f>IF(YEAR('3 pr-2'!$AJ71)=2020,$AP71,0)</f>
        <v>0</v>
      </c>
      <c r="AW71" s="518">
        <f>IF(YEAR('3 pr-2'!$AJ71)=2021,$AP71,0)</f>
        <v>0</v>
      </c>
      <c r="AX71" s="518">
        <f>IF(YEAR('3 pr-2'!$AJ71)=2022,$AP71,0)</f>
        <v>0</v>
      </c>
      <c r="AY71" s="518">
        <f>IF(YEAR('3 pr-2'!$AJ71)=2023,$AP71,0)</f>
        <v>0</v>
      </c>
      <c r="AZ71" s="518"/>
      <c r="BA71" s="880"/>
      <c r="BB71" s="518"/>
      <c r="BC71" s="518"/>
      <c r="BD71" s="518"/>
      <c r="BE71" s="518"/>
      <c r="BF71" s="518"/>
      <c r="BG71" s="518"/>
      <c r="BH71" s="518"/>
      <c r="BI71" s="1337">
        <f t="shared" si="152"/>
        <v>0</v>
      </c>
      <c r="BJ71" s="518"/>
      <c r="BK71" s="1338"/>
      <c r="BL71" s="518"/>
      <c r="BM71" s="518">
        <f>IF(YEAR('3 pr-2'!AJ71)=2017,BJ71,0)</f>
        <v>0</v>
      </c>
      <c r="BN71" s="518">
        <f>IF(YEAR('3 pr-2'!AJ71)=2018,BJ71,0)</f>
        <v>0</v>
      </c>
      <c r="BO71" s="518">
        <f>IF(YEAR('3 pr-2'!AJ71)=2019,BJ71,0)</f>
        <v>0</v>
      </c>
      <c r="BP71" s="518">
        <f>IF(YEAR('3 pr-2'!AJ71)=2020,BJ71,0)</f>
        <v>0</v>
      </c>
      <c r="BQ71" s="518">
        <f>IF(YEAR('3 pr-2'!AJ71)=2021,BJ71,0)</f>
        <v>0</v>
      </c>
      <c r="BR71" s="518">
        <f>IF(YEAR('3 pr-2'!AJ71)=2022,BJ71,0)</f>
        <v>0</v>
      </c>
      <c r="BS71" s="518">
        <f>IF(YEAR('3 pr-2'!AJ71)=2023,BJ71,0)</f>
        <v>0</v>
      </c>
      <c r="BT71" s="523"/>
      <c r="BU71" s="881"/>
      <c r="BV71" s="518"/>
      <c r="BW71" s="518"/>
      <c r="BX71" s="518"/>
      <c r="BY71" s="518"/>
      <c r="BZ71" s="518"/>
      <c r="CA71" s="518"/>
      <c r="CB71" s="518"/>
      <c r="CC71" s="1337">
        <f t="shared" si="128"/>
        <v>0</v>
      </c>
      <c r="CD71" s="518"/>
      <c r="CE71" s="518"/>
      <c r="CF71" s="518"/>
      <c r="CG71" s="518">
        <f>IF(YEAR('3 pr-2'!$AJ71)=2017,$CD71,0)</f>
        <v>0</v>
      </c>
      <c r="CH71" s="518">
        <f>IF(YEAR('3 pr-2'!$AJ71)=2018,$CD71,0)</f>
        <v>0</v>
      </c>
      <c r="CI71" s="518">
        <f>IF(YEAR('3 pr-2'!$AJ71)=2019,$CD71,0)</f>
        <v>0</v>
      </c>
      <c r="CJ71" s="518">
        <f>IF(YEAR('3 pr-2'!$AJ71)=2020,$CD71,0)</f>
        <v>0</v>
      </c>
      <c r="CK71" s="518">
        <f>IF(YEAR('3 pr-2'!$AJ71)=2021,$CD71,0)</f>
        <v>0</v>
      </c>
      <c r="CL71" s="518">
        <f>IF(YEAR('3 pr-2'!$AJ71)=2022,$CD71,0)</f>
        <v>0</v>
      </c>
      <c r="CM71" s="518">
        <f>IF(YEAR('3 pr-2'!$AJ71)=2023,$CD71,0)</f>
        <v>0</v>
      </c>
      <c r="CN71" s="523"/>
      <c r="CO71" s="882"/>
      <c r="CP71" s="524"/>
      <c r="CQ71" s="518"/>
      <c r="CR71" s="518"/>
      <c r="CS71" s="518"/>
      <c r="CT71" s="518"/>
      <c r="CU71" s="518"/>
      <c r="CV71" s="518"/>
      <c r="CW71" s="1337">
        <f t="shared" si="129"/>
        <v>0</v>
      </c>
      <c r="CX71" s="524"/>
      <c r="CY71" s="504"/>
      <c r="CZ71" s="504"/>
      <c r="DA71" s="1332">
        <f>IF(YEAR('3 pr-2'!AJ71)=2017,CX71,0)</f>
        <v>0</v>
      </c>
      <c r="DB71" s="1332">
        <f>IF(YEAR('3 pr-2'!AJ71)=2018,CX71,0)</f>
        <v>0</v>
      </c>
      <c r="DC71" s="1332">
        <f>IF(YEAR('3 pr-2'!AJ71)=2019,CX71,0)</f>
        <v>0</v>
      </c>
      <c r="DD71" s="1332">
        <f>IF(YEAR('3 pr-2'!AJ71)=2020,CX71,0)</f>
        <v>0</v>
      </c>
      <c r="DE71" s="1332">
        <f>IF(YEAR('3 pr-2'!AJ71)=2021,CX71,0)</f>
        <v>0</v>
      </c>
      <c r="DF71" s="1332">
        <f>IF(YEAR('3 pr-2'!AJ71)=2022,CX71,0)</f>
        <v>0</v>
      </c>
      <c r="DG71" s="1332">
        <f>IF(YEAR('3 pr-2'!AJ71)=2023,CX71,0)</f>
        <v>0</v>
      </c>
    </row>
    <row r="72" spans="1:112" ht="49.5" thickTop="1" thickBot="1" x14ac:dyDescent="0.3">
      <c r="A72" s="518" t="str">
        <f>CONCATENATE('3 pr-2'!A72)</f>
        <v>1.1.1.9.5</v>
      </c>
      <c r="B72" s="518" t="str">
        <f>CONCATENATE('3 pr-2'!B72)</f>
        <v>R01-3302-440000-1195</v>
      </c>
      <c r="C72" s="1449" t="str">
        <f>CONCATENATE('ketv. 2lent'!B71)</f>
        <v/>
      </c>
      <c r="D72" s="189" t="str">
        <f>CONCATENATE('3 pr-2'!D72)</f>
        <v>Vinco Krėvės-Mickevičiaus memorialinio muziejaus atnaujinimas</v>
      </c>
      <c r="E72" s="480" t="str">
        <f>CONCATENATE('3 pr-2'!E72)</f>
        <v>Varėnos rajono savivaldybės administracija</v>
      </c>
      <c r="F72" s="480" t="str">
        <f>CONCATENATE('3 pr-2'!F72)</f>
        <v>Lietuvos Respublikos kultūros ministerija</v>
      </c>
      <c r="G72" s="480" t="str">
        <f>CONCATENATE('3 pr-2'!G72)</f>
        <v>Varėnos rajono savivaldybė</v>
      </c>
      <c r="H72" s="518" t="str">
        <f>CONCATENATE('3 pr-2'!H72)</f>
        <v>05.4.1-CPVA-R-302</v>
      </c>
      <c r="I72" s="518" t="str">
        <f>CONCATENATE('3 pr-2'!I72)</f>
        <v>R</v>
      </c>
      <c r="J72" s="518" t="str">
        <f>CONCATENATE('3 pr-2'!J72)</f>
        <v>-</v>
      </c>
      <c r="K72" s="518" t="str">
        <f>CONCATENATE('3 pr-2'!K72)</f>
        <v>-</v>
      </c>
      <c r="L72" s="518" t="s">
        <v>516</v>
      </c>
      <c r="M72" s="881" t="s">
        <v>518</v>
      </c>
      <c r="N72" s="518"/>
      <c r="O72" s="518"/>
      <c r="P72" s="518"/>
      <c r="Q72" s="518"/>
      <c r="R72" s="518"/>
      <c r="S72" s="518"/>
      <c r="T72" s="518"/>
      <c r="U72" s="1335">
        <f t="shared" si="282"/>
        <v>0</v>
      </c>
      <c r="V72" s="518">
        <v>1</v>
      </c>
      <c r="W72" s="1336">
        <f>IF('ketv. 6 lent'!K71&gt;0,"taip",0)</f>
        <v>0</v>
      </c>
      <c r="X72" s="518"/>
      <c r="Y72" s="518">
        <f>IF(YEAR('3 pr-2'!$AJ72)=2017,$V72,0)</f>
        <v>0</v>
      </c>
      <c r="Z72" s="518">
        <f>IF(YEAR('3 pr-2'!$AJ72)=2018,$V72,0)</f>
        <v>0</v>
      </c>
      <c r="AA72" s="518">
        <f>IF(YEAR('3 pr-2'!$AJ72)=2019,$V72,0)</f>
        <v>0</v>
      </c>
      <c r="AB72" s="518">
        <f>IF(YEAR('3 pr-2'!$AJ72)=2020,$V72,0)</f>
        <v>1</v>
      </c>
      <c r="AC72" s="518">
        <f>IF(YEAR('3 pr-2'!$AJ72)=2021,$V72,0)</f>
        <v>0</v>
      </c>
      <c r="AD72" s="518">
        <f>IF(YEAR('3 pr-2'!$AJ72)=2022,$V72,0)</f>
        <v>0</v>
      </c>
      <c r="AE72" s="518">
        <f>IF(YEAR('3 pr-2'!$AJ72)=2023,$V72,0)</f>
        <v>0</v>
      </c>
      <c r="AF72" s="523"/>
      <c r="AG72" s="881"/>
      <c r="AH72" s="518"/>
      <c r="AI72" s="518"/>
      <c r="AJ72" s="518"/>
      <c r="AK72" s="518"/>
      <c r="AL72" s="518"/>
      <c r="AM72" s="518"/>
      <c r="AN72" s="518"/>
      <c r="AO72" s="1337">
        <f t="shared" si="126"/>
        <v>0</v>
      </c>
      <c r="AP72" s="518"/>
      <c r="AQ72" s="1338"/>
      <c r="AR72" s="518"/>
      <c r="AS72" s="518">
        <f>IF(YEAR('3 pr-2'!$AJ72)=2017,$AP72,0)</f>
        <v>0</v>
      </c>
      <c r="AT72" s="518">
        <f>IF(YEAR('3 pr-2'!$AJ72)=2018,$AP72,0)</f>
        <v>0</v>
      </c>
      <c r="AU72" s="518">
        <f>IF(YEAR('3 pr-2'!$AJ72)=2019,$AP72,0)</f>
        <v>0</v>
      </c>
      <c r="AV72" s="518">
        <f>IF(YEAR('3 pr-2'!$AJ72)=2020,$AP72,0)</f>
        <v>0</v>
      </c>
      <c r="AW72" s="518">
        <f>IF(YEAR('3 pr-2'!$AJ72)=2021,$AP72,0)</f>
        <v>0</v>
      </c>
      <c r="AX72" s="518">
        <f>IF(YEAR('3 pr-2'!$AJ72)=2022,$AP72,0)</f>
        <v>0</v>
      </c>
      <c r="AY72" s="518">
        <f>IF(YEAR('3 pr-2'!$AJ72)=2023,$AP72,0)</f>
        <v>0</v>
      </c>
      <c r="AZ72" s="518"/>
      <c r="BA72" s="880"/>
      <c r="BB72" s="518"/>
      <c r="BC72" s="518"/>
      <c r="BD72" s="518"/>
      <c r="BE72" s="518"/>
      <c r="BF72" s="518"/>
      <c r="BG72" s="518"/>
      <c r="BH72" s="518"/>
      <c r="BI72" s="1337">
        <f t="shared" si="152"/>
        <v>0</v>
      </c>
      <c r="BJ72" s="518"/>
      <c r="BK72" s="1338"/>
      <c r="BL72" s="518"/>
      <c r="BM72" s="518">
        <f>IF(YEAR('3 pr-2'!AJ72)=2017,BJ72,0)</f>
        <v>0</v>
      </c>
      <c r="BN72" s="518">
        <f>IF(YEAR('3 pr-2'!AJ72)=2018,BJ72,0)</f>
        <v>0</v>
      </c>
      <c r="BO72" s="518">
        <f>IF(YEAR('3 pr-2'!AJ72)=2019,BJ72,0)</f>
        <v>0</v>
      </c>
      <c r="BP72" s="518">
        <f>IF(YEAR('3 pr-2'!AJ72)=2020,BJ72,0)</f>
        <v>0</v>
      </c>
      <c r="BQ72" s="518">
        <f>IF(YEAR('3 pr-2'!AJ72)=2021,BJ72,0)</f>
        <v>0</v>
      </c>
      <c r="BR72" s="518">
        <f>IF(YEAR('3 pr-2'!AJ72)=2022,BJ72,0)</f>
        <v>0</v>
      </c>
      <c r="BS72" s="518">
        <f>IF(YEAR('3 pr-2'!AJ72)=2023,BJ72,0)</f>
        <v>0</v>
      </c>
      <c r="BT72" s="523"/>
      <c r="BU72" s="881"/>
      <c r="BV72" s="518"/>
      <c r="BW72" s="518"/>
      <c r="BX72" s="518"/>
      <c r="BY72" s="518"/>
      <c r="BZ72" s="518"/>
      <c r="CA72" s="518"/>
      <c r="CB72" s="518"/>
      <c r="CC72" s="1337">
        <f t="shared" si="128"/>
        <v>0</v>
      </c>
      <c r="CD72" s="518"/>
      <c r="CE72" s="518"/>
      <c r="CF72" s="518"/>
      <c r="CG72" s="518">
        <f>IF(YEAR('3 pr-2'!$AJ72)=2017,$CD72,0)</f>
        <v>0</v>
      </c>
      <c r="CH72" s="518">
        <f>IF(YEAR('3 pr-2'!$AJ72)=2018,$CD72,0)</f>
        <v>0</v>
      </c>
      <c r="CI72" s="518">
        <f>IF(YEAR('3 pr-2'!$AJ72)=2019,$CD72,0)</f>
        <v>0</v>
      </c>
      <c r="CJ72" s="518">
        <f>IF(YEAR('3 pr-2'!$AJ72)=2020,$CD72,0)</f>
        <v>0</v>
      </c>
      <c r="CK72" s="518">
        <f>IF(YEAR('3 pr-2'!$AJ72)=2021,$CD72,0)</f>
        <v>0</v>
      </c>
      <c r="CL72" s="518">
        <f>IF(YEAR('3 pr-2'!$AJ72)=2022,$CD72,0)</f>
        <v>0</v>
      </c>
      <c r="CM72" s="518">
        <f>IF(YEAR('3 pr-2'!$AJ72)=2023,$CD72,0)</f>
        <v>0</v>
      </c>
      <c r="CN72" s="523"/>
      <c r="CO72" s="882"/>
      <c r="CP72" s="524"/>
      <c r="CQ72" s="518"/>
      <c r="CR72" s="518"/>
      <c r="CS72" s="518"/>
      <c r="CT72" s="518"/>
      <c r="CU72" s="518"/>
      <c r="CV72" s="518"/>
      <c r="CW72" s="1337">
        <f t="shared" si="129"/>
        <v>0</v>
      </c>
      <c r="CX72" s="524"/>
      <c r="CY72" s="504"/>
      <c r="CZ72" s="504"/>
      <c r="DA72" s="1332">
        <f>IF(YEAR('3 pr-2'!AJ72)=2017,CX72,0)</f>
        <v>0</v>
      </c>
      <c r="DB72" s="1332">
        <f>IF(YEAR('3 pr-2'!AJ72)=2018,CX72,0)</f>
        <v>0</v>
      </c>
      <c r="DC72" s="1332">
        <f>IF(YEAR('3 pr-2'!AJ72)=2019,CX72,0)</f>
        <v>0</v>
      </c>
      <c r="DD72" s="1332">
        <f>IF(YEAR('3 pr-2'!AJ72)=2020,CX72,0)</f>
        <v>0</v>
      </c>
      <c r="DE72" s="1332">
        <f>IF(YEAR('3 pr-2'!AJ72)=2021,CX72,0)</f>
        <v>0</v>
      </c>
      <c r="DF72" s="1332">
        <f>IF(YEAR('3 pr-2'!AJ72)=2022,CX72,0)</f>
        <v>0</v>
      </c>
      <c r="DG72" s="1332">
        <f>IF(YEAR('3 pr-2'!AJ72)=2023,CX72,0)</f>
        <v>0</v>
      </c>
    </row>
    <row r="73" spans="1:112" ht="16.5" customHeight="1" thickBot="1" x14ac:dyDescent="0.3">
      <c r="A73" s="1303" t="str">
        <f>CONCATENATE('3 pr-2'!A73)</f>
        <v>1.1.2.</v>
      </c>
      <c r="B73" s="1687" t="str">
        <f>CONCATENATE('3 pr-2'!B73)</f>
        <v>Uždavinys:
Pagerinti darbo jėgos judėjimo galimybes gerinant susisiekimo sistemas</v>
      </c>
      <c r="C73" s="1688"/>
      <c r="D73" s="1688"/>
      <c r="E73" s="1688"/>
      <c r="F73" s="1688"/>
      <c r="G73" s="1688"/>
      <c r="H73" s="1688"/>
      <c r="I73" s="1688"/>
      <c r="J73" s="1688"/>
      <c r="K73" s="1689"/>
      <c r="L73" s="1343"/>
      <c r="M73" s="1344"/>
      <c r="N73" s="1343"/>
      <c r="O73" s="1343"/>
      <c r="P73" s="1343"/>
      <c r="Q73" s="1343"/>
      <c r="R73" s="1343"/>
      <c r="S73" s="1343"/>
      <c r="T73" s="1343"/>
      <c r="U73" s="1345"/>
      <c r="V73" s="505"/>
      <c r="W73" s="1346"/>
      <c r="X73" s="1343"/>
      <c r="Y73" s="1343"/>
      <c r="Z73" s="1343"/>
      <c r="AA73" s="1343"/>
      <c r="AB73" s="1343"/>
      <c r="AC73" s="1343"/>
      <c r="AD73" s="1343"/>
      <c r="AE73" s="1343"/>
      <c r="AF73" s="1343"/>
      <c r="AG73" s="1344"/>
      <c r="AH73" s="1343"/>
      <c r="AI73" s="1343"/>
      <c r="AJ73" s="1343"/>
      <c r="AK73" s="1343"/>
      <c r="AL73" s="1343"/>
      <c r="AM73" s="1343"/>
      <c r="AN73" s="1343"/>
      <c r="AO73" s="1343"/>
      <c r="AP73" s="1343"/>
      <c r="AQ73" s="1343"/>
      <c r="AR73" s="1343"/>
      <c r="AS73" s="1343"/>
      <c r="AT73" s="1343"/>
      <c r="AU73" s="1343"/>
      <c r="AV73" s="1343"/>
      <c r="AW73" s="1343"/>
      <c r="AX73" s="1343"/>
      <c r="AY73" s="1343"/>
      <c r="AZ73" s="1343"/>
      <c r="BA73" s="1344"/>
      <c r="BB73" s="1343"/>
      <c r="BC73" s="1343"/>
      <c r="BD73" s="1343"/>
      <c r="BE73" s="1343"/>
      <c r="BF73" s="1343"/>
      <c r="BG73" s="1343"/>
      <c r="BH73" s="1343"/>
      <c r="BI73" s="1343"/>
      <c r="BJ73" s="1343"/>
      <c r="BK73" s="1343"/>
      <c r="BL73" s="1343"/>
      <c r="BM73" s="1343"/>
      <c r="BN73" s="1343"/>
      <c r="BO73" s="1343"/>
      <c r="BP73" s="1343"/>
      <c r="BQ73" s="1343"/>
      <c r="BR73" s="1343"/>
      <c r="BS73" s="1343"/>
      <c r="BT73" s="1343"/>
      <c r="BU73" s="1344"/>
      <c r="BV73" s="1343"/>
      <c r="BW73" s="1343"/>
      <c r="BX73" s="1343"/>
      <c r="BY73" s="1343"/>
      <c r="BZ73" s="1343"/>
      <c r="CA73" s="1343"/>
      <c r="CB73" s="1343"/>
      <c r="CC73" s="1343"/>
      <c r="CD73" s="1343"/>
      <c r="CE73" s="1343"/>
      <c r="CF73" s="1343"/>
      <c r="CG73" s="1343"/>
      <c r="CH73" s="1343"/>
      <c r="CI73" s="1343"/>
      <c r="CJ73" s="1343"/>
      <c r="CK73" s="1343"/>
      <c r="CL73" s="1343"/>
      <c r="CM73" s="1343"/>
      <c r="CN73" s="1345"/>
      <c r="CO73" s="882"/>
      <c r="CP73" s="1346"/>
      <c r="CQ73" s="1343"/>
      <c r="CR73" s="1343"/>
      <c r="CS73" s="1343"/>
      <c r="CT73" s="1343"/>
      <c r="CU73" s="1343"/>
      <c r="CV73" s="1343"/>
      <c r="CW73" s="1343"/>
      <c r="CX73" s="1347"/>
      <c r="CY73" s="478"/>
      <c r="CZ73" s="478"/>
      <c r="DA73" s="478"/>
      <c r="DB73" s="1259"/>
      <c r="DC73" s="1259"/>
      <c r="DD73" s="1259"/>
      <c r="DE73" s="1259"/>
      <c r="DF73" s="1259"/>
      <c r="DG73" s="1259"/>
    </row>
    <row r="74" spans="1:112" ht="33" customHeight="1" thickBot="1" x14ac:dyDescent="0.3">
      <c r="A74" s="1257" t="str">
        <f>CONCATENATE('3 pr-2'!A74)</f>
        <v>1.1.2.1</v>
      </c>
      <c r="B74" s="1687" t="str">
        <f>CONCATENATE('3 pr-2'!B74)</f>
        <v>Priemonė:
Vietinio susisiekimo viešojo transporto priemonių parko atnaujinimas</v>
      </c>
      <c r="C74" s="1688"/>
      <c r="D74" s="1688"/>
      <c r="E74" s="1688"/>
      <c r="F74" s="1688"/>
      <c r="G74" s="1688"/>
      <c r="H74" s="1688"/>
      <c r="I74" s="1688"/>
      <c r="J74" s="1688"/>
      <c r="K74" s="1689"/>
      <c r="L74" s="1328" t="s">
        <v>519</v>
      </c>
      <c r="M74" s="884" t="s">
        <v>520</v>
      </c>
      <c r="N74" s="505">
        <f t="shared" ref="N74:T74" si="310">SUM(N75:N78)</f>
        <v>0</v>
      </c>
      <c r="O74" s="505">
        <f t="shared" si="310"/>
        <v>0</v>
      </c>
      <c r="P74" s="505">
        <f t="shared" si="310"/>
        <v>0</v>
      </c>
      <c r="Q74" s="505">
        <f t="shared" si="310"/>
        <v>0</v>
      </c>
      <c r="R74" s="505">
        <f t="shared" si="310"/>
        <v>0</v>
      </c>
      <c r="S74" s="505">
        <f t="shared" si="310"/>
        <v>0</v>
      </c>
      <c r="T74" s="505">
        <f t="shared" si="310"/>
        <v>0</v>
      </c>
      <c r="U74" s="1329">
        <f t="shared" ref="U74:U79" si="311">SUM(N74:T74)</f>
        <v>0</v>
      </c>
      <c r="V74" s="1299">
        <f>SUM(V75:V78)</f>
        <v>6</v>
      </c>
      <c r="W74" s="1317"/>
      <c r="X74" s="1316"/>
      <c r="Y74" s="505">
        <f t="shared" ref="Y74:AE74" si="312">SUM(Y75:Y78)</f>
        <v>0</v>
      </c>
      <c r="Z74" s="505">
        <f t="shared" si="312"/>
        <v>0</v>
      </c>
      <c r="AA74" s="505">
        <f t="shared" si="312"/>
        <v>2</v>
      </c>
      <c r="AB74" s="505">
        <f t="shared" si="312"/>
        <v>4</v>
      </c>
      <c r="AC74" s="505">
        <f t="shared" si="312"/>
        <v>0</v>
      </c>
      <c r="AD74" s="505">
        <f t="shared" si="312"/>
        <v>0</v>
      </c>
      <c r="AE74" s="505">
        <f t="shared" si="312"/>
        <v>0</v>
      </c>
      <c r="AF74" s="1316"/>
      <c r="AG74" s="1331"/>
      <c r="AH74" s="505">
        <f t="shared" ref="AH74:AN74" si="313">SUM(AH75:AH78)</f>
        <v>0</v>
      </c>
      <c r="AI74" s="505">
        <f t="shared" si="313"/>
        <v>0</v>
      </c>
      <c r="AJ74" s="505">
        <f t="shared" si="313"/>
        <v>0</v>
      </c>
      <c r="AK74" s="505">
        <f t="shared" si="313"/>
        <v>0</v>
      </c>
      <c r="AL74" s="505">
        <f t="shared" si="313"/>
        <v>0</v>
      </c>
      <c r="AM74" s="505">
        <f t="shared" si="313"/>
        <v>0</v>
      </c>
      <c r="AN74" s="505">
        <f t="shared" si="313"/>
        <v>0</v>
      </c>
      <c r="AO74" s="1299">
        <f t="shared" ref="AO74:AO98" si="314">SUM(AH74:AN74)</f>
        <v>0</v>
      </c>
      <c r="AP74" s="1299"/>
      <c r="AQ74" s="505"/>
      <c r="AR74" s="505"/>
      <c r="AS74" s="505"/>
      <c r="AT74" s="505"/>
      <c r="AU74" s="505"/>
      <c r="AV74" s="505"/>
      <c r="AW74" s="505"/>
      <c r="AX74" s="505"/>
      <c r="AY74" s="505"/>
      <c r="AZ74" s="1299"/>
      <c r="BA74" s="1331"/>
      <c r="BB74" s="505">
        <f t="shared" ref="BB74:BH74" si="315">SUM(BB75:BB78)</f>
        <v>0</v>
      </c>
      <c r="BC74" s="505">
        <f t="shared" si="315"/>
        <v>0</v>
      </c>
      <c r="BD74" s="505">
        <f t="shared" si="315"/>
        <v>0</v>
      </c>
      <c r="BE74" s="505">
        <f t="shared" si="315"/>
        <v>0</v>
      </c>
      <c r="BF74" s="505">
        <f t="shared" si="315"/>
        <v>0</v>
      </c>
      <c r="BG74" s="505">
        <f t="shared" si="315"/>
        <v>0</v>
      </c>
      <c r="BH74" s="505">
        <f t="shared" si="315"/>
        <v>0</v>
      </c>
      <c r="BI74" s="1299">
        <f t="shared" ref="BI74:BI98" si="316">SUM(BB74:BH74)</f>
        <v>0</v>
      </c>
      <c r="BJ74" s="1299"/>
      <c r="BK74" s="505"/>
      <c r="BL74" s="505"/>
      <c r="BM74" s="505"/>
      <c r="BN74" s="505"/>
      <c r="BO74" s="505"/>
      <c r="BP74" s="505"/>
      <c r="BQ74" s="505"/>
      <c r="BR74" s="505"/>
      <c r="BS74" s="505"/>
      <c r="BT74" s="505"/>
      <c r="BU74" s="882"/>
      <c r="BV74" s="505">
        <f t="shared" ref="BV74:CB74" si="317">SUM(BV75:BV78)</f>
        <v>0</v>
      </c>
      <c r="BW74" s="505">
        <f t="shared" si="317"/>
        <v>0</v>
      </c>
      <c r="BX74" s="505">
        <f t="shared" si="317"/>
        <v>0</v>
      </c>
      <c r="BY74" s="505">
        <f t="shared" si="317"/>
        <v>0</v>
      </c>
      <c r="BZ74" s="505">
        <f t="shared" si="317"/>
        <v>0</v>
      </c>
      <c r="CA74" s="505">
        <f t="shared" si="317"/>
        <v>0</v>
      </c>
      <c r="CB74" s="505">
        <f t="shared" si="317"/>
        <v>0</v>
      </c>
      <c r="CC74" s="1299">
        <f t="shared" ref="CC74:CC98" si="318">SUM(BV74:CB74)</f>
        <v>0</v>
      </c>
      <c r="CD74" s="505"/>
      <c r="CE74" s="505"/>
      <c r="CF74" s="505"/>
      <c r="CG74" s="505"/>
      <c r="CH74" s="505"/>
      <c r="CI74" s="505"/>
      <c r="CJ74" s="505"/>
      <c r="CK74" s="505"/>
      <c r="CL74" s="505"/>
      <c r="CM74" s="505"/>
      <c r="CN74" s="1329"/>
      <c r="CO74" s="882"/>
      <c r="CP74" s="1287">
        <f t="shared" ref="CP74:CV74" si="319">SUM(CP75:CP78)</f>
        <v>0</v>
      </c>
      <c r="CQ74" s="505">
        <f t="shared" si="319"/>
        <v>0</v>
      </c>
      <c r="CR74" s="505">
        <f t="shared" si="319"/>
        <v>0</v>
      </c>
      <c r="CS74" s="505">
        <f t="shared" si="319"/>
        <v>0</v>
      </c>
      <c r="CT74" s="505">
        <f t="shared" si="319"/>
        <v>0</v>
      </c>
      <c r="CU74" s="505">
        <f t="shared" si="319"/>
        <v>0</v>
      </c>
      <c r="CV74" s="505">
        <f t="shared" si="319"/>
        <v>0</v>
      </c>
      <c r="CW74" s="1299">
        <f t="shared" ref="CW74:CW98" si="320">SUM(CP74:CV74)</f>
        <v>0</v>
      </c>
      <c r="CX74" s="505"/>
      <c r="CY74" s="1332"/>
      <c r="CZ74" s="1332"/>
      <c r="DA74" s="1332"/>
      <c r="DB74" s="1332"/>
      <c r="DC74" s="1332"/>
      <c r="DD74" s="1332"/>
      <c r="DE74" s="1332"/>
      <c r="DF74" s="1332"/>
      <c r="DG74" s="1332"/>
    </row>
    <row r="75" spans="1:112" ht="49.5" thickTop="1" thickBot="1" x14ac:dyDescent="0.3">
      <c r="A75" s="518" t="str">
        <f>CONCATENATE('3 pr-2'!A75)</f>
        <v>1.1.2.1.1</v>
      </c>
      <c r="B75" s="518" t="str">
        <f>CONCATENATE('3 pr-2'!B75)</f>
        <v>R01-5518-100000-1211</v>
      </c>
      <c r="C75" s="1449" t="str">
        <f>CONCATENATE('ketv. 2lent'!B74)</f>
        <v/>
      </c>
      <c r="D75" s="189" t="str">
        <f>CONCATENATE('3 pr-2'!D75)</f>
        <v xml:space="preserve">Nekenksmingų aplinkai viešojo transporto priemonių įsigijimas Alytaus mieste </v>
      </c>
      <c r="E75" s="480" t="str">
        <f>CONCATENATE('3 pr-2'!E75)</f>
        <v>Alytaus miesto savivaldybės administracija</v>
      </c>
      <c r="F75" s="480" t="str">
        <f>CONCATENATE('3 pr-2'!F75)</f>
        <v>Lietuvos Respublikos susisiekimo ministerija</v>
      </c>
      <c r="G75" s="480" t="str">
        <f>CONCATENATE('3 pr-2'!G75)</f>
        <v>Alytaus  miestas</v>
      </c>
      <c r="H75" s="518" t="str">
        <f>CONCATENATE('3 pr-2'!H75)</f>
        <v>04.5.1-TID-R-518</v>
      </c>
      <c r="I75" s="518" t="str">
        <f>CONCATENATE('3 pr-2'!I75)</f>
        <v>R</v>
      </c>
      <c r="J75" s="518" t="str">
        <f>CONCATENATE('3 pr-2'!J75)</f>
        <v>ITI</v>
      </c>
      <c r="K75" s="518" t="str">
        <f>CONCATENATE('3 pr-2'!K75)</f>
        <v>-</v>
      </c>
      <c r="L75" s="518" t="s">
        <v>519</v>
      </c>
      <c r="M75" s="881" t="s">
        <v>521</v>
      </c>
      <c r="N75" s="518"/>
      <c r="O75" s="518"/>
      <c r="P75" s="518"/>
      <c r="Q75" s="518"/>
      <c r="R75" s="518"/>
      <c r="S75" s="518"/>
      <c r="T75" s="518"/>
      <c r="U75" s="1335">
        <f t="shared" si="311"/>
        <v>0</v>
      </c>
      <c r="V75" s="518">
        <v>2</v>
      </c>
      <c r="W75" s="1336">
        <f>IF('ketv. 6 lent'!K75&gt;0,"taip",0)</f>
        <v>0</v>
      </c>
      <c r="X75" s="518"/>
      <c r="Y75" s="518">
        <f>IF(YEAR('3 pr-2'!$AJ75)=2017,$V75,0)</f>
        <v>0</v>
      </c>
      <c r="Z75" s="518">
        <f>IF(YEAR('3 pr-2'!$AJ75)=2018,$V75,0)</f>
        <v>0</v>
      </c>
      <c r="AA75" s="518">
        <f>IF(YEAR('3 pr-2'!$AJ75)=2019,$V75,0)</f>
        <v>0</v>
      </c>
      <c r="AB75" s="518">
        <f>IF(YEAR('3 pr-2'!$AJ75)=2020,$V75,0)</f>
        <v>2</v>
      </c>
      <c r="AC75" s="518">
        <f>IF(YEAR('3 pr-2'!$AJ75)=2021,$V75,0)</f>
        <v>0</v>
      </c>
      <c r="AD75" s="518">
        <f>IF(YEAR('3 pr-2'!$AJ75)=2022,$V75,0)</f>
        <v>0</v>
      </c>
      <c r="AE75" s="518">
        <f>IF(YEAR('3 pr-2'!$AJ75)=2023,$V75,0)</f>
        <v>0</v>
      </c>
      <c r="AF75" s="523"/>
      <c r="AG75" s="881"/>
      <c r="AH75" s="518"/>
      <c r="AI75" s="518"/>
      <c r="AJ75" s="518"/>
      <c r="AK75" s="518"/>
      <c r="AL75" s="518"/>
      <c r="AM75" s="518"/>
      <c r="AN75" s="518"/>
      <c r="AO75" s="1337">
        <f t="shared" si="314"/>
        <v>0</v>
      </c>
      <c r="AP75" s="518"/>
      <c r="AQ75" s="1338"/>
      <c r="AR75" s="518"/>
      <c r="AS75" s="518">
        <f>IF(YEAR('3 pr-2'!$AJ75)=2017,$AP75,0)</f>
        <v>0</v>
      </c>
      <c r="AT75" s="518">
        <f>IF(YEAR('3 pr-2'!$AJ75)=2018,$AP75,0)</f>
        <v>0</v>
      </c>
      <c r="AU75" s="518">
        <f>IF(YEAR('3 pr-2'!$AJ75)=2019,$AP75,0)</f>
        <v>0</v>
      </c>
      <c r="AV75" s="518">
        <f>IF(YEAR('3 pr-2'!$AJ75)=2020,$AP75,0)</f>
        <v>0</v>
      </c>
      <c r="AW75" s="518">
        <f>IF(YEAR('3 pr-2'!$AJ75)=2021,$AP75,0)</f>
        <v>0</v>
      </c>
      <c r="AX75" s="518">
        <f>IF(YEAR('3 pr-2'!$AJ75)=2022,$AP75,0)</f>
        <v>0</v>
      </c>
      <c r="AY75" s="518">
        <f>IF(YEAR('3 pr-2'!$AJ75)=2023,$AP75,0)</f>
        <v>0</v>
      </c>
      <c r="AZ75" s="518"/>
      <c r="BA75" s="880"/>
      <c r="BB75" s="518"/>
      <c r="BC75" s="518"/>
      <c r="BD75" s="518"/>
      <c r="BE75" s="518"/>
      <c r="BF75" s="518"/>
      <c r="BG75" s="518"/>
      <c r="BH75" s="518"/>
      <c r="BI75" s="1337">
        <f t="shared" si="316"/>
        <v>0</v>
      </c>
      <c r="BJ75" s="518"/>
      <c r="BK75" s="1338"/>
      <c r="BL75" s="518"/>
      <c r="BM75" s="518">
        <f>IF(YEAR('3 pr-2'!AJ75)=2017,BJ75,0)</f>
        <v>0</v>
      </c>
      <c r="BN75" s="518">
        <f>IF(YEAR('3 pr-2'!AJ75)=2018,BJ75,0)</f>
        <v>0</v>
      </c>
      <c r="BO75" s="518">
        <f>IF(YEAR('3 pr-2'!AJ75)=2019,BJ75,0)</f>
        <v>0</v>
      </c>
      <c r="BP75" s="518">
        <f>IF(YEAR('3 pr-2'!AJ75)=2020,BJ75,0)</f>
        <v>0</v>
      </c>
      <c r="BQ75" s="518">
        <f>IF(YEAR('3 pr-2'!AJ75)=2021,BJ75,0)</f>
        <v>0</v>
      </c>
      <c r="BR75" s="518">
        <f>IF(YEAR('3 pr-2'!AJ75)=2022,BJ75,0)</f>
        <v>0</v>
      </c>
      <c r="BS75" s="518">
        <f>IF(YEAR('3 pr-2'!AJ75)=2023,BJ75,0)</f>
        <v>0</v>
      </c>
      <c r="BT75" s="523"/>
      <c r="BU75" s="881"/>
      <c r="BV75" s="518"/>
      <c r="BW75" s="518"/>
      <c r="BX75" s="518"/>
      <c r="BY75" s="518"/>
      <c r="BZ75" s="518"/>
      <c r="CA75" s="518"/>
      <c r="CB75" s="518"/>
      <c r="CC75" s="1337">
        <f t="shared" si="318"/>
        <v>0</v>
      </c>
      <c r="CD75" s="518"/>
      <c r="CE75" s="518"/>
      <c r="CF75" s="518"/>
      <c r="CG75" s="518">
        <f>IF(YEAR('3 pr-2'!$AJ75)=2017,$CD75,0)</f>
        <v>0</v>
      </c>
      <c r="CH75" s="518">
        <f>IF(YEAR('3 pr-2'!$AJ75)=2018,$CD75,0)</f>
        <v>0</v>
      </c>
      <c r="CI75" s="518">
        <f>IF(YEAR('3 pr-2'!$AJ75)=2019,$CD75,0)</f>
        <v>0</v>
      </c>
      <c r="CJ75" s="518">
        <f>IF(YEAR('3 pr-2'!$AJ75)=2020,$CD75,0)</f>
        <v>0</v>
      </c>
      <c r="CK75" s="518">
        <f>IF(YEAR('3 pr-2'!$AJ75)=2021,$CD75,0)</f>
        <v>0</v>
      </c>
      <c r="CL75" s="518">
        <f>IF(YEAR('3 pr-2'!$AJ75)=2022,$CD75,0)</f>
        <v>0</v>
      </c>
      <c r="CM75" s="518">
        <f>IF(YEAR('3 pr-2'!$AJ75)=2023,$CD75,0)</f>
        <v>0</v>
      </c>
      <c r="CN75" s="523"/>
      <c r="CO75" s="882"/>
      <c r="CP75" s="524"/>
      <c r="CQ75" s="518"/>
      <c r="CR75" s="518"/>
      <c r="CS75" s="518"/>
      <c r="CT75" s="518"/>
      <c r="CU75" s="518"/>
      <c r="CV75" s="518"/>
      <c r="CW75" s="1337">
        <f t="shared" si="320"/>
        <v>0</v>
      </c>
      <c r="CX75" s="524"/>
      <c r="CY75" s="504"/>
      <c r="CZ75" s="504"/>
      <c r="DA75" s="1332">
        <f>IF(YEAR('3 pr-2'!AJ75)=2017,CX75,0)</f>
        <v>0</v>
      </c>
      <c r="DB75" s="1332">
        <f>IF(YEAR('3 pr-2'!AJ75)=2018,CX75,0)</f>
        <v>0</v>
      </c>
      <c r="DC75" s="1332">
        <f>IF(YEAR('3 pr-2'!AJ75)=2019,CX75,0)</f>
        <v>0</v>
      </c>
      <c r="DD75" s="1332">
        <f>IF(YEAR('3 pr-2'!AJ75)=2020,CX75,0)</f>
        <v>0</v>
      </c>
      <c r="DE75" s="1332">
        <f>IF(YEAR('3 pr-2'!AJ75)=2021,CX75,0)</f>
        <v>0</v>
      </c>
      <c r="DF75" s="1332">
        <f>IF(YEAR('3 pr-2'!AJ75)=2022,CX75,0)</f>
        <v>0</v>
      </c>
      <c r="DG75" s="1332">
        <f>IF(YEAR('3 pr-2'!AJ75)=2023,CX75,0)</f>
        <v>0</v>
      </c>
    </row>
    <row r="76" spans="1:112" ht="49.5" thickTop="1" thickBot="1" x14ac:dyDescent="0.3">
      <c r="A76" s="1428" t="str">
        <f>CONCATENATE('3 pr-2'!A76)</f>
        <v>1.1.2.1.2</v>
      </c>
      <c r="B76" s="518" t="str">
        <f>CONCATENATE('3 pr-2'!B76)</f>
        <v>R01-5518-100000-1212</v>
      </c>
      <c r="C76" s="1449" t="str">
        <f>CONCATENATE('ketv. 2lent'!B75)</f>
        <v/>
      </c>
      <c r="D76" s="189" t="str">
        <f>CONCATENATE('3 pr-2'!D76)</f>
        <v>Nekenksmingų aplinkai viešojo transporto priemonių įsigijimas Alytaus rajone</v>
      </c>
      <c r="E76" s="480" t="str">
        <f>CONCATENATE('3 pr-2'!E76)</f>
        <v>Alytaus rajono savivaldybės administracija</v>
      </c>
      <c r="F76" s="480" t="str">
        <f>CONCATENATE('3 pr-2'!F76)</f>
        <v>Lietuvos Respublikos susisiekimo ministerija</v>
      </c>
      <c r="G76" s="480" t="str">
        <f>CONCATENATE('3 pr-2'!G76)</f>
        <v>Alytaus  rajono savivaldybė</v>
      </c>
      <c r="H76" s="518" t="str">
        <f>CONCATENATE('3 pr-2'!H76)</f>
        <v>04.5.1-TID-R-518</v>
      </c>
      <c r="I76" s="518" t="str">
        <f>CONCATENATE('3 pr-2'!I76)</f>
        <v>R</v>
      </c>
      <c r="J76" s="518" t="str">
        <f>CONCATENATE('3 pr-2'!J76)</f>
        <v>-</v>
      </c>
      <c r="K76" s="518" t="str">
        <f>CONCATENATE('3 pr-2'!K76)</f>
        <v>-</v>
      </c>
      <c r="L76" s="518" t="s">
        <v>519</v>
      </c>
      <c r="M76" s="1204" t="s">
        <v>520</v>
      </c>
      <c r="N76" s="518"/>
      <c r="O76" s="518"/>
      <c r="P76" s="518"/>
      <c r="Q76" s="518"/>
      <c r="R76" s="518"/>
      <c r="S76" s="518"/>
      <c r="T76" s="518"/>
      <c r="U76" s="1335">
        <f t="shared" si="311"/>
        <v>0</v>
      </c>
      <c r="V76" s="518">
        <v>1</v>
      </c>
      <c r="W76" s="1336">
        <f>IF('ketv. 6 lent'!K76&gt;0,"taip",0)</f>
        <v>0</v>
      </c>
      <c r="X76" s="518"/>
      <c r="Y76" s="518">
        <f>IF(YEAR('3 pr-2'!$AJ76)=2017,$V76,0)</f>
        <v>0</v>
      </c>
      <c r="Z76" s="518">
        <f>IF(YEAR('3 pr-2'!$AJ76)=2018,$V76,0)</f>
        <v>0</v>
      </c>
      <c r="AA76" s="518">
        <f>IF(YEAR('3 pr-2'!$AJ76)=2019,$V76,0)</f>
        <v>0</v>
      </c>
      <c r="AB76" s="518">
        <f>IF(YEAR('3 pr-2'!$AJ76)=2020,$V76,0)</f>
        <v>1</v>
      </c>
      <c r="AC76" s="518">
        <f>IF(YEAR('3 pr-2'!$AJ76)=2021,$V76,0)</f>
        <v>0</v>
      </c>
      <c r="AD76" s="518">
        <f>IF(YEAR('3 pr-2'!$AJ76)=2022,$V76,0)</f>
        <v>0</v>
      </c>
      <c r="AE76" s="518">
        <f>IF(YEAR('3 pr-2'!$AJ76)=2023,$V76,0)</f>
        <v>0</v>
      </c>
      <c r="AF76" s="523"/>
      <c r="AG76" s="881"/>
      <c r="AH76" s="518"/>
      <c r="AI76" s="518"/>
      <c r="AJ76" s="518"/>
      <c r="AK76" s="518"/>
      <c r="AL76" s="518"/>
      <c r="AM76" s="518"/>
      <c r="AN76" s="518"/>
      <c r="AO76" s="1337">
        <f t="shared" si="314"/>
        <v>0</v>
      </c>
      <c r="AP76" s="518"/>
      <c r="AQ76" s="1338"/>
      <c r="AR76" s="518"/>
      <c r="AS76" s="518">
        <f>IF(YEAR('3 pr-2'!$AJ76)=2017,$AP76,0)</f>
        <v>0</v>
      </c>
      <c r="AT76" s="518">
        <f>IF(YEAR('3 pr-2'!$AJ76)=2018,$AP76,0)</f>
        <v>0</v>
      </c>
      <c r="AU76" s="518">
        <f>IF(YEAR('3 pr-2'!$AJ76)=2019,$AP76,0)</f>
        <v>0</v>
      </c>
      <c r="AV76" s="518">
        <f>IF(YEAR('3 pr-2'!$AJ76)=2020,$AP76,0)</f>
        <v>0</v>
      </c>
      <c r="AW76" s="518">
        <f>IF(YEAR('3 pr-2'!$AJ76)=2021,$AP76,0)</f>
        <v>0</v>
      </c>
      <c r="AX76" s="518">
        <f>IF(YEAR('3 pr-2'!$AJ76)=2022,$AP76,0)</f>
        <v>0</v>
      </c>
      <c r="AY76" s="518">
        <f>IF(YEAR('3 pr-2'!$AJ76)=2023,$AP76,0)</f>
        <v>0</v>
      </c>
      <c r="AZ76" s="518"/>
      <c r="BA76" s="880"/>
      <c r="BB76" s="518"/>
      <c r="BC76" s="518"/>
      <c r="BD76" s="518"/>
      <c r="BE76" s="518"/>
      <c r="BF76" s="518"/>
      <c r="BG76" s="518"/>
      <c r="BH76" s="518"/>
      <c r="BI76" s="1337">
        <f t="shared" si="316"/>
        <v>0</v>
      </c>
      <c r="BJ76" s="518"/>
      <c r="BK76" s="1338"/>
      <c r="BL76" s="518"/>
      <c r="BM76" s="518">
        <f>IF(YEAR('3 pr-2'!AJ76)=2017,BJ76,0)</f>
        <v>0</v>
      </c>
      <c r="BN76" s="518">
        <f>IF(YEAR('3 pr-2'!AJ76)=2018,BJ76,0)</f>
        <v>0</v>
      </c>
      <c r="BO76" s="518">
        <f>IF(YEAR('3 pr-2'!AJ76)=2019,BJ76,0)</f>
        <v>0</v>
      </c>
      <c r="BP76" s="518">
        <f>IF(YEAR('3 pr-2'!AJ76)=2020,BJ76,0)</f>
        <v>0</v>
      </c>
      <c r="BQ76" s="518">
        <f>IF(YEAR('3 pr-2'!AJ76)=2021,BJ76,0)</f>
        <v>0</v>
      </c>
      <c r="BR76" s="518">
        <f>IF(YEAR('3 pr-2'!AJ76)=2022,BJ76,0)</f>
        <v>0</v>
      </c>
      <c r="BS76" s="518">
        <f>IF(YEAR('3 pr-2'!AJ76)=2023,BJ76,0)</f>
        <v>0</v>
      </c>
      <c r="BT76" s="523"/>
      <c r="BU76" s="881"/>
      <c r="BV76" s="518"/>
      <c r="BW76" s="518"/>
      <c r="BX76" s="518"/>
      <c r="BY76" s="518"/>
      <c r="BZ76" s="518"/>
      <c r="CA76" s="518"/>
      <c r="CB76" s="518"/>
      <c r="CC76" s="1337">
        <f t="shared" si="318"/>
        <v>0</v>
      </c>
      <c r="CD76" s="518"/>
      <c r="CE76" s="518"/>
      <c r="CF76" s="518"/>
      <c r="CG76" s="518">
        <f>IF(YEAR('3 pr-2'!$AJ76)=2017,$CD76,0)</f>
        <v>0</v>
      </c>
      <c r="CH76" s="518">
        <f>IF(YEAR('3 pr-2'!$AJ76)=2018,$CD76,0)</f>
        <v>0</v>
      </c>
      <c r="CI76" s="518">
        <f>IF(YEAR('3 pr-2'!$AJ76)=2019,$CD76,0)</f>
        <v>0</v>
      </c>
      <c r="CJ76" s="518">
        <f>IF(YEAR('3 pr-2'!$AJ76)=2020,$CD76,0)</f>
        <v>0</v>
      </c>
      <c r="CK76" s="518">
        <f>IF(YEAR('3 pr-2'!$AJ76)=2021,$CD76,0)</f>
        <v>0</v>
      </c>
      <c r="CL76" s="518">
        <f>IF(YEAR('3 pr-2'!$AJ76)=2022,$CD76,0)</f>
        <v>0</v>
      </c>
      <c r="CM76" s="518">
        <f>IF(YEAR('3 pr-2'!$AJ76)=2023,$CD76,0)</f>
        <v>0</v>
      </c>
      <c r="CN76" s="523"/>
      <c r="CO76" s="882"/>
      <c r="CP76" s="524"/>
      <c r="CQ76" s="518"/>
      <c r="CR76" s="518"/>
      <c r="CS76" s="518"/>
      <c r="CT76" s="518"/>
      <c r="CU76" s="518"/>
      <c r="CV76" s="518"/>
      <c r="CW76" s="1337">
        <f t="shared" si="320"/>
        <v>0</v>
      </c>
      <c r="CX76" s="524"/>
      <c r="CY76" s="504"/>
      <c r="CZ76" s="504"/>
      <c r="DA76" s="1332">
        <f>IF(YEAR('3 pr-2'!AJ76)=2017,CX76,0)</f>
        <v>0</v>
      </c>
      <c r="DB76" s="1332">
        <f>IF(YEAR('3 pr-2'!AJ76)=2018,CX76,0)</f>
        <v>0</v>
      </c>
      <c r="DC76" s="1332">
        <f>IF(YEAR('3 pr-2'!AJ76)=2019,CX76,0)</f>
        <v>0</v>
      </c>
      <c r="DD76" s="1332">
        <f>IF(YEAR('3 pr-2'!AJ76)=2020,CX76,0)</f>
        <v>0</v>
      </c>
      <c r="DE76" s="1332">
        <f>IF(YEAR('3 pr-2'!AJ76)=2021,CX76,0)</f>
        <v>0</v>
      </c>
      <c r="DF76" s="1332">
        <f>IF(YEAR('3 pr-2'!AJ76)=2022,CX76,0)</f>
        <v>0</v>
      </c>
      <c r="DG76" s="1332">
        <f>IF(YEAR('3 pr-2'!AJ76)=2023,CX76,0)</f>
        <v>0</v>
      </c>
    </row>
    <row r="77" spans="1:112" ht="49.5" thickTop="1" thickBot="1" x14ac:dyDescent="0.3">
      <c r="A77" s="518" t="str">
        <f>CONCATENATE('3 pr-2'!A77)</f>
        <v>1.1.2.1.3</v>
      </c>
      <c r="B77" s="518" t="str">
        <f>CONCATENATE('3 pr-2'!B77)</f>
        <v>R01-5518-100000-1213</v>
      </c>
      <c r="C77" s="1449" t="str">
        <f>CONCATENATE('ketv. 2lent'!B76)</f>
        <v/>
      </c>
      <c r="D77" s="189" t="str">
        <f>CONCATENATE('3 pr-2'!D77)</f>
        <v>Ekologiškų transporto priemonių įsigijimas Druskininkų savivaldybėje</v>
      </c>
      <c r="E77" s="480" t="str">
        <f>CONCATENATE('3 pr-2'!E77)</f>
        <v xml:space="preserve">Druskininkų savivaldybės administracija  </v>
      </c>
      <c r="F77" s="480" t="str">
        <f>CONCATENATE('3 pr-2'!F77)</f>
        <v>Lietuvos Respublikos susisiekimo ministerija</v>
      </c>
      <c r="G77" s="480" t="str">
        <f>CONCATENATE('3 pr-2'!G77)</f>
        <v>Druskininkų  miestas</v>
      </c>
      <c r="H77" s="518" t="str">
        <f>CONCATENATE('3 pr-2'!H77)</f>
        <v>04.5.1-TID-R-518</v>
      </c>
      <c r="I77" s="518" t="str">
        <f>CONCATENATE('3 pr-2'!I77)</f>
        <v>R</v>
      </c>
      <c r="J77" s="518" t="str">
        <f>CONCATENATE('3 pr-2'!J77)</f>
        <v>-</v>
      </c>
      <c r="K77" s="518" t="str">
        <f>CONCATENATE('3 pr-2'!K77)</f>
        <v>-</v>
      </c>
      <c r="L77" s="518" t="s">
        <v>519</v>
      </c>
      <c r="M77" s="881" t="s">
        <v>520</v>
      </c>
      <c r="N77" s="518"/>
      <c r="O77" s="518"/>
      <c r="P77" s="518"/>
      <c r="Q77" s="518"/>
      <c r="R77" s="518"/>
      <c r="S77" s="518"/>
      <c r="T77" s="518"/>
      <c r="U77" s="1335">
        <f t="shared" si="311"/>
        <v>0</v>
      </c>
      <c r="V77" s="518">
        <v>2</v>
      </c>
      <c r="W77" s="1336">
        <f>IF('ketv. 6 lent'!K77&gt;0,"taip",0)</f>
        <v>0</v>
      </c>
      <c r="X77" s="518"/>
      <c r="Y77" s="518">
        <f>IF(YEAR('3 pr-2'!$AJ77)=2017,$V77,0)</f>
        <v>0</v>
      </c>
      <c r="Z77" s="518">
        <f>IF(YEAR('3 pr-2'!$AJ77)=2018,$V77,0)</f>
        <v>0</v>
      </c>
      <c r="AA77" s="518">
        <f>IF(YEAR('3 pr-2'!$AJ77)=2019,$V77,0)</f>
        <v>2</v>
      </c>
      <c r="AB77" s="518">
        <f>IF(YEAR('3 pr-2'!$AJ77)=2020,$V77,0)</f>
        <v>0</v>
      </c>
      <c r="AC77" s="518">
        <f>IF(YEAR('3 pr-2'!$AJ77)=2021,$V77,0)</f>
        <v>0</v>
      </c>
      <c r="AD77" s="518">
        <f>IF(YEAR('3 pr-2'!$AJ77)=2022,$V77,0)</f>
        <v>0</v>
      </c>
      <c r="AE77" s="518">
        <f>IF(YEAR('3 pr-2'!$AJ77)=2023,$V77,0)</f>
        <v>0</v>
      </c>
      <c r="AF77" s="523"/>
      <c r="AG77" s="881"/>
      <c r="AH77" s="518"/>
      <c r="AI77" s="518"/>
      <c r="AJ77" s="518"/>
      <c r="AK77" s="518"/>
      <c r="AL77" s="518"/>
      <c r="AM77" s="518"/>
      <c r="AN77" s="518"/>
      <c r="AO77" s="1337">
        <f t="shared" si="314"/>
        <v>0</v>
      </c>
      <c r="AP77" s="518"/>
      <c r="AQ77" s="1338"/>
      <c r="AR77" s="518"/>
      <c r="AS77" s="518">
        <f>IF(YEAR('3 pr-2'!$AJ77)=2017,$AP77,0)</f>
        <v>0</v>
      </c>
      <c r="AT77" s="518">
        <f>IF(YEAR('3 pr-2'!$AJ77)=2018,$AP77,0)</f>
        <v>0</v>
      </c>
      <c r="AU77" s="518">
        <f>IF(YEAR('3 pr-2'!$AJ77)=2019,$AP77,0)</f>
        <v>0</v>
      </c>
      <c r="AV77" s="518">
        <f>IF(YEAR('3 pr-2'!$AJ77)=2020,$AP77,0)</f>
        <v>0</v>
      </c>
      <c r="AW77" s="518">
        <f>IF(YEAR('3 pr-2'!$AJ77)=2021,$AP77,0)</f>
        <v>0</v>
      </c>
      <c r="AX77" s="518">
        <f>IF(YEAR('3 pr-2'!$AJ77)=2022,$AP77,0)</f>
        <v>0</v>
      </c>
      <c r="AY77" s="518">
        <f>IF(YEAR('3 pr-2'!$AJ77)=2023,$AP77,0)</f>
        <v>0</v>
      </c>
      <c r="AZ77" s="518"/>
      <c r="BA77" s="880"/>
      <c r="BB77" s="518"/>
      <c r="BC77" s="518"/>
      <c r="BD77" s="518"/>
      <c r="BE77" s="518"/>
      <c r="BF77" s="518"/>
      <c r="BG77" s="518"/>
      <c r="BH77" s="518"/>
      <c r="BI77" s="1337">
        <f t="shared" si="316"/>
        <v>0</v>
      </c>
      <c r="BJ77" s="518"/>
      <c r="BK77" s="1338"/>
      <c r="BL77" s="518"/>
      <c r="BM77" s="518">
        <f>IF(YEAR('3 pr-2'!AJ77)=2017,BJ77,0)</f>
        <v>0</v>
      </c>
      <c r="BN77" s="518">
        <f>IF(YEAR('3 pr-2'!AJ77)=2018,BJ77,0)</f>
        <v>0</v>
      </c>
      <c r="BO77" s="518">
        <f>IF(YEAR('3 pr-2'!AJ77)=2019,BJ77,0)</f>
        <v>0</v>
      </c>
      <c r="BP77" s="518">
        <f>IF(YEAR('3 pr-2'!AJ77)=2020,BJ77,0)</f>
        <v>0</v>
      </c>
      <c r="BQ77" s="518">
        <f>IF(YEAR('3 pr-2'!AJ77)=2021,BJ77,0)</f>
        <v>0</v>
      </c>
      <c r="BR77" s="518">
        <f>IF(YEAR('3 pr-2'!AJ77)=2022,BJ77,0)</f>
        <v>0</v>
      </c>
      <c r="BS77" s="518">
        <f>IF(YEAR('3 pr-2'!AJ77)=2023,BJ77,0)</f>
        <v>0</v>
      </c>
      <c r="BT77" s="523"/>
      <c r="BU77" s="881"/>
      <c r="BV77" s="518"/>
      <c r="BW77" s="518"/>
      <c r="BX77" s="518"/>
      <c r="BY77" s="518"/>
      <c r="BZ77" s="518"/>
      <c r="CA77" s="518"/>
      <c r="CB77" s="518"/>
      <c r="CC77" s="1337">
        <f t="shared" si="318"/>
        <v>0</v>
      </c>
      <c r="CD77" s="518"/>
      <c r="CE77" s="518"/>
      <c r="CF77" s="518"/>
      <c r="CG77" s="518">
        <f>IF(YEAR('3 pr-2'!$AJ77)=2017,$CD77,0)</f>
        <v>0</v>
      </c>
      <c r="CH77" s="518">
        <f>IF(YEAR('3 pr-2'!$AJ77)=2018,$CD77,0)</f>
        <v>0</v>
      </c>
      <c r="CI77" s="518">
        <f>IF(YEAR('3 pr-2'!$AJ77)=2019,$CD77,0)</f>
        <v>0</v>
      </c>
      <c r="CJ77" s="518">
        <f>IF(YEAR('3 pr-2'!$AJ77)=2020,$CD77,0)</f>
        <v>0</v>
      </c>
      <c r="CK77" s="518">
        <f>IF(YEAR('3 pr-2'!$AJ77)=2021,$CD77,0)</f>
        <v>0</v>
      </c>
      <c r="CL77" s="518">
        <f>IF(YEAR('3 pr-2'!$AJ77)=2022,$CD77,0)</f>
        <v>0</v>
      </c>
      <c r="CM77" s="518">
        <f>IF(YEAR('3 pr-2'!$AJ77)=2023,$CD77,0)</f>
        <v>0</v>
      </c>
      <c r="CN77" s="523"/>
      <c r="CO77" s="882"/>
      <c r="CP77" s="524"/>
      <c r="CQ77" s="518"/>
      <c r="CR77" s="518"/>
      <c r="CS77" s="518"/>
      <c r="CT77" s="518"/>
      <c r="CU77" s="518"/>
      <c r="CV77" s="518"/>
      <c r="CW77" s="1337">
        <f t="shared" si="320"/>
        <v>0</v>
      </c>
      <c r="CX77" s="524"/>
      <c r="CY77" s="504"/>
      <c r="CZ77" s="504"/>
      <c r="DA77" s="1332">
        <f>IF(YEAR('3 pr-2'!AJ77)=2017,CX77,0)</f>
        <v>0</v>
      </c>
      <c r="DB77" s="1332">
        <f>IF(YEAR('3 pr-2'!AJ77)=2018,CX77,0)</f>
        <v>0</v>
      </c>
      <c r="DC77" s="1332">
        <f>IF(YEAR('3 pr-2'!AJ77)=2019,CX77,0)</f>
        <v>0</v>
      </c>
      <c r="DD77" s="1332">
        <f>IF(YEAR('3 pr-2'!AJ77)=2020,CX77,0)</f>
        <v>0</v>
      </c>
      <c r="DE77" s="1332">
        <f>IF(YEAR('3 pr-2'!AJ77)=2021,CX77,0)</f>
        <v>0</v>
      </c>
      <c r="DF77" s="1332">
        <f>IF(YEAR('3 pr-2'!AJ77)=2022,CX77,0)</f>
        <v>0</v>
      </c>
      <c r="DG77" s="1332">
        <f>IF(YEAR('3 pr-2'!AJ77)=2023,CX77,0)</f>
        <v>0</v>
      </c>
    </row>
    <row r="78" spans="1:112" ht="49.5" thickTop="1" thickBot="1" x14ac:dyDescent="0.3">
      <c r="A78" s="518" t="str">
        <f>CONCATENATE('3 pr-2'!A78)</f>
        <v>1.1.2.1.4</v>
      </c>
      <c r="B78" s="518" t="str">
        <f>CONCATENATE('3 pr-2'!B78)</f>
        <v>R01-5518-100000-1214</v>
      </c>
      <c r="C78" s="1449" t="str">
        <f>CONCATENATE('ketv. 2lent'!B77)</f>
        <v/>
      </c>
      <c r="D78" s="189" t="str">
        <f>CONCATENATE('3 pr-2'!D78)</f>
        <v>Ekologiškų transporto priemonių įsigijimas  Lazdijų rajono savivaldybėje</v>
      </c>
      <c r="E78" s="480" t="str">
        <f>CONCATENATE('3 pr-2'!E78)</f>
        <v>Lazdijų rajono savivaldybės administracija</v>
      </c>
      <c r="F78" s="480" t="str">
        <f>CONCATENATE('3 pr-2'!F78)</f>
        <v>Lietuvos Respublikos susisiekimo ministerija</v>
      </c>
      <c r="G78" s="480" t="str">
        <f>CONCATENATE('3 pr-2'!G78)</f>
        <v>Lazdijų rajono savivaldybė</v>
      </c>
      <c r="H78" s="518" t="str">
        <f>CONCATENATE('3 pr-2'!H78)</f>
        <v>04.5.1-TID-R-518</v>
      </c>
      <c r="I78" s="518" t="str">
        <f>CONCATENATE('3 pr-2'!I78)</f>
        <v>R</v>
      </c>
      <c r="J78" s="518" t="str">
        <f>CONCATENATE('3 pr-2'!J78)</f>
        <v>-</v>
      </c>
      <c r="K78" s="518" t="str">
        <f>CONCATENATE('3 pr-2'!K78)</f>
        <v>-</v>
      </c>
      <c r="L78" s="518" t="s">
        <v>519</v>
      </c>
      <c r="M78" s="881" t="s">
        <v>520</v>
      </c>
      <c r="N78" s="518"/>
      <c r="O78" s="518"/>
      <c r="P78" s="518"/>
      <c r="Q78" s="518"/>
      <c r="R78" s="518"/>
      <c r="S78" s="518"/>
      <c r="T78" s="518"/>
      <c r="U78" s="1335">
        <f t="shared" si="311"/>
        <v>0</v>
      </c>
      <c r="V78" s="518">
        <v>1</v>
      </c>
      <c r="W78" s="1336">
        <f>IF('ketv. 6 lent'!K78&gt;0,"taip",0)</f>
        <v>0</v>
      </c>
      <c r="X78" s="518"/>
      <c r="Y78" s="518">
        <f>IF(YEAR('3 pr-2'!$AJ78)=2017,$V78,0)</f>
        <v>0</v>
      </c>
      <c r="Z78" s="518">
        <f>IF(YEAR('3 pr-2'!$AJ78)=2018,$V78,0)</f>
        <v>0</v>
      </c>
      <c r="AA78" s="518">
        <f>IF(YEAR('3 pr-2'!$AJ78)=2019,$V78,0)</f>
        <v>0</v>
      </c>
      <c r="AB78" s="518">
        <f>IF(YEAR('3 pr-2'!$AJ78)=2020,$V78,0)</f>
        <v>1</v>
      </c>
      <c r="AC78" s="518">
        <f>IF(YEAR('3 pr-2'!$AJ78)=2021,$V78,0)</f>
        <v>0</v>
      </c>
      <c r="AD78" s="518">
        <f>IF(YEAR('3 pr-2'!$AJ78)=2022,$V78,0)</f>
        <v>0</v>
      </c>
      <c r="AE78" s="518">
        <f>IF(YEAR('3 pr-2'!$AJ78)=2023,$V78,0)</f>
        <v>0</v>
      </c>
      <c r="AF78" s="523"/>
      <c r="AG78" s="881"/>
      <c r="AH78" s="518"/>
      <c r="AI78" s="518"/>
      <c r="AJ78" s="518"/>
      <c r="AK78" s="518"/>
      <c r="AL78" s="518"/>
      <c r="AM78" s="518"/>
      <c r="AN78" s="518"/>
      <c r="AO78" s="1337">
        <f t="shared" si="314"/>
        <v>0</v>
      </c>
      <c r="AP78" s="518"/>
      <c r="AQ78" s="1338"/>
      <c r="AR78" s="518"/>
      <c r="AS78" s="518">
        <f>IF(YEAR('3 pr-2'!$AJ78)=2017,$AP78,0)</f>
        <v>0</v>
      </c>
      <c r="AT78" s="518">
        <f>IF(YEAR('3 pr-2'!$AJ78)=2018,$AP78,0)</f>
        <v>0</v>
      </c>
      <c r="AU78" s="518">
        <f>IF(YEAR('3 pr-2'!$AJ78)=2019,$AP78,0)</f>
        <v>0</v>
      </c>
      <c r="AV78" s="518">
        <f>IF(YEAR('3 pr-2'!$AJ78)=2020,$AP78,0)</f>
        <v>0</v>
      </c>
      <c r="AW78" s="518">
        <f>IF(YEAR('3 pr-2'!$AJ78)=2021,$AP78,0)</f>
        <v>0</v>
      </c>
      <c r="AX78" s="518">
        <f>IF(YEAR('3 pr-2'!$AJ78)=2022,$AP78,0)</f>
        <v>0</v>
      </c>
      <c r="AY78" s="518">
        <f>IF(YEAR('3 pr-2'!$AJ78)=2023,$AP78,0)</f>
        <v>0</v>
      </c>
      <c r="AZ78" s="518"/>
      <c r="BA78" s="880"/>
      <c r="BB78" s="518"/>
      <c r="BC78" s="518"/>
      <c r="BD78" s="518"/>
      <c r="BE78" s="518"/>
      <c r="BF78" s="518"/>
      <c r="BG78" s="518"/>
      <c r="BH78" s="518"/>
      <c r="BI78" s="1337">
        <f t="shared" si="316"/>
        <v>0</v>
      </c>
      <c r="BJ78" s="518"/>
      <c r="BK78" s="1338"/>
      <c r="BL78" s="518"/>
      <c r="BM78" s="518">
        <f>IF(YEAR('3 pr-2'!AJ78)=2017,BJ78,0)</f>
        <v>0</v>
      </c>
      <c r="BN78" s="518">
        <f>IF(YEAR('3 pr-2'!AJ78)=2018,BJ78,0)</f>
        <v>0</v>
      </c>
      <c r="BO78" s="518">
        <f>IF(YEAR('3 pr-2'!AJ78)=2019,BJ78,0)</f>
        <v>0</v>
      </c>
      <c r="BP78" s="518">
        <f>IF(YEAR('3 pr-2'!AJ78)=2020,BJ78,0)</f>
        <v>0</v>
      </c>
      <c r="BQ78" s="518">
        <f>IF(YEAR('3 pr-2'!AJ78)=2021,BJ78,0)</f>
        <v>0</v>
      </c>
      <c r="BR78" s="518">
        <f>IF(YEAR('3 pr-2'!AJ78)=2022,BJ78,0)</f>
        <v>0</v>
      </c>
      <c r="BS78" s="518">
        <f>IF(YEAR('3 pr-2'!AJ78)=2023,BJ78,0)</f>
        <v>0</v>
      </c>
      <c r="BT78" s="523"/>
      <c r="BU78" s="881"/>
      <c r="BV78" s="518"/>
      <c r="BW78" s="518"/>
      <c r="BX78" s="518"/>
      <c r="BY78" s="518"/>
      <c r="BZ78" s="518"/>
      <c r="CA78" s="518"/>
      <c r="CB78" s="518"/>
      <c r="CC78" s="1337">
        <f t="shared" si="318"/>
        <v>0</v>
      </c>
      <c r="CD78" s="518"/>
      <c r="CE78" s="518"/>
      <c r="CF78" s="518"/>
      <c r="CG78" s="518">
        <f>IF(YEAR('3 pr-2'!$AJ78)=2017,$CD78,0)</f>
        <v>0</v>
      </c>
      <c r="CH78" s="518">
        <f>IF(YEAR('3 pr-2'!$AJ78)=2018,$CD78,0)</f>
        <v>0</v>
      </c>
      <c r="CI78" s="518">
        <f>IF(YEAR('3 pr-2'!$AJ78)=2019,$CD78,0)</f>
        <v>0</v>
      </c>
      <c r="CJ78" s="518">
        <f>IF(YEAR('3 pr-2'!$AJ78)=2020,$CD78,0)</f>
        <v>0</v>
      </c>
      <c r="CK78" s="518">
        <f>IF(YEAR('3 pr-2'!$AJ78)=2021,$CD78,0)</f>
        <v>0</v>
      </c>
      <c r="CL78" s="518">
        <f>IF(YEAR('3 pr-2'!$AJ78)=2022,$CD78,0)</f>
        <v>0</v>
      </c>
      <c r="CM78" s="518">
        <f>IF(YEAR('3 pr-2'!$AJ78)=2023,$CD78,0)</f>
        <v>0</v>
      </c>
      <c r="CN78" s="523"/>
      <c r="CO78" s="882"/>
      <c r="CP78" s="524"/>
      <c r="CQ78" s="518"/>
      <c r="CR78" s="518"/>
      <c r="CS78" s="518"/>
      <c r="CT78" s="518"/>
      <c r="CU78" s="518"/>
      <c r="CV78" s="518"/>
      <c r="CW78" s="1337">
        <f t="shared" si="320"/>
        <v>0</v>
      </c>
      <c r="CX78" s="524"/>
      <c r="CY78" s="504"/>
      <c r="CZ78" s="504"/>
      <c r="DA78" s="1332">
        <f>IF(YEAR('3 pr-2'!AJ78)=2017,CX78,0)</f>
        <v>0</v>
      </c>
      <c r="DB78" s="1332">
        <f>IF(YEAR('3 pr-2'!AJ78)=2018,CX78,0)</f>
        <v>0</v>
      </c>
      <c r="DC78" s="1332">
        <f>IF(YEAR('3 pr-2'!AJ78)=2019,CX78,0)</f>
        <v>0</v>
      </c>
      <c r="DD78" s="1332">
        <f>IF(YEAR('3 pr-2'!AJ78)=2020,CX78,0)</f>
        <v>0</v>
      </c>
      <c r="DE78" s="1332">
        <f>IF(YEAR('3 pr-2'!AJ78)=2021,CX78,0)</f>
        <v>0</v>
      </c>
      <c r="DF78" s="1332">
        <f>IF(YEAR('3 pr-2'!AJ78)=2022,CX78,0)</f>
        <v>0</v>
      </c>
      <c r="DG78" s="1332">
        <f>IF(YEAR('3 pr-2'!AJ78)=2023,CX78,0)</f>
        <v>0</v>
      </c>
    </row>
    <row r="79" spans="1:112" ht="29.25" customHeight="1" thickBot="1" x14ac:dyDescent="0.3">
      <c r="A79" s="1257" t="str">
        <f>CONCATENATE('3 pr-2'!A79)</f>
        <v>1.1.2.2</v>
      </c>
      <c r="B79" s="1687" t="str">
        <f>CONCATENATE('3 pr-2'!B79)</f>
        <v>Priemonė:
Darnaus judumo priemonių diegimas</v>
      </c>
      <c r="C79" s="1688"/>
      <c r="D79" s="1688"/>
      <c r="E79" s="1688"/>
      <c r="F79" s="1688"/>
      <c r="G79" s="1688"/>
      <c r="H79" s="1688"/>
      <c r="I79" s="1688"/>
      <c r="J79" s="1688"/>
      <c r="K79" s="1689"/>
      <c r="L79" s="1535" t="s">
        <v>522</v>
      </c>
      <c r="M79" s="884" t="s">
        <v>523</v>
      </c>
      <c r="N79" s="505">
        <f>SUM(N80:N83)</f>
        <v>0</v>
      </c>
      <c r="O79" s="505">
        <f t="shared" ref="O79:T79" si="321">SUM(O80:O83)</f>
        <v>0</v>
      </c>
      <c r="P79" s="505">
        <f t="shared" si="321"/>
        <v>0</v>
      </c>
      <c r="Q79" s="505">
        <f t="shared" si="321"/>
        <v>0</v>
      </c>
      <c r="R79" s="505">
        <f t="shared" si="321"/>
        <v>0</v>
      </c>
      <c r="S79" s="505">
        <f t="shared" si="321"/>
        <v>0</v>
      </c>
      <c r="T79" s="505">
        <f t="shared" si="321"/>
        <v>0</v>
      </c>
      <c r="U79" s="1329">
        <f t="shared" si="311"/>
        <v>0</v>
      </c>
      <c r="V79" s="1299">
        <f>SUM(V80:V85)</f>
        <v>5</v>
      </c>
      <c r="W79" s="1317"/>
      <c r="X79" s="1316"/>
      <c r="Y79" s="1299">
        <f t="shared" ref="Y79:AE79" si="322">SUM(Y80:Y85)</f>
        <v>0</v>
      </c>
      <c r="Z79" s="1299">
        <f t="shared" si="322"/>
        <v>0</v>
      </c>
      <c r="AA79" s="1299">
        <f t="shared" si="322"/>
        <v>1</v>
      </c>
      <c r="AB79" s="1299">
        <f t="shared" si="322"/>
        <v>3</v>
      </c>
      <c r="AC79" s="1299">
        <f t="shared" si="322"/>
        <v>1</v>
      </c>
      <c r="AD79" s="1299">
        <f t="shared" si="322"/>
        <v>0</v>
      </c>
      <c r="AE79" s="1299">
        <f t="shared" si="322"/>
        <v>0</v>
      </c>
      <c r="AF79" s="1316" t="s">
        <v>846</v>
      </c>
      <c r="AG79" s="1331" t="s">
        <v>847</v>
      </c>
      <c r="AH79" s="505">
        <f t="shared" ref="AH79:AN79" si="323">SUM(AH80:AH83)</f>
        <v>1</v>
      </c>
      <c r="AI79" s="505">
        <f t="shared" si="323"/>
        <v>0</v>
      </c>
      <c r="AJ79" s="505">
        <f t="shared" si="323"/>
        <v>0</v>
      </c>
      <c r="AK79" s="505">
        <f t="shared" si="323"/>
        <v>0</v>
      </c>
      <c r="AL79" s="505">
        <f t="shared" si="323"/>
        <v>0</v>
      </c>
      <c r="AM79" s="505">
        <f t="shared" si="323"/>
        <v>0</v>
      </c>
      <c r="AN79" s="505">
        <f t="shared" si="323"/>
        <v>0</v>
      </c>
      <c r="AO79" s="1299">
        <f t="shared" si="314"/>
        <v>1</v>
      </c>
      <c r="AP79" s="1299">
        <f>SUM(AP80:AP83)</f>
        <v>2</v>
      </c>
      <c r="AQ79" s="505"/>
      <c r="AR79" s="505"/>
      <c r="AS79" s="505">
        <f t="shared" ref="AS79:AY79" si="324">SUM(AS80:AS83)</f>
        <v>1</v>
      </c>
      <c r="AT79" s="505">
        <f t="shared" si="324"/>
        <v>1</v>
      </c>
      <c r="AU79" s="505">
        <f t="shared" si="324"/>
        <v>0</v>
      </c>
      <c r="AV79" s="505">
        <f t="shared" si="324"/>
        <v>0</v>
      </c>
      <c r="AW79" s="505">
        <f t="shared" si="324"/>
        <v>0</v>
      </c>
      <c r="AX79" s="505">
        <f t="shared" si="324"/>
        <v>0</v>
      </c>
      <c r="AY79" s="505">
        <f t="shared" si="324"/>
        <v>0</v>
      </c>
      <c r="AZ79" s="1299" t="s">
        <v>1713</v>
      </c>
      <c r="BA79" s="1331" t="s">
        <v>1714</v>
      </c>
      <c r="BB79" s="505">
        <f>SUM(BB80:BB83)</f>
        <v>0</v>
      </c>
      <c r="BC79" s="505">
        <f t="shared" ref="BC79" si="325">SUM(BC80:BC83)</f>
        <v>0</v>
      </c>
      <c r="BD79" s="505">
        <f t="shared" ref="BD79" si="326">SUM(BD80:BD83)</f>
        <v>0</v>
      </c>
      <c r="BE79" s="505">
        <f t="shared" ref="BE79" si="327">SUM(BE80:BE83)</f>
        <v>0</v>
      </c>
      <c r="BF79" s="505">
        <f t="shared" ref="BF79" si="328">SUM(BF80:BF83)</f>
        <v>0</v>
      </c>
      <c r="BG79" s="505">
        <f t="shared" ref="BG79" si="329">SUM(BG80:BG83)</f>
        <v>0</v>
      </c>
      <c r="BH79" s="505">
        <f t="shared" ref="BH79" si="330">SUM(BH80:BH83)</f>
        <v>0</v>
      </c>
      <c r="BI79" s="1299">
        <f t="shared" si="316"/>
        <v>0</v>
      </c>
      <c r="BJ79" s="1299">
        <f>SUM(BJ80:BJ83)</f>
        <v>1</v>
      </c>
      <c r="BK79" s="505"/>
      <c r="BL79" s="505"/>
      <c r="BM79" s="505">
        <f t="shared" ref="BM79:BS79" si="331">SUM(BM80:BM83)</f>
        <v>0</v>
      </c>
      <c r="BN79" s="505">
        <f t="shared" si="331"/>
        <v>0</v>
      </c>
      <c r="BO79" s="505">
        <f t="shared" si="331"/>
        <v>0</v>
      </c>
      <c r="BP79" s="505">
        <f t="shared" si="331"/>
        <v>1</v>
      </c>
      <c r="BQ79" s="505">
        <f t="shared" si="331"/>
        <v>0</v>
      </c>
      <c r="BR79" s="505">
        <f t="shared" si="331"/>
        <v>0</v>
      </c>
      <c r="BS79" s="505">
        <f t="shared" si="331"/>
        <v>0</v>
      </c>
      <c r="BT79" s="505"/>
      <c r="BU79" s="882"/>
      <c r="BV79" s="505">
        <f>SUM(BV80:BV83)</f>
        <v>0</v>
      </c>
      <c r="BW79" s="505">
        <f t="shared" ref="BW79" si="332">SUM(BW80:BW83)</f>
        <v>0</v>
      </c>
      <c r="BX79" s="505">
        <f t="shared" ref="BX79" si="333">SUM(BX80:BX83)</f>
        <v>0</v>
      </c>
      <c r="BY79" s="505">
        <f t="shared" ref="BY79" si="334">SUM(BY80:BY83)</f>
        <v>0</v>
      </c>
      <c r="BZ79" s="505">
        <f t="shared" ref="BZ79" si="335">SUM(BZ80:BZ83)</f>
        <v>0</v>
      </c>
      <c r="CA79" s="505">
        <f t="shared" ref="CA79" si="336">SUM(CA80:CA83)</f>
        <v>0</v>
      </c>
      <c r="CB79" s="505">
        <f t="shared" ref="CB79" si="337">SUM(CB80:CB83)</f>
        <v>0</v>
      </c>
      <c r="CC79" s="1299">
        <f t="shared" si="318"/>
        <v>0</v>
      </c>
      <c r="CD79" s="505"/>
      <c r="CE79" s="505"/>
      <c r="CF79" s="505"/>
      <c r="CG79" s="505"/>
      <c r="CH79" s="505"/>
      <c r="CI79" s="505"/>
      <c r="CJ79" s="505"/>
      <c r="CK79" s="505"/>
      <c r="CL79" s="505"/>
      <c r="CM79" s="505"/>
      <c r="CN79" s="1329"/>
      <c r="CO79" s="882"/>
      <c r="CP79" s="1287">
        <f>SUM(CP80:CP83)</f>
        <v>0</v>
      </c>
      <c r="CQ79" s="505">
        <f t="shared" ref="CQ79" si="338">SUM(CQ80:CQ83)</f>
        <v>0</v>
      </c>
      <c r="CR79" s="505">
        <f t="shared" ref="CR79" si="339">SUM(CR80:CR83)</f>
        <v>0</v>
      </c>
      <c r="CS79" s="505">
        <f t="shared" ref="CS79" si="340">SUM(CS80:CS83)</f>
        <v>0</v>
      </c>
      <c r="CT79" s="505">
        <f t="shared" ref="CT79" si="341">SUM(CT80:CT83)</f>
        <v>0</v>
      </c>
      <c r="CU79" s="505">
        <f t="shared" ref="CU79" si="342">SUM(CU80:CU83)</f>
        <v>0</v>
      </c>
      <c r="CV79" s="505">
        <f t="shared" ref="CV79" si="343">SUM(CV80:CV83)</f>
        <v>0</v>
      </c>
      <c r="CW79" s="1299">
        <f t="shared" si="320"/>
        <v>0</v>
      </c>
      <c r="CX79" s="505"/>
      <c r="CY79" s="505"/>
      <c r="CZ79" s="505"/>
      <c r="DA79" s="505"/>
      <c r="DB79" s="505"/>
      <c r="DC79" s="505"/>
      <c r="DD79" s="505"/>
      <c r="DE79" s="505"/>
      <c r="DF79" s="505"/>
      <c r="DG79" s="1332">
        <f>IF(YEAR('3 pr-2'!AJ79)=2023,CX79,0)</f>
        <v>0</v>
      </c>
      <c r="DH79" s="1348"/>
    </row>
    <row r="80" spans="1:112" ht="49.5" thickTop="1" thickBot="1" x14ac:dyDescent="0.3">
      <c r="A80" s="518" t="str">
        <f>CONCATENATE('3 pr-2'!A80)</f>
        <v>1.1.2.2.1</v>
      </c>
      <c r="B80" s="518" t="str">
        <f>CONCATENATE('3 pr-2'!B80)</f>
        <v>R01-5514-190000-1221</v>
      </c>
      <c r="C80" s="1449" t="str">
        <f>CONCATENATE('ketv. 2lent'!B79)</f>
        <v/>
      </c>
      <c r="D80" s="189" t="str">
        <f>CONCATENATE('3 pr-2'!D80)</f>
        <v>Darnaus judumo priemonių diegimas Alytaus mieste</v>
      </c>
      <c r="E80" s="480" t="str">
        <f>CONCATENATE('3 pr-2'!E80)</f>
        <v>Alytaus miesto savivaldybės administracija</v>
      </c>
      <c r="F80" s="480" t="str">
        <f>CONCATENATE('3 pr-2'!F80)</f>
        <v>Lietuvos Respublikos susisiekimo ministerija</v>
      </c>
      <c r="G80" s="480" t="str">
        <f>CONCATENATE('3 pr-2'!G80)</f>
        <v>Alytaus  miestas</v>
      </c>
      <c r="H80" s="518" t="str">
        <f>CONCATENATE('3 pr-2'!H80)</f>
        <v>04.5.1.-TID-R-514</v>
      </c>
      <c r="I80" s="518" t="str">
        <f>CONCATENATE('3 pr-2'!I80)</f>
        <v>R</v>
      </c>
      <c r="J80" s="518" t="str">
        <f>CONCATENATE('3 pr-2'!J80)</f>
        <v>-</v>
      </c>
      <c r="K80" s="518" t="str">
        <f>CONCATENATE('3 pr-2'!K80)</f>
        <v>-</v>
      </c>
      <c r="L80" s="518" t="s">
        <v>522</v>
      </c>
      <c r="M80" s="881" t="s">
        <v>523</v>
      </c>
      <c r="N80" s="518"/>
      <c r="O80" s="518"/>
      <c r="P80" s="518"/>
      <c r="Q80" s="518"/>
      <c r="R80" s="518"/>
      <c r="S80" s="518"/>
      <c r="T80" s="518"/>
      <c r="U80" s="1335">
        <f t="shared" ref="U80:U82" si="344">SUM(N80:T80)</f>
        <v>0</v>
      </c>
      <c r="V80" s="518">
        <v>2</v>
      </c>
      <c r="W80" s="1336">
        <f>IF('ketv. 6 lent'!K80&gt;0,"taip",0)</f>
        <v>0</v>
      </c>
      <c r="X80" s="518"/>
      <c r="Y80" s="518">
        <f>IF(YEAR('3 pr-2'!$AJ80)=2017,$V80,0)</f>
        <v>0</v>
      </c>
      <c r="Z80" s="518">
        <f>IF(YEAR('3 pr-2'!$AJ80)=2018,$V80,0)</f>
        <v>0</v>
      </c>
      <c r="AA80" s="518">
        <f>IF(YEAR('3 pr-2'!$AJ80)=2019,$V80,0)</f>
        <v>0</v>
      </c>
      <c r="AB80" s="518">
        <f>IF(YEAR('3 pr-2'!$AJ80)=2020,$V80,0)</f>
        <v>2</v>
      </c>
      <c r="AC80" s="518">
        <f>IF(YEAR('3 pr-2'!$AJ80)=2021,$V80,0)</f>
        <v>0</v>
      </c>
      <c r="AD80" s="518">
        <f>IF(YEAR('3 pr-2'!$AJ80)=2022,$V80,0)</f>
        <v>0</v>
      </c>
      <c r="AE80" s="518">
        <f>IF(YEAR('3 pr-2'!$AJ80)=2023,$V80,0)</f>
        <v>0</v>
      </c>
      <c r="AF80" s="523"/>
      <c r="AG80" s="881"/>
      <c r="AH80" s="518"/>
      <c r="AI80" s="518"/>
      <c r="AJ80" s="518"/>
      <c r="AK80" s="518"/>
      <c r="AL80" s="518"/>
      <c r="AM80" s="518"/>
      <c r="AN80" s="518"/>
      <c r="AO80" s="1337">
        <f t="shared" si="314"/>
        <v>0</v>
      </c>
      <c r="AP80" s="518"/>
      <c r="AQ80" s="1338"/>
      <c r="AR80" s="518"/>
      <c r="AS80" s="518">
        <f>IF(YEAR('3 pr-2'!$AJ80)=2017,$AP80,0)</f>
        <v>0</v>
      </c>
      <c r="AT80" s="518">
        <f>IF(YEAR('3 pr-2'!$AJ80)=2018,$AP80,0)</f>
        <v>0</v>
      </c>
      <c r="AU80" s="518">
        <f>IF(YEAR('3 pr-2'!$AJ80)=2019,$AP80,0)</f>
        <v>0</v>
      </c>
      <c r="AV80" s="518">
        <f>IF(YEAR('3 pr-2'!$AJ80)=2020,$AP80,0)</f>
        <v>0</v>
      </c>
      <c r="AW80" s="518">
        <f>IF(YEAR('3 pr-2'!$AJ80)=2021,$AP80,0)</f>
        <v>0</v>
      </c>
      <c r="AX80" s="518">
        <f>IF(YEAR('3 pr-2'!$AJ80)=2022,$AP80,0)</f>
        <v>0</v>
      </c>
      <c r="AY80" s="518">
        <f>IF(YEAR('3 pr-2'!$AJ80)=2023,$AP80,0)</f>
        <v>0</v>
      </c>
      <c r="AZ80" s="518"/>
      <c r="BA80" s="880"/>
      <c r="BB80" s="518"/>
      <c r="BC80" s="518"/>
      <c r="BD80" s="518"/>
      <c r="BE80" s="518"/>
      <c r="BF80" s="518"/>
      <c r="BG80" s="518"/>
      <c r="BH80" s="518"/>
      <c r="BI80" s="1337">
        <f t="shared" si="316"/>
        <v>0</v>
      </c>
      <c r="BJ80" s="518"/>
      <c r="BK80" s="1338"/>
      <c r="BL80" s="518"/>
      <c r="BM80" s="518">
        <f>IF(YEAR('3 pr-2'!AJ80)=2017,BJ80,0)</f>
        <v>0</v>
      </c>
      <c r="BN80" s="518">
        <f>IF(YEAR('3 pr-2'!AJ80)=2018,BJ80,0)</f>
        <v>0</v>
      </c>
      <c r="BO80" s="518">
        <f>IF(YEAR('3 pr-2'!AJ80)=2019,BJ80,0)</f>
        <v>0</v>
      </c>
      <c r="BP80" s="518">
        <f>IF(YEAR('3 pr-2'!AJ80)=2020,BJ80,0)</f>
        <v>0</v>
      </c>
      <c r="BQ80" s="518">
        <f>IF(YEAR('3 pr-2'!AJ80)=2021,BJ80,0)</f>
        <v>0</v>
      </c>
      <c r="BR80" s="518">
        <f>IF(YEAR('3 pr-2'!AJ80)=2022,BJ80,0)</f>
        <v>0</v>
      </c>
      <c r="BS80" s="518">
        <f>IF(YEAR('3 pr-2'!AJ80)=2023,BJ80,0)</f>
        <v>0</v>
      </c>
      <c r="BT80" s="523"/>
      <c r="BU80" s="881"/>
      <c r="BV80" s="518"/>
      <c r="BW80" s="518"/>
      <c r="BX80" s="518"/>
      <c r="BY80" s="518"/>
      <c r="BZ80" s="518"/>
      <c r="CA80" s="518"/>
      <c r="CB80" s="518"/>
      <c r="CC80" s="1337">
        <f t="shared" si="318"/>
        <v>0</v>
      </c>
      <c r="CD80" s="518"/>
      <c r="CE80" s="518"/>
      <c r="CF80" s="518"/>
      <c r="CG80" s="518">
        <f>IF(YEAR('3 pr-2'!$AJ80)=2017,$CD80,0)</f>
        <v>0</v>
      </c>
      <c r="CH80" s="518">
        <f>IF(YEAR('3 pr-2'!$AJ80)=2018,$CD80,0)</f>
        <v>0</v>
      </c>
      <c r="CI80" s="518">
        <f>IF(YEAR('3 pr-2'!$AJ80)=2019,$CD80,0)</f>
        <v>0</v>
      </c>
      <c r="CJ80" s="518">
        <f>IF(YEAR('3 pr-2'!$AJ80)=2020,$CD80,0)</f>
        <v>0</v>
      </c>
      <c r="CK80" s="518">
        <f>IF(YEAR('3 pr-2'!$AJ80)=2021,$CD80,0)</f>
        <v>0</v>
      </c>
      <c r="CL80" s="518">
        <f>IF(YEAR('3 pr-2'!$AJ80)=2022,$CD80,0)</f>
        <v>0</v>
      </c>
      <c r="CM80" s="518">
        <f>IF(YEAR('3 pr-2'!$AJ80)=2023,$CD80,0)</f>
        <v>0</v>
      </c>
      <c r="CN80" s="523"/>
      <c r="CO80" s="882"/>
      <c r="CP80" s="524"/>
      <c r="CQ80" s="518"/>
      <c r="CR80" s="518"/>
      <c r="CS80" s="518"/>
      <c r="CT80" s="518"/>
      <c r="CU80" s="518"/>
      <c r="CV80" s="518"/>
      <c r="CW80" s="1337">
        <f t="shared" si="320"/>
        <v>0</v>
      </c>
      <c r="CX80" s="524"/>
      <c r="CY80" s="504"/>
      <c r="CZ80" s="504"/>
      <c r="DA80" s="1332">
        <f>IF(YEAR('3 pr-2'!AJ80)=2017,CX80,0)</f>
        <v>0</v>
      </c>
      <c r="DB80" s="1332">
        <f>IF(YEAR('3 pr-2'!AJ80)=2018,CX80,0)</f>
        <v>0</v>
      </c>
      <c r="DC80" s="1332">
        <f>IF(YEAR('3 pr-2'!AJ80)=2019,CX80,0)</f>
        <v>0</v>
      </c>
      <c r="DD80" s="1332">
        <f>IF(YEAR('3 pr-2'!AJ80)=2020,CX80,0)</f>
        <v>0</v>
      </c>
      <c r="DE80" s="1332">
        <f>IF(YEAR('3 pr-2'!AJ80)=2021,CX80,0)</f>
        <v>0</v>
      </c>
      <c r="DF80" s="1332">
        <f>IF(YEAR('3 pr-2'!AJ80)=2022,CX80,0)</f>
        <v>0</v>
      </c>
      <c r="DG80" s="1332">
        <f>IF(YEAR('3 pr-2'!AJ80)=2023,CX80,0)</f>
        <v>0</v>
      </c>
    </row>
    <row r="81" spans="1:111" ht="49.5" thickTop="1" thickBot="1" x14ac:dyDescent="0.3">
      <c r="A81" s="518" t="str">
        <f>CONCATENATE('3 pr-2'!A81)</f>
        <v>1.1.2.2.2</v>
      </c>
      <c r="B81" s="518" t="str">
        <f>CONCATENATE('3 pr-2'!B81)</f>
        <v>R01-5514-190000-1222</v>
      </c>
      <c r="C81" s="1449" t="str">
        <f>CONCATENATE('ketv. 2lent'!B80)</f>
        <v>04.5.1-TID-V-513-01-0015</v>
      </c>
      <c r="D81" s="189" t="str">
        <f>CONCATENATE('3 pr-2'!D81)</f>
        <v>Alytaus miesto darnaus judumo plano parengimas</v>
      </c>
      <c r="E81" s="480" t="str">
        <f>CONCATENATE('3 pr-2'!E81)</f>
        <v>Alytaus miesto savivaldybės administracija</v>
      </c>
      <c r="F81" s="480" t="str">
        <f>CONCATENATE('3 pr-2'!F81)</f>
        <v>Lietuvos Respublikos susisiekimo ministerija</v>
      </c>
      <c r="G81" s="480" t="str">
        <f>CONCATENATE('3 pr-2'!G81)</f>
        <v>Alytaus  miestas</v>
      </c>
      <c r="H81" s="518" t="str">
        <f>CONCATENATE('3 pr-2'!H81)</f>
        <v>04.5.1-TID-V-513</v>
      </c>
      <c r="I81" s="518" t="str">
        <f>CONCATENATE('3 pr-2'!I81)</f>
        <v>V</v>
      </c>
      <c r="J81" s="518" t="str">
        <f>CONCATENATE('3 pr-2'!J81)</f>
        <v>ITI</v>
      </c>
      <c r="K81" s="518" t="str">
        <f>CONCATENATE('3 pr-2'!K81)</f>
        <v>-</v>
      </c>
      <c r="L81" s="518"/>
      <c r="M81" s="881"/>
      <c r="N81" s="518"/>
      <c r="O81" s="518"/>
      <c r="P81" s="518"/>
      <c r="Q81" s="518"/>
      <c r="R81" s="518"/>
      <c r="S81" s="518"/>
      <c r="T81" s="518"/>
      <c r="U81" s="1335"/>
      <c r="V81" s="518"/>
      <c r="W81" s="1336" t="str">
        <f>IF('ketv. 6 lent'!K81&gt;0,"nėra",0)</f>
        <v>nėra</v>
      </c>
      <c r="X81" s="518"/>
      <c r="Y81" s="518">
        <f>IF(YEAR('3 pr-2'!$AJ81)=2017,$V81,0)</f>
        <v>0</v>
      </c>
      <c r="Z81" s="518">
        <f>IF(YEAR('3 pr-2'!$AJ81)=2018,$V81,0)</f>
        <v>0</v>
      </c>
      <c r="AA81" s="518">
        <f>IF(YEAR('3 pr-2'!$AJ81)=2019,$V81,0)</f>
        <v>0</v>
      </c>
      <c r="AB81" s="518">
        <f>IF(YEAR('3 pr-2'!$AJ81)=2020,$V81,0)</f>
        <v>0</v>
      </c>
      <c r="AC81" s="518">
        <f>IF(YEAR('3 pr-2'!$AJ81)=2021,$V81,0)</f>
        <v>0</v>
      </c>
      <c r="AD81" s="518">
        <f>IF(YEAR('3 pr-2'!$AJ81)=2022,$V81,0)</f>
        <v>0</v>
      </c>
      <c r="AE81" s="518">
        <f>IF(YEAR('3 pr-2'!$AJ81)=2023,$V81,0)</f>
        <v>0</v>
      </c>
      <c r="AF81" s="523" t="s">
        <v>846</v>
      </c>
      <c r="AG81" s="881" t="s">
        <v>847</v>
      </c>
      <c r="AH81" s="518"/>
      <c r="AI81" s="518"/>
      <c r="AJ81" s="518"/>
      <c r="AK81" s="518"/>
      <c r="AL81" s="518"/>
      <c r="AM81" s="518"/>
      <c r="AN81" s="518"/>
      <c r="AO81" s="1337">
        <f t="shared" ref="AO81" si="345">SUM(AH81:AN81)</f>
        <v>0</v>
      </c>
      <c r="AP81" s="518">
        <v>1</v>
      </c>
      <c r="AQ81" s="1338">
        <v>1</v>
      </c>
      <c r="AR81" s="518">
        <f>SUM(AQ81-AP81)</f>
        <v>0</v>
      </c>
      <c r="AS81" s="518">
        <f>IF(YEAR('3 pr-2'!$AJ81)=2017,$AP81,0)</f>
        <v>0</v>
      </c>
      <c r="AT81" s="518">
        <f>IF(YEAR('3 pr-2'!$AJ81)=2018,$AP81,0)</f>
        <v>1</v>
      </c>
      <c r="AU81" s="518">
        <f>IF(YEAR('3 pr-2'!$AJ81)=2019,$AP81,0)</f>
        <v>0</v>
      </c>
      <c r="AV81" s="518">
        <f>IF(YEAR('3 pr-2'!$AJ81)=2020,$AP81,0)</f>
        <v>0</v>
      </c>
      <c r="AW81" s="518">
        <f>IF(YEAR('3 pr-2'!$AJ81)=2021,$AP81,0)</f>
        <v>0</v>
      </c>
      <c r="AX81" s="518">
        <f>IF(YEAR('3 pr-2'!$AJ81)=2022,$AP81,0)</f>
        <v>0</v>
      </c>
      <c r="AY81" s="518">
        <f>IF(YEAR('3 pr-2'!$AJ81)=2023,$AP81,0)</f>
        <v>0</v>
      </c>
      <c r="AZ81" s="518"/>
      <c r="BA81" s="880"/>
      <c r="BB81" s="518"/>
      <c r="BC81" s="518"/>
      <c r="BD81" s="518"/>
      <c r="BE81" s="518"/>
      <c r="BF81" s="518"/>
      <c r="BG81" s="518"/>
      <c r="BH81" s="518"/>
      <c r="BI81" s="1337">
        <f t="shared" si="316"/>
        <v>0</v>
      </c>
      <c r="BJ81" s="518"/>
      <c r="BK81" s="1338"/>
      <c r="BL81" s="518"/>
      <c r="BM81" s="518">
        <f>IF(YEAR('3 pr-2'!AJ81)=2017,BJ81,0)</f>
        <v>0</v>
      </c>
      <c r="BN81" s="518">
        <f>IF(YEAR('3 pr-2'!AJ81)=2018,BJ81,0)</f>
        <v>0</v>
      </c>
      <c r="BO81" s="518">
        <f>IF(YEAR('3 pr-2'!AJ81)=2019,BJ81,0)</f>
        <v>0</v>
      </c>
      <c r="BP81" s="518">
        <f>IF(YEAR('3 pr-2'!AJ81)=2020,BJ81,0)</f>
        <v>0</v>
      </c>
      <c r="BQ81" s="518">
        <f>IF(YEAR('3 pr-2'!AJ81)=2021,BJ81,0)</f>
        <v>0</v>
      </c>
      <c r="BR81" s="518">
        <f>IF(YEAR('3 pr-2'!AJ81)=2022,BJ81,0)</f>
        <v>0</v>
      </c>
      <c r="BS81" s="518">
        <f>IF(YEAR('3 pr-2'!AJ81)=2023,BJ81,0)</f>
        <v>0</v>
      </c>
      <c r="BT81" s="523"/>
      <c r="BU81" s="881"/>
      <c r="BV81" s="518"/>
      <c r="BW81" s="518"/>
      <c r="BX81" s="518"/>
      <c r="BY81" s="518"/>
      <c r="BZ81" s="518"/>
      <c r="CA81" s="518"/>
      <c r="CB81" s="518"/>
      <c r="CC81" s="1337">
        <f t="shared" si="318"/>
        <v>0</v>
      </c>
      <c r="CD81" s="518"/>
      <c r="CE81" s="518"/>
      <c r="CF81" s="518"/>
      <c r="CG81" s="518">
        <f>IF(YEAR('3 pr-2'!$AJ81)=2017,$CD81,0)</f>
        <v>0</v>
      </c>
      <c r="CH81" s="518">
        <f>IF(YEAR('3 pr-2'!$AJ81)=2018,$CD81,0)</f>
        <v>0</v>
      </c>
      <c r="CI81" s="518">
        <f>IF(YEAR('3 pr-2'!$AJ81)=2019,$CD81,0)</f>
        <v>0</v>
      </c>
      <c r="CJ81" s="518">
        <f>IF(YEAR('3 pr-2'!$AJ81)=2020,$CD81,0)</f>
        <v>0</v>
      </c>
      <c r="CK81" s="518">
        <f>IF(YEAR('3 pr-2'!$AJ81)=2021,$CD81,0)</f>
        <v>0</v>
      </c>
      <c r="CL81" s="518">
        <f>IF(YEAR('3 pr-2'!$AJ81)=2022,$CD81,0)</f>
        <v>0</v>
      </c>
      <c r="CM81" s="518">
        <f>IF(YEAR('3 pr-2'!$AJ81)=2023,$CD81,0)</f>
        <v>0</v>
      </c>
      <c r="CN81" s="523"/>
      <c r="CO81" s="882"/>
      <c r="CP81" s="524"/>
      <c r="CQ81" s="518"/>
      <c r="CR81" s="518"/>
      <c r="CS81" s="518"/>
      <c r="CT81" s="518"/>
      <c r="CU81" s="518"/>
      <c r="CV81" s="518"/>
      <c r="CW81" s="1337">
        <f t="shared" si="320"/>
        <v>0</v>
      </c>
      <c r="CX81" s="524"/>
      <c r="CY81" s="504"/>
      <c r="CZ81" s="504"/>
      <c r="DA81" s="1332">
        <f>IF(YEAR('3 pr-2'!AJ81)=2017,CX81,0)</f>
        <v>0</v>
      </c>
      <c r="DB81" s="1332">
        <f>IF(YEAR('3 pr-2'!AJ81)=2018,CX81,0)</f>
        <v>0</v>
      </c>
      <c r="DC81" s="1332">
        <f>IF(YEAR('3 pr-2'!AJ81)=2019,CX81,0)</f>
        <v>0</v>
      </c>
      <c r="DD81" s="1332">
        <f>IF(YEAR('3 pr-2'!AJ81)=2020,CX81,0)</f>
        <v>0</v>
      </c>
      <c r="DE81" s="1332">
        <f>IF(YEAR('3 pr-2'!AJ81)=2021,CX81,0)</f>
        <v>0</v>
      </c>
      <c r="DF81" s="1332">
        <f>IF(YEAR('3 pr-2'!AJ81)=2022,CX81,0)</f>
        <v>0</v>
      </c>
      <c r="DG81" s="1332">
        <f>IF(YEAR('3 pr-2'!AJ81)=2023,CX81,0)</f>
        <v>0</v>
      </c>
    </row>
    <row r="82" spans="1:111" ht="49.5" thickTop="1" thickBot="1" x14ac:dyDescent="0.3">
      <c r="A82" s="518" t="str">
        <f>CONCATENATE('3 pr-2'!A82)</f>
        <v>1.1.2.2.3</v>
      </c>
      <c r="B82" s="518" t="str">
        <f>CONCATENATE('3 pr-2'!B82)</f>
        <v>R01-5514-191800-1223</v>
      </c>
      <c r="C82" s="1449" t="str">
        <f>CONCATENATE('ketv. 2lent'!B81)</f>
        <v/>
      </c>
      <c r="D82" s="189" t="str">
        <f>CONCATENATE('3 pr-2'!D82)</f>
        <v>Intelektinių transporto sistemų diegimas Druskininkuose</v>
      </c>
      <c r="E82" s="480" t="str">
        <f>CONCATENATE('3 pr-2'!E82)</f>
        <v>Druskininkų savivaldybės administracija</v>
      </c>
      <c r="F82" s="480" t="str">
        <f>CONCATENATE('3 pr-2'!F82)</f>
        <v>Lietuvos Respublikos susisiekimo ministerija</v>
      </c>
      <c r="G82" s="480" t="str">
        <f>CONCATENATE('3 pr-2'!G82)</f>
        <v>Druskininkų  miestas</v>
      </c>
      <c r="H82" s="518" t="str">
        <f>CONCATENATE('3 pr-2'!H82)</f>
        <v>04.5.1.-TID-R-514</v>
      </c>
      <c r="I82" s="518" t="str">
        <f>CONCATENATE('3 pr-2'!I82)</f>
        <v>R</v>
      </c>
      <c r="J82" s="518" t="str">
        <f>CONCATENATE('3 pr-2'!J82)</f>
        <v>-</v>
      </c>
      <c r="K82" s="518" t="str">
        <f>CONCATENATE('3 pr-2'!K82)</f>
        <v>-</v>
      </c>
      <c r="L82" s="518" t="s">
        <v>522</v>
      </c>
      <c r="M82" s="881" t="s">
        <v>523</v>
      </c>
      <c r="N82" s="518"/>
      <c r="O82" s="518"/>
      <c r="P82" s="518"/>
      <c r="Q82" s="518"/>
      <c r="R82" s="518"/>
      <c r="S82" s="518"/>
      <c r="T82" s="518"/>
      <c r="U82" s="1335">
        <f t="shared" si="344"/>
        <v>0</v>
      </c>
      <c r="V82" s="518">
        <v>1</v>
      </c>
      <c r="W82" s="1336">
        <f>IF('ketv. 6 lent'!K82&gt;0,"taip",0)</f>
        <v>0</v>
      </c>
      <c r="X82" s="518"/>
      <c r="Y82" s="518">
        <f>IF(YEAR('3 pr-2'!$AJ82)=2017,$V82,0)</f>
        <v>0</v>
      </c>
      <c r="Z82" s="518">
        <f>IF(YEAR('3 pr-2'!$AJ82)=2018,$V82,0)</f>
        <v>0</v>
      </c>
      <c r="AA82" s="518">
        <f>IF(YEAR('3 pr-2'!$AJ82)=2019,$V82,0)</f>
        <v>0</v>
      </c>
      <c r="AB82" s="518">
        <f>IF(YEAR('3 pr-2'!$AJ82)=2020,$V82,0)</f>
        <v>1</v>
      </c>
      <c r="AC82" s="518">
        <f>IF(YEAR('3 pr-2'!$AJ82)=2021,$V82,0)</f>
        <v>0</v>
      </c>
      <c r="AD82" s="518">
        <f>IF(YEAR('3 pr-2'!$AJ82)=2022,$V82,0)</f>
        <v>0</v>
      </c>
      <c r="AE82" s="518">
        <f>IF(YEAR('3 pr-2'!$AJ82)=2023,$V82,0)</f>
        <v>0</v>
      </c>
      <c r="AF82" s="523"/>
      <c r="AG82" s="881"/>
      <c r="AH82" s="518"/>
      <c r="AI82" s="518"/>
      <c r="AJ82" s="518"/>
      <c r="AK82" s="518"/>
      <c r="AL82" s="518"/>
      <c r="AM82" s="518"/>
      <c r="AN82" s="518"/>
      <c r="AO82" s="1337">
        <f t="shared" si="314"/>
        <v>0</v>
      </c>
      <c r="AP82" s="518"/>
      <c r="AQ82" s="1338"/>
      <c r="AR82" s="518"/>
      <c r="AS82" s="518">
        <f>IF(YEAR('3 pr-2'!$AJ82)=2017,$AP82,0)</f>
        <v>0</v>
      </c>
      <c r="AT82" s="518">
        <f>IF(YEAR('3 pr-2'!$AJ82)=2018,$AP82,0)</f>
        <v>0</v>
      </c>
      <c r="AU82" s="518">
        <f>IF(YEAR('3 pr-2'!$AJ82)=2019,$AP82,0)</f>
        <v>0</v>
      </c>
      <c r="AV82" s="518">
        <f>IF(YEAR('3 pr-2'!$AJ82)=2020,$AP82,0)</f>
        <v>0</v>
      </c>
      <c r="AW82" s="518">
        <f>IF(YEAR('3 pr-2'!$AJ82)=2021,$AP82,0)</f>
        <v>0</v>
      </c>
      <c r="AX82" s="518">
        <f>IF(YEAR('3 pr-2'!$AJ82)=2022,$AP82,0)</f>
        <v>0</v>
      </c>
      <c r="AY82" s="518">
        <f>IF(YEAR('3 pr-2'!$AJ82)=2023,$AP82,0)</f>
        <v>0</v>
      </c>
      <c r="AZ82" s="518" t="s">
        <v>1713</v>
      </c>
      <c r="BA82" s="894" t="s">
        <v>1714</v>
      </c>
      <c r="BB82" s="518"/>
      <c r="BC82" s="518"/>
      <c r="BD82" s="518"/>
      <c r="BE82" s="518"/>
      <c r="BF82" s="518"/>
      <c r="BG82" s="518"/>
      <c r="BH82" s="518"/>
      <c r="BI82" s="1337">
        <f t="shared" si="316"/>
        <v>0</v>
      </c>
      <c r="BJ82" s="518">
        <v>1</v>
      </c>
      <c r="BK82" s="1338"/>
      <c r="BL82" s="518"/>
      <c r="BM82" s="518">
        <f>IF(YEAR('3 pr-2'!AJ82)=2017,BJ82,0)</f>
        <v>0</v>
      </c>
      <c r="BN82" s="518">
        <f>IF(YEAR('3 pr-2'!AJ82)=2018,BJ82,0)</f>
        <v>0</v>
      </c>
      <c r="BO82" s="518">
        <f>IF(YEAR('3 pr-2'!AJ82)=2019,BJ82,0)</f>
        <v>0</v>
      </c>
      <c r="BP82" s="518">
        <f>IF(YEAR('3 pr-2'!AJ82)=2020,BJ82,0)</f>
        <v>1</v>
      </c>
      <c r="BQ82" s="518">
        <f>IF(YEAR('3 pr-2'!AJ82)=2021,BJ82,0)</f>
        <v>0</v>
      </c>
      <c r="BR82" s="518">
        <f>IF(YEAR('3 pr-2'!AJ82)=2022,BJ82,0)</f>
        <v>0</v>
      </c>
      <c r="BS82" s="518">
        <f>IF(YEAR('3 pr-2'!AJ82)=2023,BJ82,0)</f>
        <v>0</v>
      </c>
      <c r="BT82" s="523"/>
      <c r="BU82" s="881"/>
      <c r="BV82" s="518"/>
      <c r="BW82" s="518"/>
      <c r="BX82" s="518"/>
      <c r="BY82" s="518"/>
      <c r="BZ82" s="518"/>
      <c r="CA82" s="518"/>
      <c r="CB82" s="518"/>
      <c r="CC82" s="1337">
        <f t="shared" si="318"/>
        <v>0</v>
      </c>
      <c r="CD82" s="518"/>
      <c r="CE82" s="518"/>
      <c r="CF82" s="518"/>
      <c r="CG82" s="518">
        <f>IF(YEAR('3 pr-2'!$AJ82)=2017,$CD82,0)</f>
        <v>0</v>
      </c>
      <c r="CH82" s="518">
        <f>IF(YEAR('3 pr-2'!$AJ82)=2018,$CD82,0)</f>
        <v>0</v>
      </c>
      <c r="CI82" s="518">
        <f>IF(YEAR('3 pr-2'!$AJ82)=2019,$CD82,0)</f>
        <v>0</v>
      </c>
      <c r="CJ82" s="518">
        <f>IF(YEAR('3 pr-2'!$AJ82)=2020,$CD82,0)</f>
        <v>0</v>
      </c>
      <c r="CK82" s="518">
        <f>IF(YEAR('3 pr-2'!$AJ82)=2021,$CD82,0)</f>
        <v>0</v>
      </c>
      <c r="CL82" s="518">
        <f>IF(YEAR('3 pr-2'!$AJ82)=2022,$CD82,0)</f>
        <v>0</v>
      </c>
      <c r="CM82" s="518">
        <f>IF(YEAR('3 pr-2'!$AJ82)=2023,$CD82,0)</f>
        <v>0</v>
      </c>
      <c r="CN82" s="523"/>
      <c r="CO82" s="882"/>
      <c r="CP82" s="524"/>
      <c r="CQ82" s="518"/>
      <c r="CR82" s="518"/>
      <c r="CS82" s="518"/>
      <c r="CT82" s="518"/>
      <c r="CU82" s="518"/>
      <c r="CV82" s="518"/>
      <c r="CW82" s="1337">
        <f t="shared" si="320"/>
        <v>0</v>
      </c>
      <c r="CX82" s="524"/>
      <c r="CY82" s="504"/>
      <c r="CZ82" s="504"/>
      <c r="DA82" s="1332">
        <f>IF(YEAR('3 pr-2'!AJ82)=2017,CX82,0)</f>
        <v>0</v>
      </c>
      <c r="DB82" s="1332">
        <f>IF(YEAR('3 pr-2'!AJ82)=2018,CX82,0)</f>
        <v>0</v>
      </c>
      <c r="DC82" s="1332">
        <f>IF(YEAR('3 pr-2'!AJ82)=2019,CX82,0)</f>
        <v>0</v>
      </c>
      <c r="DD82" s="1332">
        <f>IF(YEAR('3 pr-2'!AJ82)=2020,CX82,0)</f>
        <v>0</v>
      </c>
      <c r="DE82" s="1332">
        <f>IF(YEAR('3 pr-2'!AJ82)=2021,CX82,0)</f>
        <v>0</v>
      </c>
      <c r="DF82" s="1332">
        <f>IF(YEAR('3 pr-2'!AJ82)=2022,CX82,0)</f>
        <v>0</v>
      </c>
      <c r="DG82" s="1332">
        <f>IF(YEAR('3 pr-2'!AJ82)=2023,CX82,0)</f>
        <v>0</v>
      </c>
    </row>
    <row r="83" spans="1:111" ht="49.5" thickTop="1" thickBot="1" x14ac:dyDescent="0.3">
      <c r="A83" s="518" t="str">
        <f>CONCATENATE('3 pr-2'!A83)</f>
        <v>1.1.2.2.4</v>
      </c>
      <c r="B83" s="518" t="str">
        <f>CONCATENATE('3 pr-2'!B83)</f>
        <v>R01-5514-190000-1224</v>
      </c>
      <c r="C83" s="1449" t="str">
        <f>CONCATENATE('ketv. 2lent'!B82)</f>
        <v>04.5.1-TID-V-513-01-0006</v>
      </c>
      <c r="D83" s="189" t="str">
        <f>CONCATENATE('3 pr-2'!D83)</f>
        <v>Darnaus judumo plano Druskininkuose parengimas</v>
      </c>
      <c r="E83" s="480" t="str">
        <f>CONCATENATE('3 pr-2'!E83)</f>
        <v>Druskininkų savivaldybės administracija</v>
      </c>
      <c r="F83" s="480" t="str">
        <f>CONCATENATE('3 pr-2'!F83)</f>
        <v>Lietuvos Respublikos susisiekimo ministerija</v>
      </c>
      <c r="G83" s="480" t="str">
        <f>CONCATENATE('3 pr-2'!G83)</f>
        <v>Druskininkų  miestas</v>
      </c>
      <c r="H83" s="518" t="str">
        <f>CONCATENATE('3 pr-2'!H83)</f>
        <v>04.5.1-TID-V-513</v>
      </c>
      <c r="I83" s="518" t="str">
        <f>CONCATENATE('3 pr-2'!I83)</f>
        <v>V</v>
      </c>
      <c r="J83" s="518" t="str">
        <f>CONCATENATE('3 pr-2'!J83)</f>
        <v>ITI</v>
      </c>
      <c r="K83" s="518" t="str">
        <f>CONCATENATE('3 pr-2'!K83)</f>
        <v>-</v>
      </c>
      <c r="L83" s="518"/>
      <c r="M83" s="881"/>
      <c r="N83" s="518"/>
      <c r="O83" s="518"/>
      <c r="P83" s="518"/>
      <c r="Q83" s="518"/>
      <c r="R83" s="518"/>
      <c r="S83" s="518"/>
      <c r="T83" s="518"/>
      <c r="U83" s="1335"/>
      <c r="V83" s="518"/>
      <c r="W83" s="1336" t="str">
        <f>IF('ketv. 6 lent'!K83&gt;0,"taip",0)</f>
        <v>taip</v>
      </c>
      <c r="X83" s="518"/>
      <c r="Y83" s="518">
        <f>IF(YEAR('3 pr-2'!$AJ83)=2017,$V83,0)</f>
        <v>0</v>
      </c>
      <c r="Z83" s="518">
        <f>IF(YEAR('3 pr-2'!$AJ83)=2018,$V83,0)</f>
        <v>0</v>
      </c>
      <c r="AA83" s="518">
        <f>IF(YEAR('3 pr-2'!$AJ83)=2019,$V83,0)</f>
        <v>0</v>
      </c>
      <c r="AB83" s="518">
        <f>IF(YEAR('3 pr-2'!$AJ83)=2020,$V83,0)</f>
        <v>0</v>
      </c>
      <c r="AC83" s="518">
        <f>IF(YEAR('3 pr-2'!$AJ83)=2021,$V83,0)</f>
        <v>0</v>
      </c>
      <c r="AD83" s="518">
        <f>IF(YEAR('3 pr-2'!$AJ83)=2022,$V83,0)</f>
        <v>0</v>
      </c>
      <c r="AE83" s="518">
        <f>IF(YEAR('3 pr-2'!$AJ83)=2023,$V83,0)</f>
        <v>0</v>
      </c>
      <c r="AF83" s="523" t="s">
        <v>846</v>
      </c>
      <c r="AG83" s="881" t="s">
        <v>847</v>
      </c>
      <c r="AH83" s="518">
        <v>1</v>
      </c>
      <c r="AI83" s="518"/>
      <c r="AJ83" s="518"/>
      <c r="AK83" s="518"/>
      <c r="AL83" s="518"/>
      <c r="AM83" s="518"/>
      <c r="AN83" s="518"/>
      <c r="AO83" s="1337">
        <f t="shared" ref="AO83" si="346">SUM(AH83:AN83)</f>
        <v>1</v>
      </c>
      <c r="AP83" s="518">
        <v>1</v>
      </c>
      <c r="AQ83" s="1338">
        <v>1</v>
      </c>
      <c r="AR83" s="518">
        <f>SUM(AQ83-AP83)</f>
        <v>0</v>
      </c>
      <c r="AS83" s="518">
        <f>IF(YEAR('3 pr-2'!$AJ83)=2017,$AP83,0)</f>
        <v>1</v>
      </c>
      <c r="AT83" s="518">
        <f>IF(YEAR('3 pr-2'!$AJ83)=2018,$AP83,0)</f>
        <v>0</v>
      </c>
      <c r="AU83" s="518">
        <f>IF(YEAR('3 pr-2'!$AJ83)=2019,$AP83,0)</f>
        <v>0</v>
      </c>
      <c r="AV83" s="518">
        <f>IF(YEAR('3 pr-2'!$AJ83)=2020,$AP83,0)</f>
        <v>0</v>
      </c>
      <c r="AW83" s="518">
        <f>IF(YEAR('3 pr-2'!$AJ83)=2021,$AP83,0)</f>
        <v>0</v>
      </c>
      <c r="AX83" s="518">
        <f>IF(YEAR('3 pr-2'!$AJ83)=2022,$AP83,0)</f>
        <v>0</v>
      </c>
      <c r="AY83" s="518">
        <f>IF(YEAR('3 pr-2'!$AJ83)=2023,$AP83,0)</f>
        <v>0</v>
      </c>
      <c r="AZ83" s="518"/>
      <c r="BA83" s="880"/>
      <c r="BB83" s="518"/>
      <c r="BC83" s="518"/>
      <c r="BD83" s="518"/>
      <c r="BE83" s="518"/>
      <c r="BF83" s="518"/>
      <c r="BG83" s="518"/>
      <c r="BH83" s="518"/>
      <c r="BI83" s="1337">
        <f t="shared" si="316"/>
        <v>0</v>
      </c>
      <c r="BJ83" s="518"/>
      <c r="BK83" s="1338"/>
      <c r="BL83" s="518"/>
      <c r="BM83" s="518">
        <f>IF(YEAR('3 pr-2'!AJ83)=2017,BJ83,0)</f>
        <v>0</v>
      </c>
      <c r="BN83" s="518">
        <f>IF(YEAR('3 pr-2'!AJ83)=2018,BJ83,0)</f>
        <v>0</v>
      </c>
      <c r="BO83" s="518">
        <f>IF(YEAR('3 pr-2'!AJ83)=2019,BJ83,0)</f>
        <v>0</v>
      </c>
      <c r="BP83" s="518">
        <f>IF(YEAR('3 pr-2'!AJ83)=2020,BJ83,0)</f>
        <v>0</v>
      </c>
      <c r="BQ83" s="518">
        <f>IF(YEAR('3 pr-2'!AJ83)=2021,BJ83,0)</f>
        <v>0</v>
      </c>
      <c r="BR83" s="518">
        <f>IF(YEAR('3 pr-2'!AJ83)=2022,BJ83,0)</f>
        <v>0</v>
      </c>
      <c r="BS83" s="518">
        <f>IF(YEAR('3 pr-2'!AJ83)=2023,BJ83,0)</f>
        <v>0</v>
      </c>
      <c r="BT83" s="523"/>
      <c r="BU83" s="881"/>
      <c r="BV83" s="518"/>
      <c r="BW83" s="518"/>
      <c r="BX83" s="518"/>
      <c r="BY83" s="518"/>
      <c r="BZ83" s="518"/>
      <c r="CA83" s="518"/>
      <c r="CB83" s="518"/>
      <c r="CC83" s="1337">
        <f t="shared" si="318"/>
        <v>0</v>
      </c>
      <c r="CD83" s="518"/>
      <c r="CE83" s="518"/>
      <c r="CF83" s="518"/>
      <c r="CG83" s="518">
        <f>IF(YEAR('3 pr-2'!$AJ83)=2017,$CD83,0)</f>
        <v>0</v>
      </c>
      <c r="CH83" s="518">
        <f>IF(YEAR('3 pr-2'!$AJ83)=2018,$CD83,0)</f>
        <v>0</v>
      </c>
      <c r="CI83" s="518">
        <f>IF(YEAR('3 pr-2'!$AJ83)=2019,$CD83,0)</f>
        <v>0</v>
      </c>
      <c r="CJ83" s="518">
        <f>IF(YEAR('3 pr-2'!$AJ83)=2020,$CD83,0)</f>
        <v>0</v>
      </c>
      <c r="CK83" s="518">
        <f>IF(YEAR('3 pr-2'!$AJ83)=2021,$CD83,0)</f>
        <v>0</v>
      </c>
      <c r="CL83" s="518">
        <f>IF(YEAR('3 pr-2'!$AJ83)=2022,$CD83,0)</f>
        <v>0</v>
      </c>
      <c r="CM83" s="518">
        <f>IF(YEAR('3 pr-2'!$AJ83)=2023,$CD83,0)</f>
        <v>0</v>
      </c>
      <c r="CN83" s="523"/>
      <c r="CO83" s="882"/>
      <c r="CP83" s="524"/>
      <c r="CQ83" s="518"/>
      <c r="CR83" s="518"/>
      <c r="CS83" s="518"/>
      <c r="CT83" s="518"/>
      <c r="CU83" s="518"/>
      <c r="CV83" s="518"/>
      <c r="CW83" s="1337">
        <f t="shared" si="320"/>
        <v>0</v>
      </c>
      <c r="CX83" s="524"/>
      <c r="CY83" s="504"/>
      <c r="CZ83" s="504"/>
      <c r="DA83" s="1332">
        <f>IF(YEAR('3 pr-2'!AJ83)=2017,CX83,0)</f>
        <v>0</v>
      </c>
      <c r="DB83" s="1332">
        <f>IF(YEAR('3 pr-2'!AJ83)=2018,CX83,0)</f>
        <v>0</v>
      </c>
      <c r="DC83" s="1332">
        <f>IF(YEAR('3 pr-2'!AJ83)=2019,CX83,0)</f>
        <v>0</v>
      </c>
      <c r="DD83" s="1332">
        <f>IF(YEAR('3 pr-2'!AJ83)=2020,CX83,0)</f>
        <v>0</v>
      </c>
      <c r="DE83" s="1332">
        <f>IF(YEAR('3 pr-2'!AJ83)=2021,CX83,0)</f>
        <v>0</v>
      </c>
      <c r="DF83" s="1332">
        <f>IF(YEAR('3 pr-2'!AJ83)=2022,CX83,0)</f>
        <v>0</v>
      </c>
      <c r="DG83" s="1332">
        <f>IF(YEAR('3 pr-2'!AJ83)=2023,CX83,0)</f>
        <v>0</v>
      </c>
    </row>
    <row r="84" spans="1:111" ht="73.5" thickTop="1" thickBot="1" x14ac:dyDescent="0.3">
      <c r="A84" s="1428" t="str">
        <f>CONCATENATE('3 pr-2'!A84)</f>
        <v>1.1.2.2.5</v>
      </c>
      <c r="B84" s="518" t="str">
        <f>CONCATENATE('3 pr-2'!B84)</f>
        <v>R01-5514-190000-1225</v>
      </c>
      <c r="C84" s="1449" t="str">
        <f>CONCATENATE('ketv. 2lent'!B85)</f>
        <v/>
      </c>
      <c r="D84" s="189" t="str">
        <f>CONCATENATE('3 pr-2'!D84)</f>
        <v>Viešojo transporto organizavimo tobulinimas rekonstruojant Druskininkų miesto gatvių infrastruktūrą</v>
      </c>
      <c r="E84" s="480" t="str">
        <f>CONCATENATE('3 pr-2'!E84)</f>
        <v>Druskininkų savivaldybės administracija</v>
      </c>
      <c r="F84" s="480" t="str">
        <f>CONCATENATE('3 pr-2'!F84)</f>
        <v>Lietuvos Respublikos susisiekimo ministerija</v>
      </c>
      <c r="G84" s="480" t="str">
        <f>CONCATENATE('3 pr-2'!G84)</f>
        <v>Druskininkų  miestas</v>
      </c>
      <c r="H84" s="518" t="str">
        <f>CONCATENATE('3 pr-2'!H84)</f>
        <v>04.5.1.-TID-R-514</v>
      </c>
      <c r="I84" s="518" t="str">
        <f>CONCATENATE('3 pr-2'!I84)</f>
        <v>R</v>
      </c>
      <c r="J84" s="518" t="str">
        <f>CONCATENATE('3 pr-2'!J84)</f>
        <v>-</v>
      </c>
      <c r="K84" s="518" t="str">
        <f>CONCATENATE('3 pr-2'!K84)</f>
        <v>-</v>
      </c>
      <c r="L84" s="518" t="s">
        <v>522</v>
      </c>
      <c r="M84" s="1204" t="s">
        <v>523</v>
      </c>
      <c r="N84" s="518"/>
      <c r="O84" s="518"/>
      <c r="P84" s="518"/>
      <c r="Q84" s="518"/>
      <c r="R84" s="518"/>
      <c r="S84" s="518"/>
      <c r="T84" s="518"/>
      <c r="U84" s="1335"/>
      <c r="V84" s="518">
        <v>1</v>
      </c>
      <c r="W84" s="1336" t="str">
        <f>IF('ketv. 6 lent'!K86&gt;0,"taip",0)</f>
        <v>taip</v>
      </c>
      <c r="X84" s="518"/>
      <c r="Y84" s="518">
        <f>IF(YEAR('3 pr-2'!$AJ84)=2017,$V84,0)</f>
        <v>0</v>
      </c>
      <c r="Z84" s="518">
        <f>IF(YEAR('3 pr-2'!$AJ84)=2018,$V84,0)</f>
        <v>0</v>
      </c>
      <c r="AA84" s="518">
        <f>IF(YEAR('3 pr-2'!$AJ84)=2019,$V84,0)</f>
        <v>1</v>
      </c>
      <c r="AB84" s="518">
        <f>IF(YEAR('3 pr-2'!$AJ84)=2020,$V84,0)</f>
        <v>0</v>
      </c>
      <c r="AC84" s="518">
        <f>IF(YEAR('3 pr-2'!$AJ84)=2021,$V84,0)</f>
        <v>0</v>
      </c>
      <c r="AD84" s="518">
        <f>IF(YEAR('3 pr-2'!$AJ84)=2022,$V84,0)</f>
        <v>0</v>
      </c>
      <c r="AE84" s="518">
        <f>IF(YEAR('3 pr-2'!$AJ84)=2023,$V84,0)</f>
        <v>0</v>
      </c>
      <c r="AF84" s="523"/>
      <c r="AG84" s="881"/>
      <c r="AH84" s="518"/>
      <c r="AI84" s="518"/>
      <c r="AJ84" s="518"/>
      <c r="AK84" s="518"/>
      <c r="AL84" s="518"/>
      <c r="AM84" s="518"/>
      <c r="AN84" s="518"/>
      <c r="AO84" s="1337"/>
      <c r="AP84" s="518"/>
      <c r="AQ84" s="1338"/>
      <c r="AR84" s="518"/>
      <c r="AS84" s="518"/>
      <c r="AT84" s="518"/>
      <c r="AU84" s="518"/>
      <c r="AV84" s="518"/>
      <c r="AW84" s="518"/>
      <c r="AX84" s="518"/>
      <c r="AY84" s="518"/>
      <c r="AZ84" s="518"/>
      <c r="BA84" s="880"/>
      <c r="BB84" s="518"/>
      <c r="BC84" s="518"/>
      <c r="BD84" s="518"/>
      <c r="BE84" s="518"/>
      <c r="BF84" s="518"/>
      <c r="BG84" s="518"/>
      <c r="BH84" s="518"/>
      <c r="BI84" s="1337"/>
      <c r="BJ84" s="518"/>
      <c r="BK84" s="1338"/>
      <c r="BL84" s="518"/>
      <c r="BM84" s="518"/>
      <c r="BN84" s="518"/>
      <c r="BO84" s="518"/>
      <c r="BP84" s="518"/>
      <c r="BQ84" s="518"/>
      <c r="BR84" s="518"/>
      <c r="BS84" s="518"/>
      <c r="BT84" s="523"/>
      <c r="BU84" s="881"/>
      <c r="BV84" s="518"/>
      <c r="BW84" s="518"/>
      <c r="BX84" s="518"/>
      <c r="BY84" s="518"/>
      <c r="BZ84" s="518"/>
      <c r="CA84" s="518"/>
      <c r="CB84" s="518"/>
      <c r="CC84" s="1337"/>
      <c r="CD84" s="518"/>
      <c r="CE84" s="518"/>
      <c r="CF84" s="518"/>
      <c r="CG84" s="518"/>
      <c r="CH84" s="518"/>
      <c r="CI84" s="518"/>
      <c r="CJ84" s="518"/>
      <c r="CK84" s="518"/>
      <c r="CL84" s="518"/>
      <c r="CM84" s="518"/>
      <c r="CN84" s="523"/>
      <c r="CO84" s="882"/>
      <c r="CP84" s="524"/>
      <c r="CQ84" s="518"/>
      <c r="CR84" s="518"/>
      <c r="CS84" s="518"/>
      <c r="CT84" s="518"/>
      <c r="CU84" s="518"/>
      <c r="CV84" s="518"/>
      <c r="CW84" s="1337"/>
      <c r="CX84" s="524"/>
      <c r="CY84" s="504"/>
      <c r="CZ84" s="504"/>
      <c r="DA84" s="1332"/>
      <c r="DB84" s="1332"/>
      <c r="DC84" s="1332"/>
      <c r="DD84" s="1332"/>
      <c r="DE84" s="1332"/>
      <c r="DF84" s="1332"/>
      <c r="DG84" s="1332"/>
    </row>
    <row r="85" spans="1:111" ht="49.5" thickTop="1" thickBot="1" x14ac:dyDescent="0.3">
      <c r="A85" s="518" t="str">
        <f>CONCATENATE('3 pr-2'!A85)</f>
        <v>1.1.2.2.6</v>
      </c>
      <c r="B85" s="518" t="str">
        <f>CONCATENATE('3 pr-2'!B85)</f>
        <v>R01-5514-190000-1226</v>
      </c>
      <c r="C85" s="1449" t="str">
        <f>CONCATENATE('ketv. 2lent'!B86)</f>
        <v>04.5.1-TID-R-516-11-0004</v>
      </c>
      <c r="D85" s="189" t="str">
        <f>CONCATENATE('3 pr-2'!D85)</f>
        <v>Vandens transporto infrastruktūros įrengimas skatinant kitų rūšių transportą</v>
      </c>
      <c r="E85" s="480" t="str">
        <f>CONCATENATE('3 pr-2'!E85)</f>
        <v>Druskininkų savivaldybės administracija</v>
      </c>
      <c r="F85" s="480" t="str">
        <f>CONCATENATE('3 pr-2'!F85)</f>
        <v>Lietuvos Respublikos susisiekimo ministerija</v>
      </c>
      <c r="G85" s="480" t="str">
        <f>CONCATENATE('3 pr-2'!G85)</f>
        <v>Druskininkų  miestas</v>
      </c>
      <c r="H85" s="518" t="str">
        <f>CONCATENATE('3 pr-2'!H85)</f>
        <v>04.5.1.-TID-R-514</v>
      </c>
      <c r="I85" s="518" t="str">
        <f>CONCATENATE('3 pr-2'!I85)</f>
        <v>R</v>
      </c>
      <c r="J85" s="518" t="str">
        <f>CONCATENATE('3 pr-2'!J85)</f>
        <v>-</v>
      </c>
      <c r="K85" s="518" t="str">
        <f>CONCATENATE('3 pr-2'!K85)</f>
        <v>-</v>
      </c>
      <c r="L85" s="518" t="s">
        <v>522</v>
      </c>
      <c r="M85" s="1204" t="s">
        <v>523</v>
      </c>
      <c r="N85" s="518"/>
      <c r="O85" s="518"/>
      <c r="P85" s="518"/>
      <c r="Q85" s="518"/>
      <c r="R85" s="518"/>
      <c r="S85" s="518"/>
      <c r="T85" s="518"/>
      <c r="U85" s="1335"/>
      <c r="V85" s="518">
        <v>1</v>
      </c>
      <c r="W85" s="1336">
        <f>IF('ketv. 6 lent'!K87&gt;0,"taip",0)</f>
        <v>0</v>
      </c>
      <c r="X85" s="518"/>
      <c r="Y85" s="518">
        <f>IF(YEAR('3 pr-2'!$AJ85)=2017,$V85,0)</f>
        <v>0</v>
      </c>
      <c r="Z85" s="518">
        <f>IF(YEAR('3 pr-2'!$AJ85)=2018,$V85,0)</f>
        <v>0</v>
      </c>
      <c r="AA85" s="518">
        <f>IF(YEAR('3 pr-2'!$AJ85)=2019,$V85,0)</f>
        <v>0</v>
      </c>
      <c r="AB85" s="518">
        <f>IF(YEAR('3 pr-2'!$AJ85)=2020,$V85,0)</f>
        <v>0</v>
      </c>
      <c r="AC85" s="518">
        <f>IF(YEAR('3 pr-2'!$AJ85)=2021,$V85,0)</f>
        <v>1</v>
      </c>
      <c r="AD85" s="518">
        <f>IF(YEAR('3 pr-2'!$AJ85)=2022,$V85,0)</f>
        <v>0</v>
      </c>
      <c r="AE85" s="518">
        <f>IF(YEAR('3 pr-2'!$AJ85)=2023,$V85,0)</f>
        <v>0</v>
      </c>
      <c r="AF85" s="523"/>
      <c r="AG85" s="881"/>
      <c r="AH85" s="518"/>
      <c r="AI85" s="518"/>
      <c r="AJ85" s="518"/>
      <c r="AK85" s="518"/>
      <c r="AL85" s="518"/>
      <c r="AM85" s="518"/>
      <c r="AN85" s="518"/>
      <c r="AO85" s="1337"/>
      <c r="AP85" s="518"/>
      <c r="AQ85" s="1338"/>
      <c r="AR85" s="518"/>
      <c r="AS85" s="518"/>
      <c r="AT85" s="518"/>
      <c r="AU85" s="518"/>
      <c r="AV85" s="518"/>
      <c r="AW85" s="518"/>
      <c r="AX85" s="518"/>
      <c r="AY85" s="518"/>
      <c r="AZ85" s="518"/>
      <c r="BA85" s="880"/>
      <c r="BB85" s="518"/>
      <c r="BC85" s="518"/>
      <c r="BD85" s="518"/>
      <c r="BE85" s="518"/>
      <c r="BF85" s="518"/>
      <c r="BG85" s="518"/>
      <c r="BH85" s="518"/>
      <c r="BI85" s="1337"/>
      <c r="BJ85" s="518"/>
      <c r="BK85" s="1338"/>
      <c r="BL85" s="518"/>
      <c r="BM85" s="518"/>
      <c r="BN85" s="518"/>
      <c r="BO85" s="518"/>
      <c r="BP85" s="518"/>
      <c r="BQ85" s="518"/>
      <c r="BR85" s="518"/>
      <c r="BS85" s="518"/>
      <c r="BT85" s="523"/>
      <c r="BU85" s="881"/>
      <c r="BV85" s="518"/>
      <c r="BW85" s="518"/>
      <c r="BX85" s="518"/>
      <c r="BY85" s="518"/>
      <c r="BZ85" s="518"/>
      <c r="CA85" s="518"/>
      <c r="CB85" s="518"/>
      <c r="CC85" s="1337"/>
      <c r="CD85" s="518"/>
      <c r="CE85" s="518"/>
      <c r="CF85" s="518"/>
      <c r="CG85" s="518"/>
      <c r="CH85" s="518"/>
      <c r="CI85" s="518"/>
      <c r="CJ85" s="518"/>
      <c r="CK85" s="518"/>
      <c r="CL85" s="518"/>
      <c r="CM85" s="518"/>
      <c r="CN85" s="523"/>
      <c r="CO85" s="882"/>
      <c r="CP85" s="524"/>
      <c r="CQ85" s="518"/>
      <c r="CR85" s="518"/>
      <c r="CS85" s="518"/>
      <c r="CT85" s="518"/>
      <c r="CU85" s="518"/>
      <c r="CV85" s="518"/>
      <c r="CW85" s="1337"/>
      <c r="CX85" s="524"/>
      <c r="CY85" s="504"/>
      <c r="CZ85" s="504"/>
      <c r="DA85" s="1332"/>
      <c r="DB85" s="1332"/>
      <c r="DC85" s="1332"/>
      <c r="DD85" s="1332"/>
      <c r="DE85" s="1332"/>
      <c r="DF85" s="1332"/>
      <c r="DG85" s="1332"/>
    </row>
    <row r="86" spans="1:111" ht="33" customHeight="1" thickBot="1" x14ac:dyDescent="0.3">
      <c r="A86" s="1257" t="str">
        <f>CONCATENATE('3 pr-2'!A86)</f>
        <v>1.1.2.3</v>
      </c>
      <c r="B86" s="1687" t="str">
        <f>CONCATENATE('3 pr-2'!B86)</f>
        <v>Priemonė:
Pėsčiųjų ir dviračių takų rekonstrukcija ir plėtra</v>
      </c>
      <c r="C86" s="1688"/>
      <c r="D86" s="1688"/>
      <c r="E86" s="1688"/>
      <c r="F86" s="1688"/>
      <c r="G86" s="1688"/>
      <c r="H86" s="1688"/>
      <c r="I86" s="1688"/>
      <c r="J86" s="1688"/>
      <c r="K86" s="1689"/>
      <c r="L86" s="1328" t="s">
        <v>524</v>
      </c>
      <c r="M86" s="884" t="s">
        <v>525</v>
      </c>
      <c r="N86" s="505">
        <f>SUM(N87:N91)</f>
        <v>0</v>
      </c>
      <c r="O86" s="505">
        <f t="shared" ref="O86:T86" si="347">SUM(O87:O91)</f>
        <v>0</v>
      </c>
      <c r="P86" s="505">
        <f t="shared" si="347"/>
        <v>0</v>
      </c>
      <c r="Q86" s="505">
        <f t="shared" si="347"/>
        <v>0</v>
      </c>
      <c r="R86" s="505">
        <f t="shared" si="347"/>
        <v>0</v>
      </c>
      <c r="S86" s="505">
        <f t="shared" si="347"/>
        <v>0</v>
      </c>
      <c r="T86" s="505">
        <f t="shared" si="347"/>
        <v>0</v>
      </c>
      <c r="U86" s="1329">
        <f t="shared" ref="U86:U91" si="348">SUM(N86:T86)</f>
        <v>0</v>
      </c>
      <c r="V86" s="1299">
        <f>SUM(V87:V91)</f>
        <v>3.694</v>
      </c>
      <c r="W86" s="1317"/>
      <c r="X86" s="1316"/>
      <c r="Y86" s="505">
        <f t="shared" ref="Y86:AE86" si="349">SUM(Y87:Y91)</f>
        <v>0</v>
      </c>
      <c r="Z86" s="505">
        <f t="shared" si="349"/>
        <v>1.73</v>
      </c>
      <c r="AA86" s="505">
        <f t="shared" si="349"/>
        <v>1.964</v>
      </c>
      <c r="AB86" s="505">
        <f t="shared" si="349"/>
        <v>0</v>
      </c>
      <c r="AC86" s="505">
        <f t="shared" si="349"/>
        <v>0</v>
      </c>
      <c r="AD86" s="505">
        <f t="shared" si="349"/>
        <v>0</v>
      </c>
      <c r="AE86" s="505">
        <f t="shared" si="349"/>
        <v>0</v>
      </c>
      <c r="AF86" s="1316" t="s">
        <v>527</v>
      </c>
      <c r="AG86" s="1331" t="s">
        <v>528</v>
      </c>
      <c r="AH86" s="505">
        <f>SUM(AH87:AH91)</f>
        <v>0</v>
      </c>
      <c r="AI86" s="505">
        <f t="shared" ref="AI86" si="350">SUM(AI87:AI91)</f>
        <v>0</v>
      </c>
      <c r="AJ86" s="505">
        <f t="shared" ref="AJ86" si="351">SUM(AJ87:AJ91)</f>
        <v>0</v>
      </c>
      <c r="AK86" s="505">
        <f t="shared" ref="AK86" si="352">SUM(AK87:AK91)</f>
        <v>0</v>
      </c>
      <c r="AL86" s="505">
        <f t="shared" ref="AL86" si="353">SUM(AL87:AL91)</f>
        <v>0</v>
      </c>
      <c r="AM86" s="505">
        <f t="shared" ref="AM86" si="354">SUM(AM87:AM91)</f>
        <v>0</v>
      </c>
      <c r="AN86" s="505">
        <f t="shared" ref="AN86" si="355">SUM(AN87:AN91)</f>
        <v>0</v>
      </c>
      <c r="AO86" s="1299">
        <f t="shared" si="314"/>
        <v>0</v>
      </c>
      <c r="AP86" s="1299">
        <f>SUM(AP87:AP91)</f>
        <v>0.69</v>
      </c>
      <c r="AQ86" s="505"/>
      <c r="AR86" s="505"/>
      <c r="AS86" s="505">
        <f t="shared" ref="AS86" si="356">SUM(AS87:AS91)</f>
        <v>0</v>
      </c>
      <c r="AT86" s="505">
        <f t="shared" ref="AT86" si="357">SUM(AT87:AT91)</f>
        <v>0</v>
      </c>
      <c r="AU86" s="505">
        <f t="shared" ref="AU86" si="358">SUM(AU87:AU91)</f>
        <v>0.69</v>
      </c>
      <c r="AV86" s="505">
        <f t="shared" ref="AV86" si="359">SUM(AV87:AV91)</f>
        <v>0</v>
      </c>
      <c r="AW86" s="505">
        <f t="shared" ref="AW86" si="360">SUM(AW87:AW91)</f>
        <v>0</v>
      </c>
      <c r="AX86" s="505">
        <f t="shared" ref="AX86" si="361">SUM(AX87:AX91)</f>
        <v>0</v>
      </c>
      <c r="AY86" s="505">
        <f t="shared" ref="AY86" si="362">SUM(AY87:AY91)</f>
        <v>0</v>
      </c>
      <c r="AZ86" s="1299"/>
      <c r="BA86" s="1331"/>
      <c r="BB86" s="505">
        <f>SUM(BB87:BB91)</f>
        <v>0</v>
      </c>
      <c r="BC86" s="505">
        <f t="shared" ref="BC86" si="363">SUM(BC87:BC91)</f>
        <v>0</v>
      </c>
      <c r="BD86" s="505">
        <f t="shared" ref="BD86" si="364">SUM(BD87:BD91)</f>
        <v>0</v>
      </c>
      <c r="BE86" s="505">
        <f t="shared" ref="BE86" si="365">SUM(BE87:BE91)</f>
        <v>0</v>
      </c>
      <c r="BF86" s="505">
        <f t="shared" ref="BF86" si="366">SUM(BF87:BF91)</f>
        <v>0</v>
      </c>
      <c r="BG86" s="505">
        <f t="shared" ref="BG86" si="367">SUM(BG87:BG91)</f>
        <v>0</v>
      </c>
      <c r="BH86" s="505">
        <f t="shared" ref="BH86" si="368">SUM(BH87:BH91)</f>
        <v>0</v>
      </c>
      <c r="BI86" s="1299">
        <f t="shared" si="316"/>
        <v>0</v>
      </c>
      <c r="BJ86" s="1299"/>
      <c r="BK86" s="505"/>
      <c r="BL86" s="505"/>
      <c r="BM86" s="505"/>
      <c r="BN86" s="505"/>
      <c r="BO86" s="505"/>
      <c r="BP86" s="505"/>
      <c r="BQ86" s="505"/>
      <c r="BR86" s="505"/>
      <c r="BS86" s="505"/>
      <c r="BT86" s="505"/>
      <c r="BU86" s="882"/>
      <c r="BV86" s="505">
        <f>SUM(BV87:BV91)</f>
        <v>0</v>
      </c>
      <c r="BW86" s="505">
        <f t="shared" ref="BW86" si="369">SUM(BW87:BW91)</f>
        <v>0</v>
      </c>
      <c r="BX86" s="505">
        <f t="shared" ref="BX86" si="370">SUM(BX87:BX91)</f>
        <v>0</v>
      </c>
      <c r="BY86" s="505">
        <f t="shared" ref="BY86" si="371">SUM(BY87:BY91)</f>
        <v>0</v>
      </c>
      <c r="BZ86" s="505">
        <f t="shared" ref="BZ86" si="372">SUM(BZ87:BZ91)</f>
        <v>0</v>
      </c>
      <c r="CA86" s="505">
        <f t="shared" ref="CA86" si="373">SUM(CA87:CA91)</f>
        <v>0</v>
      </c>
      <c r="CB86" s="505">
        <f t="shared" ref="CB86" si="374">SUM(CB87:CB91)</f>
        <v>0</v>
      </c>
      <c r="CC86" s="1299">
        <f t="shared" si="318"/>
        <v>0</v>
      </c>
      <c r="CD86" s="505"/>
      <c r="CE86" s="505"/>
      <c r="CF86" s="505"/>
      <c r="CG86" s="505"/>
      <c r="CH86" s="505"/>
      <c r="CI86" s="505"/>
      <c r="CJ86" s="505"/>
      <c r="CK86" s="505"/>
      <c r="CL86" s="505"/>
      <c r="CM86" s="505"/>
      <c r="CN86" s="1329"/>
      <c r="CO86" s="882"/>
      <c r="CP86" s="1287">
        <f>SUM(CP87:CP91)</f>
        <v>0</v>
      </c>
      <c r="CQ86" s="505">
        <f t="shared" ref="CQ86" si="375">SUM(CQ87:CQ91)</f>
        <v>0</v>
      </c>
      <c r="CR86" s="505">
        <f t="shared" ref="CR86" si="376">SUM(CR87:CR91)</f>
        <v>0</v>
      </c>
      <c r="CS86" s="505">
        <f t="shared" ref="CS86" si="377">SUM(CS87:CS91)</f>
        <v>0</v>
      </c>
      <c r="CT86" s="505">
        <f t="shared" ref="CT86" si="378">SUM(CT87:CT91)</f>
        <v>0</v>
      </c>
      <c r="CU86" s="505">
        <f t="shared" ref="CU86" si="379">SUM(CU87:CU91)</f>
        <v>0</v>
      </c>
      <c r="CV86" s="505">
        <f t="shared" ref="CV86" si="380">SUM(CV87:CV91)</f>
        <v>0</v>
      </c>
      <c r="CW86" s="1299">
        <f t="shared" si="320"/>
        <v>0</v>
      </c>
      <c r="CX86" s="505"/>
      <c r="CY86" s="1332"/>
      <c r="CZ86" s="1332"/>
      <c r="DA86" s="1332"/>
      <c r="DB86" s="1332"/>
      <c r="DC86" s="1332"/>
      <c r="DD86" s="1332"/>
      <c r="DE86" s="1332"/>
      <c r="DF86" s="1332"/>
      <c r="DG86" s="1332"/>
    </row>
    <row r="87" spans="1:111" ht="49.5" thickTop="1" thickBot="1" x14ac:dyDescent="0.3">
      <c r="A87" s="518" t="str">
        <f>CONCATENATE('3 pr-2'!A87)</f>
        <v>1.1.2.3.1</v>
      </c>
      <c r="B87" s="518" t="str">
        <f>CONCATENATE('3 pr-2'!B87)</f>
        <v>R01-5516-190000-1231</v>
      </c>
      <c r="C87" s="1449" t="str">
        <f>CONCATENATE('ketv. 2lent'!B86)</f>
        <v>04.5.1-TID-R-516-11-0004</v>
      </c>
      <c r="D87" s="189" t="str">
        <f>CONCATENATE('3 pr-2'!D87)</f>
        <v>Dviračių ir pėsčiųjų takų įrengimas Varėnos miesto J. Basanavičiaus ir Žiedo gatvėse</v>
      </c>
      <c r="E87" s="480" t="str">
        <f>CONCATENATE('3 pr-2'!E87)</f>
        <v>Varėnos rajono savivaldybės administracija</v>
      </c>
      <c r="F87" s="480" t="str">
        <f>CONCATENATE('3 pr-2'!F87)</f>
        <v>Lietuvos Respublikos susisiekimo ministerija</v>
      </c>
      <c r="G87" s="480" t="str">
        <f>CONCATENATE('3 pr-2'!G87)</f>
        <v>Varėnos miestas</v>
      </c>
      <c r="H87" s="518" t="str">
        <f>CONCATENATE('3 pr-2'!H87)</f>
        <v>04.5.1-TID-R-516</v>
      </c>
      <c r="I87" s="518" t="str">
        <f>CONCATENATE('3 pr-2'!I87)</f>
        <v>R</v>
      </c>
      <c r="J87" s="518" t="str">
        <f>CONCATENATE('3 pr-2'!J87)</f>
        <v>ITI</v>
      </c>
      <c r="K87" s="518" t="str">
        <f>CONCATENATE('3 pr-2'!K87)</f>
        <v>-</v>
      </c>
      <c r="L87" s="518" t="s">
        <v>524</v>
      </c>
      <c r="M87" s="881" t="s">
        <v>525</v>
      </c>
      <c r="N87" s="518"/>
      <c r="O87" s="518"/>
      <c r="P87" s="518"/>
      <c r="Q87" s="518"/>
      <c r="R87" s="518"/>
      <c r="S87" s="518"/>
      <c r="T87" s="518"/>
      <c r="U87" s="1335">
        <f t="shared" si="348"/>
        <v>0</v>
      </c>
      <c r="V87" s="518">
        <v>0.98</v>
      </c>
      <c r="W87" s="1336">
        <f>IF('ketv. 6 lent'!K87&gt;0,"taip",0)</f>
        <v>0</v>
      </c>
      <c r="X87" s="518"/>
      <c r="Y87" s="518">
        <f>IF(YEAR('3 pr-2'!$AJ87)=2017,$V87,0)</f>
        <v>0</v>
      </c>
      <c r="Z87" s="518">
        <f>IF(YEAR('3 pr-2'!$AJ87)=2018,$V87,0)</f>
        <v>0.98</v>
      </c>
      <c r="AA87" s="518">
        <f>IF(YEAR('3 pr-2'!$AJ87)=2019,$V87,0)</f>
        <v>0</v>
      </c>
      <c r="AB87" s="518">
        <f>IF(YEAR('3 pr-2'!$AJ87)=2020,$V87,0)</f>
        <v>0</v>
      </c>
      <c r="AC87" s="518">
        <f>IF(YEAR('3 pr-2'!$AJ87)=2021,$V87,0)</f>
        <v>0</v>
      </c>
      <c r="AD87" s="518">
        <f>IF(YEAR('3 pr-2'!$AJ87)=2022,$V87,0)</f>
        <v>0</v>
      </c>
      <c r="AE87" s="518">
        <f>IF(YEAR('3 pr-2'!$AJ87)=2023,$V87,0)</f>
        <v>0</v>
      </c>
      <c r="AF87" s="523"/>
      <c r="AG87" s="881"/>
      <c r="AH87" s="518"/>
      <c r="AI87" s="518"/>
      <c r="AJ87" s="518"/>
      <c r="AK87" s="518"/>
      <c r="AL87" s="518"/>
      <c r="AM87" s="518"/>
      <c r="AN87" s="518"/>
      <c r="AO87" s="1337">
        <f t="shared" si="314"/>
        <v>0</v>
      </c>
      <c r="AP87" s="518"/>
      <c r="AQ87" s="1338"/>
      <c r="AR87" s="518"/>
      <c r="AS87" s="518">
        <f>IF(YEAR('3 pr-2'!$AJ87)=2017,$AP87,0)</f>
        <v>0</v>
      </c>
      <c r="AT87" s="518">
        <f>IF(YEAR('3 pr-2'!$AJ87)=2018,$AP87,0)</f>
        <v>0</v>
      </c>
      <c r="AU87" s="518">
        <f>IF(YEAR('3 pr-2'!$AJ87)=2019,$AP87,0)</f>
        <v>0</v>
      </c>
      <c r="AV87" s="518">
        <f>IF(YEAR('3 pr-2'!$AJ87)=2020,$AP87,0)</f>
        <v>0</v>
      </c>
      <c r="AW87" s="518">
        <f>IF(YEAR('3 pr-2'!$AJ87)=2021,$AP87,0)</f>
        <v>0</v>
      </c>
      <c r="AX87" s="518">
        <f>IF(YEAR('3 pr-2'!$AJ87)=2022,$AP87,0)</f>
        <v>0</v>
      </c>
      <c r="AY87" s="518">
        <f>IF(YEAR('3 pr-2'!$AJ87)=2023,$AP87,0)</f>
        <v>0</v>
      </c>
      <c r="AZ87" s="518"/>
      <c r="BA87" s="880"/>
      <c r="BB87" s="518"/>
      <c r="BC87" s="518"/>
      <c r="BD87" s="518"/>
      <c r="BE87" s="518"/>
      <c r="BF87" s="518"/>
      <c r="BG87" s="518"/>
      <c r="BH87" s="518"/>
      <c r="BI87" s="1337">
        <f t="shared" si="316"/>
        <v>0</v>
      </c>
      <c r="BJ87" s="518"/>
      <c r="BK87" s="1338"/>
      <c r="BL87" s="518"/>
      <c r="BM87" s="518">
        <f>IF(YEAR('3 pr-2'!AJ87)=2017,BJ87,0)</f>
        <v>0</v>
      </c>
      <c r="BN87" s="518">
        <f>IF(YEAR('3 pr-2'!AJ87)=2018,BJ87,0)</f>
        <v>0</v>
      </c>
      <c r="BO87" s="518">
        <f>IF(YEAR('3 pr-2'!AJ87)=2019,BJ87,0)</f>
        <v>0</v>
      </c>
      <c r="BP87" s="518">
        <f>IF(YEAR('3 pr-2'!AJ87)=2020,BJ87,0)</f>
        <v>0</v>
      </c>
      <c r="BQ87" s="518">
        <f>IF(YEAR('3 pr-2'!AJ87)=2021,BJ87,0)</f>
        <v>0</v>
      </c>
      <c r="BR87" s="518">
        <f>IF(YEAR('3 pr-2'!AJ87)=2022,BJ87,0)</f>
        <v>0</v>
      </c>
      <c r="BS87" s="518">
        <f>IF(YEAR('3 pr-2'!AJ87)=2023,BJ87,0)</f>
        <v>0</v>
      </c>
      <c r="BT87" s="523"/>
      <c r="BU87" s="881"/>
      <c r="BV87" s="518"/>
      <c r="BW87" s="518"/>
      <c r="BX87" s="518"/>
      <c r="BY87" s="518"/>
      <c r="BZ87" s="518"/>
      <c r="CA87" s="518"/>
      <c r="CB87" s="518"/>
      <c r="CC87" s="1337">
        <f t="shared" si="318"/>
        <v>0</v>
      </c>
      <c r="CD87" s="518"/>
      <c r="CE87" s="518"/>
      <c r="CF87" s="518"/>
      <c r="CG87" s="518">
        <f>IF(YEAR('3 pr-2'!$AJ87)=2017,$CD87,0)</f>
        <v>0</v>
      </c>
      <c r="CH87" s="518">
        <f>IF(YEAR('3 pr-2'!$AJ87)=2018,$CD87,0)</f>
        <v>0</v>
      </c>
      <c r="CI87" s="518">
        <f>IF(YEAR('3 pr-2'!$AJ87)=2019,$CD87,0)</f>
        <v>0</v>
      </c>
      <c r="CJ87" s="518">
        <f>IF(YEAR('3 pr-2'!$AJ87)=2020,$CD87,0)</f>
        <v>0</v>
      </c>
      <c r="CK87" s="518">
        <f>IF(YEAR('3 pr-2'!$AJ87)=2021,$CD87,0)</f>
        <v>0</v>
      </c>
      <c r="CL87" s="518">
        <f>IF(YEAR('3 pr-2'!$AJ87)=2022,$CD87,0)</f>
        <v>0</v>
      </c>
      <c r="CM87" s="518">
        <f>IF(YEAR('3 pr-2'!$AJ87)=2023,$CD87,0)</f>
        <v>0</v>
      </c>
      <c r="CN87" s="523"/>
      <c r="CO87" s="882"/>
      <c r="CP87" s="524"/>
      <c r="CQ87" s="518"/>
      <c r="CR87" s="518"/>
      <c r="CS87" s="518"/>
      <c r="CT87" s="518"/>
      <c r="CU87" s="518"/>
      <c r="CV87" s="518"/>
      <c r="CW87" s="1337">
        <f t="shared" si="320"/>
        <v>0</v>
      </c>
      <c r="CX87" s="524"/>
      <c r="CY87" s="504"/>
      <c r="CZ87" s="504"/>
      <c r="DA87" s="1332">
        <f>IF(YEAR('3 pr-2'!AJ87)=2017,CX87,0)</f>
        <v>0</v>
      </c>
      <c r="DB87" s="1332">
        <f>IF(YEAR('3 pr-2'!AJ87)=2018,CX87,0)</f>
        <v>0</v>
      </c>
      <c r="DC87" s="1332">
        <f>IF(YEAR('3 pr-2'!AJ87)=2019,CX87,0)</f>
        <v>0</v>
      </c>
      <c r="DD87" s="1332">
        <f>IF(YEAR('3 pr-2'!AJ87)=2020,CX87,0)</f>
        <v>0</v>
      </c>
      <c r="DE87" s="1332">
        <f>IF(YEAR('3 pr-2'!AJ87)=2021,CX87,0)</f>
        <v>0</v>
      </c>
      <c r="DF87" s="1332">
        <f>IF(YEAR('3 pr-2'!AJ87)=2022,CX87,0)</f>
        <v>0</v>
      </c>
      <c r="DG87" s="1332">
        <f>IF(YEAR('3 pr-2'!AJ87)=2023,CX87,0)</f>
        <v>0</v>
      </c>
    </row>
    <row r="88" spans="1:111" ht="61.5" thickTop="1" thickBot="1" x14ac:dyDescent="0.3">
      <c r="A88" s="518" t="str">
        <f>CONCATENATE('3 pr-2'!A88)</f>
        <v>1.1.2.3.2</v>
      </c>
      <c r="B88" s="518" t="str">
        <f>CONCATENATE('3 pr-2'!B88)</f>
        <v>R01-5516-190000-1232</v>
      </c>
      <c r="C88" s="1449" t="str">
        <f>CONCATENATE('ketv. 2lent'!B87)</f>
        <v>04.5.1-TID-R-516-11-0001</v>
      </c>
      <c r="D88" s="189" t="str">
        <f>CONCATENATE('3 pr-2'!D88)</f>
        <v>Dviračių trasų infrastruktūros įrengimas nuo Putinų g. žiedo Pramonės gatvėje, Alytaus mieste</v>
      </c>
      <c r="E88" s="480" t="str">
        <f>CONCATENATE('3 pr-2'!E88)</f>
        <v>Alytaus miesto savivaldybės administracija</v>
      </c>
      <c r="F88" s="480" t="str">
        <f>CONCATENATE('3 pr-2'!F88)</f>
        <v>Lietuvos Respublikos susisiekimo ministerija</v>
      </c>
      <c r="G88" s="480" t="str">
        <f>CONCATENATE('3 pr-2'!G88)</f>
        <v>Alytaus  miestas</v>
      </c>
      <c r="H88" s="518" t="str">
        <f>CONCATENATE('3 pr-2'!H88)</f>
        <v>04.5.1-TID-R-516</v>
      </c>
      <c r="I88" s="518" t="str">
        <f>CONCATENATE('3 pr-2'!I88)</f>
        <v>R</v>
      </c>
      <c r="J88" s="518" t="str">
        <f>CONCATENATE('3 pr-2'!J88)</f>
        <v>ITI</v>
      </c>
      <c r="K88" s="518" t="str">
        <f>CONCATENATE('3 pr-2'!K88)</f>
        <v>-</v>
      </c>
      <c r="L88" s="518" t="s">
        <v>524</v>
      </c>
      <c r="M88" s="881" t="s">
        <v>526</v>
      </c>
      <c r="N88" s="518"/>
      <c r="O88" s="518"/>
      <c r="P88" s="518"/>
      <c r="Q88" s="518"/>
      <c r="R88" s="518"/>
      <c r="S88" s="518"/>
      <c r="T88" s="518"/>
      <c r="U88" s="1335">
        <f t="shared" si="348"/>
        <v>0</v>
      </c>
      <c r="V88" s="518">
        <v>0.75</v>
      </c>
      <c r="W88" s="1336" t="str">
        <f>IF('ketv. 6 lent'!K88&gt;0,"0,75",0)</f>
        <v>0,75</v>
      </c>
      <c r="X88" s="518">
        <f>SUM(W88-V88)</f>
        <v>0</v>
      </c>
      <c r="Y88" s="518">
        <f>IF(YEAR('3 pr-2'!$AJ88)=2017,$V88,0)</f>
        <v>0</v>
      </c>
      <c r="Z88" s="518">
        <f>IF(YEAR('3 pr-2'!$AJ88)=2018,$V88,0)</f>
        <v>0.75</v>
      </c>
      <c r="AA88" s="518">
        <f>IF(YEAR('3 pr-2'!$AJ88)=2019,$V88,0)</f>
        <v>0</v>
      </c>
      <c r="AB88" s="518">
        <f>IF(YEAR('3 pr-2'!$AJ88)=2020,$V88,0)</f>
        <v>0</v>
      </c>
      <c r="AC88" s="518">
        <f>IF(YEAR('3 pr-2'!$AJ88)=2021,$V88,0)</f>
        <v>0</v>
      </c>
      <c r="AD88" s="518">
        <f>IF(YEAR('3 pr-2'!$AJ88)=2022,$V88,0)</f>
        <v>0</v>
      </c>
      <c r="AE88" s="518">
        <f>IF(YEAR('3 pr-2'!$AJ88)=2023,$V88,0)</f>
        <v>0</v>
      </c>
      <c r="AF88" s="523"/>
      <c r="AG88" s="881"/>
      <c r="AH88" s="518"/>
      <c r="AI88" s="518"/>
      <c r="AJ88" s="518"/>
      <c r="AK88" s="518"/>
      <c r="AL88" s="518"/>
      <c r="AM88" s="518"/>
      <c r="AN88" s="518"/>
      <c r="AO88" s="1337">
        <f t="shared" si="314"/>
        <v>0</v>
      </c>
      <c r="AP88" s="518"/>
      <c r="AQ88" s="1338"/>
      <c r="AR88" s="518"/>
      <c r="AS88" s="518">
        <f>IF(YEAR('3 pr-2'!$AJ88)=2017,$AP88,0)</f>
        <v>0</v>
      </c>
      <c r="AT88" s="518">
        <f>IF(YEAR('3 pr-2'!$AJ88)=2018,$AP88,0)</f>
        <v>0</v>
      </c>
      <c r="AU88" s="518">
        <f>IF(YEAR('3 pr-2'!$AJ88)=2019,$AP88,0)</f>
        <v>0</v>
      </c>
      <c r="AV88" s="518">
        <f>IF(YEAR('3 pr-2'!$AJ88)=2020,$AP88,0)</f>
        <v>0</v>
      </c>
      <c r="AW88" s="518">
        <f>IF(YEAR('3 pr-2'!$AJ88)=2021,$AP88,0)</f>
        <v>0</v>
      </c>
      <c r="AX88" s="518">
        <f>IF(YEAR('3 pr-2'!$AJ88)=2022,$AP88,0)</f>
        <v>0</v>
      </c>
      <c r="AY88" s="518">
        <f>IF(YEAR('3 pr-2'!$AJ88)=2023,$AP88,0)</f>
        <v>0</v>
      </c>
      <c r="AZ88" s="518"/>
      <c r="BA88" s="880"/>
      <c r="BB88" s="518"/>
      <c r="BC88" s="518"/>
      <c r="BD88" s="518"/>
      <c r="BE88" s="518"/>
      <c r="BF88" s="518"/>
      <c r="BG88" s="518"/>
      <c r="BH88" s="518"/>
      <c r="BI88" s="1337">
        <f t="shared" si="316"/>
        <v>0</v>
      </c>
      <c r="BJ88" s="518"/>
      <c r="BK88" s="1338"/>
      <c r="BL88" s="518"/>
      <c r="BM88" s="518">
        <f>IF(YEAR('3 pr-2'!AJ88)=2017,BJ88,0)</f>
        <v>0</v>
      </c>
      <c r="BN88" s="518">
        <f>IF(YEAR('3 pr-2'!AJ88)=2018,BJ88,0)</f>
        <v>0</v>
      </c>
      <c r="BO88" s="518">
        <f>IF(YEAR('3 pr-2'!AJ88)=2019,BJ88,0)</f>
        <v>0</v>
      </c>
      <c r="BP88" s="518">
        <f>IF(YEAR('3 pr-2'!AJ88)=2020,BJ88,0)</f>
        <v>0</v>
      </c>
      <c r="BQ88" s="518">
        <f>IF(YEAR('3 pr-2'!AJ88)=2021,BJ88,0)</f>
        <v>0</v>
      </c>
      <c r="BR88" s="518">
        <f>IF(YEAR('3 pr-2'!AJ88)=2022,BJ88,0)</f>
        <v>0</v>
      </c>
      <c r="BS88" s="518">
        <f>IF(YEAR('3 pr-2'!AJ88)=2023,BJ88,0)</f>
        <v>0</v>
      </c>
      <c r="BT88" s="523"/>
      <c r="BU88" s="881"/>
      <c r="BV88" s="518"/>
      <c r="BW88" s="518"/>
      <c r="BX88" s="518"/>
      <c r="BY88" s="518"/>
      <c r="BZ88" s="518"/>
      <c r="CA88" s="518"/>
      <c r="CB88" s="518"/>
      <c r="CC88" s="1337">
        <f t="shared" si="318"/>
        <v>0</v>
      </c>
      <c r="CD88" s="518"/>
      <c r="CE88" s="518"/>
      <c r="CF88" s="518"/>
      <c r="CG88" s="518">
        <f>IF(YEAR('3 pr-2'!$AJ88)=2017,$CD88,0)</f>
        <v>0</v>
      </c>
      <c r="CH88" s="518">
        <f>IF(YEAR('3 pr-2'!$AJ88)=2018,$CD88,0)</f>
        <v>0</v>
      </c>
      <c r="CI88" s="518">
        <f>IF(YEAR('3 pr-2'!$AJ88)=2019,$CD88,0)</f>
        <v>0</v>
      </c>
      <c r="CJ88" s="518">
        <f>IF(YEAR('3 pr-2'!$AJ88)=2020,$CD88,0)</f>
        <v>0</v>
      </c>
      <c r="CK88" s="518">
        <f>IF(YEAR('3 pr-2'!$AJ88)=2021,$CD88,0)</f>
        <v>0</v>
      </c>
      <c r="CL88" s="518">
        <f>IF(YEAR('3 pr-2'!$AJ88)=2022,$CD88,0)</f>
        <v>0</v>
      </c>
      <c r="CM88" s="518">
        <f>IF(YEAR('3 pr-2'!$AJ88)=2023,$CD88,0)</f>
        <v>0</v>
      </c>
      <c r="CN88" s="523"/>
      <c r="CO88" s="882"/>
      <c r="CP88" s="524"/>
      <c r="CQ88" s="518"/>
      <c r="CR88" s="518"/>
      <c r="CS88" s="518"/>
      <c r="CT88" s="518"/>
      <c r="CU88" s="518"/>
      <c r="CV88" s="518"/>
      <c r="CW88" s="1337">
        <f t="shared" si="320"/>
        <v>0</v>
      </c>
      <c r="CX88" s="524"/>
      <c r="CY88" s="504"/>
      <c r="CZ88" s="504"/>
      <c r="DA88" s="1332">
        <f>IF(YEAR('3 pr-2'!AJ88)=2017,CX88,0)</f>
        <v>0</v>
      </c>
      <c r="DB88" s="1332">
        <f>IF(YEAR('3 pr-2'!AJ88)=2018,CX88,0)</f>
        <v>0</v>
      </c>
      <c r="DC88" s="1332">
        <f>IF(YEAR('3 pr-2'!AJ88)=2019,CX88,0)</f>
        <v>0</v>
      </c>
      <c r="DD88" s="1332">
        <f>IF(YEAR('3 pr-2'!AJ88)=2020,CX88,0)</f>
        <v>0</v>
      </c>
      <c r="DE88" s="1332">
        <f>IF(YEAR('3 pr-2'!AJ88)=2021,CX88,0)</f>
        <v>0</v>
      </c>
      <c r="DF88" s="1332">
        <f>IF(YEAR('3 pr-2'!AJ88)=2022,CX88,0)</f>
        <v>0</v>
      </c>
      <c r="DG88" s="1332">
        <f>IF(YEAR('3 pr-2'!AJ88)=2023,CX88,0)</f>
        <v>0</v>
      </c>
    </row>
    <row r="89" spans="1:111" ht="61.5" thickTop="1" thickBot="1" x14ac:dyDescent="0.3">
      <c r="A89" s="518" t="str">
        <f>CONCATENATE('3 pr-2'!A89)</f>
        <v>1.1.2.3.3</v>
      </c>
      <c r="B89" s="518" t="str">
        <f>CONCATENATE('3 pr-2'!B89)</f>
        <v>R01-5516-190000-1233</v>
      </c>
      <c r="C89" s="1449" t="str">
        <f>CONCATENATE('ketv. 2lent'!B88)</f>
        <v>04.5.1-TID-R-516-11-0002</v>
      </c>
      <c r="D89" s="189" t="str">
        <f>CONCATENATE('3 pr-2'!D89)</f>
        <v>Dviračių ir pėsčiųjų takų plėtra Lazdijų miesto Turistų gatvėje iki sodų bendrijos „Baltasis“ Lazdijų seniūnijoje</v>
      </c>
      <c r="E89" s="480" t="str">
        <f>CONCATENATE('3 pr-2'!E89)</f>
        <v>Lazdijų rajono savivaldybės administracija</v>
      </c>
      <c r="F89" s="480" t="str">
        <f>CONCATENATE('3 pr-2'!F89)</f>
        <v>Lietuvos Respublikos susisiekimo ministerija</v>
      </c>
      <c r="G89" s="480" t="str">
        <f>CONCATENATE('3 pr-2'!G89)</f>
        <v>Lazdijų miestas</v>
      </c>
      <c r="H89" s="518" t="str">
        <f>CONCATENATE('3 pr-2'!H89)</f>
        <v>04.5.1-TID-R-516</v>
      </c>
      <c r="I89" s="518" t="str">
        <f>CONCATENATE('3 pr-2'!I89)</f>
        <v>R</v>
      </c>
      <c r="J89" s="518" t="str">
        <f>CONCATENATE('3 pr-2'!J89)</f>
        <v>ITI</v>
      </c>
      <c r="K89" s="518" t="str">
        <f>CONCATENATE('3 pr-2'!K89)</f>
        <v>-</v>
      </c>
      <c r="L89" s="518" t="s">
        <v>524</v>
      </c>
      <c r="M89" s="881" t="s">
        <v>525</v>
      </c>
      <c r="N89" s="518"/>
      <c r="O89" s="518"/>
      <c r="P89" s="518"/>
      <c r="Q89" s="518"/>
      <c r="R89" s="518"/>
      <c r="S89" s="518"/>
      <c r="T89" s="518"/>
      <c r="U89" s="1335">
        <f t="shared" si="348"/>
        <v>0</v>
      </c>
      <c r="V89" s="518">
        <v>1.1599999999999999</v>
      </c>
      <c r="W89" s="1336">
        <v>1.1599999999999999</v>
      </c>
      <c r="X89" s="518">
        <v>0</v>
      </c>
      <c r="Y89" s="518">
        <f>IF(YEAR('3 pr-2'!$AJ89)=2017,$V89,0)</f>
        <v>0</v>
      </c>
      <c r="Z89" s="518">
        <f>IF(YEAR('3 pr-2'!$AJ89)=2018,$V89,0)</f>
        <v>0</v>
      </c>
      <c r="AA89" s="518">
        <f>IF(YEAR('3 pr-2'!$AJ89)=2019,$V89,0)</f>
        <v>1.1599999999999999</v>
      </c>
      <c r="AB89" s="518">
        <f>IF(YEAR('3 pr-2'!$AJ89)=2020,$V89,0)</f>
        <v>0</v>
      </c>
      <c r="AC89" s="518">
        <f>IF(YEAR('3 pr-2'!$AJ89)=2021,$V89,0)</f>
        <v>0</v>
      </c>
      <c r="AD89" s="518">
        <f>IF(YEAR('3 pr-2'!$AJ89)=2022,$V89,0)</f>
        <v>0</v>
      </c>
      <c r="AE89" s="518">
        <f>IF(YEAR('3 pr-2'!$AJ89)=2023,$V89,0)</f>
        <v>0</v>
      </c>
      <c r="AF89" s="523"/>
      <c r="AG89" s="881"/>
      <c r="AH89" s="518"/>
      <c r="AI89" s="518"/>
      <c r="AJ89" s="518"/>
      <c r="AK89" s="518"/>
      <c r="AL89" s="518"/>
      <c r="AM89" s="518"/>
      <c r="AN89" s="518"/>
      <c r="AO89" s="1337">
        <f t="shared" si="314"/>
        <v>0</v>
      </c>
      <c r="AP89" s="518"/>
      <c r="AQ89" s="1338"/>
      <c r="AR89" s="518"/>
      <c r="AS89" s="518">
        <f>IF(YEAR('3 pr-2'!$AJ89)=2017,$AP89,0)</f>
        <v>0</v>
      </c>
      <c r="AT89" s="518">
        <f>IF(YEAR('3 pr-2'!$AJ89)=2018,$AP89,0)</f>
        <v>0</v>
      </c>
      <c r="AU89" s="518">
        <f>IF(YEAR('3 pr-2'!$AJ89)=2019,$AP89,0)</f>
        <v>0</v>
      </c>
      <c r="AV89" s="518">
        <f>IF(YEAR('3 pr-2'!$AJ89)=2020,$AP89,0)</f>
        <v>0</v>
      </c>
      <c r="AW89" s="518">
        <f>IF(YEAR('3 pr-2'!$AJ89)=2021,$AP89,0)</f>
        <v>0</v>
      </c>
      <c r="AX89" s="518">
        <f>IF(YEAR('3 pr-2'!$AJ89)=2022,$AP89,0)</f>
        <v>0</v>
      </c>
      <c r="AY89" s="518">
        <f>IF(YEAR('3 pr-2'!$AJ89)=2023,$AP89,0)</f>
        <v>0</v>
      </c>
      <c r="AZ89" s="518"/>
      <c r="BA89" s="880"/>
      <c r="BB89" s="518"/>
      <c r="BC89" s="518"/>
      <c r="BD89" s="518"/>
      <c r="BE89" s="518"/>
      <c r="BF89" s="518"/>
      <c r="BG89" s="518"/>
      <c r="BH89" s="518"/>
      <c r="BI89" s="1337">
        <f t="shared" si="316"/>
        <v>0</v>
      </c>
      <c r="BJ89" s="518"/>
      <c r="BK89" s="1338"/>
      <c r="BL89" s="518"/>
      <c r="BM89" s="518">
        <f>IF(YEAR('3 pr-2'!AJ89)=2017,BJ89,0)</f>
        <v>0</v>
      </c>
      <c r="BN89" s="518">
        <f>IF(YEAR('3 pr-2'!AJ89)=2018,BJ89,0)</f>
        <v>0</v>
      </c>
      <c r="BO89" s="518">
        <f>IF(YEAR('3 pr-2'!AJ89)=2019,BJ89,0)</f>
        <v>0</v>
      </c>
      <c r="BP89" s="518">
        <f>IF(YEAR('3 pr-2'!AJ89)=2020,BJ89,0)</f>
        <v>0</v>
      </c>
      <c r="BQ89" s="518">
        <f>IF(YEAR('3 pr-2'!AJ89)=2021,BJ89,0)</f>
        <v>0</v>
      </c>
      <c r="BR89" s="518">
        <f>IF(YEAR('3 pr-2'!AJ89)=2022,BJ89,0)</f>
        <v>0</v>
      </c>
      <c r="BS89" s="518">
        <f>IF(YEAR('3 pr-2'!AJ89)=2023,BJ89,0)</f>
        <v>0</v>
      </c>
      <c r="BT89" s="523"/>
      <c r="BU89" s="881"/>
      <c r="BV89" s="518"/>
      <c r="BW89" s="518"/>
      <c r="BX89" s="518"/>
      <c r="BY89" s="518"/>
      <c r="BZ89" s="518"/>
      <c r="CA89" s="518"/>
      <c r="CB89" s="518"/>
      <c r="CC89" s="1337">
        <f t="shared" si="318"/>
        <v>0</v>
      </c>
      <c r="CD89" s="518"/>
      <c r="CE89" s="518"/>
      <c r="CF89" s="518"/>
      <c r="CG89" s="518">
        <f>IF(YEAR('3 pr-2'!$AJ89)=2017,$CD89,0)</f>
        <v>0</v>
      </c>
      <c r="CH89" s="518">
        <f>IF(YEAR('3 pr-2'!$AJ89)=2018,$CD89,0)</f>
        <v>0</v>
      </c>
      <c r="CI89" s="518">
        <f>IF(YEAR('3 pr-2'!$AJ89)=2019,$CD89,0)</f>
        <v>0</v>
      </c>
      <c r="CJ89" s="518">
        <f>IF(YEAR('3 pr-2'!$AJ89)=2020,$CD89,0)</f>
        <v>0</v>
      </c>
      <c r="CK89" s="518">
        <f>IF(YEAR('3 pr-2'!$AJ89)=2021,$CD89,0)</f>
        <v>0</v>
      </c>
      <c r="CL89" s="518">
        <f>IF(YEAR('3 pr-2'!$AJ89)=2022,$CD89,0)</f>
        <v>0</v>
      </c>
      <c r="CM89" s="518">
        <f>IF(YEAR('3 pr-2'!$AJ89)=2023,$CD89,0)</f>
        <v>0</v>
      </c>
      <c r="CN89" s="523"/>
      <c r="CO89" s="882"/>
      <c r="CP89" s="524"/>
      <c r="CQ89" s="518"/>
      <c r="CR89" s="518"/>
      <c r="CS89" s="518"/>
      <c r="CT89" s="518"/>
      <c r="CU89" s="518"/>
      <c r="CV89" s="518"/>
      <c r="CW89" s="1337">
        <f t="shared" si="320"/>
        <v>0</v>
      </c>
      <c r="CX89" s="524"/>
      <c r="CY89" s="504"/>
      <c r="CZ89" s="504"/>
      <c r="DA89" s="1332">
        <f>IF(YEAR('3 pr-2'!AJ89)=2017,CX89,0)</f>
        <v>0</v>
      </c>
      <c r="DB89" s="1332">
        <f>IF(YEAR('3 pr-2'!AJ89)=2018,CX89,0)</f>
        <v>0</v>
      </c>
      <c r="DC89" s="1332">
        <f>IF(YEAR('3 pr-2'!AJ89)=2019,CX89,0)</f>
        <v>0</v>
      </c>
      <c r="DD89" s="1332">
        <f>IF(YEAR('3 pr-2'!AJ89)=2020,CX89,0)</f>
        <v>0</v>
      </c>
      <c r="DE89" s="1332">
        <f>IF(YEAR('3 pr-2'!AJ89)=2021,CX89,0)</f>
        <v>0</v>
      </c>
      <c r="DF89" s="1332">
        <f>IF(YEAR('3 pr-2'!AJ89)=2022,CX89,0)</f>
        <v>0</v>
      </c>
      <c r="DG89" s="1332">
        <f>IF(YEAR('3 pr-2'!AJ89)=2023,CX89,0)</f>
        <v>0</v>
      </c>
    </row>
    <row r="90" spans="1:111" ht="49.5" thickTop="1" thickBot="1" x14ac:dyDescent="0.3">
      <c r="A90" s="518" t="str">
        <f>CONCATENATE('3 pr-2'!A90)</f>
        <v>1.1.2.3.4</v>
      </c>
      <c r="B90" s="518" t="str">
        <f>CONCATENATE('3 pr-2'!B90)</f>
        <v>R01-5516-410000-1234</v>
      </c>
      <c r="C90" s="1449" t="str">
        <f>CONCATENATE('ketv. 2lent'!B89)</f>
        <v/>
      </c>
      <c r="D90" s="189" t="str">
        <f>CONCATENATE('3 pr-2'!D90)</f>
        <v>Pėsčiųjų ir dviračių takų plėtra Simno seniūnijoje</v>
      </c>
      <c r="E90" s="480" t="str">
        <f>CONCATENATE('3 pr-2'!E90)</f>
        <v>Alytaus rajono savivaldybės administracija</v>
      </c>
      <c r="F90" s="480" t="str">
        <f>CONCATENATE('3 pr-2'!F90)</f>
        <v>Lietuvos Respublikos susisiekimo ministerija</v>
      </c>
      <c r="G90" s="480" t="str">
        <f>CONCATENATE('3 pr-2'!G90)</f>
        <v>Alytaus rajonas</v>
      </c>
      <c r="H90" s="518" t="str">
        <f>CONCATENATE('3 pr-2'!H90)</f>
        <v>04.5.1-TID-R-516</v>
      </c>
      <c r="I90" s="518" t="str">
        <f>CONCATENATE('3 pr-2'!I90)</f>
        <v>R</v>
      </c>
      <c r="J90" s="518" t="str">
        <f>CONCATENATE('3 pr-2'!J90)</f>
        <v>-</v>
      </c>
      <c r="K90" s="518" t="str">
        <f>CONCATENATE('3 pr-2'!K90)</f>
        <v>-</v>
      </c>
      <c r="L90" s="518" t="s">
        <v>524</v>
      </c>
      <c r="M90" s="881" t="s">
        <v>526</v>
      </c>
      <c r="N90" s="518"/>
      <c r="O90" s="518"/>
      <c r="P90" s="518"/>
      <c r="Q90" s="518"/>
      <c r="R90" s="518"/>
      <c r="S90" s="518"/>
      <c r="T90" s="518"/>
      <c r="U90" s="1335">
        <f t="shared" si="348"/>
        <v>0</v>
      </c>
      <c r="V90" s="518">
        <v>0.80400000000000005</v>
      </c>
      <c r="W90" s="1336">
        <f>IF('ketv. 6 lent'!K90&gt;0,"taip",0)</f>
        <v>0</v>
      </c>
      <c r="X90" s="518"/>
      <c r="Y90" s="518">
        <f>IF(YEAR('3 pr-2'!$AJ90)=2017,$V90,0)</f>
        <v>0</v>
      </c>
      <c r="Z90" s="518">
        <f>IF(YEAR('3 pr-2'!$AJ90)=2018,$V90,0)</f>
        <v>0</v>
      </c>
      <c r="AA90" s="518">
        <f>IF(YEAR('3 pr-2'!$AJ90)=2019,$V90,0)</f>
        <v>0.80400000000000005</v>
      </c>
      <c r="AB90" s="518">
        <f>IF(YEAR('3 pr-2'!$AJ90)=2020,$V90,0)</f>
        <v>0</v>
      </c>
      <c r="AC90" s="518">
        <f>IF(YEAR('3 pr-2'!$AJ90)=2021,$V90,0)</f>
        <v>0</v>
      </c>
      <c r="AD90" s="518">
        <f>IF(YEAR('3 pr-2'!$AJ90)=2022,$V90,0)</f>
        <v>0</v>
      </c>
      <c r="AE90" s="518">
        <f>IF(YEAR('3 pr-2'!$AJ90)=2023,$V90,0)</f>
        <v>0</v>
      </c>
      <c r="AF90" s="523" t="s">
        <v>527</v>
      </c>
      <c r="AG90" s="881" t="s">
        <v>528</v>
      </c>
      <c r="AH90" s="518"/>
      <c r="AI90" s="518"/>
      <c r="AJ90" s="518"/>
      <c r="AK90" s="518"/>
      <c r="AL90" s="518"/>
      <c r="AM90" s="518"/>
      <c r="AN90" s="518"/>
      <c r="AO90" s="1337">
        <f t="shared" si="314"/>
        <v>0</v>
      </c>
      <c r="AP90" s="518">
        <v>0</v>
      </c>
      <c r="AQ90" s="1338"/>
      <c r="AR90" s="518"/>
      <c r="AS90" s="518">
        <f>IF(YEAR('3 pr-2'!$AJ90)=2017,$AP90,0)</f>
        <v>0</v>
      </c>
      <c r="AT90" s="518">
        <f>IF(YEAR('3 pr-2'!$AJ90)=2018,$AP90,0)</f>
        <v>0</v>
      </c>
      <c r="AU90" s="518">
        <f>IF(YEAR('3 pr-2'!$AJ90)=2019,$AP90,0)</f>
        <v>0</v>
      </c>
      <c r="AV90" s="518">
        <f>IF(YEAR('3 pr-2'!$AJ90)=2020,$AP90,0)</f>
        <v>0</v>
      </c>
      <c r="AW90" s="518">
        <f>IF(YEAR('3 pr-2'!$AJ90)=2021,$AP90,0)</f>
        <v>0</v>
      </c>
      <c r="AX90" s="518">
        <f>IF(YEAR('3 pr-2'!$AJ90)=2022,$AP90,0)</f>
        <v>0</v>
      </c>
      <c r="AY90" s="518">
        <f>IF(YEAR('3 pr-2'!$AJ90)=2023,$AP90,0)</f>
        <v>0</v>
      </c>
      <c r="AZ90" s="518"/>
      <c r="BA90" s="880"/>
      <c r="BB90" s="518"/>
      <c r="BC90" s="518"/>
      <c r="BD90" s="518"/>
      <c r="BE90" s="518"/>
      <c r="BF90" s="518"/>
      <c r="BG90" s="518"/>
      <c r="BH90" s="518"/>
      <c r="BI90" s="1337">
        <f t="shared" si="316"/>
        <v>0</v>
      </c>
      <c r="BJ90" s="518"/>
      <c r="BK90" s="1338"/>
      <c r="BL90" s="518"/>
      <c r="BM90" s="518">
        <f>IF(YEAR('3 pr-2'!AJ90)=2017,BJ90,0)</f>
        <v>0</v>
      </c>
      <c r="BN90" s="518">
        <f>IF(YEAR('3 pr-2'!AJ90)=2018,BJ90,0)</f>
        <v>0</v>
      </c>
      <c r="BO90" s="518">
        <f>IF(YEAR('3 pr-2'!AJ90)=2019,BJ90,0)</f>
        <v>0</v>
      </c>
      <c r="BP90" s="518">
        <f>IF(YEAR('3 pr-2'!AJ90)=2020,BJ90,0)</f>
        <v>0</v>
      </c>
      <c r="BQ90" s="518">
        <f>IF(YEAR('3 pr-2'!AJ90)=2021,BJ90,0)</f>
        <v>0</v>
      </c>
      <c r="BR90" s="518">
        <f>IF(YEAR('3 pr-2'!AJ90)=2022,BJ90,0)</f>
        <v>0</v>
      </c>
      <c r="BS90" s="518">
        <f>IF(YEAR('3 pr-2'!AJ90)=2023,BJ90,0)</f>
        <v>0</v>
      </c>
      <c r="BT90" s="523"/>
      <c r="BU90" s="881"/>
      <c r="BV90" s="518"/>
      <c r="BW90" s="518"/>
      <c r="BX90" s="518"/>
      <c r="BY90" s="518"/>
      <c r="BZ90" s="518"/>
      <c r="CA90" s="518"/>
      <c r="CB90" s="518"/>
      <c r="CC90" s="1337">
        <f t="shared" si="318"/>
        <v>0</v>
      </c>
      <c r="CD90" s="518"/>
      <c r="CE90" s="518"/>
      <c r="CF90" s="518"/>
      <c r="CG90" s="518">
        <f>IF(YEAR('3 pr-2'!$AJ90)=2017,$CD90,0)</f>
        <v>0</v>
      </c>
      <c r="CH90" s="518">
        <f>IF(YEAR('3 pr-2'!$AJ90)=2018,$CD90,0)</f>
        <v>0</v>
      </c>
      <c r="CI90" s="518">
        <f>IF(YEAR('3 pr-2'!$AJ90)=2019,$CD90,0)</f>
        <v>0</v>
      </c>
      <c r="CJ90" s="518">
        <f>IF(YEAR('3 pr-2'!$AJ90)=2020,$CD90,0)</f>
        <v>0</v>
      </c>
      <c r="CK90" s="518">
        <f>IF(YEAR('3 pr-2'!$AJ90)=2021,$CD90,0)</f>
        <v>0</v>
      </c>
      <c r="CL90" s="518">
        <f>IF(YEAR('3 pr-2'!$AJ90)=2022,$CD90,0)</f>
        <v>0</v>
      </c>
      <c r="CM90" s="518">
        <f>IF(YEAR('3 pr-2'!$AJ90)=2023,$CD90,0)</f>
        <v>0</v>
      </c>
      <c r="CN90" s="523"/>
      <c r="CO90" s="882"/>
      <c r="CP90" s="524"/>
      <c r="CQ90" s="518"/>
      <c r="CR90" s="518"/>
      <c r="CS90" s="518"/>
      <c r="CT90" s="518"/>
      <c r="CU90" s="518"/>
      <c r="CV90" s="518"/>
      <c r="CW90" s="1337">
        <f t="shared" si="320"/>
        <v>0</v>
      </c>
      <c r="CX90" s="524"/>
      <c r="CY90" s="504"/>
      <c r="CZ90" s="504"/>
      <c r="DA90" s="1332">
        <f>IF(YEAR('3 pr-2'!AJ90)=2017,CX90,0)</f>
        <v>0</v>
      </c>
      <c r="DB90" s="1332">
        <f>IF(YEAR('3 pr-2'!AJ90)=2018,CX90,0)</f>
        <v>0</v>
      </c>
      <c r="DC90" s="1332">
        <f>IF(YEAR('3 pr-2'!AJ90)=2019,CX90,0)</f>
        <v>0</v>
      </c>
      <c r="DD90" s="1332">
        <f>IF(YEAR('3 pr-2'!AJ90)=2020,CX90,0)</f>
        <v>0</v>
      </c>
      <c r="DE90" s="1332">
        <f>IF(YEAR('3 pr-2'!AJ90)=2021,CX90,0)</f>
        <v>0</v>
      </c>
      <c r="DF90" s="1332">
        <f>IF(YEAR('3 pr-2'!AJ90)=2022,CX90,0)</f>
        <v>0</v>
      </c>
      <c r="DG90" s="1332">
        <f>IF(YEAR('3 pr-2'!AJ90)=2023,CX90,0)</f>
        <v>0</v>
      </c>
    </row>
    <row r="91" spans="1:111" ht="61.5" thickTop="1" thickBot="1" x14ac:dyDescent="0.3">
      <c r="A91" s="518" t="str">
        <f>CONCATENATE('3 pr-2'!A91)</f>
        <v>1.1.2.3.5</v>
      </c>
      <c r="B91" s="518" t="str">
        <f>CONCATENATE('3 pr-2'!B91)</f>
        <v>R01-5516-190000-1235</v>
      </c>
      <c r="C91" s="1449" t="str">
        <f>CONCATENATE('ketv. 2lent'!B90)</f>
        <v/>
      </c>
      <c r="D91" s="189" t="str">
        <f>CONCATENATE('3 pr-2'!D91)</f>
        <v>Dviračių ir pėsčiųjų tako, esančio šalia Ratnyčios upelio, Druskininkų mieste, rekonstrukcija</v>
      </c>
      <c r="E91" s="480" t="str">
        <f>CONCATENATE('3 pr-2'!E91)</f>
        <v xml:space="preserve">Druskininkų savivaldybės administracija  </v>
      </c>
      <c r="F91" s="480" t="str">
        <f>CONCATENATE('3 pr-2'!F91)</f>
        <v>Lietuvos Respublikos susisiekimo ministerija</v>
      </c>
      <c r="G91" s="480" t="str">
        <f>CONCATENATE('3 pr-2'!G91)</f>
        <v>Druskininkų miestas</v>
      </c>
      <c r="H91" s="518" t="str">
        <f>CONCATENATE('3 pr-2'!H91)</f>
        <v>04.5.1-TID-R-516</v>
      </c>
      <c r="I91" s="518" t="str">
        <f>CONCATENATE('3 pr-2'!I91)</f>
        <v>R</v>
      </c>
      <c r="J91" s="518" t="str">
        <f>CONCATENATE('3 pr-2'!J91)</f>
        <v>-</v>
      </c>
      <c r="K91" s="518" t="str">
        <f>CONCATENATE('3 pr-2'!K91)</f>
        <v>-</v>
      </c>
      <c r="L91" s="518"/>
      <c r="M91" s="881"/>
      <c r="N91" s="518"/>
      <c r="O91" s="518"/>
      <c r="P91" s="518"/>
      <c r="Q91" s="518"/>
      <c r="R91" s="518"/>
      <c r="S91" s="518"/>
      <c r="T91" s="518"/>
      <c r="U91" s="1335">
        <f t="shared" si="348"/>
        <v>0</v>
      </c>
      <c r="V91" s="518">
        <v>0</v>
      </c>
      <c r="W91" s="1336">
        <f>IF('ketv. 6 lent'!K91&gt;0,"taip",0)</f>
        <v>0</v>
      </c>
      <c r="X91" s="518"/>
      <c r="Y91" s="518">
        <f>IF(YEAR('3 pr-2'!$AJ91)=2017,$V91,0)</f>
        <v>0</v>
      </c>
      <c r="Z91" s="518">
        <f>IF(YEAR('3 pr-2'!$AJ91)=2018,$V91,0)</f>
        <v>0</v>
      </c>
      <c r="AA91" s="518">
        <f>IF(YEAR('3 pr-2'!$AJ91)=2019,$V91,0)</f>
        <v>0</v>
      </c>
      <c r="AB91" s="518">
        <f>IF(YEAR('3 pr-2'!$AJ91)=2020,$V91,0)</f>
        <v>0</v>
      </c>
      <c r="AC91" s="518">
        <f>IF(YEAR('3 pr-2'!$AJ91)=2021,$V91,0)</f>
        <v>0</v>
      </c>
      <c r="AD91" s="518">
        <f>IF(YEAR('3 pr-2'!$AJ91)=2022,$V91,0)</f>
        <v>0</v>
      </c>
      <c r="AE91" s="518">
        <f>IF(YEAR('3 pr-2'!$AJ91)=2023,$V91,0)</f>
        <v>0</v>
      </c>
      <c r="AF91" s="523" t="s">
        <v>527</v>
      </c>
      <c r="AG91" s="881" t="s">
        <v>528</v>
      </c>
      <c r="AH91" s="518"/>
      <c r="AI91" s="518"/>
      <c r="AJ91" s="518"/>
      <c r="AK91" s="518"/>
      <c r="AL91" s="518"/>
      <c r="AM91" s="518"/>
      <c r="AN91" s="518"/>
      <c r="AO91" s="1337">
        <f t="shared" si="314"/>
        <v>0</v>
      </c>
      <c r="AP91" s="518">
        <v>0.69</v>
      </c>
      <c r="AQ91" s="1338"/>
      <c r="AR91" s="518"/>
      <c r="AS91" s="518">
        <f>IF(YEAR('3 pr-2'!$AJ91)=2017,$AP91,0)</f>
        <v>0</v>
      </c>
      <c r="AT91" s="518">
        <f>IF(YEAR('3 pr-2'!$AJ91)=2018,$AP91,0)</f>
        <v>0</v>
      </c>
      <c r="AU91" s="518">
        <f>IF(YEAR('3 pr-2'!$AJ91)=2019,$AP91,0)</f>
        <v>0.69</v>
      </c>
      <c r="AV91" s="518">
        <f>IF(YEAR('3 pr-2'!$AJ91)=2020,$AP91,0)</f>
        <v>0</v>
      </c>
      <c r="AW91" s="518">
        <f>IF(YEAR('3 pr-2'!$AJ91)=2021,$AP91,0)</f>
        <v>0</v>
      </c>
      <c r="AX91" s="518">
        <f>IF(YEAR('3 pr-2'!$AJ91)=2022,$AP91,0)</f>
        <v>0</v>
      </c>
      <c r="AY91" s="518">
        <f>IF(YEAR('3 pr-2'!$AJ91)=2023,$AP91,0)</f>
        <v>0</v>
      </c>
      <c r="AZ91" s="518"/>
      <c r="BA91" s="880"/>
      <c r="BB91" s="518"/>
      <c r="BC91" s="518"/>
      <c r="BD91" s="518"/>
      <c r="BE91" s="518"/>
      <c r="BF91" s="518"/>
      <c r="BG91" s="518"/>
      <c r="BH91" s="518"/>
      <c r="BI91" s="1337">
        <f t="shared" si="316"/>
        <v>0</v>
      </c>
      <c r="BJ91" s="518"/>
      <c r="BK91" s="1338"/>
      <c r="BL91" s="518"/>
      <c r="BM91" s="518">
        <f>IF(YEAR('3 pr-2'!AJ91)=2017,BJ91,0)</f>
        <v>0</v>
      </c>
      <c r="BN91" s="518">
        <f>IF(YEAR('3 pr-2'!AJ91)=2018,BJ91,0)</f>
        <v>0</v>
      </c>
      <c r="BO91" s="518">
        <f>IF(YEAR('3 pr-2'!AJ91)=2019,BJ91,0)</f>
        <v>0</v>
      </c>
      <c r="BP91" s="518">
        <f>IF(YEAR('3 pr-2'!AJ91)=2020,BJ91,0)</f>
        <v>0</v>
      </c>
      <c r="BQ91" s="518">
        <f>IF(YEAR('3 pr-2'!AJ91)=2021,BJ91,0)</f>
        <v>0</v>
      </c>
      <c r="BR91" s="518">
        <f>IF(YEAR('3 pr-2'!AJ91)=2022,BJ91,0)</f>
        <v>0</v>
      </c>
      <c r="BS91" s="518">
        <f>IF(YEAR('3 pr-2'!AJ91)=2023,BJ91,0)</f>
        <v>0</v>
      </c>
      <c r="BT91" s="523"/>
      <c r="BU91" s="881"/>
      <c r="BV91" s="518"/>
      <c r="BW91" s="518"/>
      <c r="BX91" s="518"/>
      <c r="BY91" s="518"/>
      <c r="BZ91" s="518"/>
      <c r="CA91" s="518"/>
      <c r="CB91" s="518"/>
      <c r="CC91" s="1337">
        <f t="shared" si="318"/>
        <v>0</v>
      </c>
      <c r="CD91" s="518"/>
      <c r="CE91" s="518"/>
      <c r="CF91" s="518"/>
      <c r="CG91" s="518">
        <f>IF(YEAR('3 pr-2'!$AJ91)=2017,$CD91,0)</f>
        <v>0</v>
      </c>
      <c r="CH91" s="518">
        <f>IF(YEAR('3 pr-2'!$AJ91)=2018,$CD91,0)</f>
        <v>0</v>
      </c>
      <c r="CI91" s="518">
        <f>IF(YEAR('3 pr-2'!$AJ91)=2019,$CD91,0)</f>
        <v>0</v>
      </c>
      <c r="CJ91" s="518">
        <f>IF(YEAR('3 pr-2'!$AJ91)=2020,$CD91,0)</f>
        <v>0</v>
      </c>
      <c r="CK91" s="518">
        <f>IF(YEAR('3 pr-2'!$AJ91)=2021,$CD91,0)</f>
        <v>0</v>
      </c>
      <c r="CL91" s="518">
        <f>IF(YEAR('3 pr-2'!$AJ91)=2022,$CD91,0)</f>
        <v>0</v>
      </c>
      <c r="CM91" s="518">
        <f>IF(YEAR('3 pr-2'!$AJ91)=2023,$CD91,0)</f>
        <v>0</v>
      </c>
      <c r="CN91" s="523"/>
      <c r="CO91" s="882"/>
      <c r="CP91" s="524"/>
      <c r="CQ91" s="518"/>
      <c r="CR91" s="518"/>
      <c r="CS91" s="518"/>
      <c r="CT91" s="518"/>
      <c r="CU91" s="518"/>
      <c r="CV91" s="518"/>
      <c r="CW91" s="1337">
        <f t="shared" si="320"/>
        <v>0</v>
      </c>
      <c r="CX91" s="524"/>
      <c r="CY91" s="504"/>
      <c r="CZ91" s="504"/>
      <c r="DA91" s="1332">
        <f>IF(YEAR('3 pr-2'!AJ91)=2017,CX91,0)</f>
        <v>0</v>
      </c>
      <c r="DB91" s="1332">
        <f>IF(YEAR('3 pr-2'!AJ91)=2018,CX91,0)</f>
        <v>0</v>
      </c>
      <c r="DC91" s="1332">
        <f>IF(YEAR('3 pr-2'!AJ91)=2019,CX91,0)</f>
        <v>0</v>
      </c>
      <c r="DD91" s="1332">
        <f>IF(YEAR('3 pr-2'!AJ91)=2020,CX91,0)</f>
        <v>0</v>
      </c>
      <c r="DE91" s="1332">
        <f>IF(YEAR('3 pr-2'!AJ91)=2021,CX91,0)</f>
        <v>0</v>
      </c>
      <c r="DF91" s="1332">
        <f>IF(YEAR('3 pr-2'!AJ91)=2022,CX91,0)</f>
        <v>0</v>
      </c>
      <c r="DG91" s="1332">
        <f>IF(YEAR('3 pr-2'!AJ91)=2023,CX91,0)</f>
        <v>0</v>
      </c>
    </row>
    <row r="92" spans="1:111" ht="33" customHeight="1" thickBot="1" x14ac:dyDescent="0.3">
      <c r="A92" s="1257" t="str">
        <f>CONCATENATE('3 pr-2'!A92)</f>
        <v>1.1.2.4</v>
      </c>
      <c r="B92" s="1687" t="str">
        <f>CONCATENATE('3 pr-2'!B92)</f>
        <v>Priemonė:
Vietinių kelių techninių parametrų ir eismo saugos gerinimas</v>
      </c>
      <c r="C92" s="1688"/>
      <c r="D92" s="1688"/>
      <c r="E92" s="1688"/>
      <c r="F92" s="1688"/>
      <c r="G92" s="1688"/>
      <c r="H92" s="1688"/>
      <c r="I92" s="1688"/>
      <c r="J92" s="1688"/>
      <c r="K92" s="1689"/>
      <c r="L92" s="1328" t="s">
        <v>529</v>
      </c>
      <c r="M92" s="884" t="s">
        <v>530</v>
      </c>
      <c r="N92" s="505">
        <f>SUM(N93:N98)</f>
        <v>0</v>
      </c>
      <c r="O92" s="505">
        <f t="shared" ref="O92:T92" si="381">SUM(O93:O98)</f>
        <v>0</v>
      </c>
      <c r="P92" s="505">
        <f t="shared" si="381"/>
        <v>0</v>
      </c>
      <c r="Q92" s="505">
        <f t="shared" si="381"/>
        <v>0</v>
      </c>
      <c r="R92" s="505">
        <f t="shared" si="381"/>
        <v>0</v>
      </c>
      <c r="S92" s="505">
        <f t="shared" si="381"/>
        <v>0</v>
      </c>
      <c r="T92" s="505">
        <f t="shared" si="381"/>
        <v>0</v>
      </c>
      <c r="U92" s="1329">
        <f t="shared" ref="U92:U98" si="382">SUM(N92:T92)</f>
        <v>0</v>
      </c>
      <c r="V92" s="1299">
        <f>SUM(V93:V99)</f>
        <v>3.37</v>
      </c>
      <c r="W92" s="1317"/>
      <c r="X92" s="1316"/>
      <c r="Y92" s="505">
        <f t="shared" ref="Y92:AE92" si="383">SUM(Y93:Y99)</f>
        <v>0</v>
      </c>
      <c r="Z92" s="505">
        <f t="shared" si="383"/>
        <v>0</v>
      </c>
      <c r="AA92" s="505">
        <f t="shared" si="383"/>
        <v>2.59</v>
      </c>
      <c r="AB92" s="505">
        <f t="shared" si="383"/>
        <v>0.78</v>
      </c>
      <c r="AC92" s="505">
        <f t="shared" si="383"/>
        <v>0</v>
      </c>
      <c r="AD92" s="505">
        <f t="shared" si="383"/>
        <v>0</v>
      </c>
      <c r="AE92" s="505">
        <f t="shared" si="383"/>
        <v>0</v>
      </c>
      <c r="AF92" s="1299" t="s">
        <v>531</v>
      </c>
      <c r="AG92" s="1349" t="s">
        <v>532</v>
      </c>
      <c r="AH92" s="505">
        <f>SUM(AH93:AH98)</f>
        <v>0</v>
      </c>
      <c r="AI92" s="505">
        <f t="shared" ref="AI92" si="384">SUM(AI93:AI98)</f>
        <v>0</v>
      </c>
      <c r="AJ92" s="505">
        <f t="shared" ref="AJ92" si="385">SUM(AJ93:AJ98)</f>
        <v>0</v>
      </c>
      <c r="AK92" s="505">
        <f t="shared" ref="AK92" si="386">SUM(AK93:AK98)</f>
        <v>0</v>
      </c>
      <c r="AL92" s="505">
        <f t="shared" ref="AL92" si="387">SUM(AL93:AL98)</f>
        <v>0</v>
      </c>
      <c r="AM92" s="505">
        <f t="shared" ref="AM92" si="388">SUM(AM93:AM98)</f>
        <v>0</v>
      </c>
      <c r="AN92" s="505">
        <f t="shared" ref="AN92" si="389">SUM(AN93:AN98)</f>
        <v>0</v>
      </c>
      <c r="AO92" s="1299">
        <f t="shared" si="314"/>
        <v>0</v>
      </c>
      <c r="AP92" s="1299">
        <f>SUM(AP93:AP99)</f>
        <v>12</v>
      </c>
      <c r="AQ92" s="505"/>
      <c r="AR92" s="505"/>
      <c r="AS92" s="505">
        <f t="shared" ref="AS92:AY92" si="390">SUM(AS93:AS99)</f>
        <v>0</v>
      </c>
      <c r="AT92" s="505">
        <f t="shared" si="390"/>
        <v>0</v>
      </c>
      <c r="AU92" s="505">
        <f t="shared" si="390"/>
        <v>8</v>
      </c>
      <c r="AV92" s="505">
        <f t="shared" si="390"/>
        <v>4</v>
      </c>
      <c r="AW92" s="505">
        <f t="shared" si="390"/>
        <v>0</v>
      </c>
      <c r="AX92" s="505">
        <f t="shared" si="390"/>
        <v>0</v>
      </c>
      <c r="AY92" s="505">
        <f t="shared" si="390"/>
        <v>0</v>
      </c>
      <c r="AZ92" s="1299" t="s">
        <v>533</v>
      </c>
      <c r="BA92" s="1331" t="s">
        <v>534</v>
      </c>
      <c r="BB92" s="505">
        <f>SUM(BB93:BB98)</f>
        <v>0</v>
      </c>
      <c r="BC92" s="505">
        <f t="shared" ref="BC92" si="391">SUM(BC93:BC98)</f>
        <v>0</v>
      </c>
      <c r="BD92" s="505">
        <f t="shared" ref="BD92" si="392">SUM(BD93:BD98)</f>
        <v>0</v>
      </c>
      <c r="BE92" s="505">
        <f t="shared" ref="BE92" si="393">SUM(BE93:BE98)</f>
        <v>0</v>
      </c>
      <c r="BF92" s="505">
        <f t="shared" ref="BF92" si="394">SUM(BF93:BF98)</f>
        <v>0</v>
      </c>
      <c r="BG92" s="505">
        <f t="shared" ref="BG92" si="395">SUM(BG93:BG98)</f>
        <v>0</v>
      </c>
      <c r="BH92" s="505">
        <f t="shared" ref="BH92" si="396">SUM(BH93:BH98)</f>
        <v>0</v>
      </c>
      <c r="BI92" s="1299">
        <f t="shared" si="316"/>
        <v>0</v>
      </c>
      <c r="BJ92" s="1299">
        <f>SUM(BJ93:BJ99)</f>
        <v>0.72</v>
      </c>
      <c r="BK92" s="505"/>
      <c r="BL92" s="505"/>
      <c r="BM92" s="505">
        <f t="shared" ref="BM92:BS92" si="397">SUM(BM93:BM99)</f>
        <v>0</v>
      </c>
      <c r="BN92" s="505">
        <f t="shared" si="397"/>
        <v>0.72</v>
      </c>
      <c r="BO92" s="505">
        <f t="shared" si="397"/>
        <v>0</v>
      </c>
      <c r="BP92" s="505">
        <f t="shared" si="397"/>
        <v>0</v>
      </c>
      <c r="BQ92" s="505">
        <f t="shared" si="397"/>
        <v>0</v>
      </c>
      <c r="BR92" s="505">
        <f t="shared" si="397"/>
        <v>0</v>
      </c>
      <c r="BS92" s="505">
        <f t="shared" si="397"/>
        <v>0</v>
      </c>
      <c r="BT92" s="505"/>
      <c r="BU92" s="882"/>
      <c r="BV92" s="505">
        <f>SUM(BV93:BV98)</f>
        <v>0</v>
      </c>
      <c r="BW92" s="505">
        <f t="shared" ref="BW92" si="398">SUM(BW93:BW98)</f>
        <v>0</v>
      </c>
      <c r="BX92" s="505">
        <f t="shared" ref="BX92" si="399">SUM(BX93:BX98)</f>
        <v>0</v>
      </c>
      <c r="BY92" s="505">
        <f t="shared" ref="BY92" si="400">SUM(BY93:BY98)</f>
        <v>0</v>
      </c>
      <c r="BZ92" s="505">
        <f t="shared" ref="BZ92" si="401">SUM(BZ93:BZ98)</f>
        <v>0</v>
      </c>
      <c r="CA92" s="505">
        <f t="shared" ref="CA92" si="402">SUM(CA93:CA98)</f>
        <v>0</v>
      </c>
      <c r="CB92" s="505">
        <f t="shared" ref="CB92" si="403">SUM(CB93:CB98)</f>
        <v>0</v>
      </c>
      <c r="CC92" s="1299">
        <f t="shared" si="318"/>
        <v>0</v>
      </c>
      <c r="CD92" s="505"/>
      <c r="CE92" s="505"/>
      <c r="CF92" s="505"/>
      <c r="CG92" s="505">
        <f t="shared" ref="CG92:CM92" si="404">SUM(CG93:CG99)</f>
        <v>0</v>
      </c>
      <c r="CH92" s="505">
        <f t="shared" si="404"/>
        <v>0</v>
      </c>
      <c r="CI92" s="505">
        <f t="shared" si="404"/>
        <v>0</v>
      </c>
      <c r="CJ92" s="505">
        <f t="shared" si="404"/>
        <v>0</v>
      </c>
      <c r="CK92" s="505">
        <f t="shared" si="404"/>
        <v>0</v>
      </c>
      <c r="CL92" s="505">
        <f t="shared" si="404"/>
        <v>0</v>
      </c>
      <c r="CM92" s="505">
        <f t="shared" si="404"/>
        <v>0</v>
      </c>
      <c r="CN92" s="1329"/>
      <c r="CO92" s="882"/>
      <c r="CP92" s="1287">
        <f>SUM(CP93:CP98)</f>
        <v>0</v>
      </c>
      <c r="CQ92" s="505">
        <f t="shared" ref="CQ92" si="405">SUM(CQ93:CQ98)</f>
        <v>0</v>
      </c>
      <c r="CR92" s="505">
        <f t="shared" ref="CR92" si="406">SUM(CR93:CR98)</f>
        <v>0</v>
      </c>
      <c r="CS92" s="505">
        <f t="shared" ref="CS92" si="407">SUM(CS93:CS98)</f>
        <v>0</v>
      </c>
      <c r="CT92" s="505">
        <f t="shared" ref="CT92" si="408">SUM(CT93:CT98)</f>
        <v>0</v>
      </c>
      <c r="CU92" s="505">
        <f t="shared" ref="CU92" si="409">SUM(CU93:CU98)</f>
        <v>0</v>
      </c>
      <c r="CV92" s="505">
        <f t="shared" ref="CV92" si="410">SUM(CV93:CV98)</f>
        <v>0</v>
      </c>
      <c r="CW92" s="1299">
        <f t="shared" si="320"/>
        <v>0</v>
      </c>
      <c r="CX92" s="505"/>
      <c r="CY92" s="1332"/>
      <c r="CZ92" s="1332"/>
      <c r="DA92" s="1332">
        <f>IF(YEAR('3 pr-2'!AJ92)=2017,CX92,0)</f>
        <v>0</v>
      </c>
      <c r="DB92" s="1332">
        <f>IF(YEAR('3 pr-2'!AJ92)=2018,CX92,0)</f>
        <v>0</v>
      </c>
      <c r="DC92" s="1332">
        <f>IF(YEAR('3 pr-2'!AJ92)=2019,CX92,0)</f>
        <v>0</v>
      </c>
      <c r="DD92" s="1332">
        <f>IF(YEAR('3 pr-2'!AJ92)=2020,CX92,0)</f>
        <v>0</v>
      </c>
      <c r="DE92" s="1332">
        <f>IF(YEAR('3 pr-2'!AJ92)=2021,CX92,0)</f>
        <v>0</v>
      </c>
      <c r="DF92" s="1332">
        <f>IF(YEAR('3 pr-2'!AJ92)=2022,CX92,0)</f>
        <v>0</v>
      </c>
      <c r="DG92" s="1332">
        <f>IF(YEAR('3 pr-2'!AJ92)=2023,CX92,0)</f>
        <v>0</v>
      </c>
    </row>
    <row r="93" spans="1:111" ht="61.5" thickTop="1" thickBot="1" x14ac:dyDescent="0.3">
      <c r="A93" s="518" t="str">
        <f>CONCATENATE('3 pr-2'!A93)</f>
        <v>1.1.2.4.1</v>
      </c>
      <c r="B93" s="518" t="str">
        <f>CONCATENATE('3 pr-2'!B93)</f>
        <v>R01-5511-120000-1241</v>
      </c>
      <c r="C93" s="1449" t="str">
        <f>CONCATENATE('ketv. 2lent'!B92)</f>
        <v>06.2.1-TID-R-511-11-0002</v>
      </c>
      <c r="D93" s="480" t="str">
        <f>CONCATENATE('3 pr-2'!D93)</f>
        <v>Varėnos miesto J. Basanavičiaus, Savanorių ir M. K. Čiurlionio gatvių rekonstrukcija</v>
      </c>
      <c r="E93" s="480" t="str">
        <f>CONCATENATE('3 pr-2'!E93)</f>
        <v>Varėnos rajono savivaldybės administracija</v>
      </c>
      <c r="F93" s="480" t="str">
        <f>CONCATENATE('3 pr-2'!F93)</f>
        <v>Lietuvos Respublikos susisiekimo ministerija</v>
      </c>
      <c r="G93" s="480" t="str">
        <f>CONCATENATE('3 pr-2'!G93)</f>
        <v>Varėnos miestas</v>
      </c>
      <c r="H93" s="518" t="str">
        <f>CONCATENATE('3 pr-2'!H93)</f>
        <v>06.2.1-TID-R-511</v>
      </c>
      <c r="I93" s="518" t="str">
        <f>CONCATENATE('3 pr-2'!I93)</f>
        <v>R</v>
      </c>
      <c r="J93" s="518" t="str">
        <f>CONCATENATE('3 pr-2'!J93)</f>
        <v>ITI</v>
      </c>
      <c r="K93" s="518" t="str">
        <f>CONCATENATE('3 pr-2'!K93)</f>
        <v>-</v>
      </c>
      <c r="L93" s="518" t="s">
        <v>529</v>
      </c>
      <c r="M93" s="881" t="s">
        <v>530</v>
      </c>
      <c r="N93" s="518"/>
      <c r="O93" s="518"/>
      <c r="P93" s="518"/>
      <c r="Q93" s="518"/>
      <c r="R93" s="518"/>
      <c r="S93" s="518"/>
      <c r="T93" s="518"/>
      <c r="U93" s="1335">
        <f t="shared" si="382"/>
        <v>0</v>
      </c>
      <c r="V93" s="518">
        <v>0.78</v>
      </c>
      <c r="W93" s="1336" t="str">
        <f>IF('ketv. 6 lent'!K93&gt;0,"0,78",0)</f>
        <v>0,78</v>
      </c>
      <c r="X93" s="518">
        <f>SUM(W93-V93)</f>
        <v>0</v>
      </c>
      <c r="Y93" s="518">
        <f>IF(YEAR('3 pr-2'!$AJ93)=2017,$V93,0)</f>
        <v>0</v>
      </c>
      <c r="Z93" s="518">
        <f>IF(YEAR('3 pr-2'!$AJ93)=2018,$V93,0)</f>
        <v>0</v>
      </c>
      <c r="AA93" s="518">
        <f>IF(YEAR('3 pr-2'!$AJ93)=2019,$V93,0)</f>
        <v>0</v>
      </c>
      <c r="AB93" s="518">
        <f>IF(YEAR('3 pr-2'!$AJ93)=2020,$V93,0)</f>
        <v>0.78</v>
      </c>
      <c r="AC93" s="518">
        <f>IF(YEAR('3 pr-2'!$AJ93)=2021,$V93,0)</f>
        <v>0</v>
      </c>
      <c r="AD93" s="518">
        <f>IF(YEAR('3 pr-2'!$AJ93)=2022,$V93,0)</f>
        <v>0</v>
      </c>
      <c r="AE93" s="518">
        <f>IF(YEAR('3 pr-2'!$AJ93)=2023,$V93,0)</f>
        <v>0</v>
      </c>
      <c r="AF93" s="523" t="s">
        <v>531</v>
      </c>
      <c r="AG93" s="881" t="s">
        <v>532</v>
      </c>
      <c r="AH93" s="518"/>
      <c r="AI93" s="518"/>
      <c r="AJ93" s="518"/>
      <c r="AK93" s="518"/>
      <c r="AL93" s="518"/>
      <c r="AM93" s="518"/>
      <c r="AN93" s="518"/>
      <c r="AO93" s="1337">
        <f t="shared" si="314"/>
        <v>0</v>
      </c>
      <c r="AP93" s="518">
        <v>3</v>
      </c>
      <c r="AQ93" s="1338">
        <v>3</v>
      </c>
      <c r="AR93" s="518">
        <f>SUM(AQ93-AP93)</f>
        <v>0</v>
      </c>
      <c r="AS93" s="518">
        <f>IF(YEAR('3 pr-2'!$AJ93)=2017,$AP93,0)</f>
        <v>0</v>
      </c>
      <c r="AT93" s="518">
        <f>IF(YEAR('3 pr-2'!$AJ93)=2018,$AP93,0)</f>
        <v>0</v>
      </c>
      <c r="AU93" s="518">
        <f>IF(YEAR('3 pr-2'!$AJ93)=2019,$AP93,0)</f>
        <v>0</v>
      </c>
      <c r="AV93" s="518">
        <f>IF(YEAR('3 pr-2'!$AJ93)=2020,$AP93,0)</f>
        <v>3</v>
      </c>
      <c r="AW93" s="518">
        <f>IF(YEAR('3 pr-2'!$AJ93)=2021,$AP93,0)</f>
        <v>0</v>
      </c>
      <c r="AX93" s="518">
        <f>IF(YEAR('3 pr-2'!$AJ93)=2022,$AP93,0)</f>
        <v>0</v>
      </c>
      <c r="AY93" s="518">
        <f>IF(YEAR('3 pr-2'!$AJ93)=2023,$AP93,0)</f>
        <v>0</v>
      </c>
      <c r="AZ93" s="518"/>
      <c r="BA93" s="880"/>
      <c r="BB93" s="518"/>
      <c r="BC93" s="518"/>
      <c r="BD93" s="518"/>
      <c r="BE93" s="518"/>
      <c r="BF93" s="518"/>
      <c r="BG93" s="518"/>
      <c r="BH93" s="518"/>
      <c r="BI93" s="1337">
        <f t="shared" si="316"/>
        <v>0</v>
      </c>
      <c r="BJ93" s="518"/>
      <c r="BK93" s="1338"/>
      <c r="BL93" s="518"/>
      <c r="BM93" s="518">
        <f>IF(YEAR('3 pr-2'!AJ93)=2017,BJ93,0)</f>
        <v>0</v>
      </c>
      <c r="BN93" s="518">
        <f>IF(YEAR('3 pr-2'!AJ93)=2018,BJ93,0)</f>
        <v>0</v>
      </c>
      <c r="BO93" s="518">
        <f>IF(YEAR('3 pr-2'!AJ93)=2019,BJ93,0)</f>
        <v>0</v>
      </c>
      <c r="BP93" s="518">
        <f>IF(YEAR('3 pr-2'!AJ93)=2020,BJ93,0)</f>
        <v>0</v>
      </c>
      <c r="BQ93" s="518">
        <f>IF(YEAR('3 pr-2'!AJ93)=2021,BJ93,0)</f>
        <v>0</v>
      </c>
      <c r="BR93" s="518">
        <f>IF(YEAR('3 pr-2'!AJ93)=2022,BJ93,0)</f>
        <v>0</v>
      </c>
      <c r="BS93" s="518">
        <f>IF(YEAR('3 pr-2'!AJ93)=2023,BJ93,0)</f>
        <v>0</v>
      </c>
      <c r="BT93" s="523"/>
      <c r="BU93" s="881"/>
      <c r="BV93" s="518"/>
      <c r="BW93" s="518"/>
      <c r="BX93" s="518"/>
      <c r="BY93" s="518"/>
      <c r="BZ93" s="518"/>
      <c r="CA93" s="518"/>
      <c r="CB93" s="518"/>
      <c r="CC93" s="1337">
        <f t="shared" si="318"/>
        <v>0</v>
      </c>
      <c r="CD93" s="518"/>
      <c r="CE93" s="518"/>
      <c r="CF93" s="518"/>
      <c r="CG93" s="518">
        <f>IF(YEAR('3 pr-2'!$AJ93)=2017,$CD93,0)</f>
        <v>0</v>
      </c>
      <c r="CH93" s="518">
        <f>IF(YEAR('3 pr-2'!$AJ93)=2018,$CD93,0)</f>
        <v>0</v>
      </c>
      <c r="CI93" s="518">
        <f>IF(YEAR('3 pr-2'!$AJ93)=2019,$CD93,0)</f>
        <v>0</v>
      </c>
      <c r="CJ93" s="518">
        <f>IF(YEAR('3 pr-2'!$AJ93)=2020,$CD93,0)</f>
        <v>0</v>
      </c>
      <c r="CK93" s="518">
        <f>IF(YEAR('3 pr-2'!$AJ93)=2021,$CD93,0)</f>
        <v>0</v>
      </c>
      <c r="CL93" s="518">
        <f>IF(YEAR('3 pr-2'!$AJ93)=2022,$CD93,0)</f>
        <v>0</v>
      </c>
      <c r="CM93" s="518">
        <f>IF(YEAR('3 pr-2'!$AJ93)=2023,$CD93,0)</f>
        <v>0</v>
      </c>
      <c r="CN93" s="523"/>
      <c r="CO93" s="882"/>
      <c r="CP93" s="524"/>
      <c r="CQ93" s="518"/>
      <c r="CR93" s="518"/>
      <c r="CS93" s="518"/>
      <c r="CT93" s="518"/>
      <c r="CU93" s="518"/>
      <c r="CV93" s="518"/>
      <c r="CW93" s="1337">
        <f t="shared" si="320"/>
        <v>0</v>
      </c>
      <c r="CX93" s="524"/>
      <c r="CY93" s="504"/>
      <c r="CZ93" s="504"/>
      <c r="DA93" s="1332">
        <f>IF(YEAR('3 pr-2'!AJ93)=2017,CX93,0)</f>
        <v>0</v>
      </c>
      <c r="DB93" s="1332">
        <f>IF(YEAR('3 pr-2'!AJ93)=2018,CX93,0)</f>
        <v>0</v>
      </c>
      <c r="DC93" s="1332">
        <f>IF(YEAR('3 pr-2'!AJ93)=2019,CX93,0)</f>
        <v>0</v>
      </c>
      <c r="DD93" s="1332">
        <f>IF(YEAR('3 pr-2'!AJ93)=2020,CX93,0)</f>
        <v>0</v>
      </c>
      <c r="DE93" s="1332">
        <f>IF(YEAR('3 pr-2'!AJ93)=2021,CX93,0)</f>
        <v>0</v>
      </c>
      <c r="DF93" s="1332">
        <f>IF(YEAR('3 pr-2'!AJ93)=2022,CX93,0)</f>
        <v>0</v>
      </c>
      <c r="DG93" s="1332">
        <f>IF(YEAR('3 pr-2'!AJ93)=2023,CX93,0)</f>
        <v>0</v>
      </c>
    </row>
    <row r="94" spans="1:111" ht="49.5" thickTop="1" thickBot="1" x14ac:dyDescent="0.3">
      <c r="A94" s="518" t="str">
        <f>CONCATENATE('3 pr-2'!A94)</f>
        <v>1.1.2.4.2</v>
      </c>
      <c r="B94" s="518" t="str">
        <f>CONCATENATE('3 pr-2'!B94)</f>
        <v>R01-5511-110000-1242</v>
      </c>
      <c r="C94" s="1449" t="str">
        <f>CONCATENATE('ketv. 2lent'!B93)</f>
        <v>06.2.1-TID-R-511-11-0001</v>
      </c>
      <c r="D94" s="480" t="str">
        <f>CONCATENATE('3 pr-2'!D94)</f>
        <v>Perspektyvinės gatvės nuo Pramonės  g. iki Naujosios g. Alytuje įrengimas</v>
      </c>
      <c r="E94" s="480" t="str">
        <f>CONCATENATE('3 pr-2'!E94)</f>
        <v>Alytaus miesto savivaldybės administracija</v>
      </c>
      <c r="F94" s="480" t="str">
        <f>CONCATENATE('3 pr-2'!F94)</f>
        <v>Lietuvos Respublikos susisiekimo ministerija</v>
      </c>
      <c r="G94" s="480" t="str">
        <f>CONCATENATE('3 pr-2'!G94)</f>
        <v>Alytaus  miestas</v>
      </c>
      <c r="H94" s="518" t="str">
        <f>CONCATENATE('3 pr-2'!H94)</f>
        <v>06.2.1-TID-R-511</v>
      </c>
      <c r="I94" s="518" t="str">
        <f>CONCATENATE('3 pr-2'!I94)</f>
        <v>R</v>
      </c>
      <c r="J94" s="518" t="str">
        <f>CONCATENATE('3 pr-2'!J94)</f>
        <v>ITI</v>
      </c>
      <c r="K94" s="518" t="str">
        <f>CONCATENATE('3 pr-2'!K94)</f>
        <v>-</v>
      </c>
      <c r="L94" s="518"/>
      <c r="M94" s="881"/>
      <c r="N94" s="518"/>
      <c r="O94" s="518"/>
      <c r="P94" s="518"/>
      <c r="Q94" s="518"/>
      <c r="R94" s="518"/>
      <c r="S94" s="518"/>
      <c r="T94" s="518"/>
      <c r="U94" s="1335">
        <f t="shared" si="382"/>
        <v>0</v>
      </c>
      <c r="V94" s="518"/>
      <c r="W94" s="1336" t="str">
        <f>IF('ketv. 6 lent'!K94&gt;0,"taip",0)</f>
        <v>taip</v>
      </c>
      <c r="X94" s="518"/>
      <c r="Y94" s="518">
        <f>IF(YEAR('3 pr-2'!$AJ94)=2017,$V94,0)</f>
        <v>0</v>
      </c>
      <c r="Z94" s="518">
        <f>IF(YEAR('3 pr-2'!$AJ94)=2018,$V94,0)</f>
        <v>0</v>
      </c>
      <c r="AA94" s="518">
        <f>IF(YEAR('3 pr-2'!$AJ94)=2019,$V94,0)</f>
        <v>0</v>
      </c>
      <c r="AB94" s="518">
        <f>IF(YEAR('3 pr-2'!$AJ94)=2020,$V94,0)</f>
        <v>0</v>
      </c>
      <c r="AC94" s="518">
        <f>IF(YEAR('3 pr-2'!$AJ94)=2021,$V94,0)</f>
        <v>0</v>
      </c>
      <c r="AD94" s="518">
        <f>IF(YEAR('3 pr-2'!$AJ94)=2022,$V94,0)</f>
        <v>0</v>
      </c>
      <c r="AE94" s="518">
        <f>IF(YEAR('3 pr-2'!$AJ94)=2023,$V94,0)</f>
        <v>0</v>
      </c>
      <c r="AF94" s="523"/>
      <c r="AG94" s="881"/>
      <c r="AH94" s="518"/>
      <c r="AI94" s="518"/>
      <c r="AJ94" s="518"/>
      <c r="AK94" s="518"/>
      <c r="AL94" s="518"/>
      <c r="AM94" s="518"/>
      <c r="AN94" s="518"/>
      <c r="AO94" s="1337">
        <f t="shared" si="314"/>
        <v>0</v>
      </c>
      <c r="AP94" s="518"/>
      <c r="AQ94" s="1338"/>
      <c r="AR94" s="518"/>
      <c r="AS94" s="518">
        <f>IF(YEAR('3 pr-2'!$AJ94)=2017,$AP94,0)</f>
        <v>0</v>
      </c>
      <c r="AT94" s="518">
        <f>IF(YEAR('3 pr-2'!$AJ94)=2018,$AP94,0)</f>
        <v>0</v>
      </c>
      <c r="AU94" s="518">
        <f>IF(YEAR('3 pr-2'!$AJ94)=2019,$AP94,0)</f>
        <v>0</v>
      </c>
      <c r="AV94" s="518">
        <f>IF(YEAR('3 pr-2'!$AJ94)=2020,$AP94,0)</f>
        <v>0</v>
      </c>
      <c r="AW94" s="518">
        <f>IF(YEAR('3 pr-2'!$AJ94)=2021,$AP94,0)</f>
        <v>0</v>
      </c>
      <c r="AX94" s="518">
        <f>IF(YEAR('3 pr-2'!$AJ94)=2022,$AP94,0)</f>
        <v>0</v>
      </c>
      <c r="AY94" s="518">
        <f>IF(YEAR('3 pr-2'!$AJ94)=2023,$AP94,0)</f>
        <v>0</v>
      </c>
      <c r="AZ94" s="518" t="s">
        <v>533</v>
      </c>
      <c r="BA94" s="880" t="s">
        <v>534</v>
      </c>
      <c r="BB94" s="518"/>
      <c r="BC94" s="518"/>
      <c r="BD94" s="518"/>
      <c r="BE94" s="518"/>
      <c r="BF94" s="518"/>
      <c r="BG94" s="518"/>
      <c r="BH94" s="518"/>
      <c r="BI94" s="1337">
        <f t="shared" si="316"/>
        <v>0</v>
      </c>
      <c r="BJ94" s="518">
        <v>0.72</v>
      </c>
      <c r="BK94" s="1338">
        <v>0.72</v>
      </c>
      <c r="BL94" s="518">
        <f>SUM(BK94-BJ94)</f>
        <v>0</v>
      </c>
      <c r="BM94" s="518">
        <f>IF(YEAR('3 pr-2'!AJ94)=2017,BJ94,0)</f>
        <v>0</v>
      </c>
      <c r="BN94" s="518">
        <f>IF(YEAR('3 pr-2'!AJ94)=2018,BJ94,0)</f>
        <v>0.72</v>
      </c>
      <c r="BO94" s="518">
        <f>IF(YEAR('3 pr-2'!AJ94)=2019,BJ94,0)</f>
        <v>0</v>
      </c>
      <c r="BP94" s="518">
        <f>IF(YEAR('3 pr-2'!AJ94)=2020,BJ94,0)</f>
        <v>0</v>
      </c>
      <c r="BQ94" s="518">
        <f>IF(YEAR('3 pr-2'!AJ94)=2021,BJ94,0)</f>
        <v>0</v>
      </c>
      <c r="BR94" s="518">
        <f>IF(YEAR('3 pr-2'!AJ94)=2022,BJ94,0)</f>
        <v>0</v>
      </c>
      <c r="BS94" s="518">
        <f>IF(YEAR('3 pr-2'!AJ94)=2023,BJ94,0)</f>
        <v>0</v>
      </c>
      <c r="BT94" s="523"/>
      <c r="BU94" s="881"/>
      <c r="BV94" s="518"/>
      <c r="BW94" s="518"/>
      <c r="BX94" s="518"/>
      <c r="BY94" s="518"/>
      <c r="BZ94" s="518"/>
      <c r="CA94" s="518"/>
      <c r="CB94" s="518"/>
      <c r="CC94" s="1337">
        <f t="shared" si="318"/>
        <v>0</v>
      </c>
      <c r="CD94" s="518"/>
      <c r="CE94" s="518"/>
      <c r="CF94" s="518"/>
      <c r="CG94" s="518">
        <f>IF(YEAR('3 pr-2'!$AJ94)=2017,$CD94,0)</f>
        <v>0</v>
      </c>
      <c r="CH94" s="518">
        <f>IF(YEAR('3 pr-2'!$AJ94)=2018,$CD94,0)</f>
        <v>0</v>
      </c>
      <c r="CI94" s="518">
        <f>IF(YEAR('3 pr-2'!$AJ94)=2019,$CD94,0)</f>
        <v>0</v>
      </c>
      <c r="CJ94" s="518">
        <f>IF(YEAR('3 pr-2'!$AJ94)=2020,$CD94,0)</f>
        <v>0</v>
      </c>
      <c r="CK94" s="518">
        <f>IF(YEAR('3 pr-2'!$AJ94)=2021,$CD94,0)</f>
        <v>0</v>
      </c>
      <c r="CL94" s="518">
        <f>IF(YEAR('3 pr-2'!$AJ94)=2022,$CD94,0)</f>
        <v>0</v>
      </c>
      <c r="CM94" s="518">
        <f>IF(YEAR('3 pr-2'!$AJ94)=2023,$CD94,0)</f>
        <v>0</v>
      </c>
      <c r="CN94" s="523"/>
      <c r="CO94" s="882"/>
      <c r="CP94" s="524"/>
      <c r="CQ94" s="518"/>
      <c r="CR94" s="518"/>
      <c r="CS94" s="518"/>
      <c r="CT94" s="518"/>
      <c r="CU94" s="518"/>
      <c r="CV94" s="518"/>
      <c r="CW94" s="1337">
        <f t="shared" si="320"/>
        <v>0</v>
      </c>
      <c r="CX94" s="524"/>
      <c r="CY94" s="504"/>
      <c r="CZ94" s="504"/>
      <c r="DA94" s="1332">
        <f>IF(YEAR('3 pr-2'!AJ94)=2017,CX94,0)</f>
        <v>0</v>
      </c>
      <c r="DB94" s="1332">
        <f>IF(YEAR('3 pr-2'!AJ94)=2018,CX94,0)</f>
        <v>0</v>
      </c>
      <c r="DC94" s="1332">
        <f>IF(YEAR('3 pr-2'!AJ94)=2019,CX94,0)</f>
        <v>0</v>
      </c>
      <c r="DD94" s="1332">
        <f>IF(YEAR('3 pr-2'!AJ94)=2020,CX94,0)</f>
        <v>0</v>
      </c>
      <c r="DE94" s="1332">
        <f>IF(YEAR('3 pr-2'!AJ94)=2021,CX94,0)</f>
        <v>0</v>
      </c>
      <c r="DF94" s="1332">
        <f>IF(YEAR('3 pr-2'!AJ94)=2022,CX94,0)</f>
        <v>0</v>
      </c>
      <c r="DG94" s="1332">
        <f>IF(YEAR('3 pr-2'!AJ94)=2023,CX94,0)</f>
        <v>0</v>
      </c>
    </row>
    <row r="95" spans="1:111" ht="49.5" thickTop="1" thickBot="1" x14ac:dyDescent="0.3">
      <c r="A95" s="518" t="str">
        <f>CONCATENATE('3 pr-2'!A95)</f>
        <v>1.1.2.4.3.</v>
      </c>
      <c r="B95" s="518" t="str">
        <f>CONCATENATE('3 pr-2'!B95)</f>
        <v>R01-5511-500000-1243</v>
      </c>
      <c r="C95" s="1449" t="str">
        <f>CONCATENATE('ketv. 2lent'!B94)</f>
        <v/>
      </c>
      <c r="D95" s="480" t="str">
        <f>CONCATENATE('3 pr-2'!D95)</f>
        <v>Saugaus eismo priemonių diegimas, Alytuje</v>
      </c>
      <c r="E95" s="480" t="str">
        <f>CONCATENATE('3 pr-2'!E95)</f>
        <v>Alytaus miesto savivaldybės administracija</v>
      </c>
      <c r="F95" s="480" t="str">
        <f>CONCATENATE('3 pr-2'!F95)</f>
        <v>Lietuvos Respublikos susisiekimo ministerija</v>
      </c>
      <c r="G95" s="480" t="str">
        <f>CONCATENATE('3 pr-2'!G95)</f>
        <v>Alytaus  miestas</v>
      </c>
      <c r="H95" s="518" t="str">
        <f>CONCATENATE('3 pr-2'!H95)</f>
        <v>06.2.1-TID-R-511</v>
      </c>
      <c r="I95" s="518" t="str">
        <f>CONCATENATE('3 pr-2'!I95)</f>
        <v>R</v>
      </c>
      <c r="J95" s="518" t="str">
        <f>CONCATENATE('3 pr-2'!J95)</f>
        <v>-</v>
      </c>
      <c r="K95" s="518" t="str">
        <f>CONCATENATE('3 pr-2'!K95)</f>
        <v>-</v>
      </c>
      <c r="L95" s="518"/>
      <c r="M95" s="881"/>
      <c r="N95" s="518"/>
      <c r="O95" s="518"/>
      <c r="P95" s="518"/>
      <c r="Q95" s="518"/>
      <c r="R95" s="518"/>
      <c r="S95" s="518"/>
      <c r="T95" s="518"/>
      <c r="U95" s="1335">
        <f t="shared" si="382"/>
        <v>0</v>
      </c>
      <c r="V95" s="518"/>
      <c r="W95" s="1336">
        <f>IF('ketv. 6 lent'!K95&gt;0,"taip",0)</f>
        <v>0</v>
      </c>
      <c r="X95" s="518"/>
      <c r="Y95" s="518">
        <f>IF(YEAR('3 pr-2'!$AJ95)=2017,$V95,0)</f>
        <v>0</v>
      </c>
      <c r="Z95" s="518">
        <f>IF(YEAR('3 pr-2'!$AJ95)=2018,$V95,0)</f>
        <v>0</v>
      </c>
      <c r="AA95" s="518">
        <f>IF(YEAR('3 pr-2'!$AJ95)=2019,$V95,0)</f>
        <v>0</v>
      </c>
      <c r="AB95" s="518">
        <f>IF(YEAR('3 pr-2'!$AJ95)=2020,$V95,0)</f>
        <v>0</v>
      </c>
      <c r="AC95" s="518">
        <f>IF(YEAR('3 pr-2'!$AJ95)=2021,$V95,0)</f>
        <v>0</v>
      </c>
      <c r="AD95" s="518">
        <f>IF(YEAR('3 pr-2'!$AJ95)=2022,$V95,0)</f>
        <v>0</v>
      </c>
      <c r="AE95" s="518">
        <f>IF(YEAR('3 pr-2'!$AJ95)=2023,$V95,0)</f>
        <v>0</v>
      </c>
      <c r="AF95" s="523" t="s">
        <v>531</v>
      </c>
      <c r="AG95" s="881" t="s">
        <v>532</v>
      </c>
      <c r="AH95" s="518"/>
      <c r="AI95" s="518"/>
      <c r="AJ95" s="518"/>
      <c r="AK95" s="518"/>
      <c r="AL95" s="518"/>
      <c r="AM95" s="518"/>
      <c r="AN95" s="518"/>
      <c r="AO95" s="1337">
        <f t="shared" si="314"/>
        <v>0</v>
      </c>
      <c r="AP95" s="518">
        <v>1</v>
      </c>
      <c r="AQ95" s="1338">
        <v>2</v>
      </c>
      <c r="AR95" s="518">
        <f>SUM(AP95-AQ95)</f>
        <v>-1</v>
      </c>
      <c r="AS95" s="518">
        <f>IF(YEAR('3 pr-2'!$AJ95)=2017,$AP95,0)</f>
        <v>0</v>
      </c>
      <c r="AT95" s="518">
        <f>IF(YEAR('3 pr-2'!$AJ95)=2018,$AP95,0)</f>
        <v>0</v>
      </c>
      <c r="AU95" s="518">
        <f>IF(YEAR('3 pr-2'!$AJ95)=2019,$AP95,0)</f>
        <v>1</v>
      </c>
      <c r="AV95" s="518">
        <f>IF(YEAR('3 pr-2'!$AJ95)=2020,$AP95,0)</f>
        <v>0</v>
      </c>
      <c r="AW95" s="518">
        <f>IF(YEAR('3 pr-2'!$AJ95)=2021,$AP95,0)</f>
        <v>0</v>
      </c>
      <c r="AX95" s="518">
        <f>IF(YEAR('3 pr-2'!$AJ95)=2022,$AP95,0)</f>
        <v>0</v>
      </c>
      <c r="AY95" s="518">
        <f>IF(YEAR('3 pr-2'!$AJ95)=2023,$AP95,0)</f>
        <v>0</v>
      </c>
      <c r="AZ95" s="518"/>
      <c r="BA95" s="880"/>
      <c r="BB95" s="518"/>
      <c r="BC95" s="518"/>
      <c r="BD95" s="518"/>
      <c r="BE95" s="518"/>
      <c r="BF95" s="518"/>
      <c r="BG95" s="518"/>
      <c r="BH95" s="518"/>
      <c r="BI95" s="1337">
        <f t="shared" si="316"/>
        <v>0</v>
      </c>
      <c r="BJ95" s="518"/>
      <c r="BK95" s="1338"/>
      <c r="BL95" s="518"/>
      <c r="BM95" s="518">
        <f>IF(YEAR('3 pr-2'!AJ95)=2017,BJ95,0)</f>
        <v>0</v>
      </c>
      <c r="BN95" s="518">
        <f>IF(YEAR('3 pr-2'!AJ95)=2018,BJ95,0)</f>
        <v>0</v>
      </c>
      <c r="BO95" s="518">
        <f>IF(YEAR('3 pr-2'!AJ95)=2019,BJ95,0)</f>
        <v>0</v>
      </c>
      <c r="BP95" s="518">
        <f>IF(YEAR('3 pr-2'!AJ95)=2020,BJ95,0)</f>
        <v>0</v>
      </c>
      <c r="BQ95" s="518">
        <f>IF(YEAR('3 pr-2'!AJ95)=2021,BJ95,0)</f>
        <v>0</v>
      </c>
      <c r="BR95" s="518">
        <f>IF(YEAR('3 pr-2'!AJ95)=2022,BJ95,0)</f>
        <v>0</v>
      </c>
      <c r="BS95" s="518">
        <f>IF(YEAR('3 pr-2'!AJ95)=2023,BJ95,0)</f>
        <v>0</v>
      </c>
      <c r="BT95" s="523"/>
      <c r="BU95" s="881"/>
      <c r="BV95" s="518"/>
      <c r="BW95" s="518"/>
      <c r="BX95" s="518"/>
      <c r="BY95" s="518"/>
      <c r="BZ95" s="518"/>
      <c r="CA95" s="518"/>
      <c r="CB95" s="518"/>
      <c r="CC95" s="1337">
        <f t="shared" si="318"/>
        <v>0</v>
      </c>
      <c r="CD95" s="518"/>
      <c r="CE95" s="518"/>
      <c r="CF95" s="518"/>
      <c r="CG95" s="518">
        <f>IF(YEAR('3 pr-2'!$AJ95)=2017,$CD95,0)</f>
        <v>0</v>
      </c>
      <c r="CH95" s="518">
        <f>IF(YEAR('3 pr-2'!$AJ95)=2018,$CD95,0)</f>
        <v>0</v>
      </c>
      <c r="CI95" s="518">
        <f>IF(YEAR('3 pr-2'!$AJ95)=2019,$CD95,0)</f>
        <v>0</v>
      </c>
      <c r="CJ95" s="518">
        <f>IF(YEAR('3 pr-2'!$AJ95)=2020,$CD95,0)</f>
        <v>0</v>
      </c>
      <c r="CK95" s="518">
        <f>IF(YEAR('3 pr-2'!$AJ95)=2021,$CD95,0)</f>
        <v>0</v>
      </c>
      <c r="CL95" s="518">
        <f>IF(YEAR('3 pr-2'!$AJ95)=2022,$CD95,0)</f>
        <v>0</v>
      </c>
      <c r="CM95" s="518">
        <f>IF(YEAR('3 pr-2'!$AJ95)=2023,$CD95,0)</f>
        <v>0</v>
      </c>
      <c r="CN95" s="523"/>
      <c r="CO95" s="882"/>
      <c r="CP95" s="524"/>
      <c r="CQ95" s="518"/>
      <c r="CR95" s="518"/>
      <c r="CS95" s="518"/>
      <c r="CT95" s="518"/>
      <c r="CU95" s="518"/>
      <c r="CV95" s="518"/>
      <c r="CW95" s="1337">
        <f t="shared" si="320"/>
        <v>0</v>
      </c>
      <c r="CX95" s="524"/>
      <c r="CY95" s="504"/>
      <c r="CZ95" s="504"/>
      <c r="DA95" s="1332">
        <f>IF(YEAR('3 pr-2'!AJ95)=2017,CX95,0)</f>
        <v>0</v>
      </c>
      <c r="DB95" s="1332">
        <f>IF(YEAR('3 pr-2'!AJ95)=2018,CX95,0)</f>
        <v>0</v>
      </c>
      <c r="DC95" s="1332">
        <f>IF(YEAR('3 pr-2'!AJ95)=2019,CX95,0)</f>
        <v>0</v>
      </c>
      <c r="DD95" s="1332">
        <f>IF(YEAR('3 pr-2'!AJ95)=2020,CX95,0)</f>
        <v>0</v>
      </c>
      <c r="DE95" s="1332">
        <f>IF(YEAR('3 pr-2'!AJ95)=2021,CX95,0)</f>
        <v>0</v>
      </c>
      <c r="DF95" s="1332">
        <f>IF(YEAR('3 pr-2'!AJ95)=2022,CX95,0)</f>
        <v>0</v>
      </c>
      <c r="DG95" s="1332">
        <f>IF(YEAR('3 pr-2'!AJ95)=2023,CX95,0)</f>
        <v>0</v>
      </c>
    </row>
    <row r="96" spans="1:111" ht="49.5" thickTop="1" thickBot="1" x14ac:dyDescent="0.3">
      <c r="A96" s="518" t="str">
        <f>CONCATENATE('3 pr-2'!A96)</f>
        <v>1.1.2.4.4</v>
      </c>
      <c r="B96" s="518" t="str">
        <f>CONCATENATE('3 pr-2'!B96)</f>
        <v>R01-5511-500000-1244</v>
      </c>
      <c r="C96" s="1449" t="str">
        <f>CONCATENATE('ketv. 2lent'!B95)</f>
        <v/>
      </c>
      <c r="D96" s="480" t="str">
        <f>CONCATENATE('3 pr-2'!D96)</f>
        <v>Eismo saugos priemonių diegimas Alytaus rajone</v>
      </c>
      <c r="E96" s="480" t="str">
        <f>CONCATENATE('3 pr-2'!E96)</f>
        <v>Alytaus rajono savivaldybės administracija</v>
      </c>
      <c r="F96" s="480" t="str">
        <f>CONCATENATE('3 pr-2'!F96)</f>
        <v>Lietuvos Respublikos susisiekimo ministerija</v>
      </c>
      <c r="G96" s="480" t="str">
        <f>CONCATENATE('3 pr-2'!G96)</f>
        <v>Alytaus  rajono savivaldybė</v>
      </c>
      <c r="H96" s="518" t="str">
        <f>CONCATENATE('3 pr-2'!H96)</f>
        <v>06.2.1-TID-R-511</v>
      </c>
      <c r="I96" s="518" t="str">
        <f>CONCATENATE('3 pr-2'!I96)</f>
        <v>R</v>
      </c>
      <c r="J96" s="518" t="str">
        <f>CONCATENATE('3 pr-2'!J96)</f>
        <v>-</v>
      </c>
      <c r="K96" s="518" t="str">
        <f>CONCATENATE('3 pr-2'!K96)</f>
        <v>-</v>
      </c>
      <c r="L96" s="518"/>
      <c r="M96" s="881"/>
      <c r="N96" s="518"/>
      <c r="O96" s="518"/>
      <c r="P96" s="518"/>
      <c r="Q96" s="518"/>
      <c r="R96" s="518"/>
      <c r="S96" s="518"/>
      <c r="T96" s="518"/>
      <c r="U96" s="1335">
        <f t="shared" si="382"/>
        <v>0</v>
      </c>
      <c r="V96" s="518"/>
      <c r="W96" s="1336">
        <f>IF('ketv. 6 lent'!K96&gt;0,"taip",0)</f>
        <v>0</v>
      </c>
      <c r="X96" s="518"/>
      <c r="Y96" s="518">
        <f>IF(YEAR('3 pr-2'!$AJ96)=2017,$V96,0)</f>
        <v>0</v>
      </c>
      <c r="Z96" s="518">
        <f>IF(YEAR('3 pr-2'!$AJ96)=2018,$V96,0)</f>
        <v>0</v>
      </c>
      <c r="AA96" s="518">
        <f>IF(YEAR('3 pr-2'!$AJ96)=2019,$V96,0)</f>
        <v>0</v>
      </c>
      <c r="AB96" s="518">
        <f>IF(YEAR('3 pr-2'!$AJ96)=2020,$V96,0)</f>
        <v>0</v>
      </c>
      <c r="AC96" s="518">
        <f>IF(YEAR('3 pr-2'!$AJ96)=2021,$V96,0)</f>
        <v>0</v>
      </c>
      <c r="AD96" s="518">
        <f>IF(YEAR('3 pr-2'!$AJ96)=2022,$V96,0)</f>
        <v>0</v>
      </c>
      <c r="AE96" s="518">
        <f>IF(YEAR('3 pr-2'!$AJ96)=2023,$V96,0)</f>
        <v>0</v>
      </c>
      <c r="AF96" s="523" t="s">
        <v>531</v>
      </c>
      <c r="AG96" s="881" t="s">
        <v>532</v>
      </c>
      <c r="AH96" s="518"/>
      <c r="AI96" s="518"/>
      <c r="AJ96" s="518"/>
      <c r="AK96" s="518"/>
      <c r="AL96" s="518"/>
      <c r="AM96" s="518"/>
      <c r="AN96" s="518"/>
      <c r="AO96" s="1337">
        <f t="shared" si="314"/>
        <v>0</v>
      </c>
      <c r="AP96" s="518">
        <v>1</v>
      </c>
      <c r="AQ96" s="1338"/>
      <c r="AR96" s="518"/>
      <c r="AS96" s="518">
        <f>IF(YEAR('3 pr-2'!$AJ96)=2017,$AP96,0)</f>
        <v>0</v>
      </c>
      <c r="AT96" s="518">
        <f>IF(YEAR('3 pr-2'!$AJ96)=2018,$AP96,0)</f>
        <v>0</v>
      </c>
      <c r="AU96" s="518">
        <f>IF(YEAR('3 pr-2'!$AJ96)=2019,$AP96,0)</f>
        <v>0</v>
      </c>
      <c r="AV96" s="518">
        <f>IF(YEAR('3 pr-2'!$AJ96)=2020,$AP96,0)</f>
        <v>1</v>
      </c>
      <c r="AW96" s="518">
        <f>IF(YEAR('3 pr-2'!$AJ96)=2021,$AP96,0)</f>
        <v>0</v>
      </c>
      <c r="AX96" s="518">
        <f>IF(YEAR('3 pr-2'!$AJ96)=2022,$AP96,0)</f>
        <v>0</v>
      </c>
      <c r="AY96" s="518">
        <f>IF(YEAR('3 pr-2'!$AJ96)=2023,$AP96,0)</f>
        <v>0</v>
      </c>
      <c r="AZ96" s="518"/>
      <c r="BA96" s="880"/>
      <c r="BB96" s="518"/>
      <c r="BC96" s="518"/>
      <c r="BD96" s="518"/>
      <c r="BE96" s="518"/>
      <c r="BF96" s="518"/>
      <c r="BG96" s="518"/>
      <c r="BH96" s="518"/>
      <c r="BI96" s="1337">
        <f t="shared" si="316"/>
        <v>0</v>
      </c>
      <c r="BJ96" s="518"/>
      <c r="BK96" s="1338"/>
      <c r="BL96" s="518"/>
      <c r="BM96" s="518">
        <f>IF(YEAR('3 pr-2'!AJ96)=2017,BJ96,0)</f>
        <v>0</v>
      </c>
      <c r="BN96" s="518">
        <f>IF(YEAR('3 pr-2'!AJ96)=2018,BJ96,0)</f>
        <v>0</v>
      </c>
      <c r="BO96" s="518">
        <f>IF(YEAR('3 pr-2'!AJ96)=2019,BJ96,0)</f>
        <v>0</v>
      </c>
      <c r="BP96" s="518">
        <f>IF(YEAR('3 pr-2'!AJ96)=2020,BJ96,0)</f>
        <v>0</v>
      </c>
      <c r="BQ96" s="518">
        <f>IF(YEAR('3 pr-2'!AJ96)=2021,BJ96,0)</f>
        <v>0</v>
      </c>
      <c r="BR96" s="518">
        <f>IF(YEAR('3 pr-2'!AJ96)=2022,BJ96,0)</f>
        <v>0</v>
      </c>
      <c r="BS96" s="518">
        <f>IF(YEAR('3 pr-2'!AJ96)=2023,BJ96,0)</f>
        <v>0</v>
      </c>
      <c r="BT96" s="523"/>
      <c r="BU96" s="881"/>
      <c r="BV96" s="518"/>
      <c r="BW96" s="518"/>
      <c r="BX96" s="518"/>
      <c r="BY96" s="518"/>
      <c r="BZ96" s="518"/>
      <c r="CA96" s="518"/>
      <c r="CB96" s="518"/>
      <c r="CC96" s="1337">
        <f t="shared" si="318"/>
        <v>0</v>
      </c>
      <c r="CD96" s="518"/>
      <c r="CE96" s="518"/>
      <c r="CF96" s="518"/>
      <c r="CG96" s="518">
        <f>IF(YEAR('3 pr-2'!$AJ96)=2017,$CD96,0)</f>
        <v>0</v>
      </c>
      <c r="CH96" s="518">
        <f>IF(YEAR('3 pr-2'!$AJ96)=2018,$CD96,0)</f>
        <v>0</v>
      </c>
      <c r="CI96" s="518">
        <f>IF(YEAR('3 pr-2'!$AJ96)=2019,$CD96,0)</f>
        <v>0</v>
      </c>
      <c r="CJ96" s="518">
        <f>IF(YEAR('3 pr-2'!$AJ96)=2020,$CD96,0)</f>
        <v>0</v>
      </c>
      <c r="CK96" s="518">
        <f>IF(YEAR('3 pr-2'!$AJ96)=2021,$CD96,0)</f>
        <v>0</v>
      </c>
      <c r="CL96" s="518">
        <f>IF(YEAR('3 pr-2'!$AJ96)=2022,$CD96,0)</f>
        <v>0</v>
      </c>
      <c r="CM96" s="518">
        <f>IF(YEAR('3 pr-2'!$AJ96)=2023,$CD96,0)</f>
        <v>0</v>
      </c>
      <c r="CN96" s="523"/>
      <c r="CO96" s="882"/>
      <c r="CP96" s="524"/>
      <c r="CQ96" s="518"/>
      <c r="CR96" s="518"/>
      <c r="CS96" s="518"/>
      <c r="CT96" s="518"/>
      <c r="CU96" s="518"/>
      <c r="CV96" s="518"/>
      <c r="CW96" s="1337">
        <f t="shared" si="320"/>
        <v>0</v>
      </c>
      <c r="CX96" s="524"/>
      <c r="CY96" s="504"/>
      <c r="CZ96" s="504"/>
      <c r="DA96" s="1332">
        <f>IF(YEAR('3 pr-2'!AJ96)=2017,CX96,0)</f>
        <v>0</v>
      </c>
      <c r="DB96" s="1332">
        <f>IF(YEAR('3 pr-2'!AJ96)=2018,CX96,0)</f>
        <v>0</v>
      </c>
      <c r="DC96" s="1332">
        <f>IF(YEAR('3 pr-2'!AJ96)=2019,CX96,0)</f>
        <v>0</v>
      </c>
      <c r="DD96" s="1332">
        <f>IF(YEAR('3 pr-2'!AJ96)=2020,CX96,0)</f>
        <v>0</v>
      </c>
      <c r="DE96" s="1332">
        <f>IF(YEAR('3 pr-2'!AJ96)=2021,CX96,0)</f>
        <v>0</v>
      </c>
      <c r="DF96" s="1332">
        <f>IF(YEAR('3 pr-2'!AJ96)=2022,CX96,0)</f>
        <v>0</v>
      </c>
      <c r="DG96" s="1332">
        <f>IF(YEAR('3 pr-2'!AJ96)=2023,CX96,0)</f>
        <v>0</v>
      </c>
    </row>
    <row r="97" spans="1:111" ht="49.5" thickTop="1" thickBot="1" x14ac:dyDescent="0.3">
      <c r="A97" s="518" t="str">
        <f>CONCATENATE('3 pr-2'!A97)</f>
        <v>1.1.2.4.5</v>
      </c>
      <c r="B97" s="518" t="str">
        <f>CONCATENATE('3 pr-2'!B97)</f>
        <v>R01-5511-120900-1245</v>
      </c>
      <c r="C97" s="1449" t="str">
        <f>CONCATENATE('ketv. 2lent'!B96)</f>
        <v/>
      </c>
      <c r="D97" s="480" t="str">
        <f>CONCATENATE('3 pr-2'!D97)</f>
        <v>M. K. Čiurlionio gatvės atkarpos Druskininkų m. rekonstrukcija</v>
      </c>
      <c r="E97" s="480" t="str">
        <f>CONCATENATE('3 pr-2'!E97)</f>
        <v xml:space="preserve">Druskininkų savivaldybės administracija  </v>
      </c>
      <c r="F97" s="480" t="str">
        <f>CONCATENATE('3 pr-2'!F97)</f>
        <v>Lietuvos Respublikos susisiekimo ministerija</v>
      </c>
      <c r="G97" s="480" t="str">
        <f>CONCATENATE('3 pr-2'!G97)</f>
        <v>Druskininkų miestas</v>
      </c>
      <c r="H97" s="518" t="str">
        <f>CONCATENATE('3 pr-2'!H97)</f>
        <v>06.2.1-TID-R-511</v>
      </c>
      <c r="I97" s="518" t="str">
        <f>CONCATENATE('3 pr-2'!I97)</f>
        <v>R</v>
      </c>
      <c r="J97" s="518" t="str">
        <f>CONCATENATE('3 pr-2'!J97)</f>
        <v>-</v>
      </c>
      <c r="K97" s="518" t="str">
        <f>CONCATENATE('3 pr-2'!K97)</f>
        <v>-</v>
      </c>
      <c r="L97" s="518" t="s">
        <v>529</v>
      </c>
      <c r="M97" s="881" t="s">
        <v>530</v>
      </c>
      <c r="N97" s="518"/>
      <c r="O97" s="518"/>
      <c r="P97" s="518"/>
      <c r="Q97" s="518"/>
      <c r="R97" s="518"/>
      <c r="S97" s="518"/>
      <c r="T97" s="518"/>
      <c r="U97" s="1335">
        <f t="shared" si="382"/>
        <v>0</v>
      </c>
      <c r="V97" s="518">
        <v>0.4</v>
      </c>
      <c r="W97" s="1336">
        <f>IF('ketv. 6 lent'!K97&gt;0,"taip",0)</f>
        <v>0</v>
      </c>
      <c r="X97" s="518"/>
      <c r="Y97" s="518">
        <f>IF(YEAR('3 pr-2'!$AJ97)=2017,$V97,0)</f>
        <v>0</v>
      </c>
      <c r="Z97" s="518">
        <f>IF(YEAR('3 pr-2'!$AJ97)=2018,$V97,0)</f>
        <v>0</v>
      </c>
      <c r="AA97" s="518">
        <f>IF(YEAR('3 pr-2'!$AJ97)=2019,$V97,0)</f>
        <v>0.4</v>
      </c>
      <c r="AB97" s="518">
        <f>IF(YEAR('3 pr-2'!$AJ97)=2020,$V97,0)</f>
        <v>0</v>
      </c>
      <c r="AC97" s="518">
        <f>IF(YEAR('3 pr-2'!$AJ97)=2021,$V97,0)</f>
        <v>0</v>
      </c>
      <c r="AD97" s="518">
        <f>IF(YEAR('3 pr-2'!$AJ97)=2022,$V97,0)</f>
        <v>0</v>
      </c>
      <c r="AE97" s="518">
        <f>IF(YEAR('3 pr-2'!$AJ97)=2023,$V97,0)</f>
        <v>0</v>
      </c>
      <c r="AF97" s="523" t="s">
        <v>531</v>
      </c>
      <c r="AG97" s="881" t="s">
        <v>532</v>
      </c>
      <c r="AH97" s="518"/>
      <c r="AI97" s="518"/>
      <c r="AJ97" s="518"/>
      <c r="AK97" s="518"/>
      <c r="AL97" s="518"/>
      <c r="AM97" s="518"/>
      <c r="AN97" s="518"/>
      <c r="AO97" s="1337">
        <f t="shared" si="314"/>
        <v>0</v>
      </c>
      <c r="AP97" s="518">
        <v>1</v>
      </c>
      <c r="AQ97" s="1338"/>
      <c r="AR97" s="518"/>
      <c r="AS97" s="518">
        <f>IF(YEAR('3 pr-2'!$AJ97)=2017,$AP97,0)</f>
        <v>0</v>
      </c>
      <c r="AT97" s="518">
        <f>IF(YEAR('3 pr-2'!$AJ97)=2018,$AP97,0)</f>
        <v>0</v>
      </c>
      <c r="AU97" s="518">
        <f>IF(YEAR('3 pr-2'!$AJ97)=2019,$AP97,0)</f>
        <v>1</v>
      </c>
      <c r="AV97" s="518">
        <f>IF(YEAR('3 pr-2'!$AJ97)=2020,$AP97,0)</f>
        <v>0</v>
      </c>
      <c r="AW97" s="518">
        <f>IF(YEAR('3 pr-2'!$AJ97)=2021,$AP97,0)</f>
        <v>0</v>
      </c>
      <c r="AX97" s="518">
        <f>IF(YEAR('3 pr-2'!$AJ97)=2022,$AP97,0)</f>
        <v>0</v>
      </c>
      <c r="AY97" s="518">
        <f>IF(YEAR('3 pr-2'!$AJ97)=2023,$AP97,0)</f>
        <v>0</v>
      </c>
      <c r="AZ97" s="518"/>
      <c r="BA97" s="880"/>
      <c r="BB97" s="518"/>
      <c r="BC97" s="518"/>
      <c r="BD97" s="518"/>
      <c r="BE97" s="518"/>
      <c r="BF97" s="518"/>
      <c r="BG97" s="518"/>
      <c r="BH97" s="518"/>
      <c r="BI97" s="1337">
        <f t="shared" si="316"/>
        <v>0</v>
      </c>
      <c r="BJ97" s="518"/>
      <c r="BK97" s="1338"/>
      <c r="BL97" s="518"/>
      <c r="BM97" s="518">
        <f>IF(YEAR('3 pr-2'!AJ97)=2017,BJ97,0)</f>
        <v>0</v>
      </c>
      <c r="BN97" s="518">
        <f>IF(YEAR('3 pr-2'!AJ97)=2018,BJ97,0)</f>
        <v>0</v>
      </c>
      <c r="BO97" s="518">
        <f>IF(YEAR('3 pr-2'!AJ97)=2019,BJ97,0)</f>
        <v>0</v>
      </c>
      <c r="BP97" s="518">
        <f>IF(YEAR('3 pr-2'!AJ97)=2020,BJ97,0)</f>
        <v>0</v>
      </c>
      <c r="BQ97" s="518">
        <f>IF(YEAR('3 pr-2'!AJ97)=2021,BJ97,0)</f>
        <v>0</v>
      </c>
      <c r="BR97" s="518">
        <f>IF(YEAR('3 pr-2'!AJ97)=2022,BJ97,0)</f>
        <v>0</v>
      </c>
      <c r="BS97" s="518">
        <f>IF(YEAR('3 pr-2'!AJ97)=2023,BJ97,0)</f>
        <v>0</v>
      </c>
      <c r="BT97" s="523"/>
      <c r="BU97" s="881"/>
      <c r="BV97" s="518"/>
      <c r="BW97" s="518"/>
      <c r="BX97" s="518"/>
      <c r="BY97" s="518"/>
      <c r="BZ97" s="518"/>
      <c r="CA97" s="518"/>
      <c r="CB97" s="518"/>
      <c r="CC97" s="1337">
        <f t="shared" si="318"/>
        <v>0</v>
      </c>
      <c r="CD97" s="518"/>
      <c r="CE97" s="518"/>
      <c r="CF97" s="518"/>
      <c r="CG97" s="518">
        <f>IF(YEAR('3 pr-2'!$AJ97)=2017,$CD97,0)</f>
        <v>0</v>
      </c>
      <c r="CH97" s="518">
        <f>IF(YEAR('3 pr-2'!$AJ97)=2018,$CD97,0)</f>
        <v>0</v>
      </c>
      <c r="CI97" s="518">
        <f>IF(YEAR('3 pr-2'!$AJ97)=2019,$CD97,0)</f>
        <v>0</v>
      </c>
      <c r="CJ97" s="518">
        <f>IF(YEAR('3 pr-2'!$AJ97)=2020,$CD97,0)</f>
        <v>0</v>
      </c>
      <c r="CK97" s="518">
        <f>IF(YEAR('3 pr-2'!$AJ97)=2021,$CD97,0)</f>
        <v>0</v>
      </c>
      <c r="CL97" s="518">
        <f>IF(YEAR('3 pr-2'!$AJ97)=2022,$CD97,0)</f>
        <v>0</v>
      </c>
      <c r="CM97" s="518">
        <f>IF(YEAR('3 pr-2'!$AJ97)=2023,$CD97,0)</f>
        <v>0</v>
      </c>
      <c r="CN97" s="523"/>
      <c r="CO97" s="882"/>
      <c r="CP97" s="524"/>
      <c r="CQ97" s="518"/>
      <c r="CR97" s="518"/>
      <c r="CS97" s="518"/>
      <c r="CT97" s="518"/>
      <c r="CU97" s="518"/>
      <c r="CV97" s="518"/>
      <c r="CW97" s="1337">
        <f t="shared" si="320"/>
        <v>0</v>
      </c>
      <c r="CX97" s="524"/>
      <c r="CY97" s="504"/>
      <c r="CZ97" s="504"/>
      <c r="DA97" s="1332">
        <f>IF(YEAR('3 pr-2'!AJ97)=2017,CX97,0)</f>
        <v>0</v>
      </c>
      <c r="DB97" s="1332">
        <f>IF(YEAR('3 pr-2'!AJ97)=2018,CX97,0)</f>
        <v>0</v>
      </c>
      <c r="DC97" s="1332">
        <f>IF(YEAR('3 pr-2'!AJ97)=2019,CX97,0)</f>
        <v>0</v>
      </c>
      <c r="DD97" s="1332">
        <f>IF(YEAR('3 pr-2'!AJ97)=2020,CX97,0)</f>
        <v>0</v>
      </c>
      <c r="DE97" s="1332">
        <f>IF(YEAR('3 pr-2'!AJ97)=2021,CX97,0)</f>
        <v>0</v>
      </c>
      <c r="DF97" s="1332">
        <f>IF(YEAR('3 pr-2'!AJ97)=2022,CX97,0)</f>
        <v>0</v>
      </c>
      <c r="DG97" s="1332">
        <f>IF(YEAR('3 pr-2'!AJ97)=2023,CX97,0)</f>
        <v>0</v>
      </c>
    </row>
    <row r="98" spans="1:111" ht="73.5" thickTop="1" thickBot="1" x14ac:dyDescent="0.3">
      <c r="A98" s="518" t="str">
        <f>CONCATENATE('3 pr-2'!A98)</f>
        <v>1.1.2.4.6</v>
      </c>
      <c r="B98" s="518" t="str">
        <f>CONCATENATE('3 pr-2'!B98)</f>
        <v>R01-5511-120000-1246</v>
      </c>
      <c r="C98" s="1449" t="str">
        <f>CONCATENATE('ketv. 2lent'!B97)</f>
        <v/>
      </c>
      <c r="D98" s="480" t="str">
        <f>CONCATENATE('3 pr-2'!D98)</f>
        <v>Lazdijų miesto Seinų ir Lazdijos gatvių bei vietinės reikšmės kelio nuo Janonio gatvės iki Lazdijų hipodromo rekonstravimas</v>
      </c>
      <c r="E98" s="480" t="str">
        <f>CONCATENATE('3 pr-2'!E98)</f>
        <v>Lazdijų rajono savivaldybės administracija</v>
      </c>
      <c r="F98" s="480" t="str">
        <f>CONCATENATE('3 pr-2'!F98)</f>
        <v>Lietuvos Respublikos susisiekimo ministerija</v>
      </c>
      <c r="G98" s="480" t="str">
        <f>CONCATENATE('3 pr-2'!G98)</f>
        <v>Lazdijų miestas</v>
      </c>
      <c r="H98" s="518" t="str">
        <f>CONCATENATE('3 pr-2'!H98)</f>
        <v>06.2.1-TID-R-511</v>
      </c>
      <c r="I98" s="518" t="str">
        <f>CONCATENATE('3 pr-2'!I98)</f>
        <v>R</v>
      </c>
      <c r="J98" s="518" t="str">
        <f>CONCATENATE('3 pr-2'!J98)</f>
        <v>ITI</v>
      </c>
      <c r="K98" s="518" t="str">
        <f>CONCATENATE('3 pr-2'!K98)</f>
        <v>-</v>
      </c>
      <c r="L98" s="518" t="s">
        <v>529</v>
      </c>
      <c r="M98" s="881" t="s">
        <v>530</v>
      </c>
      <c r="N98" s="518"/>
      <c r="O98" s="518"/>
      <c r="P98" s="518"/>
      <c r="Q98" s="518"/>
      <c r="R98" s="518"/>
      <c r="S98" s="518"/>
      <c r="T98" s="518"/>
      <c r="U98" s="1335">
        <f t="shared" si="382"/>
        <v>0</v>
      </c>
      <c r="V98" s="518">
        <v>2.19</v>
      </c>
      <c r="W98" s="1336">
        <f>IF('ketv. 6 lent'!K98&gt;0,"taip",0)</f>
        <v>0</v>
      </c>
      <c r="X98" s="518"/>
      <c r="Y98" s="518">
        <f>IF(YEAR('3 pr-2'!$AJ98)=2017,$V98,0)</f>
        <v>0</v>
      </c>
      <c r="Z98" s="518">
        <f>IF(YEAR('3 pr-2'!$AJ98)=2018,$V98,0)</f>
        <v>0</v>
      </c>
      <c r="AA98" s="518">
        <f>IF(YEAR('3 pr-2'!$AJ98)=2019,$V98,0)</f>
        <v>2.19</v>
      </c>
      <c r="AB98" s="518">
        <f>IF(YEAR('3 pr-2'!$AJ98)=2020,$V98,0)</f>
        <v>0</v>
      </c>
      <c r="AC98" s="518">
        <f>IF(YEAR('3 pr-2'!$AJ98)=2021,$V98,0)</f>
        <v>0</v>
      </c>
      <c r="AD98" s="518">
        <f>IF(YEAR('3 pr-2'!$AJ98)=2022,$V98,0)</f>
        <v>0</v>
      </c>
      <c r="AE98" s="518">
        <f>IF(YEAR('3 pr-2'!$AJ98)=2023,$V98,0)</f>
        <v>0</v>
      </c>
      <c r="AF98" s="523" t="s">
        <v>531</v>
      </c>
      <c r="AG98" s="1204" t="s">
        <v>532</v>
      </c>
      <c r="AH98" s="518"/>
      <c r="AI98" s="518"/>
      <c r="AJ98" s="518"/>
      <c r="AK98" s="518"/>
      <c r="AL98" s="518"/>
      <c r="AM98" s="518"/>
      <c r="AN98" s="518"/>
      <c r="AO98" s="1337">
        <f t="shared" si="314"/>
        <v>0</v>
      </c>
      <c r="AP98" s="518">
        <v>5</v>
      </c>
      <c r="AQ98" s="1338"/>
      <c r="AR98" s="518"/>
      <c r="AS98" s="518">
        <f>IF(YEAR('3 pr-2'!$AJ98)=2017,$AP98,0)</f>
        <v>0</v>
      </c>
      <c r="AT98" s="518">
        <f>IF(YEAR('3 pr-2'!$AJ98)=2018,$AP98,0)</f>
        <v>0</v>
      </c>
      <c r="AU98" s="518">
        <f>IF(YEAR('3 pr-2'!$AJ98)=2019,$AP98,0)</f>
        <v>5</v>
      </c>
      <c r="AV98" s="518">
        <f>IF(YEAR('3 pr-2'!$AJ98)=2020,$AP98,0)</f>
        <v>0</v>
      </c>
      <c r="AW98" s="518">
        <f>IF(YEAR('3 pr-2'!$AJ98)=2021,$AP98,0)</f>
        <v>0</v>
      </c>
      <c r="AX98" s="518">
        <f>IF(YEAR('3 pr-2'!$AJ98)=2022,$AP98,0)</f>
        <v>0</v>
      </c>
      <c r="AY98" s="518">
        <f>IF(YEAR('3 pr-2'!$AJ98)=2023,$AP98,0)</f>
        <v>0</v>
      </c>
      <c r="AZ98" s="518"/>
      <c r="BA98" s="880"/>
      <c r="BB98" s="518"/>
      <c r="BC98" s="518"/>
      <c r="BD98" s="518"/>
      <c r="BE98" s="518"/>
      <c r="BF98" s="518"/>
      <c r="BG98" s="518"/>
      <c r="BH98" s="518"/>
      <c r="BI98" s="1337">
        <f t="shared" si="316"/>
        <v>0</v>
      </c>
      <c r="BJ98" s="518"/>
      <c r="BK98" s="1338"/>
      <c r="BL98" s="518"/>
      <c r="BM98" s="518">
        <f>IF(YEAR('3 pr-2'!AJ98)=2017,BJ98,0)</f>
        <v>0</v>
      </c>
      <c r="BN98" s="518">
        <f>IF(YEAR('3 pr-2'!AJ98)=2018,BJ98,0)</f>
        <v>0</v>
      </c>
      <c r="BO98" s="518">
        <f>IF(YEAR('3 pr-2'!AJ98)=2019,BJ98,0)</f>
        <v>0</v>
      </c>
      <c r="BP98" s="518">
        <f>IF(YEAR('3 pr-2'!AJ98)=2020,BJ98,0)</f>
        <v>0</v>
      </c>
      <c r="BQ98" s="518">
        <f>IF(YEAR('3 pr-2'!AJ98)=2021,BJ98,0)</f>
        <v>0</v>
      </c>
      <c r="BR98" s="518">
        <f>IF(YEAR('3 pr-2'!AJ98)=2022,BJ98,0)</f>
        <v>0</v>
      </c>
      <c r="BS98" s="518">
        <f>IF(YEAR('3 pr-2'!AJ98)=2023,BJ98,0)</f>
        <v>0</v>
      </c>
      <c r="BT98" s="523"/>
      <c r="BU98" s="881"/>
      <c r="BV98" s="518"/>
      <c r="BW98" s="518"/>
      <c r="BX98" s="518"/>
      <c r="BY98" s="518"/>
      <c r="BZ98" s="518"/>
      <c r="CA98" s="518"/>
      <c r="CB98" s="518"/>
      <c r="CC98" s="1337">
        <f t="shared" si="318"/>
        <v>0</v>
      </c>
      <c r="CD98" s="518"/>
      <c r="CE98" s="518"/>
      <c r="CF98" s="518"/>
      <c r="CG98" s="518">
        <f>IF(YEAR('3 pr-2'!$AJ98)=2017,$CD98,0)</f>
        <v>0</v>
      </c>
      <c r="CH98" s="518">
        <f>IF(YEAR('3 pr-2'!$AJ98)=2018,$CD98,0)</f>
        <v>0</v>
      </c>
      <c r="CI98" s="518">
        <f>IF(YEAR('3 pr-2'!$AJ98)=2019,$CD98,0)</f>
        <v>0</v>
      </c>
      <c r="CJ98" s="518">
        <f>IF(YEAR('3 pr-2'!$AJ98)=2020,$CD98,0)</f>
        <v>0</v>
      </c>
      <c r="CK98" s="518">
        <f>IF(YEAR('3 pr-2'!$AJ98)=2021,$CD98,0)</f>
        <v>0</v>
      </c>
      <c r="CL98" s="518">
        <f>IF(YEAR('3 pr-2'!$AJ98)=2022,$CD98,0)</f>
        <v>0</v>
      </c>
      <c r="CM98" s="518">
        <f>IF(YEAR('3 pr-2'!$AJ98)=2023,$CD98,0)</f>
        <v>0</v>
      </c>
      <c r="CN98" s="523"/>
      <c r="CO98" s="882"/>
      <c r="CP98" s="524"/>
      <c r="CQ98" s="518"/>
      <c r="CR98" s="518"/>
      <c r="CS98" s="518"/>
      <c r="CT98" s="518"/>
      <c r="CU98" s="518"/>
      <c r="CV98" s="518"/>
      <c r="CW98" s="1337">
        <f t="shared" si="320"/>
        <v>0</v>
      </c>
      <c r="CX98" s="524"/>
      <c r="CY98" s="504"/>
      <c r="CZ98" s="504"/>
      <c r="DA98" s="1332">
        <f>IF(YEAR('3 pr-2'!AJ98)=2017,CX98,0)</f>
        <v>0</v>
      </c>
      <c r="DB98" s="1332">
        <f>IF(YEAR('3 pr-2'!AJ98)=2018,CX98,0)</f>
        <v>0</v>
      </c>
      <c r="DC98" s="1332">
        <f>IF(YEAR('3 pr-2'!AJ98)=2019,CX98,0)</f>
        <v>0</v>
      </c>
      <c r="DD98" s="1332">
        <f>IF(YEAR('3 pr-2'!AJ98)=2020,CX98,0)</f>
        <v>0</v>
      </c>
      <c r="DE98" s="1332">
        <f>IF(YEAR('3 pr-2'!AJ98)=2021,CX98,0)</f>
        <v>0</v>
      </c>
      <c r="DF98" s="1332">
        <f>IF(YEAR('3 pr-2'!AJ98)=2022,CX98,0)</f>
        <v>0</v>
      </c>
      <c r="DG98" s="1332">
        <f>IF(YEAR('3 pr-2'!AJ98)=2023,CX98,0)</f>
        <v>0</v>
      </c>
    </row>
    <row r="99" spans="1:111" ht="48.75" thickBot="1" x14ac:dyDescent="0.3">
      <c r="A99" s="518" t="str">
        <f>CONCATENATE('3 pr-2'!A99)</f>
        <v>1.1.2.4.7</v>
      </c>
      <c r="B99" s="518" t="str">
        <f>CONCATENATE('3 pr-2'!B99)</f>
        <v>R01-5511-120000-1247</v>
      </c>
      <c r="C99" s="1285"/>
      <c r="D99" s="480" t="str">
        <f>CONCATENATE('3 pr-2'!D99)</f>
        <v>Eismo saugumo priemonių diegimas Druskininkų savivaldybėje</v>
      </c>
      <c r="E99" s="480" t="str">
        <f>CONCATENATE('3 pr-2'!E99)</f>
        <v xml:space="preserve">Druskininkų savivaldybės administracija  </v>
      </c>
      <c r="F99" s="480" t="str">
        <f>CONCATENATE('3 pr-2'!F99)</f>
        <v>Lietuvos Respublikos susisiekimo ministerija</v>
      </c>
      <c r="G99" s="480" t="str">
        <f>CONCATENATE('3 pr-2'!G99)</f>
        <v>Druskininkų miestas</v>
      </c>
      <c r="H99" s="518" t="str">
        <f>CONCATENATE('3 pr-2'!H99)</f>
        <v>06.2.1-TID-R-511</v>
      </c>
      <c r="I99" s="518" t="str">
        <f>CONCATENATE('3 pr-2'!I99)</f>
        <v>R</v>
      </c>
      <c r="J99" s="518" t="str">
        <f>CONCATENATE('3 pr-2'!J99)</f>
        <v>-</v>
      </c>
      <c r="K99" s="518" t="str">
        <f>CONCATENATE('3 pr-2'!K99)</f>
        <v>-</v>
      </c>
      <c r="L99" s="524"/>
      <c r="M99" s="880"/>
      <c r="N99" s="524"/>
      <c r="O99" s="524"/>
      <c r="P99" s="524"/>
      <c r="Q99" s="524"/>
      <c r="R99" s="524"/>
      <c r="S99" s="524"/>
      <c r="T99" s="524"/>
      <c r="U99" s="1350"/>
      <c r="V99" s="518"/>
      <c r="W99" s="518"/>
      <c r="X99" s="524"/>
      <c r="Y99" s="518">
        <f>IF(YEAR('3 pr-2'!$AJ99)=2017,$V99,0)</f>
        <v>0</v>
      </c>
      <c r="Z99" s="518">
        <f>IF(YEAR('3 pr-2'!$AJ99)=2018,$V99,0)</f>
        <v>0</v>
      </c>
      <c r="AA99" s="518">
        <f>IF(YEAR('3 pr-2'!$AJ99)=2019,$V99,0)</f>
        <v>0</v>
      </c>
      <c r="AB99" s="518">
        <f>IF(YEAR('3 pr-2'!$AJ99)=2020,$V99,0)</f>
        <v>0</v>
      </c>
      <c r="AC99" s="518">
        <f>IF(YEAR('3 pr-2'!$AJ99)=2021,$V99,0)</f>
        <v>0</v>
      </c>
      <c r="AD99" s="518">
        <f>IF(YEAR('3 pr-2'!$AJ99)=2022,$V99,0)</f>
        <v>0</v>
      </c>
      <c r="AE99" s="518">
        <f>IF(YEAR('3 pr-2'!$AJ99)=2023,$V99,0)</f>
        <v>0</v>
      </c>
      <c r="AF99" s="523" t="s">
        <v>531</v>
      </c>
      <c r="AG99" s="881" t="s">
        <v>532</v>
      </c>
      <c r="AH99" s="518"/>
      <c r="AI99" s="518"/>
      <c r="AJ99" s="518"/>
      <c r="AK99" s="518"/>
      <c r="AL99" s="518"/>
      <c r="AM99" s="518"/>
      <c r="AN99" s="518"/>
      <c r="AO99" s="1337"/>
      <c r="AP99" s="518">
        <v>1</v>
      </c>
      <c r="AQ99" s="518"/>
      <c r="AR99" s="524"/>
      <c r="AS99" s="518">
        <f>IF(YEAR('3 pr-2'!$AJ99)=2017,$AP99,0)</f>
        <v>0</v>
      </c>
      <c r="AT99" s="518">
        <f>IF(YEAR('3 pr-2'!$AJ99)=2018,$AP99,0)</f>
        <v>0</v>
      </c>
      <c r="AU99" s="518">
        <f>IF(YEAR('3 pr-2'!$AJ99)=2019,$AP99,0)</f>
        <v>1</v>
      </c>
      <c r="AV99" s="518">
        <f>IF(YEAR('3 pr-2'!$AJ99)=2020,$AP99,0)</f>
        <v>0</v>
      </c>
      <c r="AW99" s="518">
        <f>IF(YEAR('3 pr-2'!$AJ99)=2021,$AP99,0)</f>
        <v>0</v>
      </c>
      <c r="AX99" s="518">
        <f>IF(YEAR('3 pr-2'!$AJ99)=2022,$AP99,0)</f>
        <v>0</v>
      </c>
      <c r="AY99" s="518">
        <f>IF(YEAR('3 pr-2'!$AJ99)=2023,$AP99,0)</f>
        <v>0</v>
      </c>
      <c r="AZ99" s="524"/>
      <c r="BA99" s="882"/>
      <c r="BB99" s="524"/>
      <c r="BC99" s="524"/>
      <c r="BD99" s="524"/>
      <c r="BE99" s="524"/>
      <c r="BF99" s="524"/>
      <c r="BG99" s="524"/>
      <c r="BH99" s="524"/>
      <c r="BI99" s="1351"/>
      <c r="BJ99" s="524"/>
      <c r="BK99" s="518"/>
      <c r="BL99" s="524"/>
      <c r="BM99" s="518">
        <f>IF(YEAR('3 pr-2'!AJ99)=2017,BJ99,0)</f>
        <v>0</v>
      </c>
      <c r="BN99" s="518">
        <f>IF(YEAR('3 pr-2'!AJ99)=2018,BJ99,0)</f>
        <v>0</v>
      </c>
      <c r="BO99" s="518">
        <f>IF(YEAR('3 pr-2'!AJ99)=2019,BJ99,0)</f>
        <v>0</v>
      </c>
      <c r="BP99" s="518">
        <f>IF(YEAR('3 pr-2'!AJ99)=2020,BJ99,0)</f>
        <v>0</v>
      </c>
      <c r="BQ99" s="518">
        <f>IF(YEAR('3 pr-2'!AJ99)=2021,BJ99,0)</f>
        <v>0</v>
      </c>
      <c r="BR99" s="518">
        <f>IF(YEAR('3 pr-2'!AJ99)=2022,BJ99,0)</f>
        <v>0</v>
      </c>
      <c r="BS99" s="518">
        <f>IF(YEAR('3 pr-2'!AJ99)=2023,BJ99,0)</f>
        <v>0</v>
      </c>
      <c r="BT99" s="518"/>
      <c r="BU99" s="882"/>
      <c r="BV99" s="524"/>
      <c r="BW99" s="524"/>
      <c r="BX99" s="524"/>
      <c r="BY99" s="524"/>
      <c r="BZ99" s="524"/>
      <c r="CA99" s="524"/>
      <c r="CB99" s="524"/>
      <c r="CC99" s="1351"/>
      <c r="CD99" s="524"/>
      <c r="CE99" s="524"/>
      <c r="CF99" s="524"/>
      <c r="CG99" s="518">
        <f>IF(YEAR('3 pr-2'!$AJ99)=2017,$CD99,0)</f>
        <v>0</v>
      </c>
      <c r="CH99" s="518">
        <f>IF(YEAR('3 pr-2'!$AJ99)=2018,$CD99,0)</f>
        <v>0</v>
      </c>
      <c r="CI99" s="518">
        <f>IF(YEAR('3 pr-2'!$AJ99)=2019,$CD99,0)</f>
        <v>0</v>
      </c>
      <c r="CJ99" s="518">
        <f>IF(YEAR('3 pr-2'!$AJ99)=2020,$CD99,0)</f>
        <v>0</v>
      </c>
      <c r="CK99" s="518">
        <f>IF(YEAR('3 pr-2'!$AJ99)=2021,$CD99,0)</f>
        <v>0</v>
      </c>
      <c r="CL99" s="518">
        <f>IF(YEAR('3 pr-2'!$AJ99)=2022,$CD99,0)</f>
        <v>0</v>
      </c>
      <c r="CM99" s="518">
        <f>IF(YEAR('3 pr-2'!$AJ99)=2023,$CD99,0)</f>
        <v>0</v>
      </c>
      <c r="CN99" s="518"/>
      <c r="CO99" s="1160"/>
      <c r="CP99" s="524"/>
      <c r="CQ99" s="524"/>
      <c r="CR99" s="524"/>
      <c r="CS99" s="524"/>
      <c r="CT99" s="524"/>
      <c r="CU99" s="524"/>
      <c r="CV99" s="524"/>
      <c r="CW99" s="1351"/>
      <c r="CX99" s="524"/>
      <c r="CY99" s="502"/>
      <c r="CZ99" s="1352"/>
      <c r="DA99" s="1332">
        <f>IF(YEAR('3 pr-2'!AJ99)=2017,CX99,0)</f>
        <v>0</v>
      </c>
      <c r="DB99" s="1332">
        <f>IF(YEAR('3 pr-2'!AJ99)=2018,CX99,0)</f>
        <v>0</v>
      </c>
      <c r="DC99" s="1332">
        <f>IF(YEAR('3 pr-2'!AJ99)=2019,CX99,0)</f>
        <v>0</v>
      </c>
      <c r="DD99" s="1332">
        <f>IF(YEAR('3 pr-2'!AJ99)=2020,CX99,0)</f>
        <v>0</v>
      </c>
      <c r="DE99" s="1332">
        <f>IF(YEAR('3 pr-2'!AJ99)=2021,CX99,0)</f>
        <v>0</v>
      </c>
      <c r="DF99" s="1332">
        <f>IF(YEAR('3 pr-2'!AJ99)=2022,CX99,0)</f>
        <v>0</v>
      </c>
      <c r="DG99" s="1332">
        <f>IF(YEAR('3 pr-2'!AJ99)=2023,CX99,0)</f>
        <v>0</v>
      </c>
    </row>
    <row r="100" spans="1:111" ht="36.75" customHeight="1" thickBot="1" x14ac:dyDescent="0.3">
      <c r="A100" s="844" t="str">
        <f>CONCATENATE('3 pr-2'!A100)</f>
        <v>2.1.</v>
      </c>
      <c r="B100" s="1687" t="str">
        <f>CONCATENATE('3 pr-2'!B100)</f>
        <v>Tikslas:
GERINTI VIEŠŲJŲ  PASLAUGŲ KOKYBĘ IR PRIEINAMUMĄ</v>
      </c>
      <c r="C100" s="1688"/>
      <c r="D100" s="1688"/>
      <c r="E100" s="1688"/>
      <c r="F100" s="1688"/>
      <c r="G100" s="1688"/>
      <c r="H100" s="1688"/>
      <c r="I100" s="1688"/>
      <c r="J100" s="1688"/>
      <c r="K100" s="1689"/>
      <c r="L100" s="1353"/>
      <c r="M100" s="1354"/>
      <c r="N100" s="1340"/>
      <c r="O100" s="1340"/>
      <c r="P100" s="1340"/>
      <c r="Q100" s="1340"/>
      <c r="R100" s="1340"/>
      <c r="S100" s="1340"/>
      <c r="T100" s="1340"/>
      <c r="U100" s="1355"/>
      <c r="V100" s="1332"/>
      <c r="W100" s="1334"/>
      <c r="X100" s="1334"/>
      <c r="Y100" s="1334"/>
      <c r="Z100" s="1334"/>
      <c r="AA100" s="1334"/>
      <c r="AB100" s="1334"/>
      <c r="AC100" s="1334"/>
      <c r="AD100" s="1356"/>
      <c r="AE100" s="1353"/>
      <c r="AF100" s="1340"/>
      <c r="AG100" s="1160"/>
      <c r="AH100" s="1340"/>
      <c r="AI100" s="1340"/>
      <c r="AJ100" s="1340"/>
      <c r="AK100" s="1340"/>
      <c r="AL100" s="1340"/>
      <c r="AM100" s="1340"/>
      <c r="AN100" s="1340"/>
      <c r="AO100" s="1340"/>
      <c r="AP100" s="1334"/>
      <c r="AQ100" s="1334"/>
      <c r="AR100" s="1334"/>
      <c r="AS100" s="1334"/>
      <c r="AT100" s="1334"/>
      <c r="AU100" s="1334"/>
      <c r="AV100" s="1334"/>
      <c r="AW100" s="1356"/>
      <c r="AX100" s="1353"/>
      <c r="AY100" s="1340"/>
      <c r="AZ100" s="1334"/>
      <c r="BA100" s="1160"/>
      <c r="BB100" s="1340"/>
      <c r="BC100" s="1340"/>
      <c r="BD100" s="1340"/>
      <c r="BE100" s="1340"/>
      <c r="BF100" s="1340"/>
      <c r="BG100" s="1340"/>
      <c r="BH100" s="1340"/>
      <c r="BI100" s="1340"/>
      <c r="BJ100" s="1334"/>
      <c r="BK100" s="1334"/>
      <c r="BL100" s="1334"/>
      <c r="BM100" s="1334"/>
      <c r="BN100" s="1334"/>
      <c r="BO100" s="1334"/>
      <c r="BP100" s="1356"/>
      <c r="BQ100" s="1353"/>
      <c r="BR100" s="1340"/>
      <c r="BS100" s="1334"/>
      <c r="BT100" s="1334"/>
      <c r="BU100" s="1160"/>
      <c r="BV100" s="1340"/>
      <c r="BW100" s="1340"/>
      <c r="BX100" s="1340"/>
      <c r="BY100" s="1340"/>
      <c r="BZ100" s="1340"/>
      <c r="CA100" s="1340"/>
      <c r="CB100" s="1340"/>
      <c r="CC100" s="1340"/>
      <c r="CD100" s="1334"/>
      <c r="CE100" s="1334"/>
      <c r="CF100" s="1334"/>
      <c r="CG100" s="1334"/>
      <c r="CH100" s="1334"/>
      <c r="CI100" s="1356"/>
      <c r="CJ100" s="1353"/>
      <c r="CK100" s="1340"/>
      <c r="CL100" s="1334"/>
      <c r="CM100" s="1334"/>
      <c r="CN100" s="1334"/>
      <c r="CO100" s="1160"/>
      <c r="CP100" s="1340"/>
      <c r="CQ100" s="1340"/>
      <c r="CR100" s="1340"/>
      <c r="CS100" s="1340"/>
      <c r="CT100" s="1340"/>
      <c r="CU100" s="1340"/>
      <c r="CV100" s="1340"/>
      <c r="CW100" s="1340"/>
      <c r="CX100" s="1334"/>
      <c r="CY100" s="1357"/>
      <c r="CZ100" s="1357"/>
      <c r="DA100" s="478"/>
      <c r="DB100" s="1259"/>
      <c r="DC100" s="1259"/>
      <c r="DD100" s="1259"/>
      <c r="DE100" s="1259"/>
      <c r="DF100" s="1259"/>
      <c r="DG100" s="1259"/>
    </row>
    <row r="101" spans="1:111" ht="46.5" customHeight="1" thickBot="1" x14ac:dyDescent="0.3">
      <c r="A101" s="1358" t="str">
        <f>CONCATENATE('3 pr-2'!A101)</f>
        <v>2.1.1.</v>
      </c>
      <c r="B101" s="1687" t="str">
        <f>CONCATENATE('3 pr-2'!B101)</f>
        <v xml:space="preserve">Uždavinys:
Bendrojo ugdymo ir neformaliojo švietimo įstaigų (ypač vykdančių ikimokyklinio ir priešmokyklinio ugdymo programas) tinklo veiklos efektyvumo didinimas </v>
      </c>
      <c r="C101" s="1688"/>
      <c r="D101" s="1688"/>
      <c r="E101" s="1688"/>
      <c r="F101" s="1688"/>
      <c r="G101" s="1688"/>
      <c r="H101" s="1688"/>
      <c r="I101" s="1688"/>
      <c r="J101" s="1688"/>
      <c r="K101" s="1689"/>
      <c r="L101" s="1359"/>
      <c r="M101" s="1360"/>
      <c r="N101" s="1359"/>
      <c r="O101" s="1359"/>
      <c r="P101" s="1359"/>
      <c r="Q101" s="1359"/>
      <c r="R101" s="1359"/>
      <c r="S101" s="1359"/>
      <c r="T101" s="1359"/>
      <c r="U101" s="1357"/>
      <c r="V101" s="1361"/>
      <c r="W101" s="1359"/>
      <c r="X101" s="1359"/>
      <c r="Y101" s="1359"/>
      <c r="Z101" s="1359"/>
      <c r="AA101" s="1359"/>
      <c r="AB101" s="1357"/>
      <c r="AC101" s="1359"/>
      <c r="AD101" s="1359"/>
      <c r="AE101" s="1359"/>
      <c r="AF101" s="1359"/>
      <c r="AG101" s="1360"/>
      <c r="AH101" s="1359"/>
      <c r="AI101" s="1359"/>
      <c r="AJ101" s="1359"/>
      <c r="AK101" s="1359"/>
      <c r="AL101" s="1359"/>
      <c r="AM101" s="1359"/>
      <c r="AN101" s="1359"/>
      <c r="AO101" s="1359"/>
      <c r="AP101" s="1359"/>
      <c r="AQ101" s="1357"/>
      <c r="AR101" s="1357"/>
      <c r="AS101" s="1357"/>
      <c r="AT101" s="1359"/>
      <c r="AU101" s="1359"/>
      <c r="AV101" s="1359"/>
      <c r="AW101" s="1359"/>
      <c r="AX101" s="1359"/>
      <c r="AY101" s="1359"/>
      <c r="AZ101" s="1357"/>
      <c r="BA101" s="1362"/>
      <c r="BB101" s="1359"/>
      <c r="BC101" s="1359"/>
      <c r="BD101" s="1359"/>
      <c r="BE101" s="1359"/>
      <c r="BF101" s="1359"/>
      <c r="BG101" s="1359"/>
      <c r="BH101" s="1359"/>
      <c r="BI101" s="1359"/>
      <c r="BJ101" s="1359"/>
      <c r="BK101" s="1359"/>
      <c r="BL101" s="1359"/>
      <c r="BM101" s="1359"/>
      <c r="BN101" s="1359"/>
      <c r="BO101" s="1359"/>
      <c r="BP101" s="1359"/>
      <c r="BQ101" s="1357"/>
      <c r="BR101" s="1359"/>
      <c r="BS101" s="1359"/>
      <c r="BT101" s="1359"/>
      <c r="BU101" s="1360"/>
      <c r="BV101" s="1359"/>
      <c r="BW101" s="1359"/>
      <c r="BX101" s="1359"/>
      <c r="BY101" s="1359"/>
      <c r="BZ101" s="1359"/>
      <c r="CA101" s="1359"/>
      <c r="CB101" s="1359"/>
      <c r="CC101" s="1359"/>
      <c r="CD101" s="1359"/>
      <c r="CE101" s="1359"/>
      <c r="CF101" s="1359"/>
      <c r="CG101" s="1359"/>
      <c r="CH101" s="1357"/>
      <c r="CI101" s="1359"/>
      <c r="CJ101" s="1359"/>
      <c r="CK101" s="1359"/>
      <c r="CL101" s="1359"/>
      <c r="CM101" s="1359"/>
      <c r="CN101" s="1359"/>
      <c r="CO101" s="882"/>
      <c r="CP101" s="1359"/>
      <c r="CQ101" s="1359"/>
      <c r="CR101" s="1359"/>
      <c r="CS101" s="1359"/>
      <c r="CT101" s="1359"/>
      <c r="CU101" s="1359"/>
      <c r="CV101" s="1359"/>
      <c r="CW101" s="1359"/>
      <c r="CX101" s="1359"/>
      <c r="CY101" s="1357"/>
      <c r="CZ101" s="1357"/>
      <c r="DA101" s="478"/>
      <c r="DB101" s="1259"/>
      <c r="DC101" s="1259"/>
      <c r="DD101" s="1259"/>
      <c r="DE101" s="1259"/>
      <c r="DF101" s="1259"/>
      <c r="DG101" s="1259"/>
    </row>
    <row r="102" spans="1:111" ht="70.5" customHeight="1" thickBot="1" x14ac:dyDescent="0.3">
      <c r="A102" s="1257" t="str">
        <f>CONCATENATE('3 pr-2'!A102)</f>
        <v>2.1.1.1</v>
      </c>
      <c r="B102" s="1687" t="str">
        <f>CONCATENATE('3 pr-2'!B102)</f>
        <v>Priemonė:
Mokyklų tinklo efektyvumo didinimas</v>
      </c>
      <c r="C102" s="1688"/>
      <c r="D102" s="1688"/>
      <c r="E102" s="1688"/>
      <c r="F102" s="1688"/>
      <c r="G102" s="1688"/>
      <c r="H102" s="1688"/>
      <c r="I102" s="1688"/>
      <c r="J102" s="1688"/>
      <c r="K102" s="1689"/>
      <c r="L102" s="1328" t="s">
        <v>535</v>
      </c>
      <c r="M102" s="884" t="s">
        <v>536</v>
      </c>
      <c r="N102" s="505">
        <f>SUM(N103:N107)</f>
        <v>0</v>
      </c>
      <c r="O102" s="505">
        <f t="shared" ref="O102:T102" si="411">SUM(O103:O107)</f>
        <v>0</v>
      </c>
      <c r="P102" s="505">
        <f t="shared" si="411"/>
        <v>0</v>
      </c>
      <c r="Q102" s="505">
        <f t="shared" si="411"/>
        <v>0</v>
      </c>
      <c r="R102" s="505">
        <f t="shared" si="411"/>
        <v>0</v>
      </c>
      <c r="S102" s="505">
        <f t="shared" si="411"/>
        <v>0</v>
      </c>
      <c r="T102" s="505">
        <f t="shared" si="411"/>
        <v>0</v>
      </c>
      <c r="U102" s="1329">
        <f t="shared" ref="U102:U107" si="412">SUM(N102:T102)</f>
        <v>0</v>
      </c>
      <c r="V102" s="1299">
        <f>SUM(V103:V107)</f>
        <v>8</v>
      </c>
      <c r="W102" s="1317"/>
      <c r="X102" s="1316"/>
      <c r="Y102" s="505">
        <f t="shared" ref="Y102:AE102" si="413">SUM(Y103:Y107)</f>
        <v>0</v>
      </c>
      <c r="Z102" s="505">
        <f t="shared" si="413"/>
        <v>0</v>
      </c>
      <c r="AA102" s="505">
        <f t="shared" si="413"/>
        <v>6</v>
      </c>
      <c r="AB102" s="505">
        <f t="shared" si="413"/>
        <v>2</v>
      </c>
      <c r="AC102" s="505">
        <f t="shared" si="413"/>
        <v>0</v>
      </c>
      <c r="AD102" s="505">
        <f t="shared" si="413"/>
        <v>0</v>
      </c>
      <c r="AE102" s="505">
        <f t="shared" si="413"/>
        <v>0</v>
      </c>
      <c r="AF102" s="1316" t="s">
        <v>537</v>
      </c>
      <c r="AG102" s="1331" t="s">
        <v>538</v>
      </c>
      <c r="AH102" s="505">
        <f>SUM(AH103:AH107)</f>
        <v>0</v>
      </c>
      <c r="AI102" s="505">
        <f t="shared" ref="AI102" si="414">SUM(AI103:AI107)</f>
        <v>0</v>
      </c>
      <c r="AJ102" s="505">
        <f t="shared" ref="AJ102" si="415">SUM(AJ103:AJ107)</f>
        <v>0</v>
      </c>
      <c r="AK102" s="505">
        <f t="shared" ref="AK102" si="416">SUM(AK103:AK107)</f>
        <v>0</v>
      </c>
      <c r="AL102" s="505">
        <f t="shared" ref="AL102" si="417">SUM(AL103:AL107)</f>
        <v>0</v>
      </c>
      <c r="AM102" s="505">
        <f t="shared" ref="AM102" si="418">SUM(AM103:AM107)</f>
        <v>0</v>
      </c>
      <c r="AN102" s="505">
        <f t="shared" ref="AN102" si="419">SUM(AN103:AN107)</f>
        <v>0</v>
      </c>
      <c r="AO102" s="1299">
        <f t="shared" ref="AO102:AO119" si="420">SUM(AH102:AN102)</f>
        <v>0</v>
      </c>
      <c r="AP102" s="1299">
        <f>SUM(AP103:AP107)</f>
        <v>3050</v>
      </c>
      <c r="AQ102" s="505"/>
      <c r="AR102" s="505"/>
      <c r="AS102" s="505">
        <f t="shared" ref="AS102" si="421">SUM(AS103:AS107)</f>
        <v>0</v>
      </c>
      <c r="AT102" s="505">
        <f t="shared" ref="AT102" si="422">SUM(AT103:AT107)</f>
        <v>0</v>
      </c>
      <c r="AU102" s="505">
        <f t="shared" ref="AU102" si="423">SUM(AU103:AU107)</f>
        <v>2270</v>
      </c>
      <c r="AV102" s="505">
        <f t="shared" ref="AV102" si="424">SUM(AV103:AV107)</f>
        <v>780</v>
      </c>
      <c r="AW102" s="505">
        <f t="shared" ref="AW102" si="425">SUM(AW103:AW107)</f>
        <v>0</v>
      </c>
      <c r="AX102" s="505">
        <f t="shared" ref="AX102" si="426">SUM(AX103:AX107)</f>
        <v>0</v>
      </c>
      <c r="AY102" s="505">
        <f t="shared" ref="AY102" si="427">SUM(AY103:AY107)</f>
        <v>0</v>
      </c>
      <c r="AZ102" s="1299"/>
      <c r="BA102" s="1331"/>
      <c r="BB102" s="505">
        <f>SUM(BB103:BB107)</f>
        <v>0</v>
      </c>
      <c r="BC102" s="505">
        <f t="shared" ref="BC102" si="428">SUM(BC103:BC107)</f>
        <v>0</v>
      </c>
      <c r="BD102" s="505">
        <f t="shared" ref="BD102" si="429">SUM(BD103:BD107)</f>
        <v>0</v>
      </c>
      <c r="BE102" s="505">
        <f t="shared" ref="BE102" si="430">SUM(BE103:BE107)</f>
        <v>0</v>
      </c>
      <c r="BF102" s="505">
        <f t="shared" ref="BF102" si="431">SUM(BF103:BF107)</f>
        <v>0</v>
      </c>
      <c r="BG102" s="505">
        <f t="shared" ref="BG102" si="432">SUM(BG103:BG107)</f>
        <v>0</v>
      </c>
      <c r="BH102" s="505">
        <f t="shared" ref="BH102" si="433">SUM(BH103:BH107)</f>
        <v>0</v>
      </c>
      <c r="BI102" s="1299">
        <f t="shared" ref="BI102:BI119" si="434">SUM(BB102:BH102)</f>
        <v>0</v>
      </c>
      <c r="BJ102" s="1299"/>
      <c r="BK102" s="505"/>
      <c r="BL102" s="505"/>
      <c r="BM102" s="505"/>
      <c r="BN102" s="505"/>
      <c r="BO102" s="505"/>
      <c r="BP102" s="505"/>
      <c r="BQ102" s="505"/>
      <c r="BR102" s="505"/>
      <c r="BS102" s="505"/>
      <c r="BT102" s="505"/>
      <c r="BU102" s="882"/>
      <c r="BV102" s="505">
        <f>SUM(BV103:BV107)</f>
        <v>0</v>
      </c>
      <c r="BW102" s="505">
        <f t="shared" ref="BW102" si="435">SUM(BW103:BW107)</f>
        <v>0</v>
      </c>
      <c r="BX102" s="505">
        <f t="shared" ref="BX102" si="436">SUM(BX103:BX107)</f>
        <v>0</v>
      </c>
      <c r="BY102" s="505">
        <f t="shared" ref="BY102" si="437">SUM(BY103:BY107)</f>
        <v>0</v>
      </c>
      <c r="BZ102" s="505">
        <f t="shared" ref="BZ102" si="438">SUM(BZ103:BZ107)</f>
        <v>0</v>
      </c>
      <c r="CA102" s="505">
        <f t="shared" ref="CA102" si="439">SUM(CA103:CA107)</f>
        <v>0</v>
      </c>
      <c r="CB102" s="505">
        <f t="shared" ref="CB102" si="440">SUM(CB103:CB107)</f>
        <v>0</v>
      </c>
      <c r="CC102" s="1299">
        <f t="shared" ref="CC102:CC113" si="441">SUM(BV102:CB102)</f>
        <v>0</v>
      </c>
      <c r="CD102" s="505"/>
      <c r="CE102" s="505"/>
      <c r="CF102" s="505"/>
      <c r="CG102" s="505"/>
      <c r="CH102" s="505"/>
      <c r="CI102" s="505"/>
      <c r="CJ102" s="505"/>
      <c r="CK102" s="505"/>
      <c r="CL102" s="505"/>
      <c r="CM102" s="505"/>
      <c r="CN102" s="505"/>
      <c r="CO102" s="882"/>
      <c r="CP102" s="505">
        <f>SUM(CP103:CP107)</f>
        <v>0</v>
      </c>
      <c r="CQ102" s="505">
        <f t="shared" ref="CQ102" si="442">SUM(CQ103:CQ107)</f>
        <v>0</v>
      </c>
      <c r="CR102" s="505">
        <f t="shared" ref="CR102" si="443">SUM(CR103:CR107)</f>
        <v>0</v>
      </c>
      <c r="CS102" s="505">
        <f t="shared" ref="CS102" si="444">SUM(CS103:CS107)</f>
        <v>0</v>
      </c>
      <c r="CT102" s="505">
        <f t="shared" ref="CT102" si="445">SUM(CT103:CT107)</f>
        <v>0</v>
      </c>
      <c r="CU102" s="505">
        <f t="shared" ref="CU102" si="446">SUM(CU103:CU107)</f>
        <v>0</v>
      </c>
      <c r="CV102" s="505">
        <f t="shared" ref="CV102" si="447">SUM(CV103:CV107)</f>
        <v>0</v>
      </c>
      <c r="CW102" s="1299">
        <f t="shared" ref="CW102:CW119" si="448">SUM(CP102:CV102)</f>
        <v>0</v>
      </c>
      <c r="CX102" s="505"/>
      <c r="CY102" s="1332"/>
      <c r="CZ102" s="1332"/>
      <c r="DA102" s="1332">
        <f>IF(YEAR('3 pr-2'!AJ102)=2017,CX102,0)</f>
        <v>0</v>
      </c>
      <c r="DB102" s="1332">
        <f>IF(YEAR('3 pr-2'!AJ102)=2018,CX102,0)</f>
        <v>0</v>
      </c>
      <c r="DC102" s="1332">
        <f>IF(YEAR('3 pr-2'!AJ102)=2019,CX102,0)</f>
        <v>0</v>
      </c>
      <c r="DD102" s="1332">
        <f>IF(YEAR('3 pr-2'!AJ102)=2020,CX102,0)</f>
        <v>0</v>
      </c>
      <c r="DE102" s="1332">
        <f>IF(YEAR('3 pr-2'!AJ102)=2021,CX102,0)</f>
        <v>0</v>
      </c>
      <c r="DF102" s="1332">
        <f>IF(YEAR('3 pr-2'!AJ102)=2022,CX102,0)</f>
        <v>0</v>
      </c>
      <c r="DG102" s="1332">
        <f>IF(YEAR('3 pr-2'!AJ102)=2023,CX102,0)</f>
        <v>0</v>
      </c>
    </row>
    <row r="103" spans="1:111" ht="85.5" thickTop="1" thickBot="1" x14ac:dyDescent="0.3">
      <c r="A103" s="518" t="str">
        <f>CONCATENATE('3 pr-2'!A103)</f>
        <v>2.1.1.1.1</v>
      </c>
      <c r="B103" s="518" t="str">
        <f>CONCATENATE('3 pr-2'!B103)</f>
        <v>R01-7724-220000-2111</v>
      </c>
      <c r="C103" s="1449" t="str">
        <f>CONCATENATE('ketv. 2lent'!B102)</f>
        <v xml:space="preserve">09.1.3-CPVA-R-724-11-0003 </v>
      </c>
      <c r="D103" s="480" t="str">
        <f>CONCATENATE('3 pr-2'!D103)</f>
        <v>Varėnos r. Merkinės Vinco Krėvės gimnazijos laisvų patalpų pritaikymas ikimokyklinio ir priešmokyklinio ugdymo grupėms įrengti</v>
      </c>
      <c r="E103" s="480" t="str">
        <f>CONCATENATE('3 pr-2'!E103)</f>
        <v>Varėnos rajono savivaldybės administracija</v>
      </c>
      <c r="F103" s="480" t="str">
        <f>CONCATENATE('3 pr-2'!F103)</f>
        <v>Lietuvos Respublikos švietimo ir mokslo ministerija</v>
      </c>
      <c r="G103" s="480" t="str">
        <f>CONCATENATE('3 pr-2'!G103)</f>
        <v>Varėnos miestas</v>
      </c>
      <c r="H103" s="518" t="str">
        <f>CONCATENATE('3 pr-2'!H103)</f>
        <v>09.1.3-CPVA-R-724</v>
      </c>
      <c r="I103" s="518" t="str">
        <f>CONCATENATE('3 pr-2'!I103)</f>
        <v>R</v>
      </c>
      <c r="J103" s="518" t="str">
        <f>CONCATENATE('3 pr-2'!J103)</f>
        <v>-</v>
      </c>
      <c r="K103" s="518" t="str">
        <f>CONCATENATE('3 pr-2'!K103)</f>
        <v>-</v>
      </c>
      <c r="L103" s="518" t="s">
        <v>535</v>
      </c>
      <c r="M103" s="881" t="s">
        <v>536</v>
      </c>
      <c r="N103" s="518"/>
      <c r="O103" s="518"/>
      <c r="P103" s="518"/>
      <c r="Q103" s="518"/>
      <c r="R103" s="518"/>
      <c r="S103" s="518"/>
      <c r="T103" s="518"/>
      <c r="U103" s="1335">
        <f t="shared" si="412"/>
        <v>0</v>
      </c>
      <c r="V103" s="518">
        <v>1</v>
      </c>
      <c r="W103" s="1336" t="str">
        <f>IF('ketv. 6 lent'!K103&gt;0,"taip",0)</f>
        <v>taip</v>
      </c>
      <c r="X103" s="518"/>
      <c r="Y103" s="518">
        <f>IF(YEAR('3 pr-2'!$AJ103)=2017,$V103,0)</f>
        <v>0</v>
      </c>
      <c r="Z103" s="518">
        <f>IF(YEAR('3 pr-2'!$AJ103)=2018,$V103,0)</f>
        <v>0</v>
      </c>
      <c r="AA103" s="518">
        <f>IF(YEAR('3 pr-2'!$AJ103)=2019,$V103,0)</f>
        <v>0</v>
      </c>
      <c r="AB103" s="518">
        <f>IF(YEAR('3 pr-2'!$AJ103)=2020,$V103,0)</f>
        <v>1</v>
      </c>
      <c r="AC103" s="518">
        <f>IF(YEAR('3 pr-2'!$AJ103)=2021,$V103,0)</f>
        <v>0</v>
      </c>
      <c r="AD103" s="518">
        <f>IF(YEAR('3 pr-2'!$AJ103)=2022,$V103,0)</f>
        <v>0</v>
      </c>
      <c r="AE103" s="518">
        <f>IF(YEAR('3 pr-2'!$AJ103)=2023,$V103,0)</f>
        <v>0</v>
      </c>
      <c r="AF103" s="523" t="s">
        <v>537</v>
      </c>
      <c r="AG103" s="881" t="s">
        <v>538</v>
      </c>
      <c r="AH103" s="518"/>
      <c r="AI103" s="518"/>
      <c r="AJ103" s="518"/>
      <c r="AK103" s="518"/>
      <c r="AL103" s="518"/>
      <c r="AM103" s="518"/>
      <c r="AN103" s="518"/>
      <c r="AO103" s="1337">
        <f t="shared" si="420"/>
        <v>0</v>
      </c>
      <c r="AP103" s="518">
        <v>180</v>
      </c>
      <c r="AQ103" s="1338"/>
      <c r="AR103" s="518"/>
      <c r="AS103" s="518">
        <f>IF(YEAR('3 pr-2'!$AJ103)=2017,$AP103,0)</f>
        <v>0</v>
      </c>
      <c r="AT103" s="518">
        <f>IF(YEAR('3 pr-2'!$AJ103)=2018,$AP103,0)</f>
        <v>0</v>
      </c>
      <c r="AU103" s="518">
        <f>IF(YEAR('3 pr-2'!$AJ103)=2019,$AP103,0)</f>
        <v>0</v>
      </c>
      <c r="AV103" s="518">
        <f>IF(YEAR('3 pr-2'!$AJ103)=2020,$AP103,0)</f>
        <v>180</v>
      </c>
      <c r="AW103" s="518">
        <f>IF(YEAR('3 pr-2'!$AJ103)=2021,$AP103,0)</f>
        <v>0</v>
      </c>
      <c r="AX103" s="518">
        <f>IF(YEAR('3 pr-2'!$AJ103)=2022,$AP103,0)</f>
        <v>0</v>
      </c>
      <c r="AY103" s="518">
        <f>IF(YEAR('3 pr-2'!$AJ103)=2023,$AP103,0)</f>
        <v>0</v>
      </c>
      <c r="AZ103" s="518"/>
      <c r="BA103" s="880"/>
      <c r="BB103" s="518"/>
      <c r="BC103" s="518"/>
      <c r="BD103" s="518"/>
      <c r="BE103" s="518"/>
      <c r="BF103" s="518"/>
      <c r="BG103" s="518"/>
      <c r="BH103" s="518"/>
      <c r="BI103" s="1337">
        <f t="shared" si="434"/>
        <v>0</v>
      </c>
      <c r="BJ103" s="518"/>
      <c r="BK103" s="1338"/>
      <c r="BL103" s="518"/>
      <c r="BM103" s="518">
        <f>IF(YEAR('3 pr-2'!AJ103)=2017,BJ103,0)</f>
        <v>0</v>
      </c>
      <c r="BN103" s="518">
        <f>IF(YEAR('3 pr-2'!AJ103)=2018,BJ103,0)</f>
        <v>0</v>
      </c>
      <c r="BO103" s="518">
        <f>IF(YEAR('3 pr-2'!AJ103)=2019,BJ103,0)</f>
        <v>0</v>
      </c>
      <c r="BP103" s="518">
        <f>IF(YEAR('3 pr-2'!AJ103)=2020,BJ103,0)</f>
        <v>0</v>
      </c>
      <c r="BQ103" s="518">
        <f>IF(YEAR('3 pr-2'!AJ103)=2021,BJ103,0)</f>
        <v>0</v>
      </c>
      <c r="BR103" s="518">
        <f>IF(YEAR('3 pr-2'!AJ103)=2022,BJ103,0)</f>
        <v>0</v>
      </c>
      <c r="BS103" s="518">
        <f>IF(YEAR('3 pr-2'!AJ103)=2023,BJ103,0)</f>
        <v>0</v>
      </c>
      <c r="BT103" s="523"/>
      <c r="BU103" s="881"/>
      <c r="BV103" s="518"/>
      <c r="BW103" s="518"/>
      <c r="BX103" s="518"/>
      <c r="BY103" s="518"/>
      <c r="BZ103" s="518"/>
      <c r="CA103" s="518"/>
      <c r="CB103" s="518"/>
      <c r="CC103" s="1337">
        <f t="shared" si="441"/>
        <v>0</v>
      </c>
      <c r="CD103" s="518"/>
      <c r="CE103" s="518"/>
      <c r="CF103" s="518"/>
      <c r="CG103" s="518">
        <f>IF(YEAR('3 pr-2'!$AJ103)=2017,$CD103,0)</f>
        <v>0</v>
      </c>
      <c r="CH103" s="518">
        <f>IF(YEAR('3 pr-2'!$AJ103)=2018,$CD103,0)</f>
        <v>0</v>
      </c>
      <c r="CI103" s="518">
        <f>IF(YEAR('3 pr-2'!$AJ103)=2019,$CD103,0)</f>
        <v>0</v>
      </c>
      <c r="CJ103" s="518">
        <f>IF(YEAR('3 pr-2'!$AJ103)=2020,$CD103,0)</f>
        <v>0</v>
      </c>
      <c r="CK103" s="518">
        <f>IF(YEAR('3 pr-2'!$AJ103)=2021,$CD103,0)</f>
        <v>0</v>
      </c>
      <c r="CL103" s="518">
        <f>IF(YEAR('3 pr-2'!$AJ103)=2022,$CD103,0)</f>
        <v>0</v>
      </c>
      <c r="CM103" s="518">
        <f>IF(YEAR('3 pr-2'!$AJ103)=2023,$CD103,0)</f>
        <v>0</v>
      </c>
      <c r="CN103" s="523"/>
      <c r="CO103" s="882"/>
      <c r="CP103" s="518"/>
      <c r="CQ103" s="518"/>
      <c r="CR103" s="518"/>
      <c r="CS103" s="518"/>
      <c r="CT103" s="518"/>
      <c r="CU103" s="518"/>
      <c r="CV103" s="518"/>
      <c r="CW103" s="1337">
        <f t="shared" si="448"/>
        <v>0</v>
      </c>
      <c r="CX103" s="524"/>
      <c r="CY103" s="504"/>
      <c r="CZ103" s="504"/>
      <c r="DA103" s="1332">
        <f>IF(YEAR('3 pr-2'!AJ103)=2017,CX103,0)</f>
        <v>0</v>
      </c>
      <c r="DB103" s="1332">
        <f>IF(YEAR('3 pr-2'!AJ103)=2018,CX103,0)</f>
        <v>0</v>
      </c>
      <c r="DC103" s="1332">
        <f>IF(YEAR('3 pr-2'!AJ103)=2019,CX103,0)</f>
        <v>0</v>
      </c>
      <c r="DD103" s="1332">
        <f>IF(YEAR('3 pr-2'!AJ103)=2020,CX103,0)</f>
        <v>0</v>
      </c>
      <c r="DE103" s="1332">
        <f>IF(YEAR('3 pr-2'!AJ103)=2021,CX103,0)</f>
        <v>0</v>
      </c>
      <c r="DF103" s="1332">
        <f>IF(YEAR('3 pr-2'!AJ103)=2022,CX103,0)</f>
        <v>0</v>
      </c>
      <c r="DG103" s="1332">
        <f>IF(YEAR('3 pr-2'!AJ103)=2023,CX103,0)</f>
        <v>0</v>
      </c>
    </row>
    <row r="104" spans="1:111" ht="73.5" thickTop="1" thickBot="1" x14ac:dyDescent="0.3">
      <c r="A104" s="518" t="str">
        <f>CONCATENATE('3 pr-2'!A104)</f>
        <v>2.1.1.1.2</v>
      </c>
      <c r="B104" s="518" t="str">
        <f>CONCATENATE('3 pr-2'!B104)</f>
        <v>R01-7724-220000-2112</v>
      </c>
      <c r="C104" s="1449" t="str">
        <f>CONCATENATE('ketv. 2lent'!B103)</f>
        <v>09.1.3-CPVA-R-724-11-0005</v>
      </c>
      <c r="D104" s="480" t="str">
        <f>CONCATENATE('3 pr-2'!D104)</f>
        <v>Alytaus rajono bendrojo ugdymo įstaigų aprūpinimas gamtos, technologijų, menų ir kitų mokslų laboratorijų įranga</v>
      </c>
      <c r="E104" s="480" t="str">
        <f>CONCATENATE('3 pr-2'!E104)</f>
        <v>Alytaus rajono savivaldybės administracija</v>
      </c>
      <c r="F104" s="480" t="str">
        <f>CONCATENATE('3 pr-2'!F104)</f>
        <v>Lietuvos Respublikos švietimo ir mokslo ministerija</v>
      </c>
      <c r="G104" s="480" t="str">
        <f>CONCATENATE('3 pr-2'!G104)</f>
        <v>Alytaus  rajono savivaldybė</v>
      </c>
      <c r="H104" s="518" t="str">
        <f>CONCATENATE('3 pr-2'!H104)</f>
        <v>09.1.3-CPVA-R-724</v>
      </c>
      <c r="I104" s="518" t="str">
        <f>CONCATENATE('3 pr-2'!I104)</f>
        <v>R</v>
      </c>
      <c r="J104" s="518" t="str">
        <f>CONCATENATE('3 pr-2'!J104)</f>
        <v>-</v>
      </c>
      <c r="K104" s="518" t="str">
        <f>CONCATENATE('3 pr-2'!K104)</f>
        <v>-</v>
      </c>
      <c r="L104" s="518" t="s">
        <v>535</v>
      </c>
      <c r="M104" s="881" t="s">
        <v>536</v>
      </c>
      <c r="N104" s="518"/>
      <c r="O104" s="518"/>
      <c r="P104" s="518"/>
      <c r="Q104" s="518"/>
      <c r="R104" s="518"/>
      <c r="S104" s="518"/>
      <c r="T104" s="518"/>
      <c r="U104" s="1335">
        <f t="shared" si="412"/>
        <v>0</v>
      </c>
      <c r="V104" s="518">
        <v>2</v>
      </c>
      <c r="W104" s="1336" t="str">
        <f>IF('ketv. 6 lent'!K104&gt;0,"taip",0)</f>
        <v>taip</v>
      </c>
      <c r="X104" s="518"/>
      <c r="Y104" s="518">
        <f>IF(YEAR('3 pr-2'!$AJ104)=2017,$V104,0)</f>
        <v>0</v>
      </c>
      <c r="Z104" s="518">
        <f>IF(YEAR('3 pr-2'!$AJ104)=2018,$V104,0)</f>
        <v>0</v>
      </c>
      <c r="AA104" s="518">
        <f>IF(YEAR('3 pr-2'!$AJ104)=2019,$V104,0)</f>
        <v>2</v>
      </c>
      <c r="AB104" s="518">
        <f>IF(YEAR('3 pr-2'!$AJ104)=2020,$V104,0)</f>
        <v>0</v>
      </c>
      <c r="AC104" s="518">
        <f>IF(YEAR('3 pr-2'!$AJ104)=2021,$V104,0)</f>
        <v>0</v>
      </c>
      <c r="AD104" s="518">
        <f>IF(YEAR('3 pr-2'!$AJ104)=2022,$V104,0)</f>
        <v>0</v>
      </c>
      <c r="AE104" s="518">
        <f>IF(YEAR('3 pr-2'!$AJ104)=2023,$V104,0)</f>
        <v>0</v>
      </c>
      <c r="AF104" s="523" t="s">
        <v>537</v>
      </c>
      <c r="AG104" s="881" t="s">
        <v>538</v>
      </c>
      <c r="AH104" s="518"/>
      <c r="AI104" s="518"/>
      <c r="AJ104" s="518"/>
      <c r="AK104" s="518"/>
      <c r="AL104" s="518"/>
      <c r="AM104" s="518"/>
      <c r="AN104" s="518"/>
      <c r="AO104" s="1337">
        <f t="shared" si="420"/>
        <v>0</v>
      </c>
      <c r="AP104" s="518">
        <v>600</v>
      </c>
      <c r="AQ104" s="1338">
        <v>600</v>
      </c>
      <c r="AR104" s="518">
        <f>SUM(AQ104-AP104)</f>
        <v>0</v>
      </c>
      <c r="AS104" s="518">
        <f>IF(YEAR('3 pr-2'!$AJ104)=2017,$AP104,0)</f>
        <v>0</v>
      </c>
      <c r="AT104" s="518">
        <f>IF(YEAR('3 pr-2'!$AJ104)=2018,$AP104,0)</f>
        <v>0</v>
      </c>
      <c r="AU104" s="518">
        <f>IF(YEAR('3 pr-2'!$AJ104)=2019,$AP104,0)</f>
        <v>600</v>
      </c>
      <c r="AV104" s="518">
        <f>IF(YEAR('3 pr-2'!$AJ104)=2020,$AP104,0)</f>
        <v>0</v>
      </c>
      <c r="AW104" s="518">
        <f>IF(YEAR('3 pr-2'!$AJ104)=2021,$AP104,0)</f>
        <v>0</v>
      </c>
      <c r="AX104" s="518">
        <f>IF(YEAR('3 pr-2'!$AJ104)=2022,$AP104,0)</f>
        <v>0</v>
      </c>
      <c r="AY104" s="518">
        <f>IF(YEAR('3 pr-2'!$AJ104)=2023,$AP104,0)</f>
        <v>0</v>
      </c>
      <c r="AZ104" s="518"/>
      <c r="BA104" s="880"/>
      <c r="BB104" s="518"/>
      <c r="BC104" s="518"/>
      <c r="BD104" s="518"/>
      <c r="BE104" s="518"/>
      <c r="BF104" s="518"/>
      <c r="BG104" s="518"/>
      <c r="BH104" s="518"/>
      <c r="BI104" s="1337">
        <f t="shared" si="434"/>
        <v>0</v>
      </c>
      <c r="BJ104" s="518"/>
      <c r="BK104" s="1338"/>
      <c r="BL104" s="518"/>
      <c r="BM104" s="518">
        <f>IF(YEAR('3 pr-2'!AJ104)=2017,BJ104,0)</f>
        <v>0</v>
      </c>
      <c r="BN104" s="518">
        <f>IF(YEAR('3 pr-2'!AJ104)=2018,BJ104,0)</f>
        <v>0</v>
      </c>
      <c r="BO104" s="518">
        <f>IF(YEAR('3 pr-2'!AJ104)=2019,BJ104,0)</f>
        <v>0</v>
      </c>
      <c r="BP104" s="518">
        <f>IF(YEAR('3 pr-2'!AJ104)=2020,BJ104,0)</f>
        <v>0</v>
      </c>
      <c r="BQ104" s="518">
        <f>IF(YEAR('3 pr-2'!AJ104)=2021,BJ104,0)</f>
        <v>0</v>
      </c>
      <c r="BR104" s="518">
        <f>IF(YEAR('3 pr-2'!AJ104)=2022,BJ104,0)</f>
        <v>0</v>
      </c>
      <c r="BS104" s="518">
        <f>IF(YEAR('3 pr-2'!AJ104)=2023,BJ104,0)</f>
        <v>0</v>
      </c>
      <c r="BT104" s="523"/>
      <c r="BU104" s="881"/>
      <c r="BV104" s="518"/>
      <c r="BW104" s="518"/>
      <c r="BX104" s="518"/>
      <c r="BY104" s="518"/>
      <c r="BZ104" s="518"/>
      <c r="CA104" s="518"/>
      <c r="CB104" s="518"/>
      <c r="CC104" s="1337">
        <f t="shared" si="441"/>
        <v>0</v>
      </c>
      <c r="CD104" s="518"/>
      <c r="CE104" s="518"/>
      <c r="CF104" s="518"/>
      <c r="CG104" s="518">
        <f>IF(YEAR('3 pr-2'!$AJ104)=2017,$CD104,0)</f>
        <v>0</v>
      </c>
      <c r="CH104" s="518">
        <f>IF(YEAR('3 pr-2'!$AJ104)=2018,$CD104,0)</f>
        <v>0</v>
      </c>
      <c r="CI104" s="518">
        <f>IF(YEAR('3 pr-2'!$AJ104)=2019,$CD104,0)</f>
        <v>0</v>
      </c>
      <c r="CJ104" s="518">
        <f>IF(YEAR('3 pr-2'!$AJ104)=2020,$CD104,0)</f>
        <v>0</v>
      </c>
      <c r="CK104" s="518">
        <f>IF(YEAR('3 pr-2'!$AJ104)=2021,$CD104,0)</f>
        <v>0</v>
      </c>
      <c r="CL104" s="518">
        <f>IF(YEAR('3 pr-2'!$AJ104)=2022,$CD104,0)</f>
        <v>0</v>
      </c>
      <c r="CM104" s="518">
        <f>IF(YEAR('3 pr-2'!$AJ104)=2023,$CD104,0)</f>
        <v>0</v>
      </c>
      <c r="CN104" s="523"/>
      <c r="CO104" s="882"/>
      <c r="CP104" s="518"/>
      <c r="CQ104" s="518"/>
      <c r="CR104" s="518"/>
      <c r="CS104" s="518"/>
      <c r="CT104" s="518"/>
      <c r="CU104" s="518"/>
      <c r="CV104" s="518"/>
      <c r="CW104" s="1337">
        <f t="shared" si="448"/>
        <v>0</v>
      </c>
      <c r="CX104" s="524"/>
      <c r="CY104" s="504"/>
      <c r="CZ104" s="504"/>
      <c r="DA104" s="1332">
        <f>IF(YEAR('3 pr-2'!AJ104)=2017,CX104,0)</f>
        <v>0</v>
      </c>
      <c r="DB104" s="1332">
        <f>IF(YEAR('3 pr-2'!AJ104)=2018,CX104,0)</f>
        <v>0</v>
      </c>
      <c r="DC104" s="1332">
        <f>IF(YEAR('3 pr-2'!AJ104)=2019,CX104,0)</f>
        <v>0</v>
      </c>
      <c r="DD104" s="1332">
        <f>IF(YEAR('3 pr-2'!AJ104)=2020,CX104,0)</f>
        <v>0</v>
      </c>
      <c r="DE104" s="1332">
        <f>IF(YEAR('3 pr-2'!AJ104)=2021,CX104,0)</f>
        <v>0</v>
      </c>
      <c r="DF104" s="1332">
        <f>IF(YEAR('3 pr-2'!AJ104)=2022,CX104,0)</f>
        <v>0</v>
      </c>
      <c r="DG104" s="1332">
        <f>IF(YEAR('3 pr-2'!AJ104)=2023,CX104,0)</f>
        <v>0</v>
      </c>
    </row>
    <row r="105" spans="1:111" ht="61.5" thickTop="1" thickBot="1" x14ac:dyDescent="0.3">
      <c r="A105" s="518" t="str">
        <f>CONCATENATE('3 pr-2'!A105)</f>
        <v>2.1.1.1.3</v>
      </c>
      <c r="B105" s="518" t="str">
        <f>CONCATENATE('3 pr-2'!B105)</f>
        <v>R01-7724-220000-2113</v>
      </c>
      <c r="C105" s="1449" t="str">
        <f>CONCATENATE('ketv. 2lent'!B104)</f>
        <v xml:space="preserve">09.1.3-CPVA-R-724-11-0002 </v>
      </c>
      <c r="D105" s="480" t="str">
        <f>CONCATENATE('3 pr-2'!D105)</f>
        <v>Modernių ir saugių erdvių kūrimas Dzūkijos pagrindinėje mokykloje, Alytuje</v>
      </c>
      <c r="E105" s="480" t="str">
        <f>CONCATENATE('3 pr-2'!E105)</f>
        <v>Alytaus miesto savivaldybės administracija</v>
      </c>
      <c r="F105" s="480" t="str">
        <f>CONCATENATE('3 pr-2'!F105)</f>
        <v>Lietuvos Respublikos švietimo ir mokslo ministerija</v>
      </c>
      <c r="G105" s="480" t="str">
        <f>CONCATENATE('3 pr-2'!G105)</f>
        <v>Alytaus  miestas</v>
      </c>
      <c r="H105" s="518" t="str">
        <f>CONCATENATE('3 pr-2'!H105)</f>
        <v>09.1.3-CPVA-R-724</v>
      </c>
      <c r="I105" s="518" t="str">
        <f>CONCATENATE('3 pr-2'!I105)</f>
        <v>R</v>
      </c>
      <c r="J105" s="518" t="str">
        <f>CONCATENATE('3 pr-2'!J105)</f>
        <v>-</v>
      </c>
      <c r="K105" s="518" t="str">
        <f>CONCATENATE('3 pr-2'!K105)</f>
        <v>-</v>
      </c>
      <c r="L105" s="518" t="s">
        <v>535</v>
      </c>
      <c r="M105" s="881" t="s">
        <v>536</v>
      </c>
      <c r="N105" s="518"/>
      <c r="O105" s="518"/>
      <c r="P105" s="518"/>
      <c r="Q105" s="518"/>
      <c r="R105" s="518"/>
      <c r="S105" s="518"/>
      <c r="T105" s="518"/>
      <c r="U105" s="1335">
        <f t="shared" si="412"/>
        <v>0</v>
      </c>
      <c r="V105" s="518">
        <v>1</v>
      </c>
      <c r="W105" s="1336">
        <f>IF('ketv. 6 lent'!K105&gt;0,"taip",0)</f>
        <v>0</v>
      </c>
      <c r="X105" s="518"/>
      <c r="Y105" s="518">
        <f>IF(YEAR('3 pr-2'!$AJ105)=2017,$V105,0)</f>
        <v>0</v>
      </c>
      <c r="Z105" s="518">
        <f>IF(YEAR('3 pr-2'!$AJ105)=2018,$V105,0)</f>
        <v>0</v>
      </c>
      <c r="AA105" s="518">
        <f>IF(YEAR('3 pr-2'!$AJ105)=2019,$V105,0)</f>
        <v>0</v>
      </c>
      <c r="AB105" s="518">
        <f>IF(YEAR('3 pr-2'!$AJ105)=2020,$V105,0)</f>
        <v>1</v>
      </c>
      <c r="AC105" s="518">
        <f>IF(YEAR('3 pr-2'!$AJ105)=2021,$V105,0)</f>
        <v>0</v>
      </c>
      <c r="AD105" s="518">
        <f>IF(YEAR('3 pr-2'!$AJ105)=2022,$V105,0)</f>
        <v>0</v>
      </c>
      <c r="AE105" s="518">
        <f>IF(YEAR('3 pr-2'!$AJ105)=2023,$V105,0)</f>
        <v>0</v>
      </c>
      <c r="AF105" s="523" t="s">
        <v>537</v>
      </c>
      <c r="AG105" s="881" t="s">
        <v>538</v>
      </c>
      <c r="AH105" s="518"/>
      <c r="AI105" s="518"/>
      <c r="AJ105" s="518"/>
      <c r="AK105" s="518"/>
      <c r="AL105" s="518"/>
      <c r="AM105" s="518"/>
      <c r="AN105" s="518"/>
      <c r="AO105" s="1337">
        <f t="shared" si="420"/>
        <v>0</v>
      </c>
      <c r="AP105" s="518">
        <v>600</v>
      </c>
      <c r="AQ105" s="1338"/>
      <c r="AR105" s="518"/>
      <c r="AS105" s="518">
        <f>IF(YEAR('3 pr-2'!$AJ105)=2017,$AP105,0)</f>
        <v>0</v>
      </c>
      <c r="AT105" s="518">
        <f>IF(YEAR('3 pr-2'!$AJ105)=2018,$AP105,0)</f>
        <v>0</v>
      </c>
      <c r="AU105" s="518">
        <f>IF(YEAR('3 pr-2'!$AJ105)=2019,$AP105,0)</f>
        <v>0</v>
      </c>
      <c r="AV105" s="518">
        <f>IF(YEAR('3 pr-2'!$AJ105)=2020,$AP105,0)</f>
        <v>600</v>
      </c>
      <c r="AW105" s="518">
        <f>IF(YEAR('3 pr-2'!$AJ105)=2021,$AP105,0)</f>
        <v>0</v>
      </c>
      <c r="AX105" s="518">
        <f>IF(YEAR('3 pr-2'!$AJ105)=2022,$AP105,0)</f>
        <v>0</v>
      </c>
      <c r="AY105" s="518">
        <f>IF(YEAR('3 pr-2'!$AJ105)=2023,$AP105,0)</f>
        <v>0</v>
      </c>
      <c r="AZ105" s="518"/>
      <c r="BA105" s="880"/>
      <c r="BB105" s="518"/>
      <c r="BC105" s="518"/>
      <c r="BD105" s="518"/>
      <c r="BE105" s="518"/>
      <c r="BF105" s="518"/>
      <c r="BG105" s="518"/>
      <c r="BH105" s="518"/>
      <c r="BI105" s="1337">
        <f t="shared" si="434"/>
        <v>0</v>
      </c>
      <c r="BJ105" s="518"/>
      <c r="BK105" s="1338"/>
      <c r="BL105" s="518"/>
      <c r="BM105" s="518">
        <f>IF(YEAR('3 pr-2'!AJ105)=2017,BJ105,0)</f>
        <v>0</v>
      </c>
      <c r="BN105" s="518">
        <f>IF(YEAR('3 pr-2'!AJ105)=2018,BJ105,0)</f>
        <v>0</v>
      </c>
      <c r="BO105" s="518">
        <f>IF(YEAR('3 pr-2'!AJ105)=2019,BJ105,0)</f>
        <v>0</v>
      </c>
      <c r="BP105" s="518">
        <f>IF(YEAR('3 pr-2'!AJ105)=2020,BJ105,0)</f>
        <v>0</v>
      </c>
      <c r="BQ105" s="518">
        <f>IF(YEAR('3 pr-2'!AJ105)=2021,BJ105,0)</f>
        <v>0</v>
      </c>
      <c r="BR105" s="518">
        <f>IF(YEAR('3 pr-2'!AJ105)=2022,BJ105,0)</f>
        <v>0</v>
      </c>
      <c r="BS105" s="518">
        <f>IF(YEAR('3 pr-2'!AJ105)=2023,BJ105,0)</f>
        <v>0</v>
      </c>
      <c r="BT105" s="523"/>
      <c r="BU105" s="881"/>
      <c r="BV105" s="518"/>
      <c r="BW105" s="518"/>
      <c r="BX105" s="518"/>
      <c r="BY105" s="518"/>
      <c r="BZ105" s="518"/>
      <c r="CA105" s="518"/>
      <c r="CB105" s="518"/>
      <c r="CC105" s="1337">
        <f t="shared" si="441"/>
        <v>0</v>
      </c>
      <c r="CD105" s="518"/>
      <c r="CE105" s="518"/>
      <c r="CF105" s="518"/>
      <c r="CG105" s="518">
        <f>IF(YEAR('3 pr-2'!$AJ105)=2017,$CD105,0)</f>
        <v>0</v>
      </c>
      <c r="CH105" s="518">
        <f>IF(YEAR('3 pr-2'!$AJ105)=2018,$CD105,0)</f>
        <v>0</v>
      </c>
      <c r="CI105" s="518">
        <f>IF(YEAR('3 pr-2'!$AJ105)=2019,$CD105,0)</f>
        <v>0</v>
      </c>
      <c r="CJ105" s="518">
        <f>IF(YEAR('3 pr-2'!$AJ105)=2020,$CD105,0)</f>
        <v>0</v>
      </c>
      <c r="CK105" s="518">
        <f>IF(YEAR('3 pr-2'!$AJ105)=2021,$CD105,0)</f>
        <v>0</v>
      </c>
      <c r="CL105" s="518">
        <f>IF(YEAR('3 pr-2'!$AJ105)=2022,$CD105,0)</f>
        <v>0</v>
      </c>
      <c r="CM105" s="518">
        <f>IF(YEAR('3 pr-2'!$AJ105)=2023,$CD105,0)</f>
        <v>0</v>
      </c>
      <c r="CN105" s="523"/>
      <c r="CO105" s="882"/>
      <c r="CP105" s="518"/>
      <c r="CQ105" s="518"/>
      <c r="CR105" s="518"/>
      <c r="CS105" s="518"/>
      <c r="CT105" s="518"/>
      <c r="CU105" s="518"/>
      <c r="CV105" s="518"/>
      <c r="CW105" s="1337">
        <f t="shared" si="448"/>
        <v>0</v>
      </c>
      <c r="CX105" s="524"/>
      <c r="CY105" s="504"/>
      <c r="CZ105" s="504"/>
      <c r="DA105" s="1332">
        <f>IF(YEAR('3 pr-2'!AJ105)=2017,CX105,0)</f>
        <v>0</v>
      </c>
      <c r="DB105" s="1332">
        <f>IF(YEAR('3 pr-2'!AJ105)=2018,CX105,0)</f>
        <v>0</v>
      </c>
      <c r="DC105" s="1332">
        <f>IF(YEAR('3 pr-2'!AJ105)=2019,CX105,0)</f>
        <v>0</v>
      </c>
      <c r="DD105" s="1332">
        <f>IF(YEAR('3 pr-2'!AJ105)=2020,CX105,0)</f>
        <v>0</v>
      </c>
      <c r="DE105" s="1332">
        <f>IF(YEAR('3 pr-2'!AJ105)=2021,CX105,0)</f>
        <v>0</v>
      </c>
      <c r="DF105" s="1332">
        <f>IF(YEAR('3 pr-2'!AJ105)=2022,CX105,0)</f>
        <v>0</v>
      </c>
      <c r="DG105" s="1332">
        <f>IF(YEAR('3 pr-2'!AJ105)=2023,CX105,0)</f>
        <v>0</v>
      </c>
    </row>
    <row r="106" spans="1:111" ht="61.5" thickTop="1" thickBot="1" x14ac:dyDescent="0.3">
      <c r="A106" s="518" t="str">
        <f>CONCATENATE('3 pr-2'!A106)</f>
        <v>2.1.1.1.4</v>
      </c>
      <c r="B106" s="518" t="str">
        <f>CONCATENATE('3 pr-2'!B106)</f>
        <v>R01-7724-220000-2114</v>
      </c>
      <c r="C106" s="1449" t="str">
        <f>CONCATENATE('ketv. 2lent'!B105)</f>
        <v>09.1.3-CPVA-R-724-11-0004</v>
      </c>
      <c r="D106" s="480" t="str">
        <f>CONCATENATE('3 pr-2'!D106)</f>
        <v>Modernių ir saugių erdvių sukūrimas bendrojo ugdymo mokyklose Druskininkų sav.</v>
      </c>
      <c r="E106" s="480" t="str">
        <f>CONCATENATE('3 pr-2'!E106)</f>
        <v>Druskininkų savivaldybės administracija</v>
      </c>
      <c r="F106" s="480" t="str">
        <f>CONCATENATE('3 pr-2'!F106)</f>
        <v>Lietuvos Respublikos švietimo ir mokslo ministerija</v>
      </c>
      <c r="G106" s="480" t="str">
        <f>CONCATENATE('3 pr-2'!G106)</f>
        <v>Druskininkų savivaldybė</v>
      </c>
      <c r="H106" s="518" t="str">
        <f>CONCATENATE('3 pr-2'!H106)</f>
        <v>09.1.3-CPVA-R-724</v>
      </c>
      <c r="I106" s="518" t="str">
        <f>CONCATENATE('3 pr-2'!I106)</f>
        <v>R</v>
      </c>
      <c r="J106" s="518" t="str">
        <f>CONCATENATE('3 pr-2'!J106)</f>
        <v>-</v>
      </c>
      <c r="K106" s="518" t="str">
        <f>CONCATENATE('3 pr-2'!K106)</f>
        <v>-</v>
      </c>
      <c r="L106" s="518" t="s">
        <v>535</v>
      </c>
      <c r="M106" s="881" t="s">
        <v>536</v>
      </c>
      <c r="N106" s="518"/>
      <c r="O106" s="518"/>
      <c r="P106" s="518"/>
      <c r="Q106" s="518"/>
      <c r="R106" s="518"/>
      <c r="S106" s="518"/>
      <c r="T106" s="518"/>
      <c r="U106" s="1335">
        <f t="shared" si="412"/>
        <v>0</v>
      </c>
      <c r="V106" s="518">
        <v>1</v>
      </c>
      <c r="W106" s="1336" t="str">
        <f>IF('ketv. 6 lent'!K106&gt;0,"taip",0)</f>
        <v>taip</v>
      </c>
      <c r="X106" s="518"/>
      <c r="Y106" s="518">
        <f>IF(YEAR('3 pr-2'!$AJ106)=2017,$V106,0)</f>
        <v>0</v>
      </c>
      <c r="Z106" s="518">
        <f>IF(YEAR('3 pr-2'!$AJ106)=2018,$V106,0)</f>
        <v>0</v>
      </c>
      <c r="AA106" s="518">
        <f>IF(YEAR('3 pr-2'!$AJ106)=2019,$V106,0)</f>
        <v>1</v>
      </c>
      <c r="AB106" s="518">
        <f>IF(YEAR('3 pr-2'!$AJ106)=2020,$V106,0)</f>
        <v>0</v>
      </c>
      <c r="AC106" s="518">
        <f>IF(YEAR('3 pr-2'!$AJ106)=2021,$V106,0)</f>
        <v>0</v>
      </c>
      <c r="AD106" s="518">
        <f>IF(YEAR('3 pr-2'!$AJ106)=2022,$V106,0)</f>
        <v>0</v>
      </c>
      <c r="AE106" s="518">
        <f>IF(YEAR('3 pr-2'!$AJ106)=2023,$V106,0)</f>
        <v>0</v>
      </c>
      <c r="AF106" s="523" t="s">
        <v>537</v>
      </c>
      <c r="AG106" s="881" t="s">
        <v>538</v>
      </c>
      <c r="AH106" s="518"/>
      <c r="AI106" s="518"/>
      <c r="AJ106" s="518"/>
      <c r="AK106" s="518"/>
      <c r="AL106" s="518"/>
      <c r="AM106" s="518"/>
      <c r="AN106" s="518"/>
      <c r="AO106" s="1337">
        <f t="shared" si="420"/>
        <v>0</v>
      </c>
      <c r="AP106" s="518">
        <v>650</v>
      </c>
      <c r="AQ106" s="1338"/>
      <c r="AR106" s="518"/>
      <c r="AS106" s="518">
        <f>IF(YEAR('3 pr-2'!$AJ106)=2017,$AP106,0)</f>
        <v>0</v>
      </c>
      <c r="AT106" s="518">
        <f>IF(YEAR('3 pr-2'!$AJ106)=2018,$AP106,0)</f>
        <v>0</v>
      </c>
      <c r="AU106" s="518">
        <f>IF(YEAR('3 pr-2'!$AJ106)=2019,$AP106,0)</f>
        <v>650</v>
      </c>
      <c r="AV106" s="518">
        <f>IF(YEAR('3 pr-2'!$AJ106)=2020,$AP106,0)</f>
        <v>0</v>
      </c>
      <c r="AW106" s="518">
        <f>IF(YEAR('3 pr-2'!$AJ106)=2021,$AP106,0)</f>
        <v>0</v>
      </c>
      <c r="AX106" s="518">
        <f>IF(YEAR('3 pr-2'!$AJ106)=2022,$AP106,0)</f>
        <v>0</v>
      </c>
      <c r="AY106" s="518">
        <f>IF(YEAR('3 pr-2'!$AJ106)=2023,$AP106,0)</f>
        <v>0</v>
      </c>
      <c r="AZ106" s="518"/>
      <c r="BA106" s="880"/>
      <c r="BB106" s="518"/>
      <c r="BC106" s="518"/>
      <c r="BD106" s="518"/>
      <c r="BE106" s="518"/>
      <c r="BF106" s="518"/>
      <c r="BG106" s="518"/>
      <c r="BH106" s="518"/>
      <c r="BI106" s="1337">
        <f t="shared" si="434"/>
        <v>0</v>
      </c>
      <c r="BJ106" s="518"/>
      <c r="BK106" s="1338"/>
      <c r="BL106" s="518"/>
      <c r="BM106" s="518">
        <f>IF(YEAR('3 pr-2'!AJ106)=2017,BJ106,0)</f>
        <v>0</v>
      </c>
      <c r="BN106" s="518">
        <f>IF(YEAR('3 pr-2'!AJ106)=2018,BJ106,0)</f>
        <v>0</v>
      </c>
      <c r="BO106" s="518">
        <f>IF(YEAR('3 pr-2'!AJ106)=2019,BJ106,0)</f>
        <v>0</v>
      </c>
      <c r="BP106" s="518">
        <f>IF(YEAR('3 pr-2'!AJ106)=2020,BJ106,0)</f>
        <v>0</v>
      </c>
      <c r="BQ106" s="518">
        <f>IF(YEAR('3 pr-2'!AJ106)=2021,BJ106,0)</f>
        <v>0</v>
      </c>
      <c r="BR106" s="518">
        <f>IF(YEAR('3 pr-2'!AJ106)=2022,BJ106,0)</f>
        <v>0</v>
      </c>
      <c r="BS106" s="518">
        <f>IF(YEAR('3 pr-2'!AJ106)=2023,BJ106,0)</f>
        <v>0</v>
      </c>
      <c r="BT106" s="523"/>
      <c r="BU106" s="881"/>
      <c r="BV106" s="518"/>
      <c r="BW106" s="518"/>
      <c r="BX106" s="518"/>
      <c r="BY106" s="518"/>
      <c r="BZ106" s="518"/>
      <c r="CA106" s="518"/>
      <c r="CB106" s="518"/>
      <c r="CC106" s="1337">
        <f t="shared" si="441"/>
        <v>0</v>
      </c>
      <c r="CD106" s="518"/>
      <c r="CE106" s="518"/>
      <c r="CF106" s="518"/>
      <c r="CG106" s="518">
        <f>IF(YEAR('3 pr-2'!$AJ106)=2017,$CD106,0)</f>
        <v>0</v>
      </c>
      <c r="CH106" s="518">
        <f>IF(YEAR('3 pr-2'!$AJ106)=2018,$CD106,0)</f>
        <v>0</v>
      </c>
      <c r="CI106" s="518">
        <f>IF(YEAR('3 pr-2'!$AJ106)=2019,$CD106,0)</f>
        <v>0</v>
      </c>
      <c r="CJ106" s="518">
        <f>IF(YEAR('3 pr-2'!$AJ106)=2020,$CD106,0)</f>
        <v>0</v>
      </c>
      <c r="CK106" s="518">
        <f>IF(YEAR('3 pr-2'!$AJ106)=2021,$CD106,0)</f>
        <v>0</v>
      </c>
      <c r="CL106" s="518">
        <f>IF(YEAR('3 pr-2'!$AJ106)=2022,$CD106,0)</f>
        <v>0</v>
      </c>
      <c r="CM106" s="518">
        <f>IF(YEAR('3 pr-2'!$AJ106)=2023,$CD106,0)</f>
        <v>0</v>
      </c>
      <c r="CN106" s="523"/>
      <c r="CO106" s="882"/>
      <c r="CP106" s="518"/>
      <c r="CQ106" s="518"/>
      <c r="CR106" s="518"/>
      <c r="CS106" s="518"/>
      <c r="CT106" s="518"/>
      <c r="CU106" s="518"/>
      <c r="CV106" s="518"/>
      <c r="CW106" s="1337">
        <f t="shared" si="448"/>
        <v>0</v>
      </c>
      <c r="CX106" s="524"/>
      <c r="CY106" s="504"/>
      <c r="CZ106" s="504"/>
      <c r="DA106" s="1332">
        <f>IF(YEAR('3 pr-2'!AJ106)=2017,CX106,0)</f>
        <v>0</v>
      </c>
      <c r="DB106" s="1332">
        <f>IF(YEAR('3 pr-2'!AJ106)=2018,CX106,0)</f>
        <v>0</v>
      </c>
      <c r="DC106" s="1332">
        <f>IF(YEAR('3 pr-2'!AJ106)=2019,CX106,0)</f>
        <v>0</v>
      </c>
      <c r="DD106" s="1332">
        <f>IF(YEAR('3 pr-2'!AJ106)=2020,CX106,0)</f>
        <v>0</v>
      </c>
      <c r="DE106" s="1332">
        <f>IF(YEAR('3 pr-2'!AJ106)=2021,CX106,0)</f>
        <v>0</v>
      </c>
      <c r="DF106" s="1332">
        <f>IF(YEAR('3 pr-2'!AJ106)=2022,CX106,0)</f>
        <v>0</v>
      </c>
      <c r="DG106" s="1332">
        <f>IF(YEAR('3 pr-2'!AJ106)=2023,CX106,0)</f>
        <v>0</v>
      </c>
    </row>
    <row r="107" spans="1:111" ht="61.5" thickTop="1" thickBot="1" x14ac:dyDescent="0.3">
      <c r="A107" s="518" t="str">
        <f>CONCATENATE('3 pr-2'!A107)</f>
        <v>2.1.1.1.5</v>
      </c>
      <c r="B107" s="518" t="str">
        <f>CONCATENATE('3 pr-2'!B107)</f>
        <v>R01-7724-220000-2115</v>
      </c>
      <c r="C107" s="1449" t="str">
        <f>CONCATENATE('ketv. 2lent'!B106)</f>
        <v xml:space="preserve">09.1.3-CPVA-R-724-11-0001 </v>
      </c>
      <c r="D107" s="480" t="str">
        <f>CONCATENATE('3 pr-2'!D107)</f>
        <v>Modernių ir saugių erdvių sukūrimas bendrojo ugdymo įstaigose Lazdijų rajono savivaldybėje</v>
      </c>
      <c r="E107" s="480" t="str">
        <f>CONCATENATE('3 pr-2'!E107)</f>
        <v>Lazdijų rajono savivaldybės administracija</v>
      </c>
      <c r="F107" s="480" t="str">
        <f>CONCATENATE('3 pr-2'!F107)</f>
        <v>Lietuvos Respublikos švietimo ir mokslo ministerija</v>
      </c>
      <c r="G107" s="480" t="str">
        <f>CONCATENATE('3 pr-2'!G107)</f>
        <v>Lazdijų rajono savivaldybė</v>
      </c>
      <c r="H107" s="518" t="str">
        <f>CONCATENATE('3 pr-2'!H107)</f>
        <v>09.1.3-CPVA-R-724</v>
      </c>
      <c r="I107" s="518" t="str">
        <f>CONCATENATE('3 pr-2'!I107)</f>
        <v>R</v>
      </c>
      <c r="J107" s="518" t="str">
        <f>CONCATENATE('3 pr-2'!J107)</f>
        <v>-</v>
      </c>
      <c r="K107" s="518" t="str">
        <f>CONCATENATE('3 pr-2'!K107)</f>
        <v>-</v>
      </c>
      <c r="L107" s="518" t="s">
        <v>535</v>
      </c>
      <c r="M107" s="881" t="s">
        <v>536</v>
      </c>
      <c r="N107" s="518"/>
      <c r="O107" s="518"/>
      <c r="P107" s="518"/>
      <c r="Q107" s="518"/>
      <c r="R107" s="518"/>
      <c r="S107" s="518"/>
      <c r="T107" s="518"/>
      <c r="U107" s="1335">
        <f t="shared" si="412"/>
        <v>0</v>
      </c>
      <c r="V107" s="518">
        <v>3</v>
      </c>
      <c r="W107" s="1336">
        <f>IF('ketv. 6 lent'!K107&gt;0,"taip",0)</f>
        <v>0</v>
      </c>
      <c r="X107" s="518"/>
      <c r="Y107" s="518">
        <f>IF(YEAR('3 pr-2'!$AJ107)=2017,$V107,0)</f>
        <v>0</v>
      </c>
      <c r="Z107" s="518">
        <f>IF(YEAR('3 pr-2'!$AJ107)=2018,$V107,0)</f>
        <v>0</v>
      </c>
      <c r="AA107" s="518">
        <f>IF(YEAR('3 pr-2'!$AJ107)=2019,$V107,0)</f>
        <v>3</v>
      </c>
      <c r="AB107" s="518">
        <f>IF(YEAR('3 pr-2'!$AJ107)=2020,$V107,0)</f>
        <v>0</v>
      </c>
      <c r="AC107" s="518">
        <f>IF(YEAR('3 pr-2'!$AJ107)=2021,$V107,0)</f>
        <v>0</v>
      </c>
      <c r="AD107" s="518">
        <f>IF(YEAR('3 pr-2'!$AJ107)=2022,$V107,0)</f>
        <v>0</v>
      </c>
      <c r="AE107" s="518">
        <f>IF(YEAR('3 pr-2'!$AJ107)=2023,$V107,0)</f>
        <v>0</v>
      </c>
      <c r="AF107" s="523" t="s">
        <v>537</v>
      </c>
      <c r="AG107" s="881" t="s">
        <v>538</v>
      </c>
      <c r="AH107" s="518"/>
      <c r="AI107" s="518"/>
      <c r="AJ107" s="518"/>
      <c r="AK107" s="518"/>
      <c r="AL107" s="518"/>
      <c r="AM107" s="518"/>
      <c r="AN107" s="518"/>
      <c r="AO107" s="1337">
        <f t="shared" si="420"/>
        <v>0</v>
      </c>
      <c r="AP107" s="518">
        <v>1020</v>
      </c>
      <c r="AQ107" s="1338"/>
      <c r="AR107" s="518"/>
      <c r="AS107" s="518">
        <f>IF(YEAR('3 pr-2'!$AJ107)=2017,$AP107,0)</f>
        <v>0</v>
      </c>
      <c r="AT107" s="518">
        <f>IF(YEAR('3 pr-2'!$AJ107)=2018,$AP107,0)</f>
        <v>0</v>
      </c>
      <c r="AU107" s="518">
        <f>IF(YEAR('3 pr-2'!$AJ107)=2019,$AP107,0)</f>
        <v>1020</v>
      </c>
      <c r="AV107" s="518">
        <f>IF(YEAR('3 pr-2'!$AJ107)=2020,$AP107,0)</f>
        <v>0</v>
      </c>
      <c r="AW107" s="518">
        <f>IF(YEAR('3 pr-2'!$AJ107)=2021,$AP107,0)</f>
        <v>0</v>
      </c>
      <c r="AX107" s="518">
        <f>IF(YEAR('3 pr-2'!$AJ107)=2022,$AP107,0)</f>
        <v>0</v>
      </c>
      <c r="AY107" s="518">
        <f>IF(YEAR('3 pr-2'!$AJ107)=2023,$AP107,0)</f>
        <v>0</v>
      </c>
      <c r="AZ107" s="518"/>
      <c r="BA107" s="880"/>
      <c r="BB107" s="518"/>
      <c r="BC107" s="518"/>
      <c r="BD107" s="518"/>
      <c r="BE107" s="518"/>
      <c r="BF107" s="518"/>
      <c r="BG107" s="518"/>
      <c r="BH107" s="518"/>
      <c r="BI107" s="1337">
        <f t="shared" si="434"/>
        <v>0</v>
      </c>
      <c r="BJ107" s="518"/>
      <c r="BK107" s="1338"/>
      <c r="BL107" s="518"/>
      <c r="BM107" s="518">
        <f>IF(YEAR('3 pr-2'!AJ107)=2017,BJ107,0)</f>
        <v>0</v>
      </c>
      <c r="BN107" s="518">
        <f>IF(YEAR('3 pr-2'!AJ107)=2018,BJ107,0)</f>
        <v>0</v>
      </c>
      <c r="BO107" s="518">
        <f>IF(YEAR('3 pr-2'!AJ107)=2019,BJ107,0)</f>
        <v>0</v>
      </c>
      <c r="BP107" s="518">
        <f>IF(YEAR('3 pr-2'!AJ107)=2020,BJ107,0)</f>
        <v>0</v>
      </c>
      <c r="BQ107" s="518">
        <f>IF(YEAR('3 pr-2'!AJ107)=2021,BJ107,0)</f>
        <v>0</v>
      </c>
      <c r="BR107" s="518">
        <f>IF(YEAR('3 pr-2'!AJ107)=2022,BJ107,0)</f>
        <v>0</v>
      </c>
      <c r="BS107" s="518">
        <f>IF(YEAR('3 pr-2'!AJ107)=2023,BJ107,0)</f>
        <v>0</v>
      </c>
      <c r="BT107" s="523"/>
      <c r="BU107" s="881"/>
      <c r="BV107" s="518"/>
      <c r="BW107" s="518"/>
      <c r="BX107" s="518"/>
      <c r="BY107" s="518"/>
      <c r="BZ107" s="518"/>
      <c r="CA107" s="518"/>
      <c r="CB107" s="518"/>
      <c r="CC107" s="1337">
        <f t="shared" si="441"/>
        <v>0</v>
      </c>
      <c r="CD107" s="518"/>
      <c r="CE107" s="518"/>
      <c r="CF107" s="518"/>
      <c r="CG107" s="518">
        <f>IF(YEAR('3 pr-2'!AJ107)=2017,CD107,0)</f>
        <v>0</v>
      </c>
      <c r="CH107" s="518">
        <f>IF(YEAR('3 pr-2'!AJ107)=2018,CD107,0)</f>
        <v>0</v>
      </c>
      <c r="CI107" s="518">
        <f>IF(YEAR('3 pr-2'!AJ107)=2019,CD107,0)</f>
        <v>0</v>
      </c>
      <c r="CJ107" s="518">
        <f>IF(YEAR('3 pr-2'!AJ107)=2020,CD107,0)</f>
        <v>0</v>
      </c>
      <c r="CK107" s="518">
        <f>IF(YEAR('3 pr-2'!AJ107)=2021,CD107,0)</f>
        <v>0</v>
      </c>
      <c r="CL107" s="518">
        <f>IF(YEAR('3 pr-2'!AJ107)=2022,CD107,0)</f>
        <v>0</v>
      </c>
      <c r="CM107" s="518">
        <f>IF(YEAR('3 pr-2'!AJ107)=2023,CD107,0)</f>
        <v>0</v>
      </c>
      <c r="CN107" s="523"/>
      <c r="CO107" s="882"/>
      <c r="CP107" s="518"/>
      <c r="CQ107" s="518"/>
      <c r="CR107" s="518"/>
      <c r="CS107" s="518"/>
      <c r="CT107" s="518"/>
      <c r="CU107" s="518"/>
      <c r="CV107" s="518"/>
      <c r="CW107" s="1337">
        <f t="shared" si="448"/>
        <v>0</v>
      </c>
      <c r="CX107" s="524"/>
      <c r="CY107" s="504"/>
      <c r="CZ107" s="504"/>
      <c r="DA107" s="1332">
        <f>IF(YEAR('3 pr-2'!AJ107)=2017,CX107,0)</f>
        <v>0</v>
      </c>
      <c r="DB107" s="1332">
        <f>IF(YEAR('3 pr-2'!AJ107)=2018,CX107,0)</f>
        <v>0</v>
      </c>
      <c r="DC107" s="1332">
        <f>IF(YEAR('3 pr-2'!AJ107)=2019,CX107,0)</f>
        <v>0</v>
      </c>
      <c r="DD107" s="1332">
        <f>IF(YEAR('3 pr-2'!AJ107)=2020,CX107,0)</f>
        <v>0</v>
      </c>
      <c r="DE107" s="1332">
        <f>IF(YEAR('3 pr-2'!AJ107)=2021,CX107,0)</f>
        <v>0</v>
      </c>
      <c r="DF107" s="1332">
        <f>IF(YEAR('3 pr-2'!AJ107)=2022,CX107,0)</f>
        <v>0</v>
      </c>
      <c r="DG107" s="1332">
        <f>IF(YEAR('3 pr-2'!AJ107)=2023,CX107,0)</f>
        <v>0</v>
      </c>
    </row>
    <row r="108" spans="1:111" ht="33" customHeight="1" thickBot="1" x14ac:dyDescent="0.3">
      <c r="A108" s="1257" t="str">
        <f>CONCATENATE('3 pr-2'!A108)</f>
        <v>2.1.1.2</v>
      </c>
      <c r="B108" s="1687" t="str">
        <f>CONCATENATE('3 pr-2'!B108)</f>
        <v>Priemonė:
Neformaliojo švietimo infrastruktūros tobulinimas</v>
      </c>
      <c r="C108" s="1688"/>
      <c r="D108" s="1688"/>
      <c r="E108" s="1688"/>
      <c r="F108" s="1688"/>
      <c r="G108" s="1688"/>
      <c r="H108" s="1688"/>
      <c r="I108" s="1688"/>
      <c r="J108" s="1688"/>
      <c r="K108" s="1689"/>
      <c r="L108" s="1328" t="s">
        <v>539</v>
      </c>
      <c r="M108" s="884" t="s">
        <v>540</v>
      </c>
      <c r="N108" s="505">
        <f>SUM(N109:N113)</f>
        <v>0</v>
      </c>
      <c r="O108" s="505">
        <f t="shared" ref="O108:T108" si="449">SUM(O109:O113)</f>
        <v>0</v>
      </c>
      <c r="P108" s="505">
        <f t="shared" si="449"/>
        <v>0</v>
      </c>
      <c r="Q108" s="505">
        <f t="shared" si="449"/>
        <v>0</v>
      </c>
      <c r="R108" s="505">
        <f t="shared" si="449"/>
        <v>0</v>
      </c>
      <c r="S108" s="505">
        <f t="shared" si="449"/>
        <v>0</v>
      </c>
      <c r="T108" s="505">
        <f t="shared" si="449"/>
        <v>0</v>
      </c>
      <c r="U108" s="1329">
        <f t="shared" ref="U108:U113" si="450">SUM(N108:T108)</f>
        <v>0</v>
      </c>
      <c r="V108" s="1299">
        <f t="shared" ref="V108:AE108" si="451">SUM(V109:V113)</f>
        <v>5</v>
      </c>
      <c r="W108" s="1317"/>
      <c r="X108" s="1316"/>
      <c r="Y108" s="505">
        <f t="shared" si="451"/>
        <v>0</v>
      </c>
      <c r="Z108" s="505">
        <f t="shared" si="451"/>
        <v>2</v>
      </c>
      <c r="AA108" s="505">
        <f t="shared" si="451"/>
        <v>0</v>
      </c>
      <c r="AB108" s="505">
        <f t="shared" si="451"/>
        <v>3</v>
      </c>
      <c r="AC108" s="505">
        <f t="shared" si="451"/>
        <v>0</v>
      </c>
      <c r="AD108" s="505">
        <f t="shared" si="451"/>
        <v>0</v>
      </c>
      <c r="AE108" s="505">
        <f t="shared" si="451"/>
        <v>0</v>
      </c>
      <c r="AF108" s="1316" t="s">
        <v>537</v>
      </c>
      <c r="AG108" s="1331" t="s">
        <v>538</v>
      </c>
      <c r="AH108" s="505">
        <f>SUM(AH109:AH113)</f>
        <v>0</v>
      </c>
      <c r="AI108" s="505">
        <f t="shared" ref="AI108" si="452">SUM(AI109:AI113)</f>
        <v>0</v>
      </c>
      <c r="AJ108" s="505">
        <f t="shared" ref="AJ108" si="453">SUM(AJ109:AJ113)</f>
        <v>0</v>
      </c>
      <c r="AK108" s="505">
        <f t="shared" ref="AK108" si="454">SUM(AK109:AK113)</f>
        <v>0</v>
      </c>
      <c r="AL108" s="505">
        <f t="shared" ref="AL108" si="455">SUM(AL109:AL113)</f>
        <v>0</v>
      </c>
      <c r="AM108" s="505">
        <f t="shared" ref="AM108" si="456">SUM(AM109:AM113)</f>
        <v>0</v>
      </c>
      <c r="AN108" s="505">
        <f t="shared" ref="AN108" si="457">SUM(AN109:AN113)</f>
        <v>0</v>
      </c>
      <c r="AO108" s="1299">
        <f t="shared" si="420"/>
        <v>0</v>
      </c>
      <c r="AP108" s="1299">
        <f t="shared" ref="AP108:AY108" si="458">SUM(AP109:AP113)</f>
        <v>2044</v>
      </c>
      <c r="AQ108" s="505"/>
      <c r="AR108" s="505"/>
      <c r="AS108" s="505">
        <f t="shared" si="458"/>
        <v>0</v>
      </c>
      <c r="AT108" s="505">
        <f t="shared" si="458"/>
        <v>880</v>
      </c>
      <c r="AU108" s="505">
        <f t="shared" si="458"/>
        <v>0</v>
      </c>
      <c r="AV108" s="505">
        <f t="shared" si="458"/>
        <v>1164</v>
      </c>
      <c r="AW108" s="505">
        <f t="shared" si="458"/>
        <v>0</v>
      </c>
      <c r="AX108" s="505">
        <f t="shared" si="458"/>
        <v>0</v>
      </c>
      <c r="AY108" s="505">
        <f t="shared" si="458"/>
        <v>0</v>
      </c>
      <c r="AZ108" s="1299"/>
      <c r="BA108" s="1331"/>
      <c r="BB108" s="505">
        <f>SUM(BB109:BB113)</f>
        <v>0</v>
      </c>
      <c r="BC108" s="505">
        <f t="shared" ref="BC108" si="459">SUM(BC109:BC113)</f>
        <v>0</v>
      </c>
      <c r="BD108" s="505">
        <f t="shared" ref="BD108" si="460">SUM(BD109:BD113)</f>
        <v>0</v>
      </c>
      <c r="BE108" s="505">
        <f t="shared" ref="BE108" si="461">SUM(BE109:BE113)</f>
        <v>0</v>
      </c>
      <c r="BF108" s="505">
        <f t="shared" ref="BF108" si="462">SUM(BF109:BF113)</f>
        <v>0</v>
      </c>
      <c r="BG108" s="505">
        <f t="shared" ref="BG108" si="463">SUM(BG109:BG113)</f>
        <v>0</v>
      </c>
      <c r="BH108" s="505">
        <f t="shared" ref="BH108" si="464">SUM(BH109:BH113)</f>
        <v>0</v>
      </c>
      <c r="BI108" s="1299">
        <f t="shared" si="434"/>
        <v>0</v>
      </c>
      <c r="BJ108" s="1299"/>
      <c r="BK108" s="505"/>
      <c r="BL108" s="505"/>
      <c r="BM108" s="505"/>
      <c r="BN108" s="505"/>
      <c r="BO108" s="505"/>
      <c r="BP108" s="505"/>
      <c r="BQ108" s="505"/>
      <c r="BR108" s="505"/>
      <c r="BS108" s="505"/>
      <c r="BT108" s="505"/>
      <c r="BU108" s="882"/>
      <c r="BV108" s="505">
        <f>SUM(BV109:BV113)</f>
        <v>0</v>
      </c>
      <c r="BW108" s="505">
        <f t="shared" ref="BW108" si="465">SUM(BW109:BW113)</f>
        <v>0</v>
      </c>
      <c r="BX108" s="505">
        <f t="shared" ref="BX108" si="466">SUM(BX109:BX113)</f>
        <v>0</v>
      </c>
      <c r="BY108" s="505">
        <f t="shared" ref="BY108" si="467">SUM(BY109:BY113)</f>
        <v>0</v>
      </c>
      <c r="BZ108" s="505">
        <f t="shared" ref="BZ108" si="468">SUM(BZ109:BZ113)</f>
        <v>0</v>
      </c>
      <c r="CA108" s="505">
        <f t="shared" ref="CA108" si="469">SUM(CA109:CA113)</f>
        <v>0</v>
      </c>
      <c r="CB108" s="505">
        <f t="shared" ref="CB108" si="470">SUM(CB109:CB113)</f>
        <v>0</v>
      </c>
      <c r="CC108" s="1299">
        <f t="shared" si="441"/>
        <v>0</v>
      </c>
      <c r="CD108" s="505"/>
      <c r="CE108" s="505"/>
      <c r="CF108" s="505"/>
      <c r="CG108" s="505"/>
      <c r="CH108" s="505"/>
      <c r="CI108" s="505"/>
      <c r="CJ108" s="505"/>
      <c r="CK108" s="505"/>
      <c r="CL108" s="505"/>
      <c r="CM108" s="505"/>
      <c r="CN108" s="505"/>
      <c r="CO108" s="882"/>
      <c r="CP108" s="505">
        <f>SUM(CP109:CP113)</f>
        <v>0</v>
      </c>
      <c r="CQ108" s="505">
        <f t="shared" ref="CQ108" si="471">SUM(CQ109:CQ113)</f>
        <v>0</v>
      </c>
      <c r="CR108" s="505">
        <f t="shared" ref="CR108" si="472">SUM(CR109:CR113)</f>
        <v>0</v>
      </c>
      <c r="CS108" s="505">
        <f t="shared" ref="CS108" si="473">SUM(CS109:CS113)</f>
        <v>0</v>
      </c>
      <c r="CT108" s="505">
        <f t="shared" ref="CT108" si="474">SUM(CT109:CT113)</f>
        <v>0</v>
      </c>
      <c r="CU108" s="505">
        <f t="shared" ref="CU108" si="475">SUM(CU109:CU113)</f>
        <v>0</v>
      </c>
      <c r="CV108" s="505">
        <f t="shared" ref="CV108" si="476">SUM(CV109:CV113)</f>
        <v>0</v>
      </c>
      <c r="CW108" s="1299">
        <f t="shared" si="448"/>
        <v>0</v>
      </c>
      <c r="CX108" s="505"/>
      <c r="CY108" s="1332"/>
      <c r="CZ108" s="1332"/>
      <c r="DA108" s="1332"/>
      <c r="DB108" s="1332"/>
      <c r="DC108" s="1332"/>
      <c r="DD108" s="1332"/>
      <c r="DE108" s="1332"/>
      <c r="DF108" s="1332"/>
      <c r="DG108" s="1332"/>
    </row>
    <row r="109" spans="1:111" ht="61.5" thickTop="1" thickBot="1" x14ac:dyDescent="0.3">
      <c r="A109" s="518" t="str">
        <f>CONCATENATE('3 pr-2'!A109)</f>
        <v>2.1.1.2.1</v>
      </c>
      <c r="B109" s="518" t="str">
        <f>CONCATENATE('3 pr-2'!B109)</f>
        <v>R01-7725-240000-2121</v>
      </c>
      <c r="C109" s="1449" t="str">
        <f>CONCATENATE('ketv. 2lent'!B108)</f>
        <v>09.1.3-CPVA-R-725-11-0003</v>
      </c>
      <c r="D109" s="480" t="str">
        <f>CONCATENATE('3 pr-2'!D109)</f>
        <v>Varėnos moksleivių kūrybos centro pastato J. Basanavičiaus g. 38, Varėnoje, modernizavimas</v>
      </c>
      <c r="E109" s="480" t="str">
        <f>CONCATENATE('3 pr-2'!E109)</f>
        <v>Varėnos rajono savivaldybės administracija</v>
      </c>
      <c r="F109" s="480" t="str">
        <f>CONCATENATE('3 pr-2'!F109)</f>
        <v>Lietuvos Respublikos švietimo ir mokslo ministerija</v>
      </c>
      <c r="G109" s="480" t="str">
        <f>CONCATENATE('3 pr-2'!G109)</f>
        <v>Varėnos miestas</v>
      </c>
      <c r="H109" s="518" t="str">
        <f>CONCATENATE('3 pr-2'!H109)</f>
        <v>09.13.CPVA-R-725</v>
      </c>
      <c r="I109" s="518" t="str">
        <f>CONCATENATE('3 pr-2'!I109)</f>
        <v>R</v>
      </c>
      <c r="J109" s="518" t="str">
        <f>CONCATENATE('3 pr-2'!J109)</f>
        <v>-</v>
      </c>
      <c r="K109" s="518" t="str">
        <f>CONCATENATE('3 pr-2'!K109)</f>
        <v>-</v>
      </c>
      <c r="L109" s="518" t="s">
        <v>539</v>
      </c>
      <c r="M109" s="881" t="s">
        <v>540</v>
      </c>
      <c r="N109" s="518"/>
      <c r="O109" s="518"/>
      <c r="P109" s="518"/>
      <c r="Q109" s="518"/>
      <c r="R109" s="518"/>
      <c r="S109" s="518"/>
      <c r="T109" s="518"/>
      <c r="U109" s="1335">
        <f t="shared" si="450"/>
        <v>0</v>
      </c>
      <c r="V109" s="518">
        <v>1</v>
      </c>
      <c r="W109" s="1336" t="str">
        <f>IF('ketv. 6 lent'!K109&gt;0,"taip",0)</f>
        <v>taip</v>
      </c>
      <c r="X109" s="518"/>
      <c r="Y109" s="518">
        <f>IF(YEAR('3 pr-2'!$AJ109)=2017,$V109,0)</f>
        <v>0</v>
      </c>
      <c r="Z109" s="518">
        <f>IF(YEAR('3 pr-2'!$AJ109)=2018,$V109,0)</f>
        <v>0</v>
      </c>
      <c r="AA109" s="518">
        <f>IF(YEAR('3 pr-2'!$AJ109)=2019,$V109,0)</f>
        <v>0</v>
      </c>
      <c r="AB109" s="518">
        <f>IF(YEAR('3 pr-2'!$AJ109)=2020,$V109,0)</f>
        <v>1</v>
      </c>
      <c r="AC109" s="518">
        <f>IF(YEAR('3 pr-2'!$AJ109)=2021,$V109,0)</f>
        <v>0</v>
      </c>
      <c r="AD109" s="518">
        <f>IF(YEAR('3 pr-2'!$AJ109)=2022,$V109,0)</f>
        <v>0</v>
      </c>
      <c r="AE109" s="518">
        <f>IF(YEAR('3 pr-2'!$AJ109)=2023,$V109,0)</f>
        <v>0</v>
      </c>
      <c r="AF109" s="523" t="s">
        <v>719</v>
      </c>
      <c r="AG109" s="881" t="s">
        <v>538</v>
      </c>
      <c r="AH109" s="518"/>
      <c r="AI109" s="518"/>
      <c r="AJ109" s="518"/>
      <c r="AK109" s="518"/>
      <c r="AL109" s="518"/>
      <c r="AM109" s="518"/>
      <c r="AN109" s="518"/>
      <c r="AO109" s="1337">
        <f t="shared" si="420"/>
        <v>0</v>
      </c>
      <c r="AP109" s="518">
        <v>180</v>
      </c>
      <c r="AQ109" s="1338"/>
      <c r="AR109" s="518"/>
      <c r="AS109" s="518">
        <f>IF(YEAR('3 pr-2'!$AJ109)=2017,$AP109,0)</f>
        <v>0</v>
      </c>
      <c r="AT109" s="518">
        <f>IF(YEAR('3 pr-2'!$AJ109)=2018,$AP109,0)</f>
        <v>0</v>
      </c>
      <c r="AU109" s="518">
        <f>IF(YEAR('3 pr-2'!$AJ109)=2019,$AP109,0)</f>
        <v>0</v>
      </c>
      <c r="AV109" s="518">
        <f>IF(YEAR('3 pr-2'!$AJ109)=2020,$AP109,0)</f>
        <v>180</v>
      </c>
      <c r="AW109" s="518">
        <f>IF(YEAR('3 pr-2'!$AJ109)=2021,$AP109,0)</f>
        <v>0</v>
      </c>
      <c r="AX109" s="518">
        <f>IF(YEAR('3 pr-2'!$AJ109)=2022,$AP109,0)</f>
        <v>0</v>
      </c>
      <c r="AY109" s="518">
        <f>IF(YEAR('3 pr-2'!$AJ109)=2023,$AP109,0)</f>
        <v>0</v>
      </c>
      <c r="AZ109" s="518"/>
      <c r="BA109" s="880"/>
      <c r="BB109" s="518"/>
      <c r="BC109" s="518"/>
      <c r="BD109" s="518"/>
      <c r="BE109" s="518"/>
      <c r="BF109" s="518"/>
      <c r="BG109" s="518"/>
      <c r="BH109" s="518"/>
      <c r="BI109" s="1337">
        <f t="shared" si="434"/>
        <v>0</v>
      </c>
      <c r="BJ109" s="518"/>
      <c r="BK109" s="1338"/>
      <c r="BL109" s="518"/>
      <c r="BM109" s="518">
        <f>IF(YEAR('3 pr-2'!$AJ109)=2017,$BJ109,0)</f>
        <v>0</v>
      </c>
      <c r="BN109" s="518">
        <f>IF(YEAR('3 pr-2'!$AJ109)=2018,$BJ109,0)</f>
        <v>0</v>
      </c>
      <c r="BO109" s="518">
        <f>IF(YEAR('3 pr-2'!$AJ109)=2019,$BJ109,0)</f>
        <v>0</v>
      </c>
      <c r="BP109" s="518">
        <f>IF(YEAR('3 pr-2'!$AJ109)=2020,$BJ109,0)</f>
        <v>0</v>
      </c>
      <c r="BQ109" s="518">
        <f>IF(YEAR('3 pr-2'!$AJ109)=2021,$BJ109,0)</f>
        <v>0</v>
      </c>
      <c r="BR109" s="518">
        <f>IF(YEAR('3 pr-2'!$AJ109)=2022,$BJ109,0)</f>
        <v>0</v>
      </c>
      <c r="BS109" s="518">
        <f>IF(YEAR('3 pr-2'!$AJ109)=2023,$BJ109,0)</f>
        <v>0</v>
      </c>
      <c r="BT109" s="523"/>
      <c r="BU109" s="881"/>
      <c r="BV109" s="518"/>
      <c r="BW109" s="518"/>
      <c r="BX109" s="518"/>
      <c r="BY109" s="518"/>
      <c r="BZ109" s="518"/>
      <c r="CA109" s="518"/>
      <c r="CB109" s="518"/>
      <c r="CC109" s="1337">
        <f t="shared" si="441"/>
        <v>0</v>
      </c>
      <c r="CD109" s="518"/>
      <c r="CE109" s="518"/>
      <c r="CF109" s="518"/>
      <c r="CG109" s="518">
        <f>IF(YEAR('3 pr-2'!$AJ109)=2017,$CD109,0)</f>
        <v>0</v>
      </c>
      <c r="CH109" s="518">
        <f>IF(YEAR('3 pr-2'!$AJ109)=2018,$CD109,0)</f>
        <v>0</v>
      </c>
      <c r="CI109" s="518">
        <f>IF(YEAR('3 pr-2'!$AJ109)=2019,$CD109,0)</f>
        <v>0</v>
      </c>
      <c r="CJ109" s="518">
        <f>IF(YEAR('3 pr-2'!$AJ109)=2020,$CD109,0)</f>
        <v>0</v>
      </c>
      <c r="CK109" s="518">
        <f>IF(YEAR('3 pr-2'!$AJ109)=2021,$CD109,0)</f>
        <v>0</v>
      </c>
      <c r="CL109" s="518">
        <f>IF(YEAR('3 pr-2'!$AJ109)=2022,$CD109,0)</f>
        <v>0</v>
      </c>
      <c r="CM109" s="518">
        <f>IF(YEAR('3 pr-2'!$AJ109)=2023,$CD109,0)</f>
        <v>0</v>
      </c>
      <c r="CN109" s="523"/>
      <c r="CO109" s="882"/>
      <c r="CP109" s="518"/>
      <c r="CQ109" s="518"/>
      <c r="CR109" s="518"/>
      <c r="CS109" s="518"/>
      <c r="CT109" s="518"/>
      <c r="CU109" s="518"/>
      <c r="CV109" s="518"/>
      <c r="CW109" s="1337">
        <f t="shared" si="448"/>
        <v>0</v>
      </c>
      <c r="CX109" s="524"/>
      <c r="CY109" s="504"/>
      <c r="CZ109" s="504"/>
      <c r="DA109" s="1332">
        <f>IF(YEAR('3 pr-2'!AJ109)=2017,CX109,0)</f>
        <v>0</v>
      </c>
      <c r="DB109" s="1332">
        <f>IF(YEAR('3 pr-2'!AJ109)=2018,CX109,0)</f>
        <v>0</v>
      </c>
      <c r="DC109" s="1332">
        <f>IF(YEAR('3 pr-2'!AJ109)=2019,CX109,0)</f>
        <v>0</v>
      </c>
      <c r="DD109" s="1332">
        <f>IF(YEAR('3 pr-2'!AJ109)=2020,CX109,0)</f>
        <v>0</v>
      </c>
      <c r="DE109" s="1332">
        <f>IF(YEAR('3 pr-2'!AJ109)=2021,CX109,0)</f>
        <v>0</v>
      </c>
      <c r="DF109" s="1332">
        <f>IF(YEAR('3 pr-2'!AJ109)=2022,CX109,0)</f>
        <v>0</v>
      </c>
      <c r="DG109" s="1332">
        <f>IF(YEAR('3 pr-2'!AJ109)=2023,CX109,0)</f>
        <v>0</v>
      </c>
    </row>
    <row r="110" spans="1:111" ht="61.5" thickTop="1" thickBot="1" x14ac:dyDescent="0.3">
      <c r="A110" s="518" t="str">
        <f>CONCATENATE('3 pr-2'!A110)</f>
        <v>2.1.1.2.2</v>
      </c>
      <c r="B110" s="518" t="str">
        <f>CONCATENATE('3 pr-2'!B110)</f>
        <v>R01-7725-240000-2122</v>
      </c>
      <c r="C110" s="1449" t="str">
        <f>CONCATENATE('ketv. 2lent'!B109)</f>
        <v>09.1.3-CPVA-R-725-11-0005</v>
      </c>
      <c r="D110" s="480" t="str">
        <f>CONCATENATE('3 pr-2'!D110)</f>
        <v>Alytaus r. meno ir sporto mokyklos edukacinių erdvių įkūrimas ir atnaujinimas</v>
      </c>
      <c r="E110" s="480" t="str">
        <f>CONCATENATE('3 pr-2'!E110)</f>
        <v>Alytaus rajono savivaldybės administracija</v>
      </c>
      <c r="F110" s="480" t="str">
        <f>CONCATENATE('3 pr-2'!F110)</f>
        <v>Lietuvos Respublikos švietimo ir mokslo ministerija</v>
      </c>
      <c r="G110" s="480" t="str">
        <f>CONCATENATE('3 pr-2'!G110)</f>
        <v>Alytaus  rajono savivaldybė</v>
      </c>
      <c r="H110" s="518" t="str">
        <f>CONCATENATE('3 pr-2'!H110)</f>
        <v>09.13.CPVA-R-725</v>
      </c>
      <c r="I110" s="518" t="str">
        <f>CONCATENATE('3 pr-2'!I110)</f>
        <v>R</v>
      </c>
      <c r="J110" s="518" t="str">
        <f>CONCATENATE('3 pr-2'!J110)</f>
        <v>-</v>
      </c>
      <c r="K110" s="518" t="str">
        <f>CONCATENATE('3 pr-2'!K110)</f>
        <v>-</v>
      </c>
      <c r="L110" s="518" t="s">
        <v>539</v>
      </c>
      <c r="M110" s="881" t="s">
        <v>540</v>
      </c>
      <c r="N110" s="518"/>
      <c r="O110" s="518"/>
      <c r="P110" s="518"/>
      <c r="Q110" s="518"/>
      <c r="R110" s="518"/>
      <c r="S110" s="518"/>
      <c r="T110" s="518"/>
      <c r="U110" s="1335">
        <f t="shared" si="450"/>
        <v>0</v>
      </c>
      <c r="V110" s="518">
        <v>1</v>
      </c>
      <c r="W110" s="1336" t="str">
        <f>IF('ketv. 6 lent'!K110&gt;0,"taip",0)</f>
        <v>taip</v>
      </c>
      <c r="X110" s="518"/>
      <c r="Y110" s="518">
        <f>IF(YEAR('3 pr-2'!$AJ110)=2017,$V110,0)</f>
        <v>0</v>
      </c>
      <c r="Z110" s="518">
        <f>IF(YEAR('3 pr-2'!$AJ110)=2018,$V110,0)</f>
        <v>0</v>
      </c>
      <c r="AA110" s="518">
        <f>IF(YEAR('3 pr-2'!$AJ110)=2019,$V110,0)</f>
        <v>0</v>
      </c>
      <c r="AB110" s="518">
        <f>IF(YEAR('3 pr-2'!$AJ110)=2020,$V110,0)</f>
        <v>1</v>
      </c>
      <c r="AC110" s="518">
        <f>IF(YEAR('3 pr-2'!$AJ110)=2021,$V110,0)</f>
        <v>0</v>
      </c>
      <c r="AD110" s="518">
        <f>IF(YEAR('3 pr-2'!$AJ110)=2022,$V110,0)</f>
        <v>0</v>
      </c>
      <c r="AE110" s="518">
        <f>IF(YEAR('3 pr-2'!$AJ110)=2023,$V110,0)</f>
        <v>0</v>
      </c>
      <c r="AF110" s="523" t="s">
        <v>537</v>
      </c>
      <c r="AG110" s="881" t="s">
        <v>538</v>
      </c>
      <c r="AH110" s="518"/>
      <c r="AI110" s="518"/>
      <c r="AJ110" s="518"/>
      <c r="AK110" s="518"/>
      <c r="AL110" s="518"/>
      <c r="AM110" s="518"/>
      <c r="AN110" s="518"/>
      <c r="AO110" s="1337">
        <f t="shared" si="420"/>
        <v>0</v>
      </c>
      <c r="AP110" s="518">
        <v>384</v>
      </c>
      <c r="AQ110" s="1338"/>
      <c r="AR110" s="518"/>
      <c r="AS110" s="518">
        <f>IF(YEAR('3 pr-2'!$AJ110)=2017,$AP110,0)</f>
        <v>0</v>
      </c>
      <c r="AT110" s="518">
        <f>IF(YEAR('3 pr-2'!$AJ110)=2018,$AP110,0)</f>
        <v>0</v>
      </c>
      <c r="AU110" s="518">
        <f>IF(YEAR('3 pr-2'!$AJ110)=2019,$AP110,0)</f>
        <v>0</v>
      </c>
      <c r="AV110" s="518">
        <f>IF(YEAR('3 pr-2'!$AJ110)=2020,$AP110,0)</f>
        <v>384</v>
      </c>
      <c r="AW110" s="518">
        <f>IF(YEAR('3 pr-2'!$AJ110)=2021,$AP110,0)</f>
        <v>0</v>
      </c>
      <c r="AX110" s="518">
        <f>IF(YEAR('3 pr-2'!$AJ110)=2022,$AP110,0)</f>
        <v>0</v>
      </c>
      <c r="AY110" s="518">
        <f>IF(YEAR('3 pr-2'!$AJ110)=2023,$AP110,0)</f>
        <v>0</v>
      </c>
      <c r="AZ110" s="518"/>
      <c r="BA110" s="880"/>
      <c r="BB110" s="518"/>
      <c r="BC110" s="518"/>
      <c r="BD110" s="518"/>
      <c r="BE110" s="518"/>
      <c r="BF110" s="518"/>
      <c r="BG110" s="518"/>
      <c r="BH110" s="518"/>
      <c r="BI110" s="1337">
        <f t="shared" si="434"/>
        <v>0</v>
      </c>
      <c r="BJ110" s="518"/>
      <c r="BK110" s="1338"/>
      <c r="BL110" s="518"/>
      <c r="BM110" s="518">
        <f>IF(YEAR('3 pr-2'!$AJ110)=2017,$BJ110,0)</f>
        <v>0</v>
      </c>
      <c r="BN110" s="518">
        <f>IF(YEAR('3 pr-2'!$AJ110)=2018,$BJ110,0)</f>
        <v>0</v>
      </c>
      <c r="BO110" s="518">
        <f>IF(YEAR('3 pr-2'!$AJ110)=2019,$BJ110,0)</f>
        <v>0</v>
      </c>
      <c r="BP110" s="518">
        <f>IF(YEAR('3 pr-2'!$AJ110)=2020,$BJ110,0)</f>
        <v>0</v>
      </c>
      <c r="BQ110" s="518">
        <f>IF(YEAR('3 pr-2'!$AJ110)=2021,$BJ110,0)</f>
        <v>0</v>
      </c>
      <c r="BR110" s="518">
        <f>IF(YEAR('3 pr-2'!$AJ110)=2022,$BJ110,0)</f>
        <v>0</v>
      </c>
      <c r="BS110" s="518">
        <f>IF(YEAR('3 pr-2'!$AJ110)=2023,$BJ110,0)</f>
        <v>0</v>
      </c>
      <c r="BT110" s="523"/>
      <c r="BU110" s="881"/>
      <c r="BV110" s="518"/>
      <c r="BW110" s="518"/>
      <c r="BX110" s="518"/>
      <c r="BY110" s="518"/>
      <c r="BZ110" s="518"/>
      <c r="CA110" s="518"/>
      <c r="CB110" s="518"/>
      <c r="CC110" s="1337">
        <f t="shared" si="441"/>
        <v>0</v>
      </c>
      <c r="CD110" s="518"/>
      <c r="CE110" s="518"/>
      <c r="CF110" s="518"/>
      <c r="CG110" s="518">
        <f>IF(YEAR('3 pr-2'!$AJ110)=2017,$CD110,0)</f>
        <v>0</v>
      </c>
      <c r="CH110" s="518">
        <f>IF(YEAR('3 pr-2'!$AJ110)=2018,$CD110,0)</f>
        <v>0</v>
      </c>
      <c r="CI110" s="518">
        <f>IF(YEAR('3 pr-2'!$AJ110)=2019,$CD110,0)</f>
        <v>0</v>
      </c>
      <c r="CJ110" s="518">
        <f>IF(YEAR('3 pr-2'!$AJ110)=2020,$CD110,0)</f>
        <v>0</v>
      </c>
      <c r="CK110" s="518">
        <f>IF(YEAR('3 pr-2'!$AJ110)=2021,$CD110,0)</f>
        <v>0</v>
      </c>
      <c r="CL110" s="518">
        <f>IF(YEAR('3 pr-2'!$AJ110)=2022,$CD110,0)</f>
        <v>0</v>
      </c>
      <c r="CM110" s="518">
        <f>IF(YEAR('3 pr-2'!$AJ110)=2023,$CD110,0)</f>
        <v>0</v>
      </c>
      <c r="CN110" s="523"/>
      <c r="CO110" s="882"/>
      <c r="CP110" s="518"/>
      <c r="CQ110" s="518"/>
      <c r="CR110" s="518"/>
      <c r="CS110" s="518"/>
      <c r="CT110" s="518"/>
      <c r="CU110" s="518"/>
      <c r="CV110" s="518"/>
      <c r="CW110" s="1337">
        <f t="shared" si="448"/>
        <v>0</v>
      </c>
      <c r="CX110" s="524"/>
      <c r="CY110" s="504"/>
      <c r="CZ110" s="504"/>
      <c r="DA110" s="1332">
        <f>IF(YEAR('3 pr-2'!AJ110)=2017,CX110,0)</f>
        <v>0</v>
      </c>
      <c r="DB110" s="1332">
        <f>IF(YEAR('3 pr-2'!AJ110)=2018,CX110,0)</f>
        <v>0</v>
      </c>
      <c r="DC110" s="1332">
        <f>IF(YEAR('3 pr-2'!AJ110)=2019,CX110,0)</f>
        <v>0</v>
      </c>
      <c r="DD110" s="1332">
        <f>IF(YEAR('3 pr-2'!AJ110)=2020,CX110,0)</f>
        <v>0</v>
      </c>
      <c r="DE110" s="1332">
        <f>IF(YEAR('3 pr-2'!AJ110)=2021,CX110,0)</f>
        <v>0</v>
      </c>
      <c r="DF110" s="1332">
        <f>IF(YEAR('3 pr-2'!AJ110)=2022,CX110,0)</f>
        <v>0</v>
      </c>
      <c r="DG110" s="1332">
        <f>IF(YEAR('3 pr-2'!AJ110)=2023,CX110,0)</f>
        <v>0</v>
      </c>
    </row>
    <row r="111" spans="1:111" ht="61.5" thickTop="1" thickBot="1" x14ac:dyDescent="0.3">
      <c r="A111" s="518" t="str">
        <f>CONCATENATE('3 pr-2'!A111)</f>
        <v>2.1.1.2.3</v>
      </c>
      <c r="B111" s="518" t="str">
        <f>CONCATENATE('3 pr-2'!B111)</f>
        <v>R01-7725-240000-2123</v>
      </c>
      <c r="C111" s="1449" t="str">
        <f>CONCATENATE('ketv. 2lent'!B110)</f>
        <v>09.1.3-CPVA-R-725-11-0004</v>
      </c>
      <c r="D111" s="480" t="str">
        <f>CONCATENATE('3 pr-2'!D111)</f>
        <v>Alytaus muzikos mokyklos pastato modernizavimas ir ugdymo aplinkos gerinimas</v>
      </c>
      <c r="E111" s="480" t="str">
        <f>CONCATENATE('3 pr-2'!E111)</f>
        <v>Alytaus miesto savivaldybės administracija</v>
      </c>
      <c r="F111" s="480" t="str">
        <f>CONCATENATE('3 pr-2'!F111)</f>
        <v>Lietuvos Respublikos švietimo ir mokslo ministerija</v>
      </c>
      <c r="G111" s="480" t="str">
        <f>CONCATENATE('3 pr-2'!G111)</f>
        <v>Alytaus  miestas</v>
      </c>
      <c r="H111" s="518" t="str">
        <f>CONCATENATE('3 pr-2'!H111)</f>
        <v>09.13.CPVA-R-725</v>
      </c>
      <c r="I111" s="518" t="str">
        <f>CONCATENATE('3 pr-2'!I111)</f>
        <v>R</v>
      </c>
      <c r="J111" s="518" t="str">
        <f>CONCATENATE('3 pr-2'!J111)</f>
        <v>-</v>
      </c>
      <c r="K111" s="518" t="str">
        <f>CONCATENATE('3 pr-2'!K111)</f>
        <v>-</v>
      </c>
      <c r="L111" s="518" t="s">
        <v>539</v>
      </c>
      <c r="M111" s="881" t="s">
        <v>540</v>
      </c>
      <c r="N111" s="518"/>
      <c r="O111" s="518"/>
      <c r="P111" s="518"/>
      <c r="Q111" s="518"/>
      <c r="R111" s="518"/>
      <c r="S111" s="518"/>
      <c r="T111" s="518"/>
      <c r="U111" s="1335">
        <f t="shared" si="450"/>
        <v>0</v>
      </c>
      <c r="V111" s="518">
        <v>1</v>
      </c>
      <c r="W111" s="1336" t="str">
        <f>IF('ketv. 6 lent'!K111&gt;0,"taip",0)</f>
        <v>taip</v>
      </c>
      <c r="X111" s="518"/>
      <c r="Y111" s="518">
        <f>IF(YEAR('3 pr-2'!$AJ111)=2017,$V111,0)</f>
        <v>0</v>
      </c>
      <c r="Z111" s="518">
        <f>IF(YEAR('3 pr-2'!$AJ111)=2018,$V111,0)</f>
        <v>0</v>
      </c>
      <c r="AA111" s="518">
        <f>IF(YEAR('3 pr-2'!$AJ111)=2019,$V111,0)</f>
        <v>0</v>
      </c>
      <c r="AB111" s="518">
        <f>IF(YEAR('3 pr-2'!$AJ111)=2020,$V111,0)</f>
        <v>1</v>
      </c>
      <c r="AC111" s="518">
        <f>IF(YEAR('3 pr-2'!$AJ111)=2021,$V111,0)</f>
        <v>0</v>
      </c>
      <c r="AD111" s="518">
        <f>IF(YEAR('3 pr-2'!$AJ111)=2022,$V111,0)</f>
        <v>0</v>
      </c>
      <c r="AE111" s="518">
        <f>IF(YEAR('3 pr-2'!$AJ111)=2023,$V111,0)</f>
        <v>0</v>
      </c>
      <c r="AF111" s="523" t="s">
        <v>537</v>
      </c>
      <c r="AG111" s="881" t="s">
        <v>538</v>
      </c>
      <c r="AH111" s="518"/>
      <c r="AI111" s="518"/>
      <c r="AJ111" s="518"/>
      <c r="AK111" s="518"/>
      <c r="AL111" s="518"/>
      <c r="AM111" s="518"/>
      <c r="AN111" s="518"/>
      <c r="AO111" s="1337">
        <f t="shared" si="420"/>
        <v>0</v>
      </c>
      <c r="AP111" s="518">
        <v>600</v>
      </c>
      <c r="AQ111" s="1338"/>
      <c r="AR111" s="518"/>
      <c r="AS111" s="518">
        <f>IF(YEAR('3 pr-2'!$AJ111)=2017,$AP111,0)</f>
        <v>0</v>
      </c>
      <c r="AT111" s="518">
        <f>IF(YEAR('3 pr-2'!$AJ111)=2018,$AP111,0)</f>
        <v>0</v>
      </c>
      <c r="AU111" s="518">
        <f>IF(YEAR('3 pr-2'!$AJ111)=2019,$AP111,0)</f>
        <v>0</v>
      </c>
      <c r="AV111" s="518">
        <f>IF(YEAR('3 pr-2'!$AJ111)=2020,$AP111,0)</f>
        <v>600</v>
      </c>
      <c r="AW111" s="518">
        <f>IF(YEAR('3 pr-2'!$AJ111)=2021,$AP111,0)</f>
        <v>0</v>
      </c>
      <c r="AX111" s="518">
        <f>IF(YEAR('3 pr-2'!$AJ111)=2022,$AP111,0)</f>
        <v>0</v>
      </c>
      <c r="AY111" s="518">
        <f>IF(YEAR('3 pr-2'!$AJ111)=2023,$AP111,0)</f>
        <v>0</v>
      </c>
      <c r="AZ111" s="518"/>
      <c r="BA111" s="880"/>
      <c r="BB111" s="518"/>
      <c r="BC111" s="518"/>
      <c r="BD111" s="518"/>
      <c r="BE111" s="518"/>
      <c r="BF111" s="518"/>
      <c r="BG111" s="518"/>
      <c r="BH111" s="518"/>
      <c r="BI111" s="1337">
        <f t="shared" si="434"/>
        <v>0</v>
      </c>
      <c r="BJ111" s="518"/>
      <c r="BK111" s="1338"/>
      <c r="BL111" s="518"/>
      <c r="BM111" s="518">
        <f>IF(YEAR('3 pr-2'!$AJ111)=2017,$BJ111,0)</f>
        <v>0</v>
      </c>
      <c r="BN111" s="518">
        <f>IF(YEAR('3 pr-2'!$AJ111)=2018,$BJ111,0)</f>
        <v>0</v>
      </c>
      <c r="BO111" s="518">
        <f>IF(YEAR('3 pr-2'!$AJ111)=2019,$BJ111,0)</f>
        <v>0</v>
      </c>
      <c r="BP111" s="518">
        <f>IF(YEAR('3 pr-2'!$AJ111)=2020,$BJ111,0)</f>
        <v>0</v>
      </c>
      <c r="BQ111" s="518">
        <f>IF(YEAR('3 pr-2'!$AJ111)=2021,$BJ111,0)</f>
        <v>0</v>
      </c>
      <c r="BR111" s="518">
        <f>IF(YEAR('3 pr-2'!$AJ111)=2022,$BJ111,0)</f>
        <v>0</v>
      </c>
      <c r="BS111" s="518">
        <f>IF(YEAR('3 pr-2'!$AJ111)=2023,$BJ111,0)</f>
        <v>0</v>
      </c>
      <c r="BT111" s="523"/>
      <c r="BU111" s="881"/>
      <c r="BV111" s="518"/>
      <c r="BW111" s="518"/>
      <c r="BX111" s="518"/>
      <c r="BY111" s="518"/>
      <c r="BZ111" s="518"/>
      <c r="CA111" s="518"/>
      <c r="CB111" s="518"/>
      <c r="CC111" s="1337">
        <f t="shared" si="441"/>
        <v>0</v>
      </c>
      <c r="CD111" s="518"/>
      <c r="CE111" s="518"/>
      <c r="CF111" s="518"/>
      <c r="CG111" s="518">
        <f>IF(YEAR('3 pr-2'!$AJ111)=2017,$CD111,0)</f>
        <v>0</v>
      </c>
      <c r="CH111" s="518">
        <f>IF(YEAR('3 pr-2'!$AJ111)=2018,$CD111,0)</f>
        <v>0</v>
      </c>
      <c r="CI111" s="518">
        <f>IF(YEAR('3 pr-2'!$AJ111)=2019,$CD111,0)</f>
        <v>0</v>
      </c>
      <c r="CJ111" s="518">
        <f>IF(YEAR('3 pr-2'!$AJ111)=2020,$CD111,0)</f>
        <v>0</v>
      </c>
      <c r="CK111" s="518">
        <f>IF(YEAR('3 pr-2'!$AJ111)=2021,$CD111,0)</f>
        <v>0</v>
      </c>
      <c r="CL111" s="518">
        <f>IF(YEAR('3 pr-2'!$AJ111)=2022,$CD111,0)</f>
        <v>0</v>
      </c>
      <c r="CM111" s="518">
        <f>IF(YEAR('3 pr-2'!$AJ111)=2023,$CD111,0)</f>
        <v>0</v>
      </c>
      <c r="CN111" s="523"/>
      <c r="CO111" s="882"/>
      <c r="CP111" s="518"/>
      <c r="CQ111" s="518"/>
      <c r="CR111" s="518"/>
      <c r="CS111" s="518"/>
      <c r="CT111" s="518"/>
      <c r="CU111" s="518"/>
      <c r="CV111" s="518"/>
      <c r="CW111" s="1337">
        <f t="shared" si="448"/>
        <v>0</v>
      </c>
      <c r="CX111" s="524"/>
      <c r="CY111" s="504"/>
      <c r="CZ111" s="504"/>
      <c r="DA111" s="1332">
        <f>IF(YEAR('3 pr-2'!AJ111)=2017,CX111,0)</f>
        <v>0</v>
      </c>
      <c r="DB111" s="1332">
        <f>IF(YEAR('3 pr-2'!AJ111)=2018,CX111,0)</f>
        <v>0</v>
      </c>
      <c r="DC111" s="1332">
        <f>IF(YEAR('3 pr-2'!AJ111)=2019,CX111,0)</f>
        <v>0</v>
      </c>
      <c r="DD111" s="1332">
        <f>IF(YEAR('3 pr-2'!AJ111)=2020,CX111,0)</f>
        <v>0</v>
      </c>
      <c r="DE111" s="1332">
        <f>IF(YEAR('3 pr-2'!AJ111)=2021,CX111,0)</f>
        <v>0</v>
      </c>
      <c r="DF111" s="1332">
        <f>IF(YEAR('3 pr-2'!AJ111)=2022,CX111,0)</f>
        <v>0</v>
      </c>
      <c r="DG111" s="1332">
        <f>IF(YEAR('3 pr-2'!AJ111)=2023,CX111,0)</f>
        <v>0</v>
      </c>
    </row>
    <row r="112" spans="1:111" ht="61.5" thickTop="1" thickBot="1" x14ac:dyDescent="0.3">
      <c r="A112" s="518" t="str">
        <f>CONCATENATE('3 pr-2'!A112)</f>
        <v>2.1.1.2.4</v>
      </c>
      <c r="B112" s="518" t="str">
        <f>CONCATENATE('3 pr-2'!B112)</f>
        <v>R01-7725-240000-2124</v>
      </c>
      <c r="C112" s="1449" t="str">
        <f>CONCATENATE('ketv. 2lent'!B111)</f>
        <v>09.1.3-CPVA-R-725-11-0002</v>
      </c>
      <c r="D112" s="480" t="str">
        <f>CONCATENATE('3 pr-2'!D112)</f>
        <v>Druskininkų M. K. Čiurlionio meno mokyklos infrastruktūros tobulinimas</v>
      </c>
      <c r="E112" s="480" t="str">
        <f>CONCATENATE('3 pr-2'!E112)</f>
        <v xml:space="preserve">Druskininkų savivaldybės administracija  </v>
      </c>
      <c r="F112" s="480" t="str">
        <f>CONCATENATE('3 pr-2'!F112)</f>
        <v>Lietuvos Respublikos švietimo ir mokslo ministerija</v>
      </c>
      <c r="G112" s="480" t="str">
        <f>CONCATENATE('3 pr-2'!G112)</f>
        <v>Druskininkų miestas</v>
      </c>
      <c r="H112" s="518" t="str">
        <f>CONCATENATE('3 pr-2'!H112)</f>
        <v>09.13.CPVA-R-725</v>
      </c>
      <c r="I112" s="518" t="str">
        <f>CONCATENATE('3 pr-2'!I112)</f>
        <v>R</v>
      </c>
      <c r="J112" s="518" t="str">
        <f>CONCATENATE('3 pr-2'!J112)</f>
        <v>-</v>
      </c>
      <c r="K112" s="518" t="str">
        <f>CONCATENATE('3 pr-2'!K112)</f>
        <v>-</v>
      </c>
      <c r="L112" s="518" t="s">
        <v>539</v>
      </c>
      <c r="M112" s="881" t="s">
        <v>540</v>
      </c>
      <c r="N112" s="518"/>
      <c r="O112" s="518"/>
      <c r="P112" s="518"/>
      <c r="Q112" s="518"/>
      <c r="R112" s="518"/>
      <c r="S112" s="518"/>
      <c r="T112" s="518"/>
      <c r="U112" s="1335">
        <f t="shared" si="450"/>
        <v>0</v>
      </c>
      <c r="V112" s="518">
        <v>1</v>
      </c>
      <c r="W112" s="1336" t="str">
        <f>IF('ketv. 6 lent'!K112&gt;0,"taip",0)</f>
        <v>taip</v>
      </c>
      <c r="X112" s="518"/>
      <c r="Y112" s="518">
        <f>IF(YEAR('3 pr-2'!$AJ112)=2017,$V112,0)</f>
        <v>0</v>
      </c>
      <c r="Z112" s="518">
        <f>IF(YEAR('3 pr-2'!$AJ112)=2018,$V112,0)</f>
        <v>1</v>
      </c>
      <c r="AA112" s="518">
        <f>IF(YEAR('3 pr-2'!$AJ112)=2019,$V112,0)</f>
        <v>0</v>
      </c>
      <c r="AB112" s="518">
        <f>IF(YEAR('3 pr-2'!$AJ112)=2020,$V112,0)</f>
        <v>0</v>
      </c>
      <c r="AC112" s="518">
        <f>IF(YEAR('3 pr-2'!$AJ112)=2021,$V112,0)</f>
        <v>0</v>
      </c>
      <c r="AD112" s="518">
        <f>IF(YEAR('3 pr-2'!$AJ112)=2022,$V112,0)</f>
        <v>0</v>
      </c>
      <c r="AE112" s="518">
        <f>IF(YEAR('3 pr-2'!$AJ112)=2023,$V112,0)</f>
        <v>0</v>
      </c>
      <c r="AF112" s="523" t="s">
        <v>537</v>
      </c>
      <c r="AG112" s="881" t="s">
        <v>538</v>
      </c>
      <c r="AH112" s="518"/>
      <c r="AI112" s="518"/>
      <c r="AJ112" s="518"/>
      <c r="AK112" s="518"/>
      <c r="AL112" s="518"/>
      <c r="AM112" s="518"/>
      <c r="AN112" s="518"/>
      <c r="AO112" s="1337">
        <f t="shared" si="420"/>
        <v>0</v>
      </c>
      <c r="AP112" s="518">
        <v>380</v>
      </c>
      <c r="AQ112" s="1338"/>
      <c r="AR112" s="518"/>
      <c r="AS112" s="518">
        <f>IF(YEAR('3 pr-2'!$AJ112)=2017,$AP112,0)</f>
        <v>0</v>
      </c>
      <c r="AT112" s="518">
        <f>IF(YEAR('3 pr-2'!$AJ112)=2018,$AP112,0)</f>
        <v>380</v>
      </c>
      <c r="AU112" s="518">
        <f>IF(YEAR('3 pr-2'!$AJ112)=2019,$AP112,0)</f>
        <v>0</v>
      </c>
      <c r="AV112" s="518">
        <f>IF(YEAR('3 pr-2'!$AJ112)=2020,$AP112,0)</f>
        <v>0</v>
      </c>
      <c r="AW112" s="518">
        <f>IF(YEAR('3 pr-2'!$AJ112)=2021,$AP112,0)</f>
        <v>0</v>
      </c>
      <c r="AX112" s="518">
        <f>IF(YEAR('3 pr-2'!$AJ112)=2022,$AP112,0)</f>
        <v>0</v>
      </c>
      <c r="AY112" s="518">
        <f>IF(YEAR('3 pr-2'!$AJ112)=2023,$AP112,0)</f>
        <v>0</v>
      </c>
      <c r="AZ112" s="518"/>
      <c r="BA112" s="880"/>
      <c r="BB112" s="518"/>
      <c r="BC112" s="518"/>
      <c r="BD112" s="518"/>
      <c r="BE112" s="518"/>
      <c r="BF112" s="518"/>
      <c r="BG112" s="518"/>
      <c r="BH112" s="518"/>
      <c r="BI112" s="1337">
        <f t="shared" si="434"/>
        <v>0</v>
      </c>
      <c r="BJ112" s="518"/>
      <c r="BK112" s="1338"/>
      <c r="BL112" s="518"/>
      <c r="BM112" s="518">
        <f>IF(YEAR('3 pr-2'!$AJ112)=2017,$BJ112,0)</f>
        <v>0</v>
      </c>
      <c r="BN112" s="518">
        <f>IF(YEAR('3 pr-2'!$AJ112)=2018,$BJ112,0)</f>
        <v>0</v>
      </c>
      <c r="BO112" s="518">
        <f>IF(YEAR('3 pr-2'!$AJ112)=2019,$BJ112,0)</f>
        <v>0</v>
      </c>
      <c r="BP112" s="518">
        <f>IF(YEAR('3 pr-2'!$AJ112)=2020,$BJ112,0)</f>
        <v>0</v>
      </c>
      <c r="BQ112" s="518">
        <f>IF(YEAR('3 pr-2'!$AJ112)=2021,$BJ112,0)</f>
        <v>0</v>
      </c>
      <c r="BR112" s="518">
        <f>IF(YEAR('3 pr-2'!$AJ112)=2022,$BJ112,0)</f>
        <v>0</v>
      </c>
      <c r="BS112" s="518">
        <f>IF(YEAR('3 pr-2'!$AJ112)=2023,$BJ112,0)</f>
        <v>0</v>
      </c>
      <c r="BT112" s="523"/>
      <c r="BU112" s="881"/>
      <c r="BV112" s="518"/>
      <c r="BW112" s="518"/>
      <c r="BX112" s="518"/>
      <c r="BY112" s="518"/>
      <c r="BZ112" s="518"/>
      <c r="CA112" s="518"/>
      <c r="CB112" s="518"/>
      <c r="CC112" s="1337">
        <f t="shared" si="441"/>
        <v>0</v>
      </c>
      <c r="CD112" s="518"/>
      <c r="CE112" s="518"/>
      <c r="CF112" s="518"/>
      <c r="CG112" s="518">
        <f>IF(YEAR('3 pr-2'!$AJ112)=2017,$CD112,0)</f>
        <v>0</v>
      </c>
      <c r="CH112" s="518">
        <f>IF(YEAR('3 pr-2'!$AJ112)=2018,$CD112,0)</f>
        <v>0</v>
      </c>
      <c r="CI112" s="518">
        <f>IF(YEAR('3 pr-2'!$AJ112)=2019,$CD112,0)</f>
        <v>0</v>
      </c>
      <c r="CJ112" s="518">
        <f>IF(YEAR('3 pr-2'!$AJ112)=2020,$CD112,0)</f>
        <v>0</v>
      </c>
      <c r="CK112" s="518">
        <f>IF(YEAR('3 pr-2'!$AJ112)=2021,$CD112,0)</f>
        <v>0</v>
      </c>
      <c r="CL112" s="518">
        <f>IF(YEAR('3 pr-2'!$AJ112)=2022,$CD112,0)</f>
        <v>0</v>
      </c>
      <c r="CM112" s="518">
        <f>IF(YEAR('3 pr-2'!$AJ112)=2023,$CD112,0)</f>
        <v>0</v>
      </c>
      <c r="CN112" s="523"/>
      <c r="CO112" s="882"/>
      <c r="CP112" s="518"/>
      <c r="CQ112" s="518"/>
      <c r="CR112" s="518"/>
      <c r="CS112" s="518"/>
      <c r="CT112" s="518"/>
      <c r="CU112" s="518"/>
      <c r="CV112" s="518"/>
      <c r="CW112" s="1337">
        <f t="shared" si="448"/>
        <v>0</v>
      </c>
      <c r="CX112" s="524"/>
      <c r="CY112" s="504"/>
      <c r="CZ112" s="504"/>
      <c r="DA112" s="1332">
        <f>IF(YEAR('3 pr-2'!AJ112)=2017,CX112,0)</f>
        <v>0</v>
      </c>
      <c r="DB112" s="1332">
        <f>IF(YEAR('3 pr-2'!AJ112)=2018,CX112,0)</f>
        <v>0</v>
      </c>
      <c r="DC112" s="1332">
        <f>IF(YEAR('3 pr-2'!AJ112)=2019,CX112,0)</f>
        <v>0</v>
      </c>
      <c r="DD112" s="1332">
        <f>IF(YEAR('3 pr-2'!AJ112)=2020,CX112,0)</f>
        <v>0</v>
      </c>
      <c r="DE112" s="1332">
        <f>IF(YEAR('3 pr-2'!AJ112)=2021,CX112,0)</f>
        <v>0</v>
      </c>
      <c r="DF112" s="1332">
        <f>IF(YEAR('3 pr-2'!AJ112)=2022,CX112,0)</f>
        <v>0</v>
      </c>
      <c r="DG112" s="1332">
        <f>IF(YEAR('3 pr-2'!AJ112)=2023,CX112,0)</f>
        <v>0</v>
      </c>
    </row>
    <row r="113" spans="1:111" ht="61.5" thickTop="1" thickBot="1" x14ac:dyDescent="0.3">
      <c r="A113" s="518" t="str">
        <f>CONCATENATE('3 pr-2'!A113)</f>
        <v>2.1.1.2.5</v>
      </c>
      <c r="B113" s="518" t="str">
        <f>CONCATENATE('3 pr-2'!B113)</f>
        <v>R01-7725-240000-2125</v>
      </c>
      <c r="C113" s="1449" t="str">
        <f>CONCATENATE('ketv. 2lent'!B112)</f>
        <v>09.1.3-CPVA-R-725-11-0001</v>
      </c>
      <c r="D113" s="480" t="str">
        <f>CONCATENATE('3 pr-2'!D113)</f>
        <v>Neformaliojo švietimo įstaigų Lazdijų rajono savivaldybėje infrastruktūros tobulinimas</v>
      </c>
      <c r="E113" s="480" t="str">
        <f>CONCATENATE('3 pr-2'!E113)</f>
        <v>VšĮ „Lazdijų sporto centras“</v>
      </c>
      <c r="F113" s="480" t="str">
        <f>CONCATENATE('3 pr-2'!F113)</f>
        <v>Lietuvos Respublikos švietimo ir mokslo ministerija</v>
      </c>
      <c r="G113" s="480" t="str">
        <f>CONCATENATE('3 pr-2'!G113)</f>
        <v>Lazdijų rajono savivaldybė</v>
      </c>
      <c r="H113" s="518" t="str">
        <f>CONCATENATE('3 pr-2'!H113)</f>
        <v>09.13.CPVA-R-725</v>
      </c>
      <c r="I113" s="518" t="str">
        <f>CONCATENATE('3 pr-2'!I113)</f>
        <v>R</v>
      </c>
      <c r="J113" s="518" t="str">
        <f>CONCATENATE('3 pr-2'!J113)</f>
        <v>-</v>
      </c>
      <c r="K113" s="518" t="str">
        <f>CONCATENATE('3 pr-2'!K113)</f>
        <v>-</v>
      </c>
      <c r="L113" s="518" t="s">
        <v>539</v>
      </c>
      <c r="M113" s="881" t="s">
        <v>540</v>
      </c>
      <c r="N113" s="518"/>
      <c r="O113" s="518"/>
      <c r="P113" s="518"/>
      <c r="Q113" s="518"/>
      <c r="R113" s="518"/>
      <c r="S113" s="518"/>
      <c r="T113" s="518"/>
      <c r="U113" s="1335">
        <f t="shared" si="450"/>
        <v>0</v>
      </c>
      <c r="V113" s="518">
        <v>1</v>
      </c>
      <c r="W113" s="1336" t="str">
        <f>IF('ketv. 6 lent'!K113&gt;0,"1",0)</f>
        <v>1</v>
      </c>
      <c r="X113" s="518">
        <f>SUM(W113-V113)</f>
        <v>0</v>
      </c>
      <c r="Y113" s="518">
        <f>IF(YEAR('3 pr-2'!$AJ113)=2017,$V113,0)</f>
        <v>0</v>
      </c>
      <c r="Z113" s="518">
        <f>IF(YEAR('3 pr-2'!$AJ113)=2018,$V113,0)</f>
        <v>1</v>
      </c>
      <c r="AA113" s="518">
        <f>IF(YEAR('3 pr-2'!$AJ113)=2019,$V113,0)</f>
        <v>0</v>
      </c>
      <c r="AB113" s="518">
        <f>IF(YEAR('3 pr-2'!$AJ113)=2020,$V113,0)</f>
        <v>0</v>
      </c>
      <c r="AC113" s="518">
        <f>IF(YEAR('3 pr-2'!$AJ113)=2021,$V113,0)</f>
        <v>0</v>
      </c>
      <c r="AD113" s="518">
        <f>IF(YEAR('3 pr-2'!$AJ113)=2022,$V113,0)</f>
        <v>0</v>
      </c>
      <c r="AE113" s="518">
        <f>IF(YEAR('3 pr-2'!$AJ113)=2023,$V113,0)</f>
        <v>0</v>
      </c>
      <c r="AF113" s="523" t="s">
        <v>537</v>
      </c>
      <c r="AG113" s="881" t="s">
        <v>538</v>
      </c>
      <c r="AH113" s="518"/>
      <c r="AI113" s="518"/>
      <c r="AJ113" s="518"/>
      <c r="AK113" s="518"/>
      <c r="AL113" s="518"/>
      <c r="AM113" s="518"/>
      <c r="AN113" s="518"/>
      <c r="AO113" s="1337">
        <f t="shared" si="420"/>
        <v>0</v>
      </c>
      <c r="AP113" s="518">
        <v>500</v>
      </c>
      <c r="AQ113" s="1338">
        <v>500</v>
      </c>
      <c r="AR113" s="518">
        <f>SUM(AQ113-AP113)</f>
        <v>0</v>
      </c>
      <c r="AS113" s="518">
        <f>IF(YEAR('3 pr-2'!$AJ113)=2017,$AP113,0)</f>
        <v>0</v>
      </c>
      <c r="AT113" s="518">
        <f>IF(YEAR('3 pr-2'!$AJ113)=2018,$AP113,0)</f>
        <v>500</v>
      </c>
      <c r="AU113" s="518">
        <f>IF(YEAR('3 pr-2'!$AJ113)=2019,$AP113,0)</f>
        <v>0</v>
      </c>
      <c r="AV113" s="518">
        <f>IF(YEAR('3 pr-2'!$AJ113)=2020,$AP113,0)</f>
        <v>0</v>
      </c>
      <c r="AW113" s="518">
        <f>IF(YEAR('3 pr-2'!$AJ113)=2021,$AP113,0)</f>
        <v>0</v>
      </c>
      <c r="AX113" s="518">
        <f>IF(YEAR('3 pr-2'!$AJ113)=2022,$AP113,0)</f>
        <v>0</v>
      </c>
      <c r="AY113" s="518">
        <f>IF(YEAR('3 pr-2'!$AJ113)=2023,$AP113,0)</f>
        <v>0</v>
      </c>
      <c r="AZ113" s="518"/>
      <c r="BA113" s="880"/>
      <c r="BB113" s="518"/>
      <c r="BC113" s="518"/>
      <c r="BD113" s="518"/>
      <c r="BE113" s="518"/>
      <c r="BF113" s="518"/>
      <c r="BG113" s="518"/>
      <c r="BH113" s="518"/>
      <c r="BI113" s="1337">
        <f t="shared" si="434"/>
        <v>0</v>
      </c>
      <c r="BJ113" s="518"/>
      <c r="BK113" s="1338"/>
      <c r="BL113" s="518"/>
      <c r="BM113" s="518">
        <f>IF(YEAR('3 pr-2'!$AJ113)=2017,$BJ113,0)</f>
        <v>0</v>
      </c>
      <c r="BN113" s="518">
        <f>IF(YEAR('3 pr-2'!$AJ113)=2018,$BJ113,0)</f>
        <v>0</v>
      </c>
      <c r="BO113" s="518">
        <f>IF(YEAR('3 pr-2'!$AJ113)=2019,$BJ113,0)</f>
        <v>0</v>
      </c>
      <c r="BP113" s="518">
        <f>IF(YEAR('3 pr-2'!$AJ113)=2020,$BJ113,0)</f>
        <v>0</v>
      </c>
      <c r="BQ113" s="518">
        <f>IF(YEAR('3 pr-2'!$AJ113)=2021,$BJ113,0)</f>
        <v>0</v>
      </c>
      <c r="BR113" s="518">
        <f>IF(YEAR('3 pr-2'!$AJ113)=2022,$BJ113,0)</f>
        <v>0</v>
      </c>
      <c r="BS113" s="518">
        <f>IF(YEAR('3 pr-2'!$AJ113)=2023,$BJ113,0)</f>
        <v>0</v>
      </c>
      <c r="BT113" s="523"/>
      <c r="BU113" s="881"/>
      <c r="BV113" s="518"/>
      <c r="BW113" s="518"/>
      <c r="BX113" s="518"/>
      <c r="BY113" s="518"/>
      <c r="BZ113" s="518"/>
      <c r="CA113" s="518"/>
      <c r="CB113" s="518"/>
      <c r="CC113" s="1337">
        <f t="shared" si="441"/>
        <v>0</v>
      </c>
      <c r="CD113" s="518"/>
      <c r="CE113" s="518"/>
      <c r="CF113" s="518"/>
      <c r="CG113" s="518">
        <f>IF(YEAR('3 pr-2'!$AJ113)=2017,$CD113,0)</f>
        <v>0</v>
      </c>
      <c r="CH113" s="518">
        <f>IF(YEAR('3 pr-2'!$AJ113)=2018,$CD113,0)</f>
        <v>0</v>
      </c>
      <c r="CI113" s="518">
        <f>IF(YEAR('3 pr-2'!$AJ113)=2019,$CD113,0)</f>
        <v>0</v>
      </c>
      <c r="CJ113" s="518">
        <f>IF(YEAR('3 pr-2'!$AJ113)=2020,$CD113,0)</f>
        <v>0</v>
      </c>
      <c r="CK113" s="518">
        <f>IF(YEAR('3 pr-2'!$AJ113)=2021,$CD113,0)</f>
        <v>0</v>
      </c>
      <c r="CL113" s="518">
        <f>IF(YEAR('3 pr-2'!$AJ113)=2022,$CD113,0)</f>
        <v>0</v>
      </c>
      <c r="CM113" s="518">
        <f>IF(YEAR('3 pr-2'!$AJ113)=2023,$CD113,0)</f>
        <v>0</v>
      </c>
      <c r="CN113" s="523"/>
      <c r="CO113" s="882"/>
      <c r="CP113" s="518"/>
      <c r="CQ113" s="518"/>
      <c r="CR113" s="518"/>
      <c r="CS113" s="518"/>
      <c r="CT113" s="518"/>
      <c r="CU113" s="518"/>
      <c r="CV113" s="518"/>
      <c r="CW113" s="1337">
        <f t="shared" si="448"/>
        <v>0</v>
      </c>
      <c r="CX113" s="524"/>
      <c r="CY113" s="504"/>
      <c r="CZ113" s="504"/>
      <c r="DA113" s="1332">
        <f>IF(YEAR('3 pr-2'!AJ113)=2017,CX113,0)</f>
        <v>0</v>
      </c>
      <c r="DB113" s="1332">
        <f>IF(YEAR('3 pr-2'!AJ113)=2018,CX113,0)</f>
        <v>0</v>
      </c>
      <c r="DC113" s="1332">
        <f>IF(YEAR('3 pr-2'!AJ113)=2019,CX113,0)</f>
        <v>0</v>
      </c>
      <c r="DD113" s="1332">
        <f>IF(YEAR('3 pr-2'!AJ113)=2020,CX113,0)</f>
        <v>0</v>
      </c>
      <c r="DE113" s="1332">
        <f>IF(YEAR('3 pr-2'!AJ113)=2021,CX113,0)</f>
        <v>0</v>
      </c>
      <c r="DF113" s="1332">
        <f>IF(YEAR('3 pr-2'!AJ113)=2022,CX113,0)</f>
        <v>0</v>
      </c>
      <c r="DG113" s="1332">
        <f>IF(YEAR('3 pr-2'!AJ113)=2023,CX113,0)</f>
        <v>0</v>
      </c>
    </row>
    <row r="114" spans="1:111" ht="63.75" customHeight="1" thickBot="1" x14ac:dyDescent="0.3">
      <c r="A114" s="1257" t="str">
        <f>CONCATENATE('3 pr-2'!A114)</f>
        <v>2.1.1.3</v>
      </c>
      <c r="B114" s="1687" t="str">
        <f>CONCATENATE('3 pr-2'!B114)</f>
        <v>Priemonė:
Ikimokyklinio ir priešmokyklinio ugdymo prieinamumo didinimas</v>
      </c>
      <c r="C114" s="1688"/>
      <c r="D114" s="1688"/>
      <c r="E114" s="1688"/>
      <c r="F114" s="1688"/>
      <c r="G114" s="1688"/>
      <c r="H114" s="1688"/>
      <c r="I114" s="1688"/>
      <c r="J114" s="1688"/>
      <c r="K114" s="1689"/>
      <c r="L114" s="1328" t="s">
        <v>541</v>
      </c>
      <c r="M114" s="884" t="s">
        <v>542</v>
      </c>
      <c r="N114" s="1299">
        <f>SUM(N115:N119)</f>
        <v>0</v>
      </c>
      <c r="O114" s="1299">
        <f t="shared" ref="O114:T114" si="477">SUM(O115:O119)</f>
        <v>0</v>
      </c>
      <c r="P114" s="1299">
        <f t="shared" si="477"/>
        <v>0</v>
      </c>
      <c r="Q114" s="1299">
        <f t="shared" si="477"/>
        <v>0</v>
      </c>
      <c r="R114" s="1299">
        <f t="shared" si="477"/>
        <v>0</v>
      </c>
      <c r="S114" s="1299">
        <f t="shared" si="477"/>
        <v>0</v>
      </c>
      <c r="T114" s="1299">
        <f t="shared" si="477"/>
        <v>0</v>
      </c>
      <c r="U114" s="1328">
        <f t="shared" ref="U114:U119" si="478">SUM(N114:T114)</f>
        <v>0</v>
      </c>
      <c r="V114" s="1299">
        <f>SUM(V115:V119)</f>
        <v>5</v>
      </c>
      <c r="W114" s="1317"/>
      <c r="X114" s="1316"/>
      <c r="Y114" s="1299">
        <f t="shared" ref="Y114:AE114" si="479">SUM(Y115:Y119)</f>
        <v>0</v>
      </c>
      <c r="Z114" s="1299">
        <f t="shared" si="479"/>
        <v>0</v>
      </c>
      <c r="AA114" s="1299">
        <f t="shared" si="479"/>
        <v>4</v>
      </c>
      <c r="AB114" s="1299">
        <f t="shared" si="479"/>
        <v>1</v>
      </c>
      <c r="AC114" s="1299">
        <f t="shared" si="479"/>
        <v>0</v>
      </c>
      <c r="AD114" s="1299">
        <f t="shared" si="479"/>
        <v>0</v>
      </c>
      <c r="AE114" s="1299">
        <f t="shared" si="479"/>
        <v>0</v>
      </c>
      <c r="AF114" s="1316" t="s">
        <v>537</v>
      </c>
      <c r="AG114" s="1331" t="s">
        <v>538</v>
      </c>
      <c r="AH114" s="1299">
        <f>SUM(AH115:AH119)</f>
        <v>0</v>
      </c>
      <c r="AI114" s="1299">
        <f t="shared" ref="AI114" si="480">SUM(AI115:AI119)</f>
        <v>0</v>
      </c>
      <c r="AJ114" s="1299">
        <f t="shared" ref="AJ114" si="481">SUM(AJ115:AJ119)</f>
        <v>0</v>
      </c>
      <c r="AK114" s="1299">
        <f t="shared" ref="AK114" si="482">SUM(AK115:AK119)</f>
        <v>0</v>
      </c>
      <c r="AL114" s="1299">
        <f t="shared" ref="AL114" si="483">SUM(AL115:AL119)</f>
        <v>0</v>
      </c>
      <c r="AM114" s="1299">
        <f t="shared" ref="AM114" si="484">SUM(AM115:AM119)</f>
        <v>0</v>
      </c>
      <c r="AN114" s="1299">
        <f t="shared" ref="AN114" si="485">SUM(AN115:AN119)</f>
        <v>0</v>
      </c>
      <c r="AO114" s="1299">
        <f t="shared" si="420"/>
        <v>0</v>
      </c>
      <c r="AP114" s="1299">
        <f>SUM(AP115:AP119)</f>
        <v>799</v>
      </c>
      <c r="AQ114" s="1299"/>
      <c r="AR114" s="1299"/>
      <c r="AS114" s="1299">
        <f t="shared" ref="AS114" si="486">SUM(AS115:AS119)</f>
        <v>0</v>
      </c>
      <c r="AT114" s="1299">
        <f t="shared" ref="AT114" si="487">SUM(AT115:AT119)</f>
        <v>0</v>
      </c>
      <c r="AU114" s="1299">
        <f t="shared" ref="AU114" si="488">SUM(AU115:AU119)</f>
        <v>671</v>
      </c>
      <c r="AV114" s="1299">
        <f t="shared" ref="AV114" si="489">SUM(AV115:AV119)</f>
        <v>128</v>
      </c>
      <c r="AW114" s="1299">
        <f t="shared" ref="AW114" si="490">SUM(AW115:AW119)</f>
        <v>0</v>
      </c>
      <c r="AX114" s="1299">
        <f t="shared" ref="AX114" si="491">SUM(AX115:AX119)</f>
        <v>0</v>
      </c>
      <c r="AY114" s="1299">
        <f t="shared" ref="AY114" si="492">SUM(AY115:AY119)</f>
        <v>0</v>
      </c>
      <c r="AZ114" s="1299" t="s">
        <v>629</v>
      </c>
      <c r="BA114" s="1331" t="s">
        <v>630</v>
      </c>
      <c r="BB114" s="1299">
        <f>SUM(BB115:BB119)</f>
        <v>0</v>
      </c>
      <c r="BC114" s="1299">
        <f t="shared" ref="BC114" si="493">SUM(BC115:BC119)</f>
        <v>0</v>
      </c>
      <c r="BD114" s="1299">
        <f t="shared" ref="BD114" si="494">SUM(BD115:BD119)</f>
        <v>0</v>
      </c>
      <c r="BE114" s="1299">
        <f t="shared" ref="BE114" si="495">SUM(BE115:BE119)</f>
        <v>0</v>
      </c>
      <c r="BF114" s="1299">
        <f t="shared" ref="BF114" si="496">SUM(BF115:BF119)</f>
        <v>0</v>
      </c>
      <c r="BG114" s="1299">
        <f t="shared" ref="BG114" si="497">SUM(BG115:BG119)</f>
        <v>0</v>
      </c>
      <c r="BH114" s="1299">
        <f t="shared" ref="BH114" si="498">SUM(BH115:BH119)</f>
        <v>0</v>
      </c>
      <c r="BI114" s="1299">
        <f t="shared" si="434"/>
        <v>0</v>
      </c>
      <c r="BJ114" s="1299">
        <f>SUM(BJ115:BJ119)</f>
        <v>16</v>
      </c>
      <c r="BK114" s="1299"/>
      <c r="BL114" s="1299"/>
      <c r="BM114" s="1299">
        <f t="shared" ref="BM114" si="499">SUM(BM115:BM119)</f>
        <v>0</v>
      </c>
      <c r="BN114" s="1299">
        <f t="shared" ref="BN114" si="500">SUM(BN115:BN119)</f>
        <v>0</v>
      </c>
      <c r="BO114" s="1299">
        <f t="shared" ref="BO114" si="501">SUM(BO115:BO119)</f>
        <v>10</v>
      </c>
      <c r="BP114" s="1299">
        <f t="shared" ref="BP114" si="502">SUM(BP115:BP119)</f>
        <v>6</v>
      </c>
      <c r="BQ114" s="1299">
        <f t="shared" ref="BQ114" si="503">SUM(BQ115:BQ119)</f>
        <v>0</v>
      </c>
      <c r="BR114" s="1299">
        <f t="shared" ref="BR114" si="504">SUM(BR115:BR119)</f>
        <v>0</v>
      </c>
      <c r="BS114" s="1299">
        <f t="shared" ref="BS114" si="505">SUM(BS115:BS119)</f>
        <v>0</v>
      </c>
      <c r="BT114" s="1299" t="s">
        <v>837</v>
      </c>
      <c r="BU114" s="884" t="s">
        <v>838</v>
      </c>
      <c r="BV114" s="1299">
        <v>0</v>
      </c>
      <c r="BW114" s="1299">
        <v>0</v>
      </c>
      <c r="BX114" s="1299">
        <v>0</v>
      </c>
      <c r="BY114" s="1299">
        <v>0</v>
      </c>
      <c r="BZ114" s="1299">
        <v>0</v>
      </c>
      <c r="CA114" s="1299">
        <v>0</v>
      </c>
      <c r="CB114" s="1299">
        <v>0</v>
      </c>
      <c r="CC114" s="1299">
        <v>0</v>
      </c>
      <c r="CD114" s="1299">
        <f>SUM(CD115:CD119)</f>
        <v>140</v>
      </c>
      <c r="CE114" s="1299"/>
      <c r="CF114" s="1299"/>
      <c r="CG114" s="1299">
        <f t="shared" ref="CG114:CM114" si="506">SUM(CG115:CG119)</f>
        <v>0</v>
      </c>
      <c r="CH114" s="1299">
        <f t="shared" si="506"/>
        <v>0</v>
      </c>
      <c r="CI114" s="1299">
        <f t="shared" si="506"/>
        <v>79</v>
      </c>
      <c r="CJ114" s="1299">
        <f t="shared" si="506"/>
        <v>61</v>
      </c>
      <c r="CK114" s="1299">
        <f t="shared" si="506"/>
        <v>0</v>
      </c>
      <c r="CL114" s="1299">
        <f t="shared" si="506"/>
        <v>0</v>
      </c>
      <c r="CM114" s="1299">
        <f t="shared" si="506"/>
        <v>0</v>
      </c>
      <c r="CN114" s="1299"/>
      <c r="CO114" s="884"/>
      <c r="CP114" s="1299">
        <f>SUM(CP115:CP119)</f>
        <v>0</v>
      </c>
      <c r="CQ114" s="1299">
        <f t="shared" ref="CQ114" si="507">SUM(CQ115:CQ119)</f>
        <v>0</v>
      </c>
      <c r="CR114" s="1299">
        <f t="shared" ref="CR114" si="508">SUM(CR115:CR119)</f>
        <v>0</v>
      </c>
      <c r="CS114" s="1299">
        <f t="shared" ref="CS114" si="509">SUM(CS115:CS119)</f>
        <v>0</v>
      </c>
      <c r="CT114" s="1299">
        <f t="shared" ref="CT114" si="510">SUM(CT115:CT119)</f>
        <v>0</v>
      </c>
      <c r="CU114" s="1299">
        <f t="shared" ref="CU114" si="511">SUM(CU115:CU119)</f>
        <v>0</v>
      </c>
      <c r="CV114" s="1299">
        <f t="shared" ref="CV114" si="512">SUM(CV115:CV119)</f>
        <v>0</v>
      </c>
      <c r="CW114" s="1299">
        <f t="shared" si="448"/>
        <v>0</v>
      </c>
      <c r="CX114" s="1299"/>
      <c r="CY114" s="1332"/>
      <c r="CZ114" s="1332"/>
      <c r="DA114" s="1332"/>
      <c r="DB114" s="1332"/>
      <c r="DC114" s="1332"/>
      <c r="DD114" s="1332"/>
      <c r="DE114" s="1332"/>
      <c r="DF114" s="1332"/>
      <c r="DG114" s="1332"/>
    </row>
    <row r="115" spans="1:111" ht="64.5" thickTop="1" thickBot="1" x14ac:dyDescent="0.3">
      <c r="A115" s="518" t="str">
        <f>CONCATENATE('3 pr-2'!A115)</f>
        <v>2.1.1.3.1</v>
      </c>
      <c r="B115" s="518" t="str">
        <f>CONCATENATE('3 pr-2'!B115)</f>
        <v>R01-7705-230000-2131</v>
      </c>
      <c r="C115" s="1449" t="str">
        <f>CONCATENATE('ketv. 2lent'!B114)</f>
        <v>09.1.3-CPVA-R-705-11-0003</v>
      </c>
      <c r="D115" s="480" t="str">
        <f>CONCATENATE('3 pr-2'!D115)</f>
        <v>Varėnos "Pasakos" vaikų lopšelio-darželio pastato modernizavimas</v>
      </c>
      <c r="E115" s="480" t="str">
        <f>CONCATENATE('3 pr-2'!E115)</f>
        <v>Varėnos rajono savivaldybės administracija</v>
      </c>
      <c r="F115" s="480" t="str">
        <f>CONCATENATE('3 pr-2'!F115)</f>
        <v>Lietuvos Respublikos švietimo ir mokslo ministerija</v>
      </c>
      <c r="G115" s="480" t="str">
        <f>CONCATENATE('3 pr-2'!G115)</f>
        <v>Varėnos miestas</v>
      </c>
      <c r="H115" s="518" t="str">
        <f>CONCATENATE('3 pr-2'!H115)</f>
        <v>09.1.3-CPVA-R-705</v>
      </c>
      <c r="I115" s="518" t="str">
        <f>CONCATENATE('3 pr-2'!I115)</f>
        <v>R</v>
      </c>
      <c r="J115" s="518" t="str">
        <f>CONCATENATE('3 pr-2'!J115)</f>
        <v>-</v>
      </c>
      <c r="K115" s="518" t="str">
        <f>CONCATENATE('3 pr-2'!K115)</f>
        <v>-</v>
      </c>
      <c r="L115" s="518" t="s">
        <v>541</v>
      </c>
      <c r="M115" s="881" t="s">
        <v>542</v>
      </c>
      <c r="N115" s="518"/>
      <c r="O115" s="518"/>
      <c r="P115" s="518"/>
      <c r="Q115" s="518"/>
      <c r="R115" s="518"/>
      <c r="S115" s="518"/>
      <c r="T115" s="518"/>
      <c r="U115" s="1335">
        <f t="shared" si="478"/>
        <v>0</v>
      </c>
      <c r="V115" s="518">
        <v>1</v>
      </c>
      <c r="W115" s="1336">
        <f>IF('ketv. 6 lent'!K115&gt;0,"taip",0)</f>
        <v>0</v>
      </c>
      <c r="X115" s="518"/>
      <c r="Y115" s="518">
        <f>IF(YEAR('3 pr-2'!$AJ115)=2017,$V115,0)</f>
        <v>0</v>
      </c>
      <c r="Z115" s="518">
        <f>IF(YEAR('3 pr-2'!$AJ115)=2018,$V115,0)</f>
        <v>0</v>
      </c>
      <c r="AA115" s="518">
        <f>IF(YEAR('3 pr-2'!$AJ115)=2019,$V115,0)</f>
        <v>1</v>
      </c>
      <c r="AB115" s="518">
        <f>IF(YEAR('3 pr-2'!$AJ115)=2020,$V115,0)</f>
        <v>0</v>
      </c>
      <c r="AC115" s="518">
        <f>IF(YEAR('3 pr-2'!$AJ115)=2021,$V115,0)</f>
        <v>0</v>
      </c>
      <c r="AD115" s="518">
        <f>IF(YEAR('3 pr-2'!$AJ115)=2022,$V115,0)</f>
        <v>0</v>
      </c>
      <c r="AE115" s="518">
        <f>IF(YEAR('3 pr-2'!$AJ115)=2023,$V115,0)</f>
        <v>0</v>
      </c>
      <c r="AF115" s="523" t="s">
        <v>537</v>
      </c>
      <c r="AG115" s="881" t="s">
        <v>538</v>
      </c>
      <c r="AH115" s="518"/>
      <c r="AI115" s="518"/>
      <c r="AJ115" s="518"/>
      <c r="AK115" s="518"/>
      <c r="AL115" s="518"/>
      <c r="AM115" s="518"/>
      <c r="AN115" s="518"/>
      <c r="AO115" s="1337">
        <f t="shared" si="420"/>
        <v>0</v>
      </c>
      <c r="AP115" s="518">
        <v>205</v>
      </c>
      <c r="AQ115" s="1338"/>
      <c r="AR115" s="518"/>
      <c r="AS115" s="518">
        <f>IF(YEAR('3 pr-2'!$AJ115)=2017,$AP115,0)</f>
        <v>0</v>
      </c>
      <c r="AT115" s="518">
        <f>IF(YEAR('3 pr-2'!$AJ115)=2018,$AP115,0)</f>
        <v>0</v>
      </c>
      <c r="AU115" s="518">
        <f>IF(YEAR('3 pr-2'!$AJ115)=2019,$AP115,0)</f>
        <v>205</v>
      </c>
      <c r="AV115" s="518">
        <f>IF(YEAR('3 pr-2'!$AJ115)=2020,$AP115,0)</f>
        <v>0</v>
      </c>
      <c r="AW115" s="518">
        <f>IF(YEAR('3 pr-2'!$AJ115)=2021,$AP115,0)</f>
        <v>0</v>
      </c>
      <c r="AX115" s="518">
        <f>IF(YEAR('3 pr-2'!$AJ115)=2022,$AP115,0)</f>
        <v>0</v>
      </c>
      <c r="AY115" s="518">
        <f>IF(YEAR('3 pr-2'!$AJ115)=2023,$AP115,0)</f>
        <v>0</v>
      </c>
      <c r="AZ115" s="518" t="s">
        <v>629</v>
      </c>
      <c r="BA115" s="880" t="s">
        <v>630</v>
      </c>
      <c r="BB115" s="518"/>
      <c r="BC115" s="518"/>
      <c r="BD115" s="518"/>
      <c r="BE115" s="518"/>
      <c r="BF115" s="518"/>
      <c r="BG115" s="518"/>
      <c r="BH115" s="518"/>
      <c r="BI115" s="1337">
        <f t="shared" si="434"/>
        <v>0</v>
      </c>
      <c r="BJ115" s="518">
        <v>2</v>
      </c>
      <c r="BK115" s="1338"/>
      <c r="BL115" s="518"/>
      <c r="BM115" s="518">
        <f>IF(YEAR('3 pr-2'!$AJ115)=2017,$BJ115,0)</f>
        <v>0</v>
      </c>
      <c r="BN115" s="518">
        <f>IF(YEAR('3 pr-2'!$AJ115)=2018,$BJ115,0)</f>
        <v>0</v>
      </c>
      <c r="BO115" s="518">
        <f>IF(YEAR('3 pr-2'!$AJ115)=2019,$BJ115,0)</f>
        <v>2</v>
      </c>
      <c r="BP115" s="518">
        <f>IF(YEAR('3 pr-2'!$AJ115)=2020,$BJ115,0)</f>
        <v>0</v>
      </c>
      <c r="BQ115" s="518">
        <f>IF(YEAR('3 pr-2'!$AJ115)=2021,$BJ115,0)</f>
        <v>0</v>
      </c>
      <c r="BR115" s="518">
        <f>IF(YEAR('3 pr-2'!$AJ115)=2022,$BJ115,0)</f>
        <v>0</v>
      </c>
      <c r="BS115" s="518">
        <f>IF(YEAR('3 pr-2'!$AJ115)=2023,$BJ115,0)</f>
        <v>0</v>
      </c>
      <c r="BT115" s="523" t="s">
        <v>837</v>
      </c>
      <c r="BU115" s="881" t="s">
        <v>838</v>
      </c>
      <c r="BV115" s="518"/>
      <c r="BW115" s="518"/>
      <c r="BX115" s="518"/>
      <c r="BY115" s="518"/>
      <c r="BZ115" s="518"/>
      <c r="CA115" s="518"/>
      <c r="CB115" s="518"/>
      <c r="CC115" s="1337">
        <v>0</v>
      </c>
      <c r="CD115" s="518">
        <v>35</v>
      </c>
      <c r="CE115" s="518"/>
      <c r="CF115" s="518"/>
      <c r="CG115" s="518">
        <f>IF(YEAR('3 pr-2'!$AJ115)=2017,$CD115,0)</f>
        <v>0</v>
      </c>
      <c r="CH115" s="518">
        <f>IF(YEAR('3 pr-2'!$AJ115)=2018,$CD115,0)</f>
        <v>0</v>
      </c>
      <c r="CI115" s="518">
        <f>IF(YEAR('3 pr-2'!$AJ115)=2019,$CD115,0)</f>
        <v>35</v>
      </c>
      <c r="CJ115" s="518">
        <f>IF(YEAR('3 pr-2'!$AJ115)=2020,$CD115,0)</f>
        <v>0</v>
      </c>
      <c r="CK115" s="518">
        <f>IF(YEAR('3 pr-2'!$AJ115)=2021,$CD115,0)</f>
        <v>0</v>
      </c>
      <c r="CL115" s="518">
        <f>IF(YEAR('3 pr-2'!$AJ115)=2022,$CD115,0)</f>
        <v>0</v>
      </c>
      <c r="CM115" s="518">
        <f>IF(YEAR('3 pr-2'!$AJ115)=2023,$CD115,0)</f>
        <v>0</v>
      </c>
      <c r="CN115" s="523"/>
      <c r="CO115" s="882"/>
      <c r="CP115" s="518"/>
      <c r="CQ115" s="518"/>
      <c r="CR115" s="518"/>
      <c r="CS115" s="518"/>
      <c r="CT115" s="518"/>
      <c r="CU115" s="518"/>
      <c r="CV115" s="518"/>
      <c r="CW115" s="1337">
        <f t="shared" si="448"/>
        <v>0</v>
      </c>
      <c r="CX115" s="524"/>
      <c r="CY115" s="504"/>
      <c r="CZ115" s="504"/>
      <c r="DA115" s="1332">
        <f>IF(YEAR('3 pr-2'!AJ115)=2017,CX115,0)</f>
        <v>0</v>
      </c>
      <c r="DB115" s="1332">
        <f>IF(YEAR('3 pr-2'!AJ115)=2018,CX115,0)</f>
        <v>0</v>
      </c>
      <c r="DC115" s="1332">
        <f>IF(YEAR('3 pr-2'!AJ115)=2019,CX115,0)</f>
        <v>0</v>
      </c>
      <c r="DD115" s="1332">
        <f>IF(YEAR('3 pr-2'!AJ115)=2020,CX115,0)</f>
        <v>0</v>
      </c>
      <c r="DE115" s="1332">
        <f>IF(YEAR('3 pr-2'!AJ115)=2021,CX115,0)</f>
        <v>0</v>
      </c>
      <c r="DF115" s="1332">
        <f>IF(YEAR('3 pr-2'!AJ115)=2022,CX115,0)</f>
        <v>0</v>
      </c>
      <c r="DG115" s="1332">
        <f>IF(YEAR('3 pr-2'!AJ115)=2023,CX115,0)</f>
        <v>0</v>
      </c>
    </row>
    <row r="116" spans="1:111" ht="85.5" thickTop="1" thickBot="1" x14ac:dyDescent="0.3">
      <c r="A116" s="518" t="str">
        <f>CONCATENATE('3 pr-2'!A116)</f>
        <v>2.1.1.3.2</v>
      </c>
      <c r="B116" s="518" t="str">
        <f>CONCATENATE('3 pr-2'!B116)</f>
        <v>R01-7705-230000-2132</v>
      </c>
      <c r="C116" s="1449" t="str">
        <f>CONCATENATE('ketv. 2lent'!B115)</f>
        <v>09.1.3-CPVA-R-705-11-0004</v>
      </c>
      <c r="D116" s="480" t="str">
        <f>CONCATENATE('3 pr-2'!D116)</f>
        <v>Alytaus r. ikimokyklinio ir priešmokyklinio ugdymo prieinamumo didinimas įkuriant ir atnaujinant edukacines erdves</v>
      </c>
      <c r="E116" s="480" t="str">
        <f>CONCATENATE('3 pr-2'!E116)</f>
        <v>Alytaus rajono savivaldybės administracija</v>
      </c>
      <c r="F116" s="480" t="str">
        <f>CONCATENATE('3 pr-2'!F116)</f>
        <v>Lietuvos Respublikos švietimo ir mokslo ministerija</v>
      </c>
      <c r="G116" s="480" t="str">
        <f>CONCATENATE('3 pr-2'!G116)</f>
        <v>Alytaus  rajono savivaldybė</v>
      </c>
      <c r="H116" s="518" t="str">
        <f>CONCATENATE('3 pr-2'!H116)</f>
        <v>09.1.3-CPVA-R-705</v>
      </c>
      <c r="I116" s="518" t="str">
        <f>CONCATENATE('3 pr-2'!I116)</f>
        <v>R</v>
      </c>
      <c r="J116" s="518" t="str">
        <f>CONCATENATE('3 pr-2'!J116)</f>
        <v/>
      </c>
      <c r="K116" s="518" t="str">
        <f>CONCATENATE('3 pr-2'!K116)</f>
        <v/>
      </c>
      <c r="L116" s="518" t="s">
        <v>541</v>
      </c>
      <c r="M116" s="881" t="s">
        <v>542</v>
      </c>
      <c r="N116" s="518"/>
      <c r="O116" s="518"/>
      <c r="P116" s="518"/>
      <c r="Q116" s="518"/>
      <c r="R116" s="518"/>
      <c r="S116" s="518"/>
      <c r="T116" s="518"/>
      <c r="U116" s="1335">
        <f t="shared" si="478"/>
        <v>0</v>
      </c>
      <c r="V116" s="518">
        <v>1</v>
      </c>
      <c r="W116" s="1336">
        <f>IF('ketv. 6 lent'!K116&gt;0,"taip",0)</f>
        <v>0</v>
      </c>
      <c r="X116" s="518"/>
      <c r="Y116" s="518">
        <f>IF(YEAR('3 pr-2'!$AJ116)=2017,$V116,0)</f>
        <v>0</v>
      </c>
      <c r="Z116" s="518">
        <f>IF(YEAR('3 pr-2'!$AJ116)=2018,$V116,0)</f>
        <v>0</v>
      </c>
      <c r="AA116" s="518">
        <f>IF(YEAR('3 pr-2'!$AJ116)=2019,$V116,0)</f>
        <v>0</v>
      </c>
      <c r="AB116" s="518">
        <f>IF(YEAR('3 pr-2'!$AJ116)=2020,$V116,0)</f>
        <v>1</v>
      </c>
      <c r="AC116" s="518">
        <f>IF(YEAR('3 pr-2'!$AJ116)=2021,$V116,0)</f>
        <v>0</v>
      </c>
      <c r="AD116" s="518">
        <f>IF(YEAR('3 pr-2'!$AJ116)=2022,$V116,0)</f>
        <v>0</v>
      </c>
      <c r="AE116" s="518">
        <f>IF(YEAR('3 pr-2'!$AJ116)=2023,$V116,0)</f>
        <v>0</v>
      </c>
      <c r="AF116" s="523" t="s">
        <v>537</v>
      </c>
      <c r="AG116" s="881" t="s">
        <v>538</v>
      </c>
      <c r="AH116" s="518"/>
      <c r="AI116" s="518"/>
      <c r="AJ116" s="518"/>
      <c r="AK116" s="518"/>
      <c r="AL116" s="518"/>
      <c r="AM116" s="518"/>
      <c r="AN116" s="518"/>
      <c r="AO116" s="1337">
        <f t="shared" si="420"/>
        <v>0</v>
      </c>
      <c r="AP116" s="518">
        <v>128</v>
      </c>
      <c r="AQ116" s="1338"/>
      <c r="AR116" s="518"/>
      <c r="AS116" s="518">
        <f>IF(YEAR('3 pr-2'!$AJ116)=2017,$AP116,0)</f>
        <v>0</v>
      </c>
      <c r="AT116" s="518">
        <f>IF(YEAR('3 pr-2'!$AJ116)=2018,$AP116,0)</f>
        <v>0</v>
      </c>
      <c r="AU116" s="518">
        <f>IF(YEAR('3 pr-2'!$AJ116)=2019,$AP116,0)</f>
        <v>0</v>
      </c>
      <c r="AV116" s="518">
        <f>IF(YEAR('3 pr-2'!$AJ116)=2020,$AP116,0)</f>
        <v>128</v>
      </c>
      <c r="AW116" s="518">
        <f>IF(YEAR('3 pr-2'!$AJ116)=2021,$AP116,0)</f>
        <v>0</v>
      </c>
      <c r="AX116" s="518">
        <f>IF(YEAR('3 pr-2'!$AJ116)=2022,$AP116,0)</f>
        <v>0</v>
      </c>
      <c r="AY116" s="518">
        <f>IF(YEAR('3 pr-2'!$AJ116)=2023,$AP116,0)</f>
        <v>0</v>
      </c>
      <c r="AZ116" s="518" t="s">
        <v>629</v>
      </c>
      <c r="BA116" s="880" t="s">
        <v>630</v>
      </c>
      <c r="BB116" s="518"/>
      <c r="BC116" s="518"/>
      <c r="BD116" s="518"/>
      <c r="BE116" s="518"/>
      <c r="BF116" s="518"/>
      <c r="BG116" s="518"/>
      <c r="BH116" s="518"/>
      <c r="BI116" s="1337">
        <f t="shared" si="434"/>
        <v>0</v>
      </c>
      <c r="BJ116" s="518">
        <v>6</v>
      </c>
      <c r="BK116" s="1338"/>
      <c r="BL116" s="518"/>
      <c r="BM116" s="518">
        <f>IF(YEAR('3 pr-2'!$AJ116)=2017,$BJ116,0)</f>
        <v>0</v>
      </c>
      <c r="BN116" s="518">
        <f>IF(YEAR('3 pr-2'!$AJ116)=2018,$BJ116,0)</f>
        <v>0</v>
      </c>
      <c r="BO116" s="518">
        <f>IF(YEAR('3 pr-2'!$AJ116)=2019,$BJ116,0)</f>
        <v>0</v>
      </c>
      <c r="BP116" s="518">
        <f>IF(YEAR('3 pr-2'!$AJ116)=2020,$BJ116,0)</f>
        <v>6</v>
      </c>
      <c r="BQ116" s="518">
        <f>IF(YEAR('3 pr-2'!$AJ116)=2021,$BJ116,0)</f>
        <v>0</v>
      </c>
      <c r="BR116" s="518">
        <f>IF(YEAR('3 pr-2'!$AJ116)=2022,$BJ116,0)</f>
        <v>0</v>
      </c>
      <c r="BS116" s="518">
        <f>IF(YEAR('3 pr-2'!$AJ116)=2023,$BJ116,0)</f>
        <v>0</v>
      </c>
      <c r="BT116" s="523" t="s">
        <v>837</v>
      </c>
      <c r="BU116" s="881" t="s">
        <v>838</v>
      </c>
      <c r="BV116" s="518"/>
      <c r="BW116" s="518"/>
      <c r="BX116" s="518"/>
      <c r="BY116" s="518"/>
      <c r="BZ116" s="518"/>
      <c r="CA116" s="518"/>
      <c r="CB116" s="518"/>
      <c r="CC116" s="1337">
        <v>0</v>
      </c>
      <c r="CD116" s="518">
        <v>61</v>
      </c>
      <c r="CE116" s="518"/>
      <c r="CF116" s="518"/>
      <c r="CG116" s="518">
        <f>IF(YEAR('3 pr-2'!$AJ116)=2017,$CD116,0)</f>
        <v>0</v>
      </c>
      <c r="CH116" s="518">
        <f>IF(YEAR('3 pr-2'!$AJ116)=2018,$CD116,0)</f>
        <v>0</v>
      </c>
      <c r="CI116" s="518">
        <f>IF(YEAR('3 pr-2'!$AJ116)=2019,$CD116,0)</f>
        <v>0</v>
      </c>
      <c r="CJ116" s="518">
        <f>IF(YEAR('3 pr-2'!$AJ116)=2020,$CD116,0)</f>
        <v>61</v>
      </c>
      <c r="CK116" s="518">
        <f>IF(YEAR('3 pr-2'!$AJ116)=2021,$CD116,0)</f>
        <v>0</v>
      </c>
      <c r="CL116" s="518">
        <f>IF(YEAR('3 pr-2'!$AJ116)=2022,$CD116,0)</f>
        <v>0</v>
      </c>
      <c r="CM116" s="518">
        <f>IF(YEAR('3 pr-2'!$AJ116)=2023,$CD116,0)</f>
        <v>0</v>
      </c>
      <c r="CN116" s="523"/>
      <c r="CO116" s="882"/>
      <c r="CP116" s="518"/>
      <c r="CQ116" s="518"/>
      <c r="CR116" s="518"/>
      <c r="CS116" s="518"/>
      <c r="CT116" s="518"/>
      <c r="CU116" s="518"/>
      <c r="CV116" s="518"/>
      <c r="CW116" s="1337">
        <f t="shared" si="448"/>
        <v>0</v>
      </c>
      <c r="CX116" s="524"/>
      <c r="CY116" s="504"/>
      <c r="CZ116" s="504"/>
      <c r="DA116" s="1332">
        <f>IF(YEAR('3 pr-2'!AJ116)=2017,CX116,0)</f>
        <v>0</v>
      </c>
      <c r="DB116" s="1332">
        <f>IF(YEAR('3 pr-2'!AJ116)=2018,CX116,0)</f>
        <v>0</v>
      </c>
      <c r="DC116" s="1332">
        <f>IF(YEAR('3 pr-2'!AJ116)=2019,CX116,0)</f>
        <v>0</v>
      </c>
      <c r="DD116" s="1332">
        <f>IF(YEAR('3 pr-2'!AJ116)=2020,CX116,0)</f>
        <v>0</v>
      </c>
      <c r="DE116" s="1332">
        <f>IF(YEAR('3 pr-2'!AJ116)=2021,CX116,0)</f>
        <v>0</v>
      </c>
      <c r="DF116" s="1332">
        <f>IF(YEAR('3 pr-2'!AJ116)=2022,CX116,0)</f>
        <v>0</v>
      </c>
      <c r="DG116" s="1332">
        <f>IF(YEAR('3 pr-2'!AJ116)=2023,CX116,0)</f>
        <v>0</v>
      </c>
    </row>
    <row r="117" spans="1:111" ht="64.5" thickTop="1" thickBot="1" x14ac:dyDescent="0.3">
      <c r="A117" s="518" t="str">
        <f>CONCATENATE('3 pr-2'!A117)</f>
        <v>2.1.1.3.3</v>
      </c>
      <c r="B117" s="518" t="str">
        <f>CONCATENATE('3 pr-2'!B117)</f>
        <v>R01-7705-230000-2133</v>
      </c>
      <c r="C117" s="1449" t="str">
        <f>CONCATENATE('ketv. 2lent'!B116)</f>
        <v>09.1.3-CPVA-R-705-11-0001</v>
      </c>
      <c r="D117" s="480" t="str">
        <f>CONCATENATE('3 pr-2'!D117)</f>
        <v>Alytaus lopšelio-darželio " Girinukas" ugdymo aplinkos modernizavimas</v>
      </c>
      <c r="E117" s="480" t="str">
        <f>CONCATENATE('3 pr-2'!E117)</f>
        <v>Alytaus miesto savivaldybės administracija</v>
      </c>
      <c r="F117" s="480" t="str">
        <f>CONCATENATE('3 pr-2'!F117)</f>
        <v>Lietuvos Respublikos švietimo ir mokslo ministerija</v>
      </c>
      <c r="G117" s="480" t="str">
        <f>CONCATENATE('3 pr-2'!G117)</f>
        <v>Alytaus  miestas</v>
      </c>
      <c r="H117" s="518" t="str">
        <f>CONCATENATE('3 pr-2'!H117)</f>
        <v>09.1.3-CPVA-R-705</v>
      </c>
      <c r="I117" s="518" t="str">
        <f>CONCATENATE('3 pr-2'!I117)</f>
        <v>R</v>
      </c>
      <c r="J117" s="518" t="str">
        <f>CONCATENATE('3 pr-2'!J117)</f>
        <v>-</v>
      </c>
      <c r="K117" s="518" t="str">
        <f>CONCATENATE('3 pr-2'!K117)</f>
        <v>-</v>
      </c>
      <c r="L117" s="518" t="s">
        <v>541</v>
      </c>
      <c r="M117" s="881" t="s">
        <v>542</v>
      </c>
      <c r="N117" s="518"/>
      <c r="O117" s="518"/>
      <c r="P117" s="518"/>
      <c r="Q117" s="518"/>
      <c r="R117" s="518"/>
      <c r="S117" s="518"/>
      <c r="T117" s="518"/>
      <c r="U117" s="1335">
        <f t="shared" si="478"/>
        <v>0</v>
      </c>
      <c r="V117" s="518">
        <v>1</v>
      </c>
      <c r="W117" s="1336">
        <f>IF('ketv. 6 lent'!K117&gt;0,"taip",0)</f>
        <v>0</v>
      </c>
      <c r="X117" s="518"/>
      <c r="Y117" s="518">
        <f>IF(YEAR('3 pr-2'!$AJ117)=2017,$V117,0)</f>
        <v>0</v>
      </c>
      <c r="Z117" s="518">
        <f>IF(YEAR('3 pr-2'!$AJ117)=2018,$V117,0)</f>
        <v>0</v>
      </c>
      <c r="AA117" s="518">
        <f>IF(YEAR('3 pr-2'!$AJ117)=2019,$V117,0)</f>
        <v>1</v>
      </c>
      <c r="AB117" s="518">
        <f>IF(YEAR('3 pr-2'!$AJ117)=2020,$V117,0)</f>
        <v>0</v>
      </c>
      <c r="AC117" s="518">
        <f>IF(YEAR('3 pr-2'!$AJ117)=2021,$V117,0)</f>
        <v>0</v>
      </c>
      <c r="AD117" s="518">
        <f>IF(YEAR('3 pr-2'!$AJ117)=2022,$V117,0)</f>
        <v>0</v>
      </c>
      <c r="AE117" s="518">
        <f>IF(YEAR('3 pr-2'!$AJ117)=2023,$V117,0)</f>
        <v>0</v>
      </c>
      <c r="AF117" s="523" t="s">
        <v>537</v>
      </c>
      <c r="AG117" s="881" t="s">
        <v>538</v>
      </c>
      <c r="AH117" s="518"/>
      <c r="AI117" s="518"/>
      <c r="AJ117" s="518"/>
      <c r="AK117" s="518"/>
      <c r="AL117" s="518"/>
      <c r="AM117" s="518"/>
      <c r="AN117" s="518"/>
      <c r="AO117" s="1337">
        <f t="shared" si="420"/>
        <v>0</v>
      </c>
      <c r="AP117" s="518">
        <v>221</v>
      </c>
      <c r="AQ117" s="1338"/>
      <c r="AR117" s="518"/>
      <c r="AS117" s="518">
        <f>IF(YEAR('3 pr-2'!$AJ117)=2017,$AP117,0)</f>
        <v>0</v>
      </c>
      <c r="AT117" s="518">
        <f>IF(YEAR('3 pr-2'!$AJ117)=2018,$AP117,0)</f>
        <v>0</v>
      </c>
      <c r="AU117" s="518">
        <f>IF(YEAR('3 pr-2'!$AJ117)=2019,$AP117,0)</f>
        <v>221</v>
      </c>
      <c r="AV117" s="518">
        <f>IF(YEAR('3 pr-2'!$AJ117)=2020,$AP117,0)</f>
        <v>0</v>
      </c>
      <c r="AW117" s="518">
        <f>IF(YEAR('3 pr-2'!$AJ117)=2021,$AP117,0)</f>
        <v>0</v>
      </c>
      <c r="AX117" s="518">
        <f>IF(YEAR('3 pr-2'!$AJ117)=2022,$AP117,0)</f>
        <v>0</v>
      </c>
      <c r="AY117" s="518">
        <f>IF(YEAR('3 pr-2'!$AJ117)=2023,$AP117,0)</f>
        <v>0</v>
      </c>
      <c r="AZ117" s="518" t="s">
        <v>629</v>
      </c>
      <c r="BA117" s="880" t="s">
        <v>630</v>
      </c>
      <c r="BB117" s="518"/>
      <c r="BC117" s="518"/>
      <c r="BD117" s="518"/>
      <c r="BE117" s="518"/>
      <c r="BF117" s="518"/>
      <c r="BG117" s="518"/>
      <c r="BH117" s="518"/>
      <c r="BI117" s="1337">
        <f t="shared" si="434"/>
        <v>0</v>
      </c>
      <c r="BJ117" s="518">
        <v>3</v>
      </c>
      <c r="BK117" s="1338"/>
      <c r="BL117" s="518"/>
      <c r="BM117" s="518">
        <f>IF(YEAR('3 pr-2'!$AJ117)=2017,$BJ117,0)</f>
        <v>0</v>
      </c>
      <c r="BN117" s="518">
        <f>IF(YEAR('3 pr-2'!$AJ117)=2018,$BJ117,0)</f>
        <v>0</v>
      </c>
      <c r="BO117" s="518">
        <f>IF(YEAR('3 pr-2'!$AJ117)=2019,$BJ117,0)</f>
        <v>3</v>
      </c>
      <c r="BP117" s="518">
        <f>IF(YEAR('3 pr-2'!$AJ117)=2020,$BJ117,0)</f>
        <v>0</v>
      </c>
      <c r="BQ117" s="518">
        <f>IF(YEAR('3 pr-2'!$AJ117)=2021,$BJ117,0)</f>
        <v>0</v>
      </c>
      <c r="BR117" s="518">
        <f>IF(YEAR('3 pr-2'!$AJ117)=2022,$BJ117,0)</f>
        <v>0</v>
      </c>
      <c r="BS117" s="518">
        <f>IF(YEAR('3 pr-2'!$AJ117)=2023,$BJ117,0)</f>
        <v>0</v>
      </c>
      <c r="BT117" s="523" t="s">
        <v>837</v>
      </c>
      <c r="BU117" s="881" t="s">
        <v>838</v>
      </c>
      <c r="BV117" s="518"/>
      <c r="BW117" s="518"/>
      <c r="BX117" s="518"/>
      <c r="BY117" s="518"/>
      <c r="BZ117" s="518"/>
      <c r="CA117" s="518"/>
      <c r="CB117" s="518"/>
      <c r="CC117" s="1337">
        <v>0</v>
      </c>
      <c r="CD117" s="518">
        <v>19</v>
      </c>
      <c r="CE117" s="518"/>
      <c r="CF117" s="518"/>
      <c r="CG117" s="518">
        <f>IF(YEAR('3 pr-2'!$AJ117)=2017,$CD117,0)</f>
        <v>0</v>
      </c>
      <c r="CH117" s="518">
        <f>IF(YEAR('3 pr-2'!$AJ117)=2018,$CD117,0)</f>
        <v>0</v>
      </c>
      <c r="CI117" s="518">
        <f>IF(YEAR('3 pr-2'!$AJ117)=2019,$CD117,0)</f>
        <v>19</v>
      </c>
      <c r="CJ117" s="518">
        <f>IF(YEAR('3 pr-2'!$AJ117)=2020,$CD117,0)</f>
        <v>0</v>
      </c>
      <c r="CK117" s="518">
        <f>IF(YEAR('3 pr-2'!$AJ117)=2021,$CD117,0)</f>
        <v>0</v>
      </c>
      <c r="CL117" s="518">
        <f>IF(YEAR('3 pr-2'!$AJ117)=2022,$CD117,0)</f>
        <v>0</v>
      </c>
      <c r="CM117" s="518">
        <f>IF(YEAR('3 pr-2'!$AJ117)=2023,$CD117,0)</f>
        <v>0</v>
      </c>
      <c r="CN117" s="523"/>
      <c r="CO117" s="882"/>
      <c r="CP117" s="518"/>
      <c r="CQ117" s="518"/>
      <c r="CR117" s="518"/>
      <c r="CS117" s="518"/>
      <c r="CT117" s="518"/>
      <c r="CU117" s="518"/>
      <c r="CV117" s="518"/>
      <c r="CW117" s="1337">
        <f t="shared" si="448"/>
        <v>0</v>
      </c>
      <c r="CX117" s="524"/>
      <c r="CY117" s="504"/>
      <c r="CZ117" s="504"/>
      <c r="DA117" s="1332">
        <f>IF(YEAR('3 pr-2'!AJ117)=2017,CX117,0)</f>
        <v>0</v>
      </c>
      <c r="DB117" s="1332">
        <f>IF(YEAR('3 pr-2'!AJ117)=2018,CX117,0)</f>
        <v>0</v>
      </c>
      <c r="DC117" s="1332">
        <f>IF(YEAR('3 pr-2'!AJ117)=2019,CX117,0)</f>
        <v>0</v>
      </c>
      <c r="DD117" s="1332">
        <f>IF(YEAR('3 pr-2'!AJ117)=2020,CX117,0)</f>
        <v>0</v>
      </c>
      <c r="DE117" s="1332">
        <f>IF(YEAR('3 pr-2'!AJ117)=2021,CX117,0)</f>
        <v>0</v>
      </c>
      <c r="DF117" s="1332">
        <f>IF(YEAR('3 pr-2'!AJ117)=2022,CX117,0)</f>
        <v>0</v>
      </c>
      <c r="DG117" s="1332">
        <f>IF(YEAR('3 pr-2'!AJ117)=2023,CX117,0)</f>
        <v>0</v>
      </c>
    </row>
    <row r="118" spans="1:111" ht="73.5" thickTop="1" thickBot="1" x14ac:dyDescent="0.3">
      <c r="A118" s="518" t="str">
        <f>CONCATENATE('3 pr-2'!A118)</f>
        <v>2.1.1.3.4</v>
      </c>
      <c r="B118" s="518" t="str">
        <f>CONCATENATE('3 pr-2'!B118)</f>
        <v>R01-7705-230000-2134</v>
      </c>
      <c r="C118" s="1449" t="str">
        <f>CONCATENATE('ketv. 2lent'!B117)</f>
        <v>09.1.3-CPVA-R-705-11-0005</v>
      </c>
      <c r="D118" s="480" t="str">
        <f>CONCATENATE('3 pr-2'!D118)</f>
        <v>Druskininkų sav. Viečiūnų progimnazijos ikimokyklinio ugdymo skyriaus „Linelis“ ugdymo prieinamumo didinimas</v>
      </c>
      <c r="E118" s="480" t="str">
        <f>CONCATENATE('3 pr-2'!E118)</f>
        <v xml:space="preserve">Druskininkų savivaldybės administracija  </v>
      </c>
      <c r="F118" s="480" t="str">
        <f>CONCATENATE('3 pr-2'!F118)</f>
        <v>Lietuvos Respublikos švietimo ir mokslo ministerija</v>
      </c>
      <c r="G118" s="480" t="str">
        <f>CONCATENATE('3 pr-2'!G118)</f>
        <v>Druskininkų savivaldybė</v>
      </c>
      <c r="H118" s="518" t="str">
        <f>CONCATENATE('3 pr-2'!H118)</f>
        <v>09.1.3-CPVA-R-705</v>
      </c>
      <c r="I118" s="518" t="str">
        <f>CONCATENATE('3 pr-2'!I118)</f>
        <v>R</v>
      </c>
      <c r="J118" s="518" t="str">
        <f>CONCATENATE('3 pr-2'!J118)</f>
        <v>-</v>
      </c>
      <c r="K118" s="518" t="str">
        <f>CONCATENATE('3 pr-2'!K118)</f>
        <v>-</v>
      </c>
      <c r="L118" s="518" t="s">
        <v>541</v>
      </c>
      <c r="M118" s="881" t="s">
        <v>542</v>
      </c>
      <c r="N118" s="518"/>
      <c r="O118" s="518"/>
      <c r="P118" s="518"/>
      <c r="Q118" s="518"/>
      <c r="R118" s="518"/>
      <c r="S118" s="518"/>
      <c r="T118" s="518"/>
      <c r="U118" s="1335">
        <f t="shared" si="478"/>
        <v>0</v>
      </c>
      <c r="V118" s="518">
        <v>1</v>
      </c>
      <c r="W118" s="1336">
        <f>IF('ketv. 6 lent'!K118&gt;0,"taip",0)</f>
        <v>0</v>
      </c>
      <c r="X118" s="518"/>
      <c r="Y118" s="518">
        <f>IF(YEAR('3 pr-2'!$AJ118)=2017,$V118,0)</f>
        <v>0</v>
      </c>
      <c r="Z118" s="518">
        <f>IF(YEAR('3 pr-2'!$AJ118)=2018,$V118,0)</f>
        <v>0</v>
      </c>
      <c r="AA118" s="518">
        <f>IF(YEAR('3 pr-2'!$AJ118)=2019,$V118,0)</f>
        <v>1</v>
      </c>
      <c r="AB118" s="518">
        <f>IF(YEAR('3 pr-2'!$AJ118)=2020,$V118,0)</f>
        <v>0</v>
      </c>
      <c r="AC118" s="518">
        <f>IF(YEAR('3 pr-2'!$AJ118)=2021,$V118,0)</f>
        <v>0</v>
      </c>
      <c r="AD118" s="518">
        <f>IF(YEAR('3 pr-2'!$AJ118)=2022,$V118,0)</f>
        <v>0</v>
      </c>
      <c r="AE118" s="518">
        <f>IF(YEAR('3 pr-2'!$AJ118)=2023,$V118,0)</f>
        <v>0</v>
      </c>
      <c r="AF118" s="523" t="s">
        <v>537</v>
      </c>
      <c r="AG118" s="881" t="s">
        <v>538</v>
      </c>
      <c r="AH118" s="518"/>
      <c r="AI118" s="518"/>
      <c r="AJ118" s="518"/>
      <c r="AK118" s="518"/>
      <c r="AL118" s="518"/>
      <c r="AM118" s="518"/>
      <c r="AN118" s="518"/>
      <c r="AO118" s="1337">
        <f t="shared" si="420"/>
        <v>0</v>
      </c>
      <c r="AP118" s="518">
        <v>85</v>
      </c>
      <c r="AQ118" s="1338"/>
      <c r="AR118" s="518"/>
      <c r="AS118" s="518">
        <f>IF(YEAR('3 pr-2'!$AJ118)=2017,$AP118,0)</f>
        <v>0</v>
      </c>
      <c r="AT118" s="518">
        <f>IF(YEAR('3 pr-2'!$AJ118)=2018,$AP118,0)</f>
        <v>0</v>
      </c>
      <c r="AU118" s="518">
        <f>IF(YEAR('3 pr-2'!$AJ118)=2019,$AP118,0)</f>
        <v>85</v>
      </c>
      <c r="AV118" s="518">
        <f>IF(YEAR('3 pr-2'!$AJ118)=2020,$AP118,0)</f>
        <v>0</v>
      </c>
      <c r="AW118" s="518">
        <f>IF(YEAR('3 pr-2'!$AJ118)=2021,$AP118,0)</f>
        <v>0</v>
      </c>
      <c r="AX118" s="518">
        <f>IF(YEAR('3 pr-2'!$AJ118)=2022,$AP118,0)</f>
        <v>0</v>
      </c>
      <c r="AY118" s="518">
        <f>IF(YEAR('3 pr-2'!$AJ118)=2023,$AP118,0)</f>
        <v>0</v>
      </c>
      <c r="AZ118" s="518" t="s">
        <v>629</v>
      </c>
      <c r="BA118" s="880" t="s">
        <v>630</v>
      </c>
      <c r="BB118" s="518"/>
      <c r="BC118" s="518"/>
      <c r="BD118" s="518"/>
      <c r="BE118" s="518"/>
      <c r="BF118" s="518"/>
      <c r="BG118" s="518"/>
      <c r="BH118" s="518"/>
      <c r="BI118" s="1337">
        <f t="shared" si="434"/>
        <v>0</v>
      </c>
      <c r="BJ118" s="518">
        <v>3</v>
      </c>
      <c r="BK118" s="1338"/>
      <c r="BL118" s="518"/>
      <c r="BM118" s="518">
        <f>IF(YEAR('3 pr-2'!$AJ118)=2017,$BJ118,0)</f>
        <v>0</v>
      </c>
      <c r="BN118" s="518">
        <f>IF(YEAR('3 pr-2'!$AJ118)=2018,$BJ118,0)</f>
        <v>0</v>
      </c>
      <c r="BO118" s="518">
        <f>IF(YEAR('3 pr-2'!$AJ118)=2019,$BJ118,0)</f>
        <v>3</v>
      </c>
      <c r="BP118" s="518">
        <f>IF(YEAR('3 pr-2'!$AJ118)=2020,$BJ118,0)</f>
        <v>0</v>
      </c>
      <c r="BQ118" s="518">
        <f>IF(YEAR('3 pr-2'!$AJ118)=2021,$BJ118,0)</f>
        <v>0</v>
      </c>
      <c r="BR118" s="518">
        <f>IF(YEAR('3 pr-2'!$AJ118)=2022,$BJ118,0)</f>
        <v>0</v>
      </c>
      <c r="BS118" s="518">
        <f>IF(YEAR('3 pr-2'!$AJ118)=2023,$BJ118,0)</f>
        <v>0</v>
      </c>
      <c r="BT118" s="523" t="s">
        <v>837</v>
      </c>
      <c r="BU118" s="881" t="s">
        <v>838</v>
      </c>
      <c r="BV118" s="518"/>
      <c r="BW118" s="518"/>
      <c r="BX118" s="518"/>
      <c r="BY118" s="518"/>
      <c r="BZ118" s="518"/>
      <c r="CA118" s="518"/>
      <c r="CB118" s="518"/>
      <c r="CC118" s="1337">
        <v>0</v>
      </c>
      <c r="CD118" s="518">
        <v>11</v>
      </c>
      <c r="CE118" s="518"/>
      <c r="CF118" s="518"/>
      <c r="CG118" s="518">
        <f>IF(YEAR('3 pr-2'!$AJ118)=2017,$CD118,0)</f>
        <v>0</v>
      </c>
      <c r="CH118" s="518">
        <f>IF(YEAR('3 pr-2'!$AJ118)=2018,$CD118,0)</f>
        <v>0</v>
      </c>
      <c r="CI118" s="518">
        <f>IF(YEAR('3 pr-2'!$AJ118)=2019,$CD118,0)</f>
        <v>11</v>
      </c>
      <c r="CJ118" s="518">
        <f>IF(YEAR('3 pr-2'!$AJ118)=2020,$CD118,0)</f>
        <v>0</v>
      </c>
      <c r="CK118" s="518">
        <f>IF(YEAR('3 pr-2'!$AJ118)=2021,$CD118,0)</f>
        <v>0</v>
      </c>
      <c r="CL118" s="518">
        <f>IF(YEAR('3 pr-2'!$AJ118)=2022,$CD118,0)</f>
        <v>0</v>
      </c>
      <c r="CM118" s="518">
        <f>IF(YEAR('3 pr-2'!$AJ118)=2023,$CD118,0)</f>
        <v>0</v>
      </c>
      <c r="CN118" s="523"/>
      <c r="CO118" s="882"/>
      <c r="CP118" s="518"/>
      <c r="CQ118" s="518"/>
      <c r="CR118" s="518"/>
      <c r="CS118" s="518"/>
      <c r="CT118" s="518"/>
      <c r="CU118" s="518"/>
      <c r="CV118" s="518"/>
      <c r="CW118" s="1337">
        <f t="shared" si="448"/>
        <v>0</v>
      </c>
      <c r="CX118" s="524"/>
      <c r="CY118" s="504"/>
      <c r="CZ118" s="504"/>
      <c r="DA118" s="1332">
        <f>IF(YEAR('3 pr-2'!AJ118)=2017,CX118,0)</f>
        <v>0</v>
      </c>
      <c r="DB118" s="1332">
        <f>IF(YEAR('3 pr-2'!AJ118)=2018,CX118,0)</f>
        <v>0</v>
      </c>
      <c r="DC118" s="1332">
        <f>IF(YEAR('3 pr-2'!AJ118)=2019,CX118,0)</f>
        <v>0</v>
      </c>
      <c r="DD118" s="1332">
        <f>IF(YEAR('3 pr-2'!AJ118)=2020,CX118,0)</f>
        <v>0</v>
      </c>
      <c r="DE118" s="1332">
        <f>IF(YEAR('3 pr-2'!AJ118)=2021,CX118,0)</f>
        <v>0</v>
      </c>
      <c r="DF118" s="1332">
        <f>IF(YEAR('3 pr-2'!AJ118)=2022,CX118,0)</f>
        <v>0</v>
      </c>
      <c r="DG118" s="1332">
        <f>IF(YEAR('3 pr-2'!AJ118)=2023,CX118,0)</f>
        <v>0</v>
      </c>
    </row>
    <row r="119" spans="1:111" ht="64.5" thickTop="1" thickBot="1" x14ac:dyDescent="0.3">
      <c r="A119" s="518" t="str">
        <f>CONCATENATE('3 pr-2'!A119)</f>
        <v>2.1.1.3.5</v>
      </c>
      <c r="B119" s="518" t="str">
        <f>CONCATENATE('3 pr-2'!B119)</f>
        <v>R01-7705-230000-2135</v>
      </c>
      <c r="C119" s="1449" t="str">
        <f>CONCATENATE('ketv. 2lent'!B118)</f>
        <v>09.1.3-CPVA-R-705-11-0002</v>
      </c>
      <c r="D119" s="480" t="str">
        <f>CONCATENATE('3 pr-2'!D119)</f>
        <v>Ikimokyklinio ir priešmokyklinio ugdymo įstaigų Lazdijų rajono savivaldybėje modernizavimas</v>
      </c>
      <c r="E119" s="480" t="str">
        <f>CONCATENATE('3 pr-2'!E119)</f>
        <v>Lazdijų rajono savivaldybės administracija</v>
      </c>
      <c r="F119" s="480" t="str">
        <f>CONCATENATE('3 pr-2'!F119)</f>
        <v>Lietuvos Respublikos švietimo ir mokslo ministerija</v>
      </c>
      <c r="G119" s="480" t="str">
        <f>CONCATENATE('3 pr-2'!G119)</f>
        <v>Lazdijų rajono savivaldybė</v>
      </c>
      <c r="H119" s="518" t="str">
        <f>CONCATENATE('3 pr-2'!H119)</f>
        <v>09.1.3-CPVA-R-705</v>
      </c>
      <c r="I119" s="518" t="str">
        <f>CONCATENATE('3 pr-2'!I119)</f>
        <v>R</v>
      </c>
      <c r="J119" s="518" t="str">
        <f>CONCATENATE('3 pr-2'!J119)</f>
        <v>-</v>
      </c>
      <c r="K119" s="518" t="str">
        <f>CONCATENATE('3 pr-2'!K119)</f>
        <v>-</v>
      </c>
      <c r="L119" s="518" t="s">
        <v>541</v>
      </c>
      <c r="M119" s="881" t="s">
        <v>542</v>
      </c>
      <c r="N119" s="518"/>
      <c r="O119" s="518"/>
      <c r="P119" s="518"/>
      <c r="Q119" s="518"/>
      <c r="R119" s="518"/>
      <c r="S119" s="518"/>
      <c r="T119" s="518"/>
      <c r="U119" s="1335">
        <f t="shared" si="478"/>
        <v>0</v>
      </c>
      <c r="V119" s="518">
        <v>1</v>
      </c>
      <c r="W119" s="1336">
        <f>IF('ketv. 6 lent'!K119&gt;0,"taip",0)</f>
        <v>0</v>
      </c>
      <c r="X119" s="518"/>
      <c r="Y119" s="518">
        <f>IF(YEAR('3 pr-2'!$AJ119)=2017,$V119,0)</f>
        <v>0</v>
      </c>
      <c r="Z119" s="518">
        <f>IF(YEAR('3 pr-2'!$AJ119)=2018,$V119,0)</f>
        <v>0</v>
      </c>
      <c r="AA119" s="518">
        <f>IF(YEAR('3 pr-2'!$AJ119)=2019,$V119,0)</f>
        <v>1</v>
      </c>
      <c r="AB119" s="518">
        <f>IF(YEAR('3 pr-2'!$AJ119)=2020,$V119,0)</f>
        <v>0</v>
      </c>
      <c r="AC119" s="518">
        <f>IF(YEAR('3 pr-2'!$AJ119)=2021,$V119,0)</f>
        <v>0</v>
      </c>
      <c r="AD119" s="518">
        <f>IF(YEAR('3 pr-2'!$AJ119)=2022,$V119,0)</f>
        <v>0</v>
      </c>
      <c r="AE119" s="518">
        <f>IF(YEAR('3 pr-2'!$AJ119)=2023,$V119,0)</f>
        <v>0</v>
      </c>
      <c r="AF119" s="523" t="s">
        <v>537</v>
      </c>
      <c r="AG119" s="881" t="s">
        <v>538</v>
      </c>
      <c r="AH119" s="518"/>
      <c r="AI119" s="518"/>
      <c r="AJ119" s="518"/>
      <c r="AK119" s="518"/>
      <c r="AL119" s="518"/>
      <c r="AM119" s="518"/>
      <c r="AN119" s="518"/>
      <c r="AO119" s="1337">
        <f t="shared" si="420"/>
        <v>0</v>
      </c>
      <c r="AP119" s="518">
        <v>160</v>
      </c>
      <c r="AQ119" s="1338"/>
      <c r="AR119" s="518"/>
      <c r="AS119" s="518">
        <f>IF(YEAR('3 pr-2'!$AJ119)=2017,$AP119,0)</f>
        <v>0</v>
      </c>
      <c r="AT119" s="518">
        <f>IF(YEAR('3 pr-2'!$AJ119)=2018,$AP119,0)</f>
        <v>0</v>
      </c>
      <c r="AU119" s="518">
        <f>IF(YEAR('3 pr-2'!$AJ119)=2019,$AP119,0)</f>
        <v>160</v>
      </c>
      <c r="AV119" s="518">
        <f>IF(YEAR('3 pr-2'!$AJ119)=2020,$AP119,0)</f>
        <v>0</v>
      </c>
      <c r="AW119" s="518">
        <f>IF(YEAR('3 pr-2'!$AJ119)=2021,$AP119,0)</f>
        <v>0</v>
      </c>
      <c r="AX119" s="518">
        <f>IF(YEAR('3 pr-2'!$AJ119)=2022,$AP119,0)</f>
        <v>0</v>
      </c>
      <c r="AY119" s="518">
        <f>IF(YEAR('3 pr-2'!$AJ119)=2023,$AP119,0)</f>
        <v>0</v>
      </c>
      <c r="AZ119" s="518" t="s">
        <v>629</v>
      </c>
      <c r="BA119" s="880" t="s">
        <v>630</v>
      </c>
      <c r="BB119" s="518"/>
      <c r="BC119" s="518"/>
      <c r="BD119" s="518"/>
      <c r="BE119" s="518"/>
      <c r="BF119" s="518"/>
      <c r="BG119" s="518"/>
      <c r="BH119" s="518"/>
      <c r="BI119" s="1337">
        <f t="shared" si="434"/>
        <v>0</v>
      </c>
      <c r="BJ119" s="518">
        <v>2</v>
      </c>
      <c r="BK119" s="1338"/>
      <c r="BL119" s="518"/>
      <c r="BM119" s="518">
        <f>IF(YEAR('3 pr-2'!$AJ119)=2017,$BJ119,0)</f>
        <v>0</v>
      </c>
      <c r="BN119" s="518">
        <f>IF(YEAR('3 pr-2'!$AJ119)=2018,$BJ119,0)</f>
        <v>0</v>
      </c>
      <c r="BO119" s="518">
        <f>IF(YEAR('3 pr-2'!$AJ119)=2019,$BJ119,0)</f>
        <v>2</v>
      </c>
      <c r="BP119" s="518">
        <f>IF(YEAR('3 pr-2'!$AJ119)=2020,$BJ119,0)</f>
        <v>0</v>
      </c>
      <c r="BQ119" s="518">
        <f>IF(YEAR('3 pr-2'!$AJ119)=2021,$BJ119,0)</f>
        <v>0</v>
      </c>
      <c r="BR119" s="518">
        <f>IF(YEAR('3 pr-2'!$AJ119)=2022,$BJ119,0)</f>
        <v>0</v>
      </c>
      <c r="BS119" s="518">
        <f>IF(YEAR('3 pr-2'!$AJ119)=2023,$BJ119,0)</f>
        <v>0</v>
      </c>
      <c r="BT119" s="523" t="s">
        <v>837</v>
      </c>
      <c r="BU119" s="881" t="s">
        <v>838</v>
      </c>
      <c r="BV119" s="518"/>
      <c r="BW119" s="518"/>
      <c r="BX119" s="518"/>
      <c r="BY119" s="518"/>
      <c r="BZ119" s="518"/>
      <c r="CA119" s="518"/>
      <c r="CB119" s="518"/>
      <c r="CC119" s="1337">
        <v>0</v>
      </c>
      <c r="CD119" s="518">
        <v>14</v>
      </c>
      <c r="CE119" s="518"/>
      <c r="CF119" s="518"/>
      <c r="CG119" s="518">
        <f>IF(YEAR('3 pr-2'!$AJ119)=2017,$CD119,0)</f>
        <v>0</v>
      </c>
      <c r="CH119" s="518">
        <f>IF(YEAR('3 pr-2'!$AJ119)=2018,$CD119,0)</f>
        <v>0</v>
      </c>
      <c r="CI119" s="518">
        <f>IF(YEAR('3 pr-2'!$AJ119)=2019,$CD119,0)</f>
        <v>14</v>
      </c>
      <c r="CJ119" s="518">
        <f>IF(YEAR('3 pr-2'!$AJ119)=2020,$CD119,0)</f>
        <v>0</v>
      </c>
      <c r="CK119" s="518">
        <f>IF(YEAR('3 pr-2'!$AJ119)=2021,$CD119,0)</f>
        <v>0</v>
      </c>
      <c r="CL119" s="518">
        <f>IF(YEAR('3 pr-2'!$AJ119)=2022,$CD119,0)</f>
        <v>0</v>
      </c>
      <c r="CM119" s="518">
        <f>IF(YEAR('3 pr-2'!$AJ119)=2023,$CD119,0)</f>
        <v>0</v>
      </c>
      <c r="CN119" s="523"/>
      <c r="CO119" s="882"/>
      <c r="CP119" s="518"/>
      <c r="CQ119" s="518"/>
      <c r="CR119" s="518"/>
      <c r="CS119" s="518"/>
      <c r="CT119" s="518"/>
      <c r="CU119" s="518"/>
      <c r="CV119" s="518"/>
      <c r="CW119" s="1337">
        <f t="shared" si="448"/>
        <v>0</v>
      </c>
      <c r="CX119" s="524"/>
      <c r="CY119" s="504"/>
      <c r="CZ119" s="504"/>
      <c r="DA119" s="1332">
        <f>IF(YEAR('3 pr-2'!AJ119)=2017,CX119,0)</f>
        <v>0</v>
      </c>
      <c r="DB119" s="1332">
        <f>IF(YEAR('3 pr-2'!AJ119)=2018,CX119,0)</f>
        <v>0</v>
      </c>
      <c r="DC119" s="1332">
        <f>IF(YEAR('3 pr-2'!AJ119)=2019,CX119,0)</f>
        <v>0</v>
      </c>
      <c r="DD119" s="1332">
        <f>IF(YEAR('3 pr-2'!AJ119)=2020,CX119,0)</f>
        <v>0</v>
      </c>
      <c r="DE119" s="1332">
        <f>IF(YEAR('3 pr-2'!AJ119)=2021,CX119,0)</f>
        <v>0</v>
      </c>
      <c r="DF119" s="1332">
        <f>IF(YEAR('3 pr-2'!AJ119)=2022,CX119,0)</f>
        <v>0</v>
      </c>
      <c r="DG119" s="1332">
        <f>IF(YEAR('3 pr-2'!AJ119)=2023,CX119,0)</f>
        <v>0</v>
      </c>
    </row>
    <row r="120" spans="1:111" ht="61.5" customHeight="1" thickBot="1" x14ac:dyDescent="0.3">
      <c r="A120" s="1363" t="str">
        <f>CONCATENATE('3 pr-2'!A120)</f>
        <v>2.1.2.</v>
      </c>
      <c r="B120" s="1687" t="str">
        <f>CONCATENATE('3 pr-2'!B120)</f>
        <v>Uždavinys:
Sveikatos netolygumų sumažinimas, gerinant sveikatos priežiūros kokybę ir prieinamumą tikslinėms gyventojų grupėms ir sveiko senėjimo skatinimas</v>
      </c>
      <c r="C120" s="1688"/>
      <c r="D120" s="1688"/>
      <c r="E120" s="1688"/>
      <c r="F120" s="1688"/>
      <c r="G120" s="1688"/>
      <c r="H120" s="1688"/>
      <c r="I120" s="1688"/>
      <c r="J120" s="1688"/>
      <c r="K120" s="1689"/>
      <c r="L120" s="1359" t="s">
        <v>66</v>
      </c>
      <c r="M120" s="1360" t="s">
        <v>66</v>
      </c>
      <c r="N120" s="1359"/>
      <c r="O120" s="1359"/>
      <c r="P120" s="1359"/>
      <c r="Q120" s="1359"/>
      <c r="R120" s="1359"/>
      <c r="S120" s="1359"/>
      <c r="T120" s="1359"/>
      <c r="U120" s="1357"/>
      <c r="V120" s="1361" t="s">
        <v>66</v>
      </c>
      <c r="W120" s="1359"/>
      <c r="X120" s="1359"/>
      <c r="Y120" s="1359" t="s">
        <v>66</v>
      </c>
      <c r="Z120" s="1359" t="s">
        <v>66</v>
      </c>
      <c r="AA120" s="1359" t="s">
        <v>66</v>
      </c>
      <c r="AB120" s="1359" t="s">
        <v>66</v>
      </c>
      <c r="AC120" s="1359" t="s">
        <v>66</v>
      </c>
      <c r="AD120" s="1359" t="s">
        <v>66</v>
      </c>
      <c r="AE120" s="1359" t="s">
        <v>66</v>
      </c>
      <c r="AF120" s="1359" t="s">
        <v>66</v>
      </c>
      <c r="AG120" s="1360" t="s">
        <v>66</v>
      </c>
      <c r="AH120" s="1359"/>
      <c r="AI120" s="1359"/>
      <c r="AJ120" s="1359"/>
      <c r="AK120" s="1359"/>
      <c r="AL120" s="1359"/>
      <c r="AM120" s="1359"/>
      <c r="AN120" s="1359"/>
      <c r="AO120" s="1359"/>
      <c r="AP120" s="1359" t="s">
        <v>66</v>
      </c>
      <c r="AQ120" s="1359"/>
      <c r="AR120" s="1359"/>
      <c r="AS120" s="1359" t="s">
        <v>66</v>
      </c>
      <c r="AT120" s="1359" t="s">
        <v>66</v>
      </c>
      <c r="AU120" s="1359" t="s">
        <v>66</v>
      </c>
      <c r="AV120" s="1359" t="s">
        <v>66</v>
      </c>
      <c r="AW120" s="1359" t="s">
        <v>66</v>
      </c>
      <c r="AX120" s="1359" t="s">
        <v>66</v>
      </c>
      <c r="AY120" s="1359" t="s">
        <v>66</v>
      </c>
      <c r="AZ120" s="1359" t="s">
        <v>66</v>
      </c>
      <c r="BA120" s="1360" t="s">
        <v>66</v>
      </c>
      <c r="BB120" s="1359"/>
      <c r="BC120" s="1359"/>
      <c r="BD120" s="1359"/>
      <c r="BE120" s="1359"/>
      <c r="BF120" s="1359"/>
      <c r="BG120" s="1359"/>
      <c r="BH120" s="1359"/>
      <c r="BI120" s="1359"/>
      <c r="BJ120" s="1359" t="s">
        <v>66</v>
      </c>
      <c r="BK120" s="1359"/>
      <c r="BL120" s="1359"/>
      <c r="BM120" s="1359" t="s">
        <v>66</v>
      </c>
      <c r="BN120" s="1359" t="s">
        <v>66</v>
      </c>
      <c r="BO120" s="1359" t="s">
        <v>66</v>
      </c>
      <c r="BP120" s="1359" t="s">
        <v>66</v>
      </c>
      <c r="BQ120" s="1359" t="s">
        <v>66</v>
      </c>
      <c r="BR120" s="1359" t="s">
        <v>66</v>
      </c>
      <c r="BS120" s="1359" t="s">
        <v>66</v>
      </c>
      <c r="BT120" s="1359" t="s">
        <v>66</v>
      </c>
      <c r="BU120" s="1360" t="s">
        <v>66</v>
      </c>
      <c r="BV120" s="1359"/>
      <c r="BW120" s="1359"/>
      <c r="BX120" s="1359"/>
      <c r="BY120" s="1359"/>
      <c r="BZ120" s="1359"/>
      <c r="CA120" s="1359"/>
      <c r="CB120" s="1359"/>
      <c r="CC120" s="1359"/>
      <c r="CD120" s="1359" t="s">
        <v>66</v>
      </c>
      <c r="CE120" s="1359"/>
      <c r="CF120" s="1359"/>
      <c r="CG120" s="1359" t="s">
        <v>66</v>
      </c>
      <c r="CH120" s="1359" t="s">
        <v>66</v>
      </c>
      <c r="CI120" s="1359" t="s">
        <v>66</v>
      </c>
      <c r="CJ120" s="1359" t="s">
        <v>66</v>
      </c>
      <c r="CK120" s="1359" t="s">
        <v>66</v>
      </c>
      <c r="CL120" s="1359" t="s">
        <v>66</v>
      </c>
      <c r="CM120" s="1359" t="s">
        <v>66</v>
      </c>
      <c r="CN120" s="1359" t="s">
        <v>66</v>
      </c>
      <c r="CO120" s="1360" t="s">
        <v>66</v>
      </c>
      <c r="CP120" s="1359"/>
      <c r="CQ120" s="1359"/>
      <c r="CR120" s="1359"/>
      <c r="CS120" s="1359"/>
      <c r="CT120" s="1359"/>
      <c r="CU120" s="1359"/>
      <c r="CV120" s="1359"/>
      <c r="CW120" s="1359"/>
      <c r="CX120" s="1359" t="s">
        <v>66</v>
      </c>
      <c r="CY120" s="1357"/>
      <c r="CZ120" s="1357"/>
      <c r="DA120" s="478"/>
      <c r="DB120" s="1259"/>
      <c r="DC120" s="1259"/>
      <c r="DD120" s="1259"/>
      <c r="DE120" s="1259"/>
      <c r="DF120" s="1259"/>
      <c r="DG120" s="1259"/>
    </row>
    <row r="121" spans="1:111" ht="84.75" customHeight="1" thickBot="1" x14ac:dyDescent="0.3">
      <c r="A121" s="1364" t="str">
        <f>CONCATENATE('3 pr-2'!A121)</f>
        <v>2.1.2.1</v>
      </c>
      <c r="B121" s="1687" t="str">
        <f>CONCATENATE('3 pr-2'!B121)</f>
        <v>Priemonė:
Pirminės asmens ir visuomenės sveikatos priežiūros veiklos efektyvumo didinimas gerinant jų infrastruktūrą</v>
      </c>
      <c r="C121" s="1688"/>
      <c r="D121" s="1688"/>
      <c r="E121" s="1688"/>
      <c r="F121" s="1688"/>
      <c r="G121" s="1688"/>
      <c r="H121" s="1688"/>
      <c r="I121" s="1688"/>
      <c r="J121" s="1688"/>
      <c r="K121" s="1689"/>
      <c r="L121" s="1365" t="s">
        <v>1741</v>
      </c>
      <c r="M121" s="884" t="s">
        <v>1742</v>
      </c>
      <c r="N121" s="1332">
        <f>SUM(N122:N133)</f>
        <v>0</v>
      </c>
      <c r="O121" s="1332">
        <f t="shared" ref="O121:T121" si="513">SUM(O122:O133)</f>
        <v>0</v>
      </c>
      <c r="P121" s="1332">
        <f t="shared" si="513"/>
        <v>0</v>
      </c>
      <c r="Q121" s="1332">
        <f t="shared" si="513"/>
        <v>0</v>
      </c>
      <c r="R121" s="1332">
        <f t="shared" si="513"/>
        <v>0</v>
      </c>
      <c r="S121" s="1332">
        <f t="shared" si="513"/>
        <v>0</v>
      </c>
      <c r="T121" s="1332">
        <f t="shared" si="513"/>
        <v>0</v>
      </c>
      <c r="U121" s="1333">
        <f t="shared" ref="U121:U133" si="514">SUM(N121:T121)</f>
        <v>0</v>
      </c>
      <c r="V121" s="1462">
        <f>SUM(V122:V134)</f>
        <v>17</v>
      </c>
      <c r="W121" s="1465"/>
      <c r="X121" s="1466"/>
      <c r="Y121" s="1467">
        <f t="shared" ref="Y121:AE121" si="515">SUM(Y122:Y134)</f>
        <v>0</v>
      </c>
      <c r="Z121" s="1467">
        <f t="shared" si="515"/>
        <v>0</v>
      </c>
      <c r="AA121" s="1467">
        <f t="shared" si="515"/>
        <v>3</v>
      </c>
      <c r="AB121" s="1467">
        <f t="shared" si="515"/>
        <v>7</v>
      </c>
      <c r="AC121" s="1467">
        <f t="shared" si="515"/>
        <v>7</v>
      </c>
      <c r="AD121" s="1467">
        <f t="shared" si="515"/>
        <v>0</v>
      </c>
      <c r="AE121" s="1467">
        <f t="shared" si="515"/>
        <v>0</v>
      </c>
      <c r="AF121" s="1367" t="s">
        <v>543</v>
      </c>
      <c r="AG121" s="1331" t="s">
        <v>544</v>
      </c>
      <c r="AH121" s="1332">
        <f t="shared" ref="AH121:AO121" si="516">SUM(AH122:AH133)</f>
        <v>0</v>
      </c>
      <c r="AI121" s="1332">
        <f t="shared" si="516"/>
        <v>0</v>
      </c>
      <c r="AJ121" s="1332">
        <f t="shared" si="516"/>
        <v>0</v>
      </c>
      <c r="AK121" s="1332">
        <f t="shared" si="516"/>
        <v>0</v>
      </c>
      <c r="AL121" s="1332">
        <f t="shared" si="516"/>
        <v>0</v>
      </c>
      <c r="AM121" s="1332">
        <f t="shared" si="516"/>
        <v>0</v>
      </c>
      <c r="AN121" s="1332">
        <f t="shared" si="516"/>
        <v>0</v>
      </c>
      <c r="AO121" s="1332">
        <f t="shared" si="516"/>
        <v>0</v>
      </c>
      <c r="AP121" s="1462">
        <f>SUM(AP122:AP134)</f>
        <v>50671</v>
      </c>
      <c r="AQ121" s="1332"/>
      <c r="AR121" s="1332"/>
      <c r="AS121" s="1467">
        <f t="shared" ref="AS121:AY121" si="517">SUM(AS122:AS134)</f>
        <v>0</v>
      </c>
      <c r="AT121" s="1467">
        <f t="shared" si="517"/>
        <v>0</v>
      </c>
      <c r="AU121" s="1467">
        <f t="shared" si="517"/>
        <v>2458</v>
      </c>
      <c r="AV121" s="1467">
        <f t="shared" si="517"/>
        <v>22143</v>
      </c>
      <c r="AW121" s="1467">
        <f t="shared" si="517"/>
        <v>26070</v>
      </c>
      <c r="AX121" s="1467">
        <f t="shared" si="517"/>
        <v>0</v>
      </c>
      <c r="AY121" s="1467">
        <f t="shared" si="517"/>
        <v>0</v>
      </c>
      <c r="AZ121" s="1303"/>
      <c r="BA121" s="1331"/>
      <c r="BB121" s="1332">
        <f>SUM(BB122:BB129)</f>
        <v>0</v>
      </c>
      <c r="BC121" s="1332">
        <f t="shared" ref="BC121" si="518">SUM(BC122:BC129)</f>
        <v>0</v>
      </c>
      <c r="BD121" s="1332">
        <f t="shared" ref="BD121" si="519">SUM(BD122:BD129)</f>
        <v>0</v>
      </c>
      <c r="BE121" s="1332">
        <f t="shared" ref="BE121" si="520">SUM(BE122:BE129)</f>
        <v>0</v>
      </c>
      <c r="BF121" s="1332">
        <f t="shared" ref="BF121" si="521">SUM(BF122:BF129)</f>
        <v>0</v>
      </c>
      <c r="BG121" s="1332">
        <f t="shared" ref="BG121" si="522">SUM(BG122:BG129)</f>
        <v>0</v>
      </c>
      <c r="BH121" s="1332">
        <f t="shared" ref="BH121" si="523">SUM(BH122:BH129)</f>
        <v>0</v>
      </c>
      <c r="BI121" s="1303">
        <f t="shared" ref="BI121:BI140" si="524">SUM(BB121:BH121)</f>
        <v>0</v>
      </c>
      <c r="BJ121" s="1303"/>
      <c r="BK121" s="1332"/>
      <c r="BL121" s="1332"/>
      <c r="BM121" s="1332">
        <f t="shared" ref="BM121" si="525">SUM(BM122:BM129)</f>
        <v>0</v>
      </c>
      <c r="BN121" s="1332">
        <f t="shared" ref="BN121" si="526">SUM(BN122:BN129)</f>
        <v>0</v>
      </c>
      <c r="BO121" s="1332">
        <f t="shared" ref="BO121" si="527">SUM(BO122:BO129)</f>
        <v>0</v>
      </c>
      <c r="BP121" s="1332">
        <f t="shared" ref="BP121" si="528">SUM(BP122:BP129)</f>
        <v>0</v>
      </c>
      <c r="BQ121" s="1332">
        <f t="shared" ref="BQ121" si="529">SUM(BQ122:BQ129)</f>
        <v>0</v>
      </c>
      <c r="BR121" s="1332">
        <f t="shared" ref="BR121" si="530">SUM(BR122:BR129)</f>
        <v>0</v>
      </c>
      <c r="BS121" s="1332">
        <f t="shared" ref="BS121" si="531">SUM(BS122:BS129)</f>
        <v>0</v>
      </c>
      <c r="BT121" s="1332"/>
      <c r="BU121" s="882"/>
      <c r="BV121" s="1332">
        <f>SUM(BV122:BV129)</f>
        <v>0</v>
      </c>
      <c r="BW121" s="1332">
        <f t="shared" ref="BW121" si="532">SUM(BW122:BW129)</f>
        <v>0</v>
      </c>
      <c r="BX121" s="1332">
        <f t="shared" ref="BX121" si="533">SUM(BX122:BX129)</f>
        <v>0</v>
      </c>
      <c r="BY121" s="1332">
        <f t="shared" ref="BY121" si="534">SUM(BY122:BY129)</f>
        <v>0</v>
      </c>
      <c r="BZ121" s="1332">
        <f t="shared" ref="BZ121" si="535">SUM(BZ122:BZ129)</f>
        <v>0</v>
      </c>
      <c r="CA121" s="1332">
        <f t="shared" ref="CA121" si="536">SUM(CA122:CA129)</f>
        <v>0</v>
      </c>
      <c r="CB121" s="1332">
        <f t="shared" ref="CB121" si="537">SUM(CB122:CB129)</f>
        <v>0</v>
      </c>
      <c r="CC121" s="1303">
        <f t="shared" ref="CC121:CC140" si="538">SUM(BV121:CB121)</f>
        <v>0</v>
      </c>
      <c r="CD121" s="1332"/>
      <c r="CE121" s="1332"/>
      <c r="CF121" s="1332"/>
      <c r="CG121" s="1332"/>
      <c r="CH121" s="1332"/>
      <c r="CI121" s="1332"/>
      <c r="CJ121" s="1332"/>
      <c r="CK121" s="1332"/>
      <c r="CL121" s="1332"/>
      <c r="CM121" s="1332"/>
      <c r="CN121" s="1332"/>
      <c r="CO121" s="882"/>
      <c r="CP121" s="1332">
        <f>SUM(CP122:CP129)</f>
        <v>0</v>
      </c>
      <c r="CQ121" s="1332">
        <f t="shared" ref="CQ121" si="539">SUM(CQ122:CQ129)</f>
        <v>0</v>
      </c>
      <c r="CR121" s="1332">
        <f t="shared" ref="CR121" si="540">SUM(CR122:CR129)</f>
        <v>0</v>
      </c>
      <c r="CS121" s="1332">
        <f t="shared" ref="CS121" si="541">SUM(CS122:CS129)</f>
        <v>0</v>
      </c>
      <c r="CT121" s="1332">
        <f t="shared" ref="CT121" si="542">SUM(CT122:CT129)</f>
        <v>0</v>
      </c>
      <c r="CU121" s="1332">
        <f t="shared" ref="CU121" si="543">SUM(CU122:CU129)</f>
        <v>0</v>
      </c>
      <c r="CV121" s="1332">
        <f t="shared" ref="CV121" si="544">SUM(CV122:CV129)</f>
        <v>0</v>
      </c>
      <c r="CW121" s="1303">
        <f t="shared" ref="CW121:CW140" si="545">SUM(CP121:CV121)</f>
        <v>0</v>
      </c>
      <c r="CX121" s="1332"/>
      <c r="CY121" s="1332"/>
      <c r="CZ121" s="1332"/>
      <c r="DA121" s="1332"/>
      <c r="DB121" s="1332"/>
      <c r="DC121" s="1332"/>
      <c r="DD121" s="1332"/>
      <c r="DE121" s="1332"/>
      <c r="DF121" s="1332"/>
      <c r="DG121" s="1332"/>
    </row>
    <row r="122" spans="1:111" ht="75" thickTop="1" thickBot="1" x14ac:dyDescent="0.3">
      <c r="A122" s="518" t="str">
        <f>CONCATENATE('3 pr-2'!A122)</f>
        <v>2.1.2.1.1</v>
      </c>
      <c r="B122" s="518" t="str">
        <f>CONCATENATE('3 pr-2'!B122)</f>
        <v>R01-6609-274710-2211</v>
      </c>
      <c r="C122" s="1449" t="str">
        <f>CONCATENATE('ketv. 2lent'!B121)</f>
        <v/>
      </c>
      <c r="D122" s="480" t="str">
        <f>CONCATENATE('3 pr-2'!D122)</f>
        <v xml:space="preserve">Alytaus poliklinikos teikiamų pirminės sveikatos priežiūros paslaugų prieinamumo didinimas ir kokybės gerinimas </v>
      </c>
      <c r="E122" s="480" t="str">
        <f>CONCATENATE('3 pr-2'!E122)</f>
        <v>VšĮ Alytaus poliklinika</v>
      </c>
      <c r="F122" s="480" t="str">
        <f>CONCATENATE('3 pr-2'!F122)</f>
        <v>Lietuvos Respublikos Sveikatos apsaugos ministerija</v>
      </c>
      <c r="G122" s="480" t="str">
        <f>CONCATENATE('3 pr-2'!G122)</f>
        <v>Alytaus  miestas</v>
      </c>
      <c r="H122" s="518" t="str">
        <f>CONCATENATE('3 pr-2'!H122)</f>
        <v>08.1.3-CPVA-R-609</v>
      </c>
      <c r="I122" s="518" t="str">
        <f>CONCATENATE('3 pr-2'!I122)</f>
        <v>R</v>
      </c>
      <c r="J122" s="518" t="str">
        <f>CONCATENATE('3 pr-2'!J122)</f>
        <v>-</v>
      </c>
      <c r="K122" s="518" t="str">
        <f>CONCATENATE('3 pr-2'!K122)</f>
        <v>-</v>
      </c>
      <c r="L122" s="518" t="s">
        <v>1741</v>
      </c>
      <c r="M122" s="1204" t="s">
        <v>1742</v>
      </c>
      <c r="N122" s="522"/>
      <c r="O122" s="522"/>
      <c r="P122" s="522"/>
      <c r="Q122" s="522"/>
      <c r="R122" s="522"/>
      <c r="S122" s="522"/>
      <c r="T122" s="522"/>
      <c r="U122" s="1475">
        <f t="shared" si="514"/>
        <v>0</v>
      </c>
      <c r="V122" s="518">
        <v>1</v>
      </c>
      <c r="W122" s="1468">
        <f>IF('ketv. 6 lent'!K122&gt;0,"taip",0)</f>
        <v>0</v>
      </c>
      <c r="X122" s="1461"/>
      <c r="Y122" s="1461">
        <f>IF(YEAR('3 pr-2'!$AJ122)=2017,$V122,0)</f>
        <v>0</v>
      </c>
      <c r="Z122" s="1461">
        <f>IF(YEAR('3 pr-2'!$AJ122)=2018,$V122,0)</f>
        <v>0</v>
      </c>
      <c r="AA122" s="1461">
        <f>IF(YEAR('3 pr-2'!$AJ122)=2019,$V122,0)</f>
        <v>0</v>
      </c>
      <c r="AB122" s="1461">
        <f>IF(YEAR('3 pr-2'!$AJ122)=2020,$V122,0)</f>
        <v>0</v>
      </c>
      <c r="AC122" s="1461">
        <f>IF(YEAR('3 pr-2'!$AJ122)=2021,$V122,0)</f>
        <v>1</v>
      </c>
      <c r="AD122" s="1461">
        <f>IF(YEAR('3 pr-2'!$AJ122)=2022,$V122,0)</f>
        <v>0</v>
      </c>
      <c r="AE122" s="1461">
        <f>IF(YEAR('3 pr-2'!$AJ122)=2023,$V122,0)</f>
        <v>0</v>
      </c>
      <c r="AF122" s="523" t="s">
        <v>543</v>
      </c>
      <c r="AG122" s="1204" t="s">
        <v>544</v>
      </c>
      <c r="AH122" s="522"/>
      <c r="AI122" s="522"/>
      <c r="AJ122" s="522"/>
      <c r="AK122" s="522"/>
      <c r="AL122" s="522"/>
      <c r="AM122" s="522"/>
      <c r="AN122" s="522"/>
      <c r="AO122" s="1476">
        <f t="shared" ref="AO122:AO140" si="546">SUM(AH122:AN122)</f>
        <v>0</v>
      </c>
      <c r="AP122" s="518">
        <v>1742</v>
      </c>
      <c r="AQ122" s="1338"/>
      <c r="AR122" s="518"/>
      <c r="AS122" s="1461">
        <f>IF(YEAR('3 pr-2'!$AJ122)=2017,$AP122,0)</f>
        <v>0</v>
      </c>
      <c r="AT122" s="1461">
        <f>IF(YEAR('3 pr-2'!$AJ122)=2018,$AP122,0)</f>
        <v>0</v>
      </c>
      <c r="AU122" s="1461">
        <f>IF(YEAR('3 pr-2'!$AJ122)=2019,$AP122,0)</f>
        <v>0</v>
      </c>
      <c r="AV122" s="1461">
        <f>IF(YEAR('3 pr-2'!$AJ122)=2020,$AP122,0)</f>
        <v>0</v>
      </c>
      <c r="AW122" s="1461">
        <f>IF(YEAR('3 pr-2'!$AJ122)=2021,$AP122,0)</f>
        <v>1742</v>
      </c>
      <c r="AX122" s="1461">
        <f>IF(YEAR('3 pr-2'!$AJ122)=2022,$AP122,0)</f>
        <v>0</v>
      </c>
      <c r="AY122" s="1461">
        <f>IF(YEAR('3 pr-2'!$AJ122)=2023,$AP122,0)</f>
        <v>0</v>
      </c>
      <c r="AZ122" s="518"/>
      <c r="BA122" s="880"/>
      <c r="BB122" s="518"/>
      <c r="BC122" s="518"/>
      <c r="BD122" s="518"/>
      <c r="BE122" s="518"/>
      <c r="BF122" s="518"/>
      <c r="BG122" s="518"/>
      <c r="BH122" s="518"/>
      <c r="BI122" s="1337">
        <f t="shared" si="524"/>
        <v>0</v>
      </c>
      <c r="BJ122" s="518"/>
      <c r="BK122" s="1338"/>
      <c r="BL122" s="518"/>
      <c r="BM122" s="518">
        <f>IF(YEAR('3 pr-2'!AJ122)=2017,BJ122,0)</f>
        <v>0</v>
      </c>
      <c r="BN122" s="518">
        <f>IF(YEAR('3 pr-2'!AJ122)=2018,BJ122,0)</f>
        <v>0</v>
      </c>
      <c r="BO122" s="518">
        <f>IF(YEAR('3 pr-2'!AJ122)=2019,BJ122,0)</f>
        <v>0</v>
      </c>
      <c r="BP122" s="518">
        <f>IF(YEAR('3 pr-2'!AJ122)=2020,BJ122,0)</f>
        <v>0</v>
      </c>
      <c r="BQ122" s="518">
        <f>IF(YEAR('3 pr-2'!AJ122)=2021,BJ122,0)</f>
        <v>0</v>
      </c>
      <c r="BR122" s="518">
        <f>IF(YEAR('3 pr-2'!AJ122)=2022,BJ122,0)</f>
        <v>0</v>
      </c>
      <c r="BS122" s="518">
        <f>IF(YEAR('3 pr-2'!AJ122)=2023,BJ122,0)</f>
        <v>0</v>
      </c>
      <c r="BT122" s="523"/>
      <c r="BU122" s="881"/>
      <c r="BV122" s="518"/>
      <c r="BW122" s="518"/>
      <c r="BX122" s="518"/>
      <c r="BY122" s="518"/>
      <c r="BZ122" s="518"/>
      <c r="CA122" s="518"/>
      <c r="CB122" s="518"/>
      <c r="CC122" s="1337">
        <f t="shared" si="538"/>
        <v>0</v>
      </c>
      <c r="CD122" s="518"/>
      <c r="CE122" s="518"/>
      <c r="CF122" s="518"/>
      <c r="CG122" s="518">
        <f>IF(YEAR('3 pr-2'!$AJ122)=2017,$CD122,0)</f>
        <v>0</v>
      </c>
      <c r="CH122" s="518">
        <f>IF(YEAR('3 pr-2'!$AJ122)=2018,$CD122,0)</f>
        <v>0</v>
      </c>
      <c r="CI122" s="518">
        <f>IF(YEAR('3 pr-2'!$AJ122)=2019,$CD122,0)</f>
        <v>0</v>
      </c>
      <c r="CJ122" s="518">
        <f>IF(YEAR('3 pr-2'!$AJ122)=2020,$CD122,0)</f>
        <v>0</v>
      </c>
      <c r="CK122" s="518">
        <f>IF(YEAR('3 pr-2'!$AJ122)=2021,$CD122,0)</f>
        <v>0</v>
      </c>
      <c r="CL122" s="518">
        <f>IF(YEAR('3 pr-2'!$AJ122)=2022,$CD122,0)</f>
        <v>0</v>
      </c>
      <c r="CM122" s="518">
        <f>IF(YEAR('3 pr-2'!$AJ122)=2023,$CD122,0)</f>
        <v>0</v>
      </c>
      <c r="CN122" s="523"/>
      <c r="CO122" s="882"/>
      <c r="CP122" s="518"/>
      <c r="CQ122" s="518"/>
      <c r="CR122" s="518"/>
      <c r="CS122" s="518"/>
      <c r="CT122" s="518"/>
      <c r="CU122" s="518"/>
      <c r="CV122" s="518"/>
      <c r="CW122" s="1337">
        <f t="shared" si="545"/>
        <v>0</v>
      </c>
      <c r="CX122" s="524"/>
      <c r="CY122" s="504"/>
      <c r="CZ122" s="504"/>
      <c r="DA122" s="1332">
        <f>IF('3 pr-2'!AJ122=2017,CX122,0)</f>
        <v>0</v>
      </c>
      <c r="DB122" s="1332">
        <f>IF('3 pr-2'!AJ122=2018,CX122,0)</f>
        <v>0</v>
      </c>
      <c r="DC122" s="1332">
        <f>IF('3 pr-2'!AJ122=2019,CX122,0)</f>
        <v>0</v>
      </c>
      <c r="DD122" s="1332">
        <f>IF('3 pr-2'!AJ122=2020,CX122,0)</f>
        <v>0</v>
      </c>
      <c r="DE122" s="1332">
        <f>IF('3 pr-2'!AJ122=2021,CX122,0)</f>
        <v>0</v>
      </c>
      <c r="DF122" s="1332">
        <f>IF('3 pr-2'!AJ122=2022,CX122,0)</f>
        <v>0</v>
      </c>
      <c r="DG122" s="1332">
        <f>IF(YEAR('3 pr-2'!AJ122)=2023,CX122,0)</f>
        <v>0</v>
      </c>
    </row>
    <row r="123" spans="1:111" ht="85.5" thickTop="1" thickBot="1" x14ac:dyDescent="0.3">
      <c r="A123" s="518" t="str">
        <f>CONCATENATE('3 pr-2'!A123)</f>
        <v>2.1.2.1.2</v>
      </c>
      <c r="B123" s="518" t="str">
        <f>CONCATENATE('3 pr-2'!B123)</f>
        <v>R01-6609-274710-2212</v>
      </c>
      <c r="C123" s="1449" t="str">
        <f>CONCATENATE('ketv. 2lent'!B122)</f>
        <v/>
      </c>
      <c r="D123" s="480" t="str">
        <f>CONCATENATE('3 pr-2'!D123)</f>
        <v>Sveikatos priežiūros paslaugų modernizavimas bei optimizavimas pirminės sveikatos priežiūros centre</v>
      </c>
      <c r="E123" s="480" t="str">
        <f>CONCATENATE('3 pr-2'!E123)</f>
        <v xml:space="preserve">VšĮ Alytaus miesto savivaldybės pirminės sveikatos priežiūros centras </v>
      </c>
      <c r="F123" s="480" t="str">
        <f>CONCATENATE('3 pr-2'!F123)</f>
        <v>Lietuvos Respublikos Sveikatos apsaugos ministerija</v>
      </c>
      <c r="G123" s="480" t="str">
        <f>CONCATENATE('3 pr-2'!G123)</f>
        <v>Alytaus  miestas</v>
      </c>
      <c r="H123" s="518" t="str">
        <f>CONCATENATE('3 pr-2'!H123)</f>
        <v>08.1.3-CPVA-R-609</v>
      </c>
      <c r="I123" s="518" t="str">
        <f>CONCATENATE('3 pr-2'!I123)</f>
        <v>R</v>
      </c>
      <c r="J123" s="518" t="str">
        <f>CONCATENATE('3 pr-2'!J123)</f>
        <v>-</v>
      </c>
      <c r="K123" s="518" t="str">
        <f>CONCATENATE('3 pr-2'!K123)</f>
        <v>-</v>
      </c>
      <c r="L123" s="518" t="s">
        <v>1741</v>
      </c>
      <c r="M123" s="1204" t="s">
        <v>1742</v>
      </c>
      <c r="N123" s="522"/>
      <c r="O123" s="522"/>
      <c r="P123" s="522"/>
      <c r="Q123" s="522"/>
      <c r="R123" s="522"/>
      <c r="S123" s="522"/>
      <c r="T123" s="522"/>
      <c r="U123" s="1475">
        <f t="shared" si="514"/>
        <v>0</v>
      </c>
      <c r="V123" s="518">
        <v>1</v>
      </c>
      <c r="W123" s="1468">
        <f>IF('ketv. 6 lent'!K123&gt;0,"taip",0)</f>
        <v>0</v>
      </c>
      <c r="X123" s="1461"/>
      <c r="Y123" s="1461">
        <f>IF(YEAR('3 pr-2'!$AJ123)=2017,$V123,0)</f>
        <v>0</v>
      </c>
      <c r="Z123" s="1461">
        <f>IF(YEAR('3 pr-2'!$AJ123)=2018,$V123,0)</f>
        <v>0</v>
      </c>
      <c r="AA123" s="1461">
        <f>IF(YEAR('3 pr-2'!$AJ123)=2019,$V123,0)</f>
        <v>0</v>
      </c>
      <c r="AB123" s="1461">
        <f>IF(YEAR('3 pr-2'!$AJ123)=2020,$V123,0)</f>
        <v>1</v>
      </c>
      <c r="AC123" s="1461">
        <f>IF(YEAR('3 pr-2'!$AJ123)=2021,$V123,0)</f>
        <v>0</v>
      </c>
      <c r="AD123" s="1461">
        <f>IF(YEAR('3 pr-2'!$AJ123)=2022,$V123,0)</f>
        <v>0</v>
      </c>
      <c r="AE123" s="1461">
        <f>IF(YEAR('3 pr-2'!$AJ123)=2023,$V123,0)</f>
        <v>0</v>
      </c>
      <c r="AF123" s="523" t="s">
        <v>543</v>
      </c>
      <c r="AG123" s="1204" t="s">
        <v>544</v>
      </c>
      <c r="AH123" s="522"/>
      <c r="AI123" s="522"/>
      <c r="AJ123" s="522"/>
      <c r="AK123" s="522"/>
      <c r="AL123" s="522"/>
      <c r="AM123" s="522"/>
      <c r="AN123" s="522"/>
      <c r="AO123" s="1476">
        <f t="shared" si="546"/>
        <v>0</v>
      </c>
      <c r="AP123" s="518">
        <v>750</v>
      </c>
      <c r="AQ123" s="1338"/>
      <c r="AR123" s="518"/>
      <c r="AS123" s="1461">
        <f>IF(YEAR('3 pr-2'!$AJ123)=2017,$AP123,0)</f>
        <v>0</v>
      </c>
      <c r="AT123" s="1461">
        <f>IF(YEAR('3 pr-2'!$AJ123)=2018,$AP123,0)</f>
        <v>0</v>
      </c>
      <c r="AU123" s="1461">
        <f>IF(YEAR('3 pr-2'!$AJ123)=2019,$AP123,0)</f>
        <v>0</v>
      </c>
      <c r="AV123" s="1461">
        <f>IF(YEAR('3 pr-2'!$AJ123)=2020,$AP123,0)</f>
        <v>750</v>
      </c>
      <c r="AW123" s="1461">
        <f>IF(YEAR('3 pr-2'!$AJ123)=2021,$AP123,0)</f>
        <v>0</v>
      </c>
      <c r="AX123" s="1461">
        <f>IF(YEAR('3 pr-2'!$AJ123)=2022,$AP123,0)</f>
        <v>0</v>
      </c>
      <c r="AY123" s="1461">
        <f>IF(YEAR('3 pr-2'!$AJ123)=2023,$AP123,0)</f>
        <v>0</v>
      </c>
      <c r="AZ123" s="518"/>
      <c r="BA123" s="880"/>
      <c r="BB123" s="518"/>
      <c r="BC123" s="518"/>
      <c r="BD123" s="518"/>
      <c r="BE123" s="518"/>
      <c r="BF123" s="518"/>
      <c r="BG123" s="518"/>
      <c r="BH123" s="518"/>
      <c r="BI123" s="1337">
        <f t="shared" si="524"/>
        <v>0</v>
      </c>
      <c r="BJ123" s="518"/>
      <c r="BK123" s="1338"/>
      <c r="BL123" s="518"/>
      <c r="BM123" s="518">
        <f>IF(YEAR('3 pr-2'!AJ123)=2017,BJ123,0)</f>
        <v>0</v>
      </c>
      <c r="BN123" s="518">
        <f>IF(YEAR('3 pr-2'!AJ123)=2018,BJ123,0)</f>
        <v>0</v>
      </c>
      <c r="BO123" s="518">
        <f>IF(YEAR('3 pr-2'!AJ123)=2019,BJ123,0)</f>
        <v>0</v>
      </c>
      <c r="BP123" s="518">
        <f>IF(YEAR('3 pr-2'!AJ123)=2020,BJ123,0)</f>
        <v>0</v>
      </c>
      <c r="BQ123" s="518">
        <f>IF(YEAR('3 pr-2'!AJ123)=2021,BJ123,0)</f>
        <v>0</v>
      </c>
      <c r="BR123" s="518">
        <f>IF(YEAR('3 pr-2'!AJ123)=2022,BJ123,0)</f>
        <v>0</v>
      </c>
      <c r="BS123" s="518">
        <f>IF(YEAR('3 pr-2'!AJ123)=2023,BJ123,0)</f>
        <v>0</v>
      </c>
      <c r="BT123" s="523"/>
      <c r="BU123" s="881"/>
      <c r="BV123" s="518"/>
      <c r="BW123" s="518"/>
      <c r="BX123" s="518"/>
      <c r="BY123" s="518"/>
      <c r="BZ123" s="518"/>
      <c r="CA123" s="518"/>
      <c r="CB123" s="518"/>
      <c r="CC123" s="1337">
        <f t="shared" si="538"/>
        <v>0</v>
      </c>
      <c r="CD123" s="518"/>
      <c r="CE123" s="518"/>
      <c r="CF123" s="518"/>
      <c r="CG123" s="518">
        <f>IF(YEAR('3 pr-2'!$AJ123)=2017,$CD123,0)</f>
        <v>0</v>
      </c>
      <c r="CH123" s="518">
        <f>IF(YEAR('3 pr-2'!$AJ123)=2018,$CD123,0)</f>
        <v>0</v>
      </c>
      <c r="CI123" s="518">
        <f>IF(YEAR('3 pr-2'!$AJ123)=2019,$CD123,0)</f>
        <v>0</v>
      </c>
      <c r="CJ123" s="518">
        <f>IF(YEAR('3 pr-2'!$AJ123)=2020,$CD123,0)</f>
        <v>0</v>
      </c>
      <c r="CK123" s="518">
        <f>IF(YEAR('3 pr-2'!$AJ123)=2021,$CD123,0)</f>
        <v>0</v>
      </c>
      <c r="CL123" s="518">
        <f>IF(YEAR('3 pr-2'!$AJ123)=2022,$CD123,0)</f>
        <v>0</v>
      </c>
      <c r="CM123" s="518">
        <f>IF(YEAR('3 pr-2'!$AJ123)=2023,$CD123,0)</f>
        <v>0</v>
      </c>
      <c r="CN123" s="523"/>
      <c r="CO123" s="882"/>
      <c r="CP123" s="518"/>
      <c r="CQ123" s="518"/>
      <c r="CR123" s="518"/>
      <c r="CS123" s="518"/>
      <c r="CT123" s="518"/>
      <c r="CU123" s="518"/>
      <c r="CV123" s="518"/>
      <c r="CW123" s="1337">
        <f t="shared" si="545"/>
        <v>0</v>
      </c>
      <c r="CX123" s="524"/>
      <c r="CY123" s="504"/>
      <c r="CZ123" s="504"/>
      <c r="DA123" s="1332">
        <f>IF(YEAR('3 pr-2'!AJ123)=2017,CX123,0)</f>
        <v>0</v>
      </c>
      <c r="DB123" s="1332">
        <f>IF(YEAR('3 pr-2'!AJ123)=2018,CX123,0)</f>
        <v>0</v>
      </c>
      <c r="DC123" s="1332">
        <f>IF(YEAR('3 pr-2'!AJ123)=2019,CX123,0)</f>
        <v>0</v>
      </c>
      <c r="DD123" s="1332">
        <f>IF(YEAR('3 pr-2'!AJ123)=2020,CX123,0)</f>
        <v>0</v>
      </c>
      <c r="DE123" s="1332">
        <f>IF(YEAR('3 pr-2'!AJ123)=2021,CX123,0)</f>
        <v>0</v>
      </c>
      <c r="DF123" s="1332">
        <f>IF(YEAR('3 pr-2'!AJ123)=2022,CX123,0)</f>
        <v>0</v>
      </c>
      <c r="DG123" s="1332">
        <f>IF(YEAR('3 pr-2'!AJ123)=2023,CX123,0)</f>
        <v>0</v>
      </c>
    </row>
    <row r="124" spans="1:111" ht="85.5" thickTop="1" thickBot="1" x14ac:dyDescent="0.3">
      <c r="A124" s="518" t="str">
        <f>CONCATENATE('3 pr-2'!A124)</f>
        <v>2.1.2.1.3</v>
      </c>
      <c r="B124" s="518" t="str">
        <f>CONCATENATE('3 pr-2'!B124)</f>
        <v>R01-6609-274700-2213</v>
      </c>
      <c r="C124" s="1449" t="str">
        <f>CONCATENATE('ketv. 2lent'!B123)</f>
        <v/>
      </c>
      <c r="D124" s="480" t="str">
        <f>CONCATENATE('3 pr-2'!D124)</f>
        <v>UAB „MediCA klinika“ teikiamų pirminės asmens sveikatos priežiūros paslaugų efektyvumo didinimas Alytaus miesto savivaldybėje</v>
      </c>
      <c r="E124" s="480" t="str">
        <f>CONCATENATE('3 pr-2'!E124)</f>
        <v>UAB „MediCA klinika“</v>
      </c>
      <c r="F124" s="480" t="str">
        <f>CONCATENATE('3 pr-2'!F124)</f>
        <v>Lietuvos Respublikos Sveikatos apsaugos ministerija</v>
      </c>
      <c r="G124" s="480" t="str">
        <f>CONCATENATE('3 pr-2'!G124)</f>
        <v>Alytaus  miestas</v>
      </c>
      <c r="H124" s="518" t="str">
        <f>CONCATENATE('3 pr-2'!H124)</f>
        <v>08.1.3-CPVA-R-609</v>
      </c>
      <c r="I124" s="518" t="str">
        <f>CONCATENATE('3 pr-2'!I124)</f>
        <v>R</v>
      </c>
      <c r="J124" s="518" t="str">
        <f>CONCATENATE('3 pr-2'!J124)</f>
        <v>-</v>
      </c>
      <c r="K124" s="518" t="str">
        <f>CONCATENATE('3 pr-2'!K124)</f>
        <v>-</v>
      </c>
      <c r="L124" s="518" t="s">
        <v>1741</v>
      </c>
      <c r="M124" s="1204" t="s">
        <v>1742</v>
      </c>
      <c r="N124" s="522"/>
      <c r="O124" s="522"/>
      <c r="P124" s="522"/>
      <c r="Q124" s="522"/>
      <c r="R124" s="522"/>
      <c r="S124" s="522"/>
      <c r="T124" s="522"/>
      <c r="U124" s="1475">
        <f t="shared" si="514"/>
        <v>0</v>
      </c>
      <c r="V124" s="518">
        <v>1</v>
      </c>
      <c r="W124" s="1468">
        <f>IF('ketv. 6 lent'!K124&gt;0,"taip",0)</f>
        <v>0</v>
      </c>
      <c r="X124" s="1461"/>
      <c r="Y124" s="1461">
        <f>IF(YEAR('3 pr-2'!$AJ124)=2017,$V124,0)</f>
        <v>0</v>
      </c>
      <c r="Z124" s="1461">
        <f>IF(YEAR('3 pr-2'!$AJ124)=2018,$V124,0)</f>
        <v>0</v>
      </c>
      <c r="AA124" s="1461">
        <f>IF(YEAR('3 pr-2'!$AJ124)=2019,$V124,0)</f>
        <v>0</v>
      </c>
      <c r="AB124" s="1461">
        <f>IF(YEAR('3 pr-2'!$AJ124)=2020,$V124,0)</f>
        <v>1</v>
      </c>
      <c r="AC124" s="1461">
        <f>IF(YEAR('3 pr-2'!$AJ124)=2021,$V124,0)</f>
        <v>0</v>
      </c>
      <c r="AD124" s="1461">
        <f>IF(YEAR('3 pr-2'!$AJ124)=2022,$V124,0)</f>
        <v>0</v>
      </c>
      <c r="AE124" s="1461">
        <f>IF(YEAR('3 pr-2'!$AJ124)=2023,$V124,0)</f>
        <v>0</v>
      </c>
      <c r="AF124" s="523" t="s">
        <v>543</v>
      </c>
      <c r="AG124" s="1204" t="s">
        <v>544</v>
      </c>
      <c r="AH124" s="522"/>
      <c r="AI124" s="522"/>
      <c r="AJ124" s="522"/>
      <c r="AK124" s="522"/>
      <c r="AL124" s="522"/>
      <c r="AM124" s="522"/>
      <c r="AN124" s="522"/>
      <c r="AO124" s="1476">
        <f t="shared" si="546"/>
        <v>0</v>
      </c>
      <c r="AP124" s="518">
        <v>850</v>
      </c>
      <c r="AQ124" s="1338"/>
      <c r="AR124" s="518"/>
      <c r="AS124" s="1461">
        <f>IF(YEAR('3 pr-2'!$AJ124)=2017,$AP124,0)</f>
        <v>0</v>
      </c>
      <c r="AT124" s="1461">
        <f>IF(YEAR('3 pr-2'!$AJ124)=2018,$AP124,0)</f>
        <v>0</v>
      </c>
      <c r="AU124" s="1461">
        <f>IF(YEAR('3 pr-2'!$AJ124)=2019,$AP124,0)</f>
        <v>0</v>
      </c>
      <c r="AV124" s="1461">
        <f>IF(YEAR('3 pr-2'!$AJ124)=2020,$AP124,0)</f>
        <v>850</v>
      </c>
      <c r="AW124" s="1461">
        <f>IF(YEAR('3 pr-2'!$AJ124)=2021,$AP124,0)</f>
        <v>0</v>
      </c>
      <c r="AX124" s="1461">
        <f>IF(YEAR('3 pr-2'!$AJ124)=2022,$AP124,0)</f>
        <v>0</v>
      </c>
      <c r="AY124" s="1461">
        <f>IF(YEAR('3 pr-2'!$AJ124)=2023,$AP124,0)</f>
        <v>0</v>
      </c>
      <c r="AZ124" s="518"/>
      <c r="BA124" s="880"/>
      <c r="BB124" s="518"/>
      <c r="BC124" s="518"/>
      <c r="BD124" s="518"/>
      <c r="BE124" s="518"/>
      <c r="BF124" s="518"/>
      <c r="BG124" s="518"/>
      <c r="BH124" s="518"/>
      <c r="BI124" s="1337">
        <f t="shared" si="524"/>
        <v>0</v>
      </c>
      <c r="BJ124" s="518"/>
      <c r="BK124" s="1338"/>
      <c r="BL124" s="518"/>
      <c r="BM124" s="518">
        <f>IF(YEAR('3 pr-2'!AJ124)=2017,BJ124,0)</f>
        <v>0</v>
      </c>
      <c r="BN124" s="518">
        <f>IF(YEAR('3 pr-2'!AJ124)=2018,BJ124,0)</f>
        <v>0</v>
      </c>
      <c r="BO124" s="518">
        <f>IF(YEAR('3 pr-2'!AJ124)=2019,BJ124,0)</f>
        <v>0</v>
      </c>
      <c r="BP124" s="518">
        <f>IF(YEAR('3 pr-2'!AJ124)=2020,BJ124,0)</f>
        <v>0</v>
      </c>
      <c r="BQ124" s="518">
        <f>IF(YEAR('3 pr-2'!AJ124)=2021,BJ124,0)</f>
        <v>0</v>
      </c>
      <c r="BR124" s="518">
        <f>IF(YEAR('3 pr-2'!AJ124)=2022,BJ124,0)</f>
        <v>0</v>
      </c>
      <c r="BS124" s="518">
        <f>IF(YEAR('3 pr-2'!AJ124)=2023,BJ124,0)</f>
        <v>0</v>
      </c>
      <c r="BT124" s="523"/>
      <c r="BU124" s="881"/>
      <c r="BV124" s="518"/>
      <c r="BW124" s="518"/>
      <c r="BX124" s="518"/>
      <c r="BY124" s="518"/>
      <c r="BZ124" s="518"/>
      <c r="CA124" s="518"/>
      <c r="CB124" s="518"/>
      <c r="CC124" s="1337">
        <f t="shared" si="538"/>
        <v>0</v>
      </c>
      <c r="CD124" s="518"/>
      <c r="CE124" s="518"/>
      <c r="CF124" s="518"/>
      <c r="CG124" s="518">
        <f>IF(YEAR('3 pr-2'!$AJ124)=2017,$CD124,0)</f>
        <v>0</v>
      </c>
      <c r="CH124" s="518">
        <f>IF(YEAR('3 pr-2'!$AJ124)=2018,$CD124,0)</f>
        <v>0</v>
      </c>
      <c r="CI124" s="518">
        <f>IF(YEAR('3 pr-2'!$AJ124)=2019,$CD124,0)</f>
        <v>0</v>
      </c>
      <c r="CJ124" s="518">
        <f>IF(YEAR('3 pr-2'!$AJ124)=2020,$CD124,0)</f>
        <v>0</v>
      </c>
      <c r="CK124" s="518">
        <f>IF(YEAR('3 pr-2'!$AJ124)=2021,$CD124,0)</f>
        <v>0</v>
      </c>
      <c r="CL124" s="518">
        <f>IF(YEAR('3 pr-2'!$AJ124)=2022,$CD124,0)</f>
        <v>0</v>
      </c>
      <c r="CM124" s="518">
        <f>IF(YEAR('3 pr-2'!$AJ124)=2023,$CD124,0)</f>
        <v>0</v>
      </c>
      <c r="CN124" s="523"/>
      <c r="CO124" s="882"/>
      <c r="CP124" s="518"/>
      <c r="CQ124" s="518"/>
      <c r="CR124" s="518"/>
      <c r="CS124" s="518"/>
      <c r="CT124" s="518"/>
      <c r="CU124" s="518"/>
      <c r="CV124" s="518"/>
      <c r="CW124" s="1337">
        <f t="shared" si="545"/>
        <v>0</v>
      </c>
      <c r="CX124" s="524"/>
      <c r="CY124" s="504"/>
      <c r="CZ124" s="504"/>
      <c r="DA124" s="1332">
        <f>IF(YEAR('3 pr-2'!AJ124)=2017,CX124,0)</f>
        <v>0</v>
      </c>
      <c r="DB124" s="1332">
        <f>IF(YEAR('3 pr-2'!AJ124)=2018,CX124,0)</f>
        <v>0</v>
      </c>
      <c r="DC124" s="1332">
        <f>IF(YEAR('3 pr-2'!AJ124)=2019,CX124,0)</f>
        <v>0</v>
      </c>
      <c r="DD124" s="1332">
        <f>IF(YEAR('3 pr-2'!AJ124)=2020,CX124,0)</f>
        <v>0</v>
      </c>
      <c r="DE124" s="1332">
        <f>IF(YEAR('3 pr-2'!AJ124)=2021,CX124,0)</f>
        <v>0</v>
      </c>
      <c r="DF124" s="1332">
        <f>IF(YEAR('3 pr-2'!AJ124)=2022,CX124,0)</f>
        <v>0</v>
      </c>
      <c r="DG124" s="1332">
        <f>IF(YEAR('3 pr-2'!AJ124)=2023,CX124,0)</f>
        <v>0</v>
      </c>
    </row>
    <row r="125" spans="1:111" ht="75" thickTop="1" thickBot="1" x14ac:dyDescent="0.3">
      <c r="A125" s="518" t="str">
        <f>CONCATENATE('3 pr-2'!A125)</f>
        <v>2.1.2.1.4</v>
      </c>
      <c r="B125" s="518" t="str">
        <f>CONCATENATE('3 pr-2'!B125)</f>
        <v>R01-6609-274710-2214</v>
      </c>
      <c r="C125" s="1449" t="str">
        <f>CONCATENATE('ketv. 2lent'!B124)</f>
        <v/>
      </c>
      <c r="D125" s="480" t="str">
        <f>CONCATENATE('3 pr-2'!D125)</f>
        <v>UAB "Pagalba ligoniui" teikiamų paslaugų efektyvumo didinimas</v>
      </c>
      <c r="E125" s="480" t="str">
        <f>CONCATENATE('3 pr-2'!E125)</f>
        <v>UAB „Pagalba ligoniui“, Alytaus filialas</v>
      </c>
      <c r="F125" s="480" t="str">
        <f>CONCATENATE('3 pr-2'!F125)</f>
        <v>Lietuvos Respublikos Sveikatos apsaugos ministerija</v>
      </c>
      <c r="G125" s="480" t="str">
        <f>CONCATENATE('3 pr-2'!G125)</f>
        <v>Alytaus  miestas</v>
      </c>
      <c r="H125" s="518" t="str">
        <f>CONCATENATE('3 pr-2'!H125)</f>
        <v>08.1.3-CPVA-R-609</v>
      </c>
      <c r="I125" s="518" t="str">
        <f>CONCATENATE('3 pr-2'!I125)</f>
        <v>R</v>
      </c>
      <c r="J125" s="518" t="str">
        <f>CONCATENATE('3 pr-2'!J125)</f>
        <v>-</v>
      </c>
      <c r="K125" s="518" t="str">
        <f>CONCATENATE('3 pr-2'!K125)</f>
        <v>-</v>
      </c>
      <c r="L125" s="518" t="s">
        <v>1741</v>
      </c>
      <c r="M125" s="1204" t="s">
        <v>1742</v>
      </c>
      <c r="N125" s="522"/>
      <c r="O125" s="522"/>
      <c r="P125" s="522"/>
      <c r="Q125" s="522"/>
      <c r="R125" s="522"/>
      <c r="S125" s="522"/>
      <c r="T125" s="522"/>
      <c r="U125" s="1475">
        <f t="shared" si="514"/>
        <v>0</v>
      </c>
      <c r="V125" s="518">
        <v>1</v>
      </c>
      <c r="W125" s="1468">
        <f>IF('ketv. 6 lent'!K125&gt;0,"taip",0)</f>
        <v>0</v>
      </c>
      <c r="X125" s="1461"/>
      <c r="Y125" s="1461">
        <f>IF(YEAR('3 pr-2'!$AJ125)=2017,$V125,0)</f>
        <v>0</v>
      </c>
      <c r="Z125" s="1461">
        <f>IF(YEAR('3 pr-2'!$AJ125)=2018,$V125,0)</f>
        <v>0</v>
      </c>
      <c r="AA125" s="1461">
        <f>IF(YEAR('3 pr-2'!$AJ125)=2019,$V125,0)</f>
        <v>0</v>
      </c>
      <c r="AB125" s="1461">
        <f>IF(YEAR('3 pr-2'!$AJ125)=2020,$V125,0)</f>
        <v>0</v>
      </c>
      <c r="AC125" s="1461">
        <f>IF(YEAR('3 pr-2'!$AJ125)=2021,$V125,0)</f>
        <v>1</v>
      </c>
      <c r="AD125" s="1461">
        <f>IF(YEAR('3 pr-2'!$AJ125)=2022,$V125,0)</f>
        <v>0</v>
      </c>
      <c r="AE125" s="1461">
        <f>IF(YEAR('3 pr-2'!$AJ125)=2023,$V125,0)</f>
        <v>0</v>
      </c>
      <c r="AF125" s="523" t="s">
        <v>543</v>
      </c>
      <c r="AG125" s="1204" t="s">
        <v>544</v>
      </c>
      <c r="AH125" s="522"/>
      <c r="AI125" s="522"/>
      <c r="AJ125" s="522"/>
      <c r="AK125" s="522"/>
      <c r="AL125" s="522"/>
      <c r="AM125" s="522"/>
      <c r="AN125" s="522"/>
      <c r="AO125" s="1476">
        <f t="shared" si="546"/>
        <v>0</v>
      </c>
      <c r="AP125" s="518">
        <v>750</v>
      </c>
      <c r="AQ125" s="1338"/>
      <c r="AR125" s="518"/>
      <c r="AS125" s="1461">
        <f>IF(YEAR('3 pr-2'!$AJ125)=2017,$AP125,0)</f>
        <v>0</v>
      </c>
      <c r="AT125" s="1461">
        <f>IF(YEAR('3 pr-2'!$AJ125)=2018,$AP125,0)</f>
        <v>0</v>
      </c>
      <c r="AU125" s="1461">
        <f>IF(YEAR('3 pr-2'!$AJ125)=2019,$AP125,0)</f>
        <v>0</v>
      </c>
      <c r="AV125" s="1461">
        <f>IF(YEAR('3 pr-2'!$AJ125)=2020,$AP125,0)</f>
        <v>0</v>
      </c>
      <c r="AW125" s="1461">
        <f>IF(YEAR('3 pr-2'!$AJ125)=2021,$AP125,0)</f>
        <v>750</v>
      </c>
      <c r="AX125" s="1461">
        <f>IF(YEAR('3 pr-2'!$AJ125)=2022,$AP125,0)</f>
        <v>0</v>
      </c>
      <c r="AY125" s="1461">
        <f>IF(YEAR('3 pr-2'!$AJ125)=2023,$AP125,0)</f>
        <v>0</v>
      </c>
      <c r="AZ125" s="518"/>
      <c r="BA125" s="880"/>
      <c r="BB125" s="518"/>
      <c r="BC125" s="518"/>
      <c r="BD125" s="518"/>
      <c r="BE125" s="518"/>
      <c r="BF125" s="518"/>
      <c r="BG125" s="518"/>
      <c r="BH125" s="518"/>
      <c r="BI125" s="1337">
        <f t="shared" si="524"/>
        <v>0</v>
      </c>
      <c r="BJ125" s="518"/>
      <c r="BK125" s="1338"/>
      <c r="BL125" s="518"/>
      <c r="BM125" s="518">
        <f>IF(YEAR('3 pr-2'!AJ125)=2017,BJ125,0)</f>
        <v>0</v>
      </c>
      <c r="BN125" s="518">
        <f>IF(YEAR('3 pr-2'!AJ125)=2018,BJ125,0)</f>
        <v>0</v>
      </c>
      <c r="BO125" s="518">
        <f>IF(YEAR('3 pr-2'!AJ125)=2019,BJ125,0)</f>
        <v>0</v>
      </c>
      <c r="BP125" s="518">
        <f>IF(YEAR('3 pr-2'!AJ125)=2020,BJ125,0)</f>
        <v>0</v>
      </c>
      <c r="BQ125" s="518">
        <f>IF(YEAR('3 pr-2'!AJ125)=2021,BJ125,0)</f>
        <v>0</v>
      </c>
      <c r="BR125" s="518">
        <f>IF(YEAR('3 pr-2'!AJ125)=2022,BJ125,0)</f>
        <v>0</v>
      </c>
      <c r="BS125" s="518">
        <f>IF(YEAR('3 pr-2'!AJ125)=2023,BJ125,0)</f>
        <v>0</v>
      </c>
      <c r="BT125" s="523"/>
      <c r="BU125" s="881"/>
      <c r="BV125" s="518"/>
      <c r="BW125" s="518"/>
      <c r="BX125" s="518"/>
      <c r="BY125" s="518"/>
      <c r="BZ125" s="518"/>
      <c r="CA125" s="518"/>
      <c r="CB125" s="518"/>
      <c r="CC125" s="1337">
        <f t="shared" si="538"/>
        <v>0</v>
      </c>
      <c r="CD125" s="518"/>
      <c r="CE125" s="518"/>
      <c r="CF125" s="518"/>
      <c r="CG125" s="518">
        <f>IF(YEAR('3 pr-2'!$AJ125)=2017,$CD125,0)</f>
        <v>0</v>
      </c>
      <c r="CH125" s="518">
        <f>IF(YEAR('3 pr-2'!$AJ125)=2018,$CD125,0)</f>
        <v>0</v>
      </c>
      <c r="CI125" s="518">
        <f>IF(YEAR('3 pr-2'!$AJ125)=2019,$CD125,0)</f>
        <v>0</v>
      </c>
      <c r="CJ125" s="518">
        <f>IF(YEAR('3 pr-2'!$AJ125)=2020,$CD125,0)</f>
        <v>0</v>
      </c>
      <c r="CK125" s="518">
        <f>IF(YEAR('3 pr-2'!$AJ125)=2021,$CD125,0)</f>
        <v>0</v>
      </c>
      <c r="CL125" s="518">
        <f>IF(YEAR('3 pr-2'!$AJ125)=2022,$CD125,0)</f>
        <v>0</v>
      </c>
      <c r="CM125" s="518">
        <f>IF(YEAR('3 pr-2'!$AJ125)=2023,$CD125,0)</f>
        <v>0</v>
      </c>
      <c r="CN125" s="523"/>
      <c r="CO125" s="882"/>
      <c r="CP125" s="518"/>
      <c r="CQ125" s="518"/>
      <c r="CR125" s="518"/>
      <c r="CS125" s="518"/>
      <c r="CT125" s="518"/>
      <c r="CU125" s="518"/>
      <c r="CV125" s="518"/>
      <c r="CW125" s="1337">
        <f t="shared" si="545"/>
        <v>0</v>
      </c>
      <c r="CX125" s="524"/>
      <c r="CY125" s="504"/>
      <c r="CZ125" s="504"/>
      <c r="DA125" s="1332">
        <f>IF(YEAR('3 pr-2'!AJ125)=2017,CX125,0)</f>
        <v>0</v>
      </c>
      <c r="DB125" s="1332">
        <f>IF(YEAR('3 pr-2'!AJ125)=2018,CX125,0)</f>
        <v>0</v>
      </c>
      <c r="DC125" s="1332">
        <f>IF(YEAR('3 pr-2'!AJ125)=2019,CX125,0)</f>
        <v>0</v>
      </c>
      <c r="DD125" s="1332">
        <f>IF(YEAR('3 pr-2'!AJ125)=2020,CX125,0)</f>
        <v>0</v>
      </c>
      <c r="DE125" s="1332">
        <f>IF(YEAR('3 pr-2'!AJ125)=2021,CX125,0)</f>
        <v>0</v>
      </c>
      <c r="DF125" s="1332">
        <f>IF(YEAR('3 pr-2'!AJ125)=2022,CX125,0)</f>
        <v>0</v>
      </c>
      <c r="DG125" s="1332">
        <f>IF(YEAR('3 pr-2'!AJ125)=2023,CX125,0)</f>
        <v>0</v>
      </c>
    </row>
    <row r="126" spans="1:111" ht="85.5" thickTop="1" thickBot="1" x14ac:dyDescent="0.3">
      <c r="A126" s="518" t="str">
        <f>CONCATENATE('3 pr-2'!A126)</f>
        <v>2.1.2.1.5</v>
      </c>
      <c r="B126" s="518" t="str">
        <f>CONCATENATE('3 pr-2'!B126)</f>
        <v>R01-6609-274710-2215</v>
      </c>
      <c r="C126" s="1449" t="str">
        <f>CONCATENATE('ketv. 2lent'!B125)</f>
        <v/>
      </c>
      <c r="D126" s="480" t="str">
        <f>CONCATENATE('3 pr-2'!D126)</f>
        <v>Pirminės asmens sveikatos priežiūros veiklos efektyvumo didinimas Alytaus rajono savivaldybėje</v>
      </c>
      <c r="E126" s="480" t="str">
        <f>CONCATENATE('3 pr-2'!E126)</f>
        <v>VšĮ Alytaus rajono savivaldybės pirminės sveikatos priežiūros centras</v>
      </c>
      <c r="F126" s="480" t="str">
        <f>CONCATENATE('3 pr-2'!F126)</f>
        <v>Lietuvos Respublikos Sveikatos apsaugos ministerija</v>
      </c>
      <c r="G126" s="480" t="str">
        <f>CONCATENATE('3 pr-2'!G126)</f>
        <v>Alytaus rajonas</v>
      </c>
      <c r="H126" s="518" t="str">
        <f>CONCATENATE('3 pr-2'!H126)</f>
        <v>08.1.3-CPVA-R-609</v>
      </c>
      <c r="I126" s="518" t="str">
        <f>CONCATENATE('3 pr-2'!I126)</f>
        <v>R</v>
      </c>
      <c r="J126" s="518" t="str">
        <f>CONCATENATE('3 pr-2'!J126)</f>
        <v>-</v>
      </c>
      <c r="K126" s="518" t="str">
        <f>CONCATENATE('3 pr-2'!K126)</f>
        <v>-</v>
      </c>
      <c r="L126" s="518" t="s">
        <v>1741</v>
      </c>
      <c r="M126" s="1204" t="s">
        <v>1742</v>
      </c>
      <c r="N126" s="522"/>
      <c r="O126" s="522"/>
      <c r="P126" s="522"/>
      <c r="Q126" s="522"/>
      <c r="R126" s="522"/>
      <c r="S126" s="522"/>
      <c r="T126" s="522"/>
      <c r="U126" s="1475">
        <f t="shared" si="514"/>
        <v>0</v>
      </c>
      <c r="V126" s="518">
        <v>1</v>
      </c>
      <c r="W126" s="1468">
        <f>IF('ketv. 6 lent'!K126&gt;0,"taip",0)</f>
        <v>0</v>
      </c>
      <c r="X126" s="1461"/>
      <c r="Y126" s="1461">
        <f>IF(YEAR('3 pr-2'!$AJ126)=2017,$V126,0)</f>
        <v>0</v>
      </c>
      <c r="Z126" s="1461">
        <f>IF(YEAR('3 pr-2'!$AJ126)=2018,$V126,0)</f>
        <v>0</v>
      </c>
      <c r="AA126" s="1461">
        <f>IF(YEAR('3 pr-2'!$AJ126)=2019,$V126,0)</f>
        <v>0</v>
      </c>
      <c r="AB126" s="1461">
        <f>IF(YEAR('3 pr-2'!$AJ126)=2020,$V126,0)</f>
        <v>1</v>
      </c>
      <c r="AC126" s="1461">
        <f>IF(YEAR('3 pr-2'!$AJ126)=2021,$V126,0)</f>
        <v>0</v>
      </c>
      <c r="AD126" s="1461">
        <f>IF(YEAR('3 pr-2'!$AJ126)=2022,$V126,0)</f>
        <v>0</v>
      </c>
      <c r="AE126" s="1461">
        <f>IF(YEAR('3 pr-2'!$AJ126)=2023,$V126,0)</f>
        <v>0</v>
      </c>
      <c r="AF126" s="523" t="s">
        <v>543</v>
      </c>
      <c r="AG126" s="1204" t="s">
        <v>544</v>
      </c>
      <c r="AH126" s="522"/>
      <c r="AI126" s="522"/>
      <c r="AJ126" s="522"/>
      <c r="AK126" s="522"/>
      <c r="AL126" s="522"/>
      <c r="AM126" s="522"/>
      <c r="AN126" s="522"/>
      <c r="AO126" s="1476">
        <f t="shared" si="546"/>
        <v>0</v>
      </c>
      <c r="AP126" s="518">
        <v>10000</v>
      </c>
      <c r="AQ126" s="1338"/>
      <c r="AR126" s="518"/>
      <c r="AS126" s="1461">
        <f>IF(YEAR('3 pr-2'!$AJ126)=2017,$AP126,0)</f>
        <v>0</v>
      </c>
      <c r="AT126" s="1461">
        <f>IF(YEAR('3 pr-2'!$AJ126)=2018,$AP126,0)</f>
        <v>0</v>
      </c>
      <c r="AU126" s="1461">
        <f>IF(YEAR('3 pr-2'!$AJ126)=2019,$AP126,0)</f>
        <v>0</v>
      </c>
      <c r="AV126" s="1461">
        <f>IF(YEAR('3 pr-2'!$AJ126)=2020,$AP126,0)</f>
        <v>10000</v>
      </c>
      <c r="AW126" s="1461">
        <f>IF(YEAR('3 pr-2'!$AJ126)=2021,$AP126,0)</f>
        <v>0</v>
      </c>
      <c r="AX126" s="1461">
        <f>IF(YEAR('3 pr-2'!$AJ126)=2022,$AP126,0)</f>
        <v>0</v>
      </c>
      <c r="AY126" s="1461">
        <f>IF(YEAR('3 pr-2'!$AJ126)=2023,$AP126,0)</f>
        <v>0</v>
      </c>
      <c r="AZ126" s="518"/>
      <c r="BA126" s="880"/>
      <c r="BB126" s="518"/>
      <c r="BC126" s="518"/>
      <c r="BD126" s="518"/>
      <c r="BE126" s="518"/>
      <c r="BF126" s="518"/>
      <c r="BG126" s="518"/>
      <c r="BH126" s="518"/>
      <c r="BI126" s="1337">
        <f t="shared" si="524"/>
        <v>0</v>
      </c>
      <c r="BJ126" s="518"/>
      <c r="BK126" s="1338"/>
      <c r="BL126" s="518"/>
      <c r="BM126" s="518">
        <f>IF(YEAR('3 pr-2'!AJ126)=2017,BJ126,0)</f>
        <v>0</v>
      </c>
      <c r="BN126" s="518">
        <f>IF(YEAR('3 pr-2'!AJ126)=2018,BJ126,0)</f>
        <v>0</v>
      </c>
      <c r="BO126" s="518">
        <f>IF(YEAR('3 pr-2'!AJ126)=2019,BJ126,0)</f>
        <v>0</v>
      </c>
      <c r="BP126" s="518">
        <f>IF(YEAR('3 pr-2'!AJ126)=2020,BJ126,0)</f>
        <v>0</v>
      </c>
      <c r="BQ126" s="518">
        <f>IF(YEAR('3 pr-2'!AJ126)=2021,BJ126,0)</f>
        <v>0</v>
      </c>
      <c r="BR126" s="518">
        <f>IF(YEAR('3 pr-2'!AJ126)=2022,BJ126,0)</f>
        <v>0</v>
      </c>
      <c r="BS126" s="518">
        <f>IF(YEAR('3 pr-2'!AJ126)=2023,BJ126,0)</f>
        <v>0</v>
      </c>
      <c r="BT126" s="523"/>
      <c r="BU126" s="881"/>
      <c r="BV126" s="518"/>
      <c r="BW126" s="518"/>
      <c r="BX126" s="518"/>
      <c r="BY126" s="518"/>
      <c r="BZ126" s="518"/>
      <c r="CA126" s="518"/>
      <c r="CB126" s="518"/>
      <c r="CC126" s="1337">
        <f t="shared" si="538"/>
        <v>0</v>
      </c>
      <c r="CD126" s="518"/>
      <c r="CE126" s="518"/>
      <c r="CF126" s="518"/>
      <c r="CG126" s="518">
        <f>IF(YEAR('3 pr-2'!$AJ126)=2017,$CD126,0)</f>
        <v>0</v>
      </c>
      <c r="CH126" s="518">
        <f>IF(YEAR('3 pr-2'!$AJ126)=2018,$CD126,0)</f>
        <v>0</v>
      </c>
      <c r="CI126" s="518">
        <f>IF(YEAR('3 pr-2'!$AJ126)=2019,$CD126,0)</f>
        <v>0</v>
      </c>
      <c r="CJ126" s="518">
        <f>IF(YEAR('3 pr-2'!$AJ126)=2020,$CD126,0)</f>
        <v>0</v>
      </c>
      <c r="CK126" s="518">
        <f>IF(YEAR('3 pr-2'!$AJ126)=2021,$CD126,0)</f>
        <v>0</v>
      </c>
      <c r="CL126" s="518">
        <f>IF(YEAR('3 pr-2'!$AJ126)=2022,$CD126,0)</f>
        <v>0</v>
      </c>
      <c r="CM126" s="518">
        <f>IF(YEAR('3 pr-2'!$AJ126)=2023,$CD126,0)</f>
        <v>0</v>
      </c>
      <c r="CN126" s="523"/>
      <c r="CO126" s="882"/>
      <c r="CP126" s="518"/>
      <c r="CQ126" s="518"/>
      <c r="CR126" s="518"/>
      <c r="CS126" s="518"/>
      <c r="CT126" s="518"/>
      <c r="CU126" s="518"/>
      <c r="CV126" s="518"/>
      <c r="CW126" s="1337">
        <f t="shared" si="545"/>
        <v>0</v>
      </c>
      <c r="CX126" s="524"/>
      <c r="CY126" s="504"/>
      <c r="CZ126" s="504"/>
      <c r="DA126" s="1332">
        <f>IF(YEAR('3 pr-2'!AJ126)=2017,CX126,0)</f>
        <v>0</v>
      </c>
      <c r="DB126" s="1332">
        <f>IF(YEAR('3 pr-2'!AJ126)=2018,CX126,0)</f>
        <v>0</v>
      </c>
      <c r="DC126" s="1332">
        <f>IF(YEAR('3 pr-2'!AJ126)=2019,CX126,0)</f>
        <v>0</v>
      </c>
      <c r="DD126" s="1332">
        <f>IF(YEAR('3 pr-2'!AJ126)=2020,CX126,0)</f>
        <v>0</v>
      </c>
      <c r="DE126" s="1332">
        <f>IF(YEAR('3 pr-2'!AJ126)=2021,CX126,0)</f>
        <v>0</v>
      </c>
      <c r="DF126" s="1332">
        <f>IF(YEAR('3 pr-2'!AJ126)=2022,CX126,0)</f>
        <v>0</v>
      </c>
      <c r="DG126" s="1332">
        <f>IF(YEAR('3 pr-2'!AJ126)=2023,CX126,0)</f>
        <v>0</v>
      </c>
    </row>
    <row r="127" spans="1:111" ht="75" thickTop="1" thickBot="1" x14ac:dyDescent="0.3">
      <c r="A127" s="518" t="str">
        <f>CONCATENATE('3 pr-2'!A127)</f>
        <v>2.1.2.1.6</v>
      </c>
      <c r="B127" s="518" t="str">
        <f>CONCATENATE('3 pr-2'!B127)</f>
        <v>R01-6609-471000-2216</v>
      </c>
      <c r="C127" s="1449" t="str">
        <f>CONCATENATE('ketv. 2lent'!B126)</f>
        <v/>
      </c>
      <c r="D127" s="480" t="str">
        <f>CONCATENATE('3 pr-2'!D127)</f>
        <v>Sveikatos priežiūros paslaugų gerinimas "UAB "Disolis"</v>
      </c>
      <c r="E127" s="480" t="str">
        <f>CONCATENATE('3 pr-2'!E127)</f>
        <v>UAB „Disolis“</v>
      </c>
      <c r="F127" s="480" t="str">
        <f>CONCATENATE('3 pr-2'!F127)</f>
        <v>Lietuvos Respublikos Sveikatos apsaugos ministerija</v>
      </c>
      <c r="G127" s="480" t="str">
        <f>CONCATENATE('3 pr-2'!G127)</f>
        <v>Alytaus rajonas</v>
      </c>
      <c r="H127" s="518" t="str">
        <f>CONCATENATE('3 pr-2'!H127)</f>
        <v>08.1.3-CPVA-R-609</v>
      </c>
      <c r="I127" s="518" t="str">
        <f>CONCATENATE('3 pr-2'!I127)</f>
        <v>R</v>
      </c>
      <c r="J127" s="518" t="str">
        <f>CONCATENATE('3 pr-2'!J127)</f>
        <v>-</v>
      </c>
      <c r="K127" s="518" t="str">
        <f>CONCATENATE('3 pr-2'!K127)</f>
        <v>-</v>
      </c>
      <c r="L127" s="518" t="s">
        <v>1741</v>
      </c>
      <c r="M127" s="1204" t="s">
        <v>1742</v>
      </c>
      <c r="N127" s="522"/>
      <c r="O127" s="522"/>
      <c r="P127" s="522"/>
      <c r="Q127" s="522"/>
      <c r="R127" s="522"/>
      <c r="S127" s="522"/>
      <c r="T127" s="522"/>
      <c r="U127" s="1475">
        <f t="shared" si="514"/>
        <v>0</v>
      </c>
      <c r="V127" s="518">
        <v>1</v>
      </c>
      <c r="W127" s="1468">
        <f>IF('ketv. 6 lent'!K127&gt;0,"taip",0)</f>
        <v>0</v>
      </c>
      <c r="X127" s="1461"/>
      <c r="Y127" s="1461">
        <f>IF(YEAR('3 pr-2'!$AJ127)=2017,$V127,0)</f>
        <v>0</v>
      </c>
      <c r="Z127" s="1461">
        <f>IF(YEAR('3 pr-2'!$AJ127)=2018,$V127,0)</f>
        <v>0</v>
      </c>
      <c r="AA127" s="1461">
        <f>IF(YEAR('3 pr-2'!$AJ127)=2019,$V127,0)</f>
        <v>1</v>
      </c>
      <c r="AB127" s="1461">
        <f>IF(YEAR('3 pr-2'!$AJ127)=2020,$V127,0)</f>
        <v>0</v>
      </c>
      <c r="AC127" s="1461">
        <f>IF(YEAR('3 pr-2'!$AJ127)=2021,$V127,0)</f>
        <v>0</v>
      </c>
      <c r="AD127" s="1461">
        <f>IF(YEAR('3 pr-2'!$AJ127)=2022,$V127,0)</f>
        <v>0</v>
      </c>
      <c r="AE127" s="1461">
        <f>IF(YEAR('3 pr-2'!$AJ127)=2023,$V127,0)</f>
        <v>0</v>
      </c>
      <c r="AF127" s="523" t="s">
        <v>543</v>
      </c>
      <c r="AG127" s="1204" t="s">
        <v>544</v>
      </c>
      <c r="AH127" s="522"/>
      <c r="AI127" s="522"/>
      <c r="AJ127" s="522"/>
      <c r="AK127" s="522"/>
      <c r="AL127" s="522"/>
      <c r="AM127" s="522"/>
      <c r="AN127" s="522"/>
      <c r="AO127" s="1476">
        <f t="shared" si="546"/>
        <v>0</v>
      </c>
      <c r="AP127" s="518">
        <v>400</v>
      </c>
      <c r="AQ127" s="1338"/>
      <c r="AR127" s="518"/>
      <c r="AS127" s="1461">
        <f>IF(YEAR('3 pr-2'!$AJ127)=2017,$AP127,0)</f>
        <v>0</v>
      </c>
      <c r="AT127" s="1461">
        <f>IF(YEAR('3 pr-2'!$AJ127)=2018,$AP127,0)</f>
        <v>0</v>
      </c>
      <c r="AU127" s="1461">
        <f>IF(YEAR('3 pr-2'!$AJ127)=2019,$AP127,0)</f>
        <v>400</v>
      </c>
      <c r="AV127" s="1461">
        <f>IF(YEAR('3 pr-2'!$AJ127)=2020,$AP127,0)</f>
        <v>0</v>
      </c>
      <c r="AW127" s="1461">
        <f>IF(YEAR('3 pr-2'!$AJ127)=2021,$AP127,0)</f>
        <v>0</v>
      </c>
      <c r="AX127" s="1461">
        <f>IF(YEAR('3 pr-2'!$AJ127)=2022,$AP127,0)</f>
        <v>0</v>
      </c>
      <c r="AY127" s="1461">
        <f>IF(YEAR('3 pr-2'!$AJ127)=2023,$AP127,0)</f>
        <v>0</v>
      </c>
      <c r="AZ127" s="518"/>
      <c r="BA127" s="880"/>
      <c r="BB127" s="518"/>
      <c r="BC127" s="518"/>
      <c r="BD127" s="518"/>
      <c r="BE127" s="518"/>
      <c r="BF127" s="518"/>
      <c r="BG127" s="518"/>
      <c r="BH127" s="518"/>
      <c r="BI127" s="1337">
        <f t="shared" si="524"/>
        <v>0</v>
      </c>
      <c r="BJ127" s="518"/>
      <c r="BK127" s="1338"/>
      <c r="BL127" s="518"/>
      <c r="BM127" s="518">
        <f>IF(YEAR('3 pr-2'!AJ127)=2017,BJ127,0)</f>
        <v>0</v>
      </c>
      <c r="BN127" s="518">
        <f>IF(YEAR('3 pr-2'!AJ127)=2018,BJ127,0)</f>
        <v>0</v>
      </c>
      <c r="BO127" s="518">
        <f>IF(YEAR('3 pr-2'!AJ127)=2019,BJ127,0)</f>
        <v>0</v>
      </c>
      <c r="BP127" s="518">
        <f>IF(YEAR('3 pr-2'!AJ127)=2020,BJ127,0)</f>
        <v>0</v>
      </c>
      <c r="BQ127" s="518">
        <f>IF(YEAR('3 pr-2'!AJ127)=2021,BJ127,0)</f>
        <v>0</v>
      </c>
      <c r="BR127" s="518">
        <f>IF(YEAR('3 pr-2'!AJ127)=2022,BJ127,0)</f>
        <v>0</v>
      </c>
      <c r="BS127" s="518">
        <f>IF(YEAR('3 pr-2'!AJ127)=2023,BJ127,0)</f>
        <v>0</v>
      </c>
      <c r="BT127" s="523"/>
      <c r="BU127" s="881"/>
      <c r="BV127" s="518"/>
      <c r="BW127" s="518"/>
      <c r="BX127" s="518"/>
      <c r="BY127" s="518"/>
      <c r="BZ127" s="518"/>
      <c r="CA127" s="518"/>
      <c r="CB127" s="518"/>
      <c r="CC127" s="1337">
        <f t="shared" si="538"/>
        <v>0</v>
      </c>
      <c r="CD127" s="518"/>
      <c r="CE127" s="518"/>
      <c r="CF127" s="518"/>
      <c r="CG127" s="518">
        <f>IF(YEAR('3 pr-2'!$AJ127)=2017,$CD127,0)</f>
        <v>0</v>
      </c>
      <c r="CH127" s="518">
        <f>IF(YEAR('3 pr-2'!$AJ127)=2018,$CD127,0)</f>
        <v>0</v>
      </c>
      <c r="CI127" s="518">
        <f>IF(YEAR('3 pr-2'!$AJ127)=2019,$CD127,0)</f>
        <v>0</v>
      </c>
      <c r="CJ127" s="518">
        <f>IF(YEAR('3 pr-2'!$AJ127)=2020,$CD127,0)</f>
        <v>0</v>
      </c>
      <c r="CK127" s="518">
        <f>IF(YEAR('3 pr-2'!$AJ127)=2021,$CD127,0)</f>
        <v>0</v>
      </c>
      <c r="CL127" s="518">
        <f>IF(YEAR('3 pr-2'!$AJ127)=2022,$CD127,0)</f>
        <v>0</v>
      </c>
      <c r="CM127" s="518">
        <f>IF(YEAR('3 pr-2'!$AJ127)=2023,$CD127,0)</f>
        <v>0</v>
      </c>
      <c r="CN127" s="523"/>
      <c r="CO127" s="882"/>
      <c r="CP127" s="518"/>
      <c r="CQ127" s="518"/>
      <c r="CR127" s="518"/>
      <c r="CS127" s="518"/>
      <c r="CT127" s="518"/>
      <c r="CU127" s="518"/>
      <c r="CV127" s="518"/>
      <c r="CW127" s="1337">
        <f t="shared" si="545"/>
        <v>0</v>
      </c>
      <c r="CX127" s="524"/>
      <c r="CY127" s="504"/>
      <c r="CZ127" s="504"/>
      <c r="DA127" s="1332">
        <f>IF(YEAR('3 pr-2'!AJ127)=2017,CX127,0)</f>
        <v>0</v>
      </c>
      <c r="DB127" s="1332">
        <f>IF(YEAR('3 pr-2'!AJ127)=2018,CX127,0)</f>
        <v>0</v>
      </c>
      <c r="DC127" s="1332">
        <f>IF(YEAR('3 pr-2'!AJ127)=2019,CX127,0)</f>
        <v>0</v>
      </c>
      <c r="DD127" s="1332">
        <f>IF(YEAR('3 pr-2'!AJ127)=2020,CX127,0)</f>
        <v>0</v>
      </c>
      <c r="DE127" s="1332">
        <f>IF(YEAR('3 pr-2'!AJ127)=2021,CX127,0)</f>
        <v>0</v>
      </c>
      <c r="DF127" s="1332">
        <f>IF(YEAR('3 pr-2'!AJ127)=2022,CX127,0)</f>
        <v>0</v>
      </c>
      <c r="DG127" s="1332">
        <f>IF(YEAR('3 pr-2'!AJ127)=2023,CX127,0)</f>
        <v>0</v>
      </c>
    </row>
    <row r="128" spans="1:111" ht="75" thickTop="1" thickBot="1" x14ac:dyDescent="0.3">
      <c r="A128" s="518" t="str">
        <f>CONCATENATE('3 pr-2'!A128)</f>
        <v>2.1.2.1.7</v>
      </c>
      <c r="B128" s="518" t="str">
        <f>CONCATENATE('3 pr-2'!B128)</f>
        <v>R01-6609-274710-2217</v>
      </c>
      <c r="C128" s="1449" t="str">
        <f>CONCATENATE('ketv. 2lent'!B127)</f>
        <v/>
      </c>
      <c r="D128" s="480" t="str">
        <f>CONCATENATE('3 pr-2'!D128)</f>
        <v>Pirminės asmens sveikatos priežiūros kokybės ir prieinamumo gerinimas Druskininkų savivaldybėje</v>
      </c>
      <c r="E128" s="480" t="str">
        <f>CONCATENATE('3 pr-2'!E128)</f>
        <v>VšĮ Druskininkų pirminės sveikatos priežiūros centras</v>
      </c>
      <c r="F128" s="480" t="str">
        <f>CONCATENATE('3 pr-2'!F128)</f>
        <v>Lietuvos Respublikos Sveikatos apsaugos ministerija</v>
      </c>
      <c r="G128" s="480" t="str">
        <f>CONCATENATE('3 pr-2'!G128)</f>
        <v>Druskininkų sav.</v>
      </c>
      <c r="H128" s="518" t="str">
        <f>CONCATENATE('3 pr-2'!H128)</f>
        <v>08.1.3-CPVA-R-609</v>
      </c>
      <c r="I128" s="518" t="str">
        <f>CONCATENATE('3 pr-2'!I128)</f>
        <v>R</v>
      </c>
      <c r="J128" s="518" t="str">
        <f>CONCATENATE('3 pr-2'!J128)</f>
        <v>-</v>
      </c>
      <c r="K128" s="518" t="str">
        <f>CONCATENATE('3 pr-2'!K128)</f>
        <v>-</v>
      </c>
      <c r="L128" s="518" t="s">
        <v>1741</v>
      </c>
      <c r="M128" s="1204" t="s">
        <v>1742</v>
      </c>
      <c r="N128" s="522"/>
      <c r="O128" s="522"/>
      <c r="P128" s="522"/>
      <c r="Q128" s="522"/>
      <c r="R128" s="522"/>
      <c r="S128" s="522"/>
      <c r="T128" s="522"/>
      <c r="U128" s="1475">
        <f t="shared" si="514"/>
        <v>0</v>
      </c>
      <c r="V128" s="518">
        <v>1</v>
      </c>
      <c r="W128" s="1468">
        <f>IF('ketv. 6 lent'!K128&gt;0,"taip",0)</f>
        <v>0</v>
      </c>
      <c r="X128" s="1461"/>
      <c r="Y128" s="1461">
        <f>IF(YEAR('3 pr-2'!$AJ128)=2017,$V128,0)</f>
        <v>0</v>
      </c>
      <c r="Z128" s="1461">
        <f>IF(YEAR('3 pr-2'!$AJ128)=2018,$V128,0)</f>
        <v>0</v>
      </c>
      <c r="AA128" s="1461">
        <f>IF(YEAR('3 pr-2'!$AJ128)=2019,$V128,0)</f>
        <v>0</v>
      </c>
      <c r="AB128" s="1461">
        <f>IF(YEAR('3 pr-2'!$AJ128)=2020,$V128,0)</f>
        <v>1</v>
      </c>
      <c r="AC128" s="1461">
        <f>IF(YEAR('3 pr-2'!$AJ128)=2021,$V128,0)</f>
        <v>0</v>
      </c>
      <c r="AD128" s="1461">
        <f>IF(YEAR('3 pr-2'!$AJ128)=2022,$V128,0)</f>
        <v>0</v>
      </c>
      <c r="AE128" s="1461">
        <f>IF(YEAR('3 pr-2'!$AJ128)=2023,$V128,0)</f>
        <v>0</v>
      </c>
      <c r="AF128" s="523" t="s">
        <v>543</v>
      </c>
      <c r="AG128" s="1204" t="s">
        <v>544</v>
      </c>
      <c r="AH128" s="522"/>
      <c r="AI128" s="522"/>
      <c r="AJ128" s="522"/>
      <c r="AK128" s="522"/>
      <c r="AL128" s="522"/>
      <c r="AM128" s="522"/>
      <c r="AN128" s="522"/>
      <c r="AO128" s="1476">
        <f t="shared" si="546"/>
        <v>0</v>
      </c>
      <c r="AP128" s="1534">
        <v>8340</v>
      </c>
      <c r="AQ128" s="1338"/>
      <c r="AR128" s="518"/>
      <c r="AS128" s="1461">
        <f>IF(YEAR('3 pr-2'!$AJ128)=2017,$AP128,0)</f>
        <v>0</v>
      </c>
      <c r="AT128" s="1461">
        <f>IF(YEAR('3 pr-2'!$AJ128)=2018,$AP128,0)</f>
        <v>0</v>
      </c>
      <c r="AU128" s="1461">
        <f>IF(YEAR('3 pr-2'!$AJ128)=2019,$AP128,0)</f>
        <v>0</v>
      </c>
      <c r="AV128" s="1461">
        <f>IF(YEAR('3 pr-2'!$AJ128)=2020,$AP128,0)</f>
        <v>8340</v>
      </c>
      <c r="AW128" s="1461">
        <f>IF(YEAR('3 pr-2'!$AJ128)=2021,$AP128,0)</f>
        <v>0</v>
      </c>
      <c r="AX128" s="1461">
        <f>IF(YEAR('3 pr-2'!$AJ128)=2022,$AP128,0)</f>
        <v>0</v>
      </c>
      <c r="AY128" s="1461">
        <f>IF(YEAR('3 pr-2'!$AJ128)=2023,$AP128,0)</f>
        <v>0</v>
      </c>
      <c r="AZ128" s="518"/>
      <c r="BA128" s="880"/>
      <c r="BB128" s="518"/>
      <c r="BC128" s="518"/>
      <c r="BD128" s="518"/>
      <c r="BE128" s="518"/>
      <c r="BF128" s="518"/>
      <c r="BG128" s="518"/>
      <c r="BH128" s="518"/>
      <c r="BI128" s="1337"/>
      <c r="BJ128" s="518"/>
      <c r="BK128" s="1338"/>
      <c r="BL128" s="518"/>
      <c r="BM128" s="518">
        <f>IF(YEAR('3 pr-2'!AJ128)=2017,BJ128,0)</f>
        <v>0</v>
      </c>
      <c r="BN128" s="518">
        <f>IF(YEAR('3 pr-2'!AJ128)=2018,BJ128,0)</f>
        <v>0</v>
      </c>
      <c r="BO128" s="518">
        <f>IF(YEAR('3 pr-2'!AJ128)=2019,BJ128,0)</f>
        <v>0</v>
      </c>
      <c r="BP128" s="518">
        <f>IF(YEAR('3 pr-2'!AJ128)=2020,BJ128,0)</f>
        <v>0</v>
      </c>
      <c r="BQ128" s="518">
        <f>IF(YEAR('3 pr-2'!AJ128)=2021,BJ128,0)</f>
        <v>0</v>
      </c>
      <c r="BR128" s="518">
        <f>IF(YEAR('3 pr-2'!AJ128)=2022,BJ128,0)</f>
        <v>0</v>
      </c>
      <c r="BS128" s="518">
        <f>IF(YEAR('3 pr-2'!AJ128)=2023,BJ128,0)</f>
        <v>0</v>
      </c>
      <c r="BT128" s="523"/>
      <c r="BU128" s="881"/>
      <c r="BV128" s="518"/>
      <c r="BW128" s="518"/>
      <c r="BX128" s="518"/>
      <c r="BY128" s="518"/>
      <c r="BZ128" s="518"/>
      <c r="CA128" s="518"/>
      <c r="CB128" s="518"/>
      <c r="CC128" s="1337">
        <f t="shared" si="538"/>
        <v>0</v>
      </c>
      <c r="CD128" s="518"/>
      <c r="CE128" s="518"/>
      <c r="CF128" s="518"/>
      <c r="CG128" s="518">
        <f>IF(YEAR('3 pr-2'!$AJ128)=2017,$CD128,0)</f>
        <v>0</v>
      </c>
      <c r="CH128" s="518">
        <f>IF(YEAR('3 pr-2'!$AJ128)=2018,$CD128,0)</f>
        <v>0</v>
      </c>
      <c r="CI128" s="518">
        <f>IF(YEAR('3 pr-2'!$AJ128)=2019,$CD128,0)</f>
        <v>0</v>
      </c>
      <c r="CJ128" s="518">
        <f>IF(YEAR('3 pr-2'!$AJ128)=2020,$CD128,0)</f>
        <v>0</v>
      </c>
      <c r="CK128" s="518">
        <f>IF(YEAR('3 pr-2'!$AJ128)=2021,$CD128,0)</f>
        <v>0</v>
      </c>
      <c r="CL128" s="518">
        <f>IF(YEAR('3 pr-2'!$AJ128)=2022,$CD128,0)</f>
        <v>0</v>
      </c>
      <c r="CM128" s="518">
        <f>IF(YEAR('3 pr-2'!$AJ128)=2023,$CD128,0)</f>
        <v>0</v>
      </c>
      <c r="CN128" s="523"/>
      <c r="CO128" s="882"/>
      <c r="CP128" s="518"/>
      <c r="CQ128" s="518"/>
      <c r="CR128" s="518"/>
      <c r="CS128" s="518"/>
      <c r="CT128" s="518"/>
      <c r="CU128" s="518"/>
      <c r="CV128" s="518"/>
      <c r="CW128" s="1337">
        <f t="shared" si="545"/>
        <v>0</v>
      </c>
      <c r="CX128" s="524"/>
      <c r="CY128" s="504"/>
      <c r="CZ128" s="504"/>
      <c r="DA128" s="1332">
        <f>IF(YEAR('3 pr-2'!AJ128)=2017,CX128,0)</f>
        <v>0</v>
      </c>
      <c r="DB128" s="1332">
        <f>IF(YEAR('3 pr-2'!AJ128)=2018,CX128,0)</f>
        <v>0</v>
      </c>
      <c r="DC128" s="1332">
        <f>IF(YEAR('3 pr-2'!AJ128)=2019,CX128,0)</f>
        <v>0</v>
      </c>
      <c r="DD128" s="1332">
        <f>IF(YEAR('3 pr-2'!AJ128)=2020,CX128,0)</f>
        <v>0</v>
      </c>
      <c r="DE128" s="1332">
        <f>IF(YEAR('3 pr-2'!AJ128)=2021,CX128,0)</f>
        <v>0</v>
      </c>
      <c r="DF128" s="1332">
        <f>IF(YEAR('3 pr-2'!AJ128)=2022,CX128,0)</f>
        <v>0</v>
      </c>
      <c r="DG128" s="1332">
        <f>IF(YEAR('3 pr-2'!AJ128)=2023,CX128,0)</f>
        <v>0</v>
      </c>
    </row>
    <row r="129" spans="1:111" ht="75" thickTop="1" thickBot="1" x14ac:dyDescent="0.3">
      <c r="A129" s="518" t="str">
        <f>CONCATENATE('3 pr-2'!A129)</f>
        <v>2.1.2.1.8</v>
      </c>
      <c r="B129" s="518" t="str">
        <f>CONCATENATE('3 pr-2'!B129)</f>
        <v>R01-6609-104700-2218</v>
      </c>
      <c r="C129" s="1449" t="str">
        <f>CONCATENATE('ketv. 2lent'!B128)</f>
        <v/>
      </c>
      <c r="D129" s="480" t="str">
        <f>CONCATENATE('3 pr-2'!D129)</f>
        <v>UAB "Druskininkų šeimos klinika" asmens sveikatos priežiūros paslaugų prieinamumo ir efektyvumo didinimas</v>
      </c>
      <c r="E129" s="480" t="str">
        <f>CONCATENATE('3 pr-2'!E129)</f>
        <v>UAB „Druskininkų šeimos klinika“</v>
      </c>
      <c r="F129" s="480" t="str">
        <f>CONCATENATE('3 pr-2'!F129)</f>
        <v>Lietuvos Respublikos Sveikatos apsaugos ministerija</v>
      </c>
      <c r="G129" s="480" t="str">
        <f>CONCATENATE('3 pr-2'!G129)</f>
        <v>Druskininkų sav.</v>
      </c>
      <c r="H129" s="518" t="str">
        <f>CONCATENATE('3 pr-2'!H129)</f>
        <v>08.1.3-CPVA-R-609</v>
      </c>
      <c r="I129" s="518" t="str">
        <f>CONCATENATE('3 pr-2'!I129)</f>
        <v>R</v>
      </c>
      <c r="J129" s="518" t="str">
        <f>CONCATENATE('3 pr-2'!J129)</f>
        <v>-</v>
      </c>
      <c r="K129" s="518" t="str">
        <f>CONCATENATE('3 pr-2'!K129)</f>
        <v>-</v>
      </c>
      <c r="L129" s="518" t="s">
        <v>1741</v>
      </c>
      <c r="M129" s="1204" t="s">
        <v>1742</v>
      </c>
      <c r="N129" s="522"/>
      <c r="O129" s="522"/>
      <c r="P129" s="522"/>
      <c r="Q129" s="522"/>
      <c r="R129" s="522"/>
      <c r="S129" s="522"/>
      <c r="T129" s="522"/>
      <c r="U129" s="1475">
        <f t="shared" si="514"/>
        <v>0</v>
      </c>
      <c r="V129" s="518">
        <v>1</v>
      </c>
      <c r="W129" s="1468">
        <f>IF('ketv. 6 lent'!K129&gt;0,"taip",0)</f>
        <v>0</v>
      </c>
      <c r="X129" s="1461"/>
      <c r="Y129" s="1461">
        <f>IF(YEAR('3 pr-2'!$AJ129)=2017,$V129,0)</f>
        <v>0</v>
      </c>
      <c r="Z129" s="1461">
        <f>IF(YEAR('3 pr-2'!$AJ129)=2018,$V129,0)</f>
        <v>0</v>
      </c>
      <c r="AA129" s="1461">
        <f>IF(YEAR('3 pr-2'!$AJ129)=2019,$V129,0)</f>
        <v>0</v>
      </c>
      <c r="AB129" s="1461">
        <f>IF(YEAR('3 pr-2'!$AJ129)=2020,$V129,0)</f>
        <v>1</v>
      </c>
      <c r="AC129" s="1461">
        <f>IF(YEAR('3 pr-2'!$AJ129)=2021,$V129,0)</f>
        <v>0</v>
      </c>
      <c r="AD129" s="1461">
        <f>IF(YEAR('3 pr-2'!$AJ129)=2022,$V129,0)</f>
        <v>0</v>
      </c>
      <c r="AE129" s="1461">
        <f>IF(YEAR('3 pr-2'!$AJ129)=2023,$V129,0)</f>
        <v>0</v>
      </c>
      <c r="AF129" s="523" t="s">
        <v>543</v>
      </c>
      <c r="AG129" s="1204" t="s">
        <v>544</v>
      </c>
      <c r="AH129" s="522"/>
      <c r="AI129" s="522"/>
      <c r="AJ129" s="522"/>
      <c r="AK129" s="522"/>
      <c r="AL129" s="522"/>
      <c r="AM129" s="522"/>
      <c r="AN129" s="522"/>
      <c r="AO129" s="1476">
        <f t="shared" si="546"/>
        <v>0</v>
      </c>
      <c r="AP129" s="518">
        <v>605</v>
      </c>
      <c r="AQ129" s="1338"/>
      <c r="AR129" s="518"/>
      <c r="AS129" s="1461">
        <f>IF(YEAR('3 pr-2'!$AJ129)=2017,$AP129,0)</f>
        <v>0</v>
      </c>
      <c r="AT129" s="1461">
        <f>IF(YEAR('3 pr-2'!$AJ129)=2018,$AP129,0)</f>
        <v>0</v>
      </c>
      <c r="AU129" s="1461">
        <f>IF(YEAR('3 pr-2'!$AJ129)=2019,$AP129,0)</f>
        <v>0</v>
      </c>
      <c r="AV129" s="1461">
        <f>IF(YEAR('3 pr-2'!$AJ129)=2020,$AP129,0)</f>
        <v>605</v>
      </c>
      <c r="AW129" s="1461">
        <f>IF(YEAR('3 pr-2'!$AJ129)=2021,$AP129,0)</f>
        <v>0</v>
      </c>
      <c r="AX129" s="1461">
        <f>IF(YEAR('3 pr-2'!$AJ129)=2022,$AP129,0)</f>
        <v>0</v>
      </c>
      <c r="AY129" s="1461">
        <f>IF(YEAR('3 pr-2'!$AJ129)=2023,$AP129,0)</f>
        <v>0</v>
      </c>
      <c r="AZ129" s="518"/>
      <c r="BA129" s="880"/>
      <c r="BB129" s="518"/>
      <c r="BC129" s="518"/>
      <c r="BD129" s="518"/>
      <c r="BE129" s="518"/>
      <c r="BF129" s="518"/>
      <c r="BG129" s="518"/>
      <c r="BH129" s="518"/>
      <c r="BI129" s="1337"/>
      <c r="BJ129" s="518"/>
      <c r="BK129" s="1338"/>
      <c r="BL129" s="518"/>
      <c r="BM129" s="518">
        <f>IF(YEAR('3 pr-2'!AJ129)=2017,BJ129,0)</f>
        <v>0</v>
      </c>
      <c r="BN129" s="518">
        <f>IF(YEAR('3 pr-2'!AJ129)=2018,BJ129,0)</f>
        <v>0</v>
      </c>
      <c r="BO129" s="518">
        <f>IF(YEAR('3 pr-2'!AJ129)=2019,BJ129,0)</f>
        <v>0</v>
      </c>
      <c r="BP129" s="518">
        <f>IF(YEAR('3 pr-2'!AJ129)=2020,BJ129,0)</f>
        <v>0</v>
      </c>
      <c r="BQ129" s="518">
        <f>IF(YEAR('3 pr-2'!AJ129)=2021,BJ129,0)</f>
        <v>0</v>
      </c>
      <c r="BR129" s="518">
        <f>IF(YEAR('3 pr-2'!AJ129)=2022,BJ129,0)</f>
        <v>0</v>
      </c>
      <c r="BS129" s="518">
        <f>IF(YEAR('3 pr-2'!AJ129)=2023,BJ129,0)</f>
        <v>0</v>
      </c>
      <c r="BT129" s="523"/>
      <c r="BU129" s="881"/>
      <c r="BV129" s="518"/>
      <c r="BW129" s="518"/>
      <c r="BX129" s="518"/>
      <c r="BY129" s="518"/>
      <c r="BZ129" s="518"/>
      <c r="CA129" s="518"/>
      <c r="CB129" s="518"/>
      <c r="CC129" s="1337">
        <f t="shared" si="538"/>
        <v>0</v>
      </c>
      <c r="CD129" s="518"/>
      <c r="CE129" s="518"/>
      <c r="CF129" s="518"/>
      <c r="CG129" s="518">
        <f>IF(YEAR('3 pr-2'!$AJ129)=2017,$CD129,0)</f>
        <v>0</v>
      </c>
      <c r="CH129" s="518">
        <f>IF(YEAR('3 pr-2'!$AJ129)=2018,$CD129,0)</f>
        <v>0</v>
      </c>
      <c r="CI129" s="518">
        <f>IF(YEAR('3 pr-2'!$AJ129)=2019,$CD129,0)</f>
        <v>0</v>
      </c>
      <c r="CJ129" s="518">
        <f>IF(YEAR('3 pr-2'!$AJ129)=2020,$CD129,0)</f>
        <v>0</v>
      </c>
      <c r="CK129" s="518">
        <f>IF(YEAR('3 pr-2'!$AJ129)=2021,$CD129,0)</f>
        <v>0</v>
      </c>
      <c r="CL129" s="518">
        <f>IF(YEAR('3 pr-2'!$AJ129)=2022,$CD129,0)</f>
        <v>0</v>
      </c>
      <c r="CM129" s="518">
        <f>IF(YEAR('3 pr-2'!$AJ129)=2023,$CD129,0)</f>
        <v>0</v>
      </c>
      <c r="CN129" s="523"/>
      <c r="CO129" s="882"/>
      <c r="CP129" s="518"/>
      <c r="CQ129" s="518"/>
      <c r="CR129" s="518"/>
      <c r="CS129" s="518"/>
      <c r="CT129" s="518"/>
      <c r="CU129" s="518"/>
      <c r="CV129" s="518"/>
      <c r="CW129" s="1337">
        <f t="shared" si="545"/>
        <v>0</v>
      </c>
      <c r="CX129" s="524"/>
      <c r="CY129" s="504"/>
      <c r="CZ129" s="504"/>
      <c r="DA129" s="1332">
        <f>IF(YEAR('3 pr-2'!AJ129)=2017,CX129,0)</f>
        <v>0</v>
      </c>
      <c r="DB129" s="1332">
        <f>IF(YEAR('3 pr-2'!AJ129)=2018,CX129,0)</f>
        <v>0</v>
      </c>
      <c r="DC129" s="1332">
        <f>IF(YEAR('3 pr-2'!AJ129)=2019,CX129,0)</f>
        <v>0</v>
      </c>
      <c r="DD129" s="1332">
        <f>IF(YEAR('3 pr-2'!AJ129)=2020,CX129,0)</f>
        <v>0</v>
      </c>
      <c r="DE129" s="1332">
        <f>IF(YEAR('3 pr-2'!AJ129)=2021,CX129,0)</f>
        <v>0</v>
      </c>
      <c r="DF129" s="1332">
        <f>IF(YEAR('3 pr-2'!AJ129)=2022,CX129,0)</f>
        <v>0</v>
      </c>
      <c r="DG129" s="1332">
        <f>IF(YEAR('3 pr-2'!AJ129)=2023,CX129,0)</f>
        <v>0</v>
      </c>
    </row>
    <row r="130" spans="1:111" ht="85.5" thickTop="1" thickBot="1" x14ac:dyDescent="0.3">
      <c r="A130" s="518" t="str">
        <f>CONCATENATE('3 pr-2'!A130)</f>
        <v>2.1.2.1.9</v>
      </c>
      <c r="B130" s="518" t="str">
        <f>CONCATENATE('3 pr-2'!B130)</f>
        <v>R01-6609-274710-2219</v>
      </c>
      <c r="C130" s="1449"/>
      <c r="D130" s="480" t="str">
        <f>CONCATENATE('3 pr-2'!D130)</f>
        <v>I. S. Kavaliauskienės įmonės teikiamų pirminės ambulatorinės asmens sveikatos priežiūros paslaugų kokybės ir prieinamumo gerinimas.</v>
      </c>
      <c r="E130" s="480" t="str">
        <f>CONCATENATE('3 pr-2'!E130)</f>
        <v>Irenos Stanislavos Kavaliauskienės įmonė</v>
      </c>
      <c r="F130" s="480" t="str">
        <f>CONCATENATE('3 pr-2'!F130)</f>
        <v>Lietuvos Respublikos Sveikatos apsaugos ministerija</v>
      </c>
      <c r="G130" s="480" t="str">
        <f>CONCATENATE('3 pr-2'!G130)</f>
        <v>Druskininkų sav.</v>
      </c>
      <c r="H130" s="518" t="str">
        <f>CONCATENATE('3 pr-2'!H130)</f>
        <v>08.1.3-CPVA-R-609</v>
      </c>
      <c r="I130" s="518" t="str">
        <f>CONCATENATE('3 pr-2'!I130)</f>
        <v>R</v>
      </c>
      <c r="J130" s="518" t="str">
        <f>CONCATENATE('3 pr-2'!J130)</f>
        <v>-</v>
      </c>
      <c r="K130" s="518" t="str">
        <f>CONCATENATE('3 pr-2'!K130)</f>
        <v>-</v>
      </c>
      <c r="L130" s="518" t="s">
        <v>1741</v>
      </c>
      <c r="M130" s="1204" t="s">
        <v>1742</v>
      </c>
      <c r="N130" s="522"/>
      <c r="O130" s="522"/>
      <c r="P130" s="522"/>
      <c r="Q130" s="522"/>
      <c r="R130" s="522"/>
      <c r="S130" s="522"/>
      <c r="T130" s="522"/>
      <c r="U130" s="1475">
        <f t="shared" si="514"/>
        <v>0</v>
      </c>
      <c r="V130" s="518">
        <v>1</v>
      </c>
      <c r="W130" s="1468"/>
      <c r="X130" s="1461"/>
      <c r="Y130" s="1461">
        <f>IF(YEAR('3 pr-2'!$AJ130)=2017,$V130,0)</f>
        <v>0</v>
      </c>
      <c r="Z130" s="1461">
        <f>IF(YEAR('3 pr-2'!$AJ130)=2018,$V130,0)</f>
        <v>0</v>
      </c>
      <c r="AA130" s="1461">
        <f>IF(YEAR('3 pr-2'!$AJ130)=2019,$V130,0)</f>
        <v>1</v>
      </c>
      <c r="AB130" s="1461">
        <f>IF(YEAR('3 pr-2'!$AJ130)=2020,$V130,0)</f>
        <v>0</v>
      </c>
      <c r="AC130" s="1461">
        <f>IF(YEAR('3 pr-2'!$AJ130)=2021,$V130,0)</f>
        <v>0</v>
      </c>
      <c r="AD130" s="1461">
        <f>IF(YEAR('3 pr-2'!$AJ130)=2022,$V130,0)</f>
        <v>0</v>
      </c>
      <c r="AE130" s="1461">
        <f>IF(YEAR('3 pr-2'!$AJ130)=2023,$V130,0)</f>
        <v>0</v>
      </c>
      <c r="AF130" s="523" t="s">
        <v>543</v>
      </c>
      <c r="AG130" s="1204" t="s">
        <v>544</v>
      </c>
      <c r="AH130" s="522"/>
      <c r="AI130" s="522"/>
      <c r="AJ130" s="522"/>
      <c r="AK130" s="522"/>
      <c r="AL130" s="522"/>
      <c r="AM130" s="522"/>
      <c r="AN130" s="522"/>
      <c r="AO130" s="1476">
        <f t="shared" si="546"/>
        <v>0</v>
      </c>
      <c r="AP130" s="1534">
        <v>1300</v>
      </c>
      <c r="AQ130" s="1338"/>
      <c r="AR130" s="518"/>
      <c r="AS130" s="1461">
        <f>IF(YEAR('3 pr-2'!$AJ130)=2017,$AP130,0)</f>
        <v>0</v>
      </c>
      <c r="AT130" s="1461">
        <f>IF(YEAR('3 pr-2'!$AJ130)=2018,$AP130,0)</f>
        <v>0</v>
      </c>
      <c r="AU130" s="1461">
        <f>IF(YEAR('3 pr-2'!$AJ130)=2019,$AP130,0)</f>
        <v>1300</v>
      </c>
      <c r="AV130" s="1461">
        <f>IF(YEAR('3 pr-2'!$AJ130)=2020,$AP130,0)</f>
        <v>0</v>
      </c>
      <c r="AW130" s="1461">
        <f>IF(YEAR('3 pr-2'!$AJ130)=2021,$AP130,0)</f>
        <v>0</v>
      </c>
      <c r="AX130" s="1461">
        <f>IF(YEAR('3 pr-2'!$AJ130)=2022,$AP130,0)</f>
        <v>0</v>
      </c>
      <c r="AY130" s="1461">
        <f>IF(YEAR('3 pr-2'!$AJ130)=2023,$AP130,0)</f>
        <v>0</v>
      </c>
      <c r="AZ130" s="518"/>
      <c r="BA130" s="880"/>
      <c r="BB130" s="518"/>
      <c r="BC130" s="518"/>
      <c r="BD130" s="518"/>
      <c r="BE130" s="518"/>
      <c r="BF130" s="518"/>
      <c r="BG130" s="518"/>
      <c r="BH130" s="518"/>
      <c r="BI130" s="1337"/>
      <c r="BJ130" s="518"/>
      <c r="BK130" s="1338"/>
      <c r="BL130" s="518"/>
      <c r="BM130" s="518"/>
      <c r="BN130" s="518"/>
      <c r="BO130" s="518"/>
      <c r="BP130" s="518"/>
      <c r="BQ130" s="518"/>
      <c r="BR130" s="518"/>
      <c r="BS130" s="518"/>
      <c r="BT130" s="523"/>
      <c r="BU130" s="881"/>
      <c r="BV130" s="518"/>
      <c r="BW130" s="518"/>
      <c r="BX130" s="518"/>
      <c r="BY130" s="518"/>
      <c r="BZ130" s="518"/>
      <c r="CA130" s="518"/>
      <c r="CB130" s="518"/>
      <c r="CC130" s="1337"/>
      <c r="CD130" s="518"/>
      <c r="CE130" s="518"/>
      <c r="CF130" s="518"/>
      <c r="CG130" s="518"/>
      <c r="CH130" s="518"/>
      <c r="CI130" s="518"/>
      <c r="CJ130" s="518"/>
      <c r="CK130" s="518"/>
      <c r="CL130" s="518"/>
      <c r="CM130" s="518"/>
      <c r="CN130" s="523"/>
      <c r="CO130" s="882"/>
      <c r="CP130" s="518"/>
      <c r="CQ130" s="518"/>
      <c r="CR130" s="518"/>
      <c r="CS130" s="518"/>
      <c r="CT130" s="518"/>
      <c r="CU130" s="518"/>
      <c r="CV130" s="518"/>
      <c r="CW130" s="1337"/>
      <c r="CX130" s="524"/>
      <c r="CY130" s="504"/>
      <c r="CZ130" s="504"/>
      <c r="DA130" s="1332">
        <f>IF(YEAR('3 pr-2'!AJ130)=2017,CX130,0)</f>
        <v>0</v>
      </c>
      <c r="DB130" s="1332">
        <f>IF(YEAR('3 pr-2'!AJ130)=2018,CX130,0)</f>
        <v>0</v>
      </c>
      <c r="DC130" s="1332">
        <f>IF(YEAR('3 pr-2'!AJ130)=2019,CX130,0)</f>
        <v>0</v>
      </c>
      <c r="DD130" s="1332">
        <f>IF(YEAR('3 pr-2'!AJ130)=2020,CX130,0)</f>
        <v>0</v>
      </c>
      <c r="DE130" s="1332">
        <f>IF(YEAR('3 pr-2'!AJ130)=2021,CX130,0)</f>
        <v>0</v>
      </c>
      <c r="DF130" s="1332">
        <f>IF(YEAR('3 pr-2'!AJ130)=2022,CX130,0)</f>
        <v>0</v>
      </c>
      <c r="DG130" s="1332">
        <f>IF(YEAR('3 pr-2'!AJ130)=2023,CX130,0)</f>
        <v>0</v>
      </c>
    </row>
    <row r="131" spans="1:111" ht="85.5" thickTop="1" thickBot="1" x14ac:dyDescent="0.3">
      <c r="A131" s="518" t="str">
        <f>CONCATENATE('3 pr-2'!A131)</f>
        <v>2.1.2.1.10</v>
      </c>
      <c r="B131" s="518" t="str">
        <f>CONCATENATE('3 pr-2'!B131)</f>
        <v>R01-6609-274710-2220</v>
      </c>
      <c r="C131" s="1449"/>
      <c r="D131" s="480" t="str">
        <f>CONCATENATE('3 pr-2'!D131)</f>
        <v>Pirminės ambulatorinės asmens sveikatos priežiūros efektyvumo didinimas R.Ambrazaitienės ir L. Puzinovienės šeimos gydytojų kabinetuose</v>
      </c>
      <c r="E131" s="480" t="str">
        <f>CONCATENATE('3 pr-2'!E131)</f>
        <v>UAB „Rasos Ambrazaitienės šeimos gydytojo kabinetas“</v>
      </c>
      <c r="F131" s="480" t="str">
        <f>CONCATENATE('3 pr-2'!F131)</f>
        <v>Lietuvos Respublikos Sveikatos apsaugos ministerija</v>
      </c>
      <c r="G131" s="480" t="str">
        <f>CONCATENATE('3 pr-2'!G131)</f>
        <v>Druskininkų sav.</v>
      </c>
      <c r="H131" s="518" t="str">
        <f>CONCATENATE('3 pr-2'!H131)</f>
        <v>08.1.3-CPVA-R-609</v>
      </c>
      <c r="I131" s="518" t="str">
        <f>CONCATENATE('3 pr-2'!I131)</f>
        <v>R</v>
      </c>
      <c r="J131" s="518" t="str">
        <f>CONCATENATE('3 pr-2'!J131)</f>
        <v>-</v>
      </c>
      <c r="K131" s="518" t="str">
        <f>CONCATENATE('3 pr-2'!K131)</f>
        <v>-</v>
      </c>
      <c r="L131" s="518" t="s">
        <v>1741</v>
      </c>
      <c r="M131" s="1204" t="s">
        <v>1742</v>
      </c>
      <c r="N131" s="522"/>
      <c r="O131" s="522"/>
      <c r="P131" s="522"/>
      <c r="Q131" s="522"/>
      <c r="R131" s="522"/>
      <c r="S131" s="522"/>
      <c r="T131" s="522"/>
      <c r="U131" s="1475">
        <f t="shared" si="514"/>
        <v>0</v>
      </c>
      <c r="V131" s="518">
        <v>2</v>
      </c>
      <c r="W131" s="1468"/>
      <c r="X131" s="1461"/>
      <c r="Y131" s="1461">
        <f>IF(YEAR('3 pr-2'!$AJ131)=2017,$V131,0)</f>
        <v>0</v>
      </c>
      <c r="Z131" s="1461">
        <f>IF(YEAR('3 pr-2'!$AJ131)=2018,$V131,0)</f>
        <v>0</v>
      </c>
      <c r="AA131" s="1461">
        <f>IF(YEAR('3 pr-2'!$AJ131)=2019,$V131,0)</f>
        <v>0</v>
      </c>
      <c r="AB131" s="1461">
        <f>IF(YEAR('3 pr-2'!$AJ131)=2020,$V131,0)</f>
        <v>2</v>
      </c>
      <c r="AC131" s="1461">
        <f>IF(YEAR('3 pr-2'!$AJ131)=2021,$V131,0)</f>
        <v>0</v>
      </c>
      <c r="AD131" s="1461">
        <f>IF(YEAR('3 pr-2'!$AJ131)=2022,$V131,0)</f>
        <v>0</v>
      </c>
      <c r="AE131" s="1461">
        <f>IF(YEAR('3 pr-2'!$AJ131)=2023,$V131,0)</f>
        <v>0</v>
      </c>
      <c r="AF131" s="523" t="s">
        <v>543</v>
      </c>
      <c r="AG131" s="1204" t="s">
        <v>545</v>
      </c>
      <c r="AH131" s="522"/>
      <c r="AI131" s="522"/>
      <c r="AJ131" s="522"/>
      <c r="AK131" s="522"/>
      <c r="AL131" s="522"/>
      <c r="AM131" s="522"/>
      <c r="AN131" s="522"/>
      <c r="AO131" s="1476">
        <f t="shared" si="546"/>
        <v>0</v>
      </c>
      <c r="AP131" s="518">
        <v>1598</v>
      </c>
      <c r="AQ131" s="1338"/>
      <c r="AR131" s="518"/>
      <c r="AS131" s="1461">
        <f>IF(YEAR('3 pr-2'!$AJ131)=2017,$AP131,0)</f>
        <v>0</v>
      </c>
      <c r="AT131" s="1461">
        <f>IF(YEAR('3 pr-2'!$AJ131)=2018,$AP131,0)</f>
        <v>0</v>
      </c>
      <c r="AU131" s="1461">
        <f>IF(YEAR('3 pr-2'!$AJ131)=2019,$AP131,0)</f>
        <v>0</v>
      </c>
      <c r="AV131" s="1461">
        <f>IF(YEAR('3 pr-2'!$AJ131)=2020,$AP131,0)</f>
        <v>1598</v>
      </c>
      <c r="AW131" s="1461">
        <f>IF(YEAR('3 pr-2'!$AJ131)=2021,$AP131,0)</f>
        <v>0</v>
      </c>
      <c r="AX131" s="1461">
        <f>IF(YEAR('3 pr-2'!$AJ131)=2022,$AP131,0)</f>
        <v>0</v>
      </c>
      <c r="AY131" s="1461">
        <f>IF(YEAR('3 pr-2'!$AJ131)=2023,$AP131,0)</f>
        <v>0</v>
      </c>
      <c r="AZ131" s="518"/>
      <c r="BA131" s="880"/>
      <c r="BB131" s="518"/>
      <c r="BC131" s="518"/>
      <c r="BD131" s="518"/>
      <c r="BE131" s="518"/>
      <c r="BF131" s="518"/>
      <c r="BG131" s="518"/>
      <c r="BH131" s="518"/>
      <c r="BI131" s="1337"/>
      <c r="BJ131" s="518"/>
      <c r="BK131" s="1338"/>
      <c r="BL131" s="518"/>
      <c r="BM131" s="518"/>
      <c r="BN131" s="518"/>
      <c r="BO131" s="518"/>
      <c r="BP131" s="518"/>
      <c r="BQ131" s="518"/>
      <c r="BR131" s="518"/>
      <c r="BS131" s="518"/>
      <c r="BT131" s="523"/>
      <c r="BU131" s="881"/>
      <c r="BV131" s="518"/>
      <c r="BW131" s="518"/>
      <c r="BX131" s="518"/>
      <c r="BY131" s="518"/>
      <c r="BZ131" s="518"/>
      <c r="CA131" s="518"/>
      <c r="CB131" s="518"/>
      <c r="CC131" s="1337"/>
      <c r="CD131" s="518"/>
      <c r="CE131" s="518"/>
      <c r="CF131" s="518"/>
      <c r="CG131" s="518"/>
      <c r="CH131" s="518"/>
      <c r="CI131" s="518"/>
      <c r="CJ131" s="518"/>
      <c r="CK131" s="518"/>
      <c r="CL131" s="518"/>
      <c r="CM131" s="518"/>
      <c r="CN131" s="523"/>
      <c r="CO131" s="882"/>
      <c r="CP131" s="518"/>
      <c r="CQ131" s="518"/>
      <c r="CR131" s="518"/>
      <c r="CS131" s="518"/>
      <c r="CT131" s="518"/>
      <c r="CU131" s="518"/>
      <c r="CV131" s="518"/>
      <c r="CW131" s="1337"/>
      <c r="CX131" s="524"/>
      <c r="CY131" s="504"/>
      <c r="CZ131" s="504"/>
      <c r="DA131" s="1332">
        <f>IF(YEAR('3 pr-2'!AJ131)=2017,CX131,0)</f>
        <v>0</v>
      </c>
      <c r="DB131" s="1332">
        <f>IF(YEAR('3 pr-2'!AJ131)=2018,CX131,0)</f>
        <v>0</v>
      </c>
      <c r="DC131" s="1332">
        <f>IF(YEAR('3 pr-2'!AJ131)=2019,CX131,0)</f>
        <v>0</v>
      </c>
      <c r="DD131" s="1332">
        <f>IF(YEAR('3 pr-2'!AJ131)=2020,CX131,0)</f>
        <v>0</v>
      </c>
      <c r="DE131" s="1332">
        <f>IF(YEAR('3 pr-2'!AJ131)=2021,CX131,0)</f>
        <v>0</v>
      </c>
      <c r="DF131" s="1332">
        <f>IF(YEAR('3 pr-2'!AJ131)=2022,CX131,0)</f>
        <v>0</v>
      </c>
      <c r="DG131" s="1332">
        <f>IF(YEAR('3 pr-2'!AJ131)=2023,CX131,0)</f>
        <v>0</v>
      </c>
    </row>
    <row r="132" spans="1:111" ht="75" thickTop="1" thickBot="1" x14ac:dyDescent="0.3">
      <c r="A132" s="518" t="str">
        <f>CONCATENATE('3 pr-2'!A132)</f>
        <v>2.1.2.1.11</v>
      </c>
      <c r="B132" s="518" t="str">
        <f>CONCATENATE('3 pr-2'!B132)</f>
        <v>R01-6609-274700-2221</v>
      </c>
      <c r="C132" s="1449"/>
      <c r="D132" s="480" t="str">
        <f>CONCATENATE('3 pr-2'!D132)</f>
        <v xml:space="preserve">Pirminės asmens sveikatos priežiūros veiklos efektyvumo didinimas Lazdijų rajono savivaldybėje </v>
      </c>
      <c r="E132" s="480" t="str">
        <f>CONCATENATE('3 pr-2'!E132)</f>
        <v>Lazdijų rajono savivaldybės administracija</v>
      </c>
      <c r="F132" s="480" t="str">
        <f>CONCATENATE('3 pr-2'!F132)</f>
        <v>Lietuvos Respublikos Sveikatos apsaugos ministerija</v>
      </c>
      <c r="G132" s="480" t="str">
        <f>CONCATENATE('3 pr-2'!G132)</f>
        <v>Lazdijai</v>
      </c>
      <c r="H132" s="518" t="str">
        <f>CONCATENATE('3 pr-2'!H132)</f>
        <v>08.1.3-CPVA-R-609</v>
      </c>
      <c r="I132" s="518" t="str">
        <f>CONCATENATE('3 pr-2'!I132)</f>
        <v>R</v>
      </c>
      <c r="J132" s="518" t="str">
        <f>CONCATENATE('3 pr-2'!J132)</f>
        <v>-</v>
      </c>
      <c r="K132" s="518" t="str">
        <f>CONCATENATE('3 pr-2'!K132)</f>
        <v>-</v>
      </c>
      <c r="L132" s="518" t="s">
        <v>1741</v>
      </c>
      <c r="M132" s="1204" t="s">
        <v>1742</v>
      </c>
      <c r="N132" s="522"/>
      <c r="O132" s="522"/>
      <c r="P132" s="522"/>
      <c r="Q132" s="522"/>
      <c r="R132" s="522"/>
      <c r="S132" s="522"/>
      <c r="T132" s="522"/>
      <c r="U132" s="1475">
        <f t="shared" si="514"/>
        <v>0</v>
      </c>
      <c r="V132" s="518">
        <v>4</v>
      </c>
      <c r="W132" s="1468"/>
      <c r="X132" s="1461"/>
      <c r="Y132" s="1461">
        <f>IF(YEAR('3 pr-2'!$AJ132)=2017,$V132,0)</f>
        <v>0</v>
      </c>
      <c r="Z132" s="1461">
        <f>IF(YEAR('3 pr-2'!$AJ132)=2018,$V132,0)</f>
        <v>0</v>
      </c>
      <c r="AA132" s="1461">
        <f>IF(YEAR('3 pr-2'!$AJ132)=2019,$V132,0)</f>
        <v>0</v>
      </c>
      <c r="AB132" s="1461">
        <f>IF(YEAR('3 pr-2'!$AJ132)=2020,$V132,0)</f>
        <v>0</v>
      </c>
      <c r="AC132" s="1461">
        <f>IF(YEAR('3 pr-2'!$AJ132)=2021,$V132,0)</f>
        <v>4</v>
      </c>
      <c r="AD132" s="1461">
        <f>IF(YEAR('3 pr-2'!$AJ132)=2022,$V132,0)</f>
        <v>0</v>
      </c>
      <c r="AE132" s="1461">
        <f>IF(YEAR('3 pr-2'!$AJ132)=2023,$V132,0)</f>
        <v>0</v>
      </c>
      <c r="AF132" s="523" t="s">
        <v>543</v>
      </c>
      <c r="AG132" s="1204" t="s">
        <v>545</v>
      </c>
      <c r="AH132" s="522"/>
      <c r="AI132" s="522"/>
      <c r="AJ132" s="522"/>
      <c r="AK132" s="522"/>
      <c r="AL132" s="522"/>
      <c r="AM132" s="522"/>
      <c r="AN132" s="522"/>
      <c r="AO132" s="1476">
        <f t="shared" si="546"/>
        <v>0</v>
      </c>
      <c r="AP132" s="518">
        <v>6471</v>
      </c>
      <c r="AQ132" s="1338"/>
      <c r="AR132" s="518"/>
      <c r="AS132" s="1461">
        <f>IF(YEAR('3 pr-2'!$AJ132)=2017,$AP132,0)</f>
        <v>0</v>
      </c>
      <c r="AT132" s="1461">
        <f>IF(YEAR('3 pr-2'!$AJ132)=2018,$AP132,0)</f>
        <v>0</v>
      </c>
      <c r="AU132" s="1461">
        <f>IF(YEAR('3 pr-2'!$AJ132)=2019,$AP132,0)</f>
        <v>0</v>
      </c>
      <c r="AV132" s="1461">
        <f>IF(YEAR('3 pr-2'!$AJ132)=2020,$AP132,0)</f>
        <v>0</v>
      </c>
      <c r="AW132" s="1461">
        <f>IF(YEAR('3 pr-2'!$AJ132)=2021,$AP132,0)</f>
        <v>6471</v>
      </c>
      <c r="AX132" s="1461">
        <f>IF(YEAR('3 pr-2'!$AJ132)=2022,$AP132,0)</f>
        <v>0</v>
      </c>
      <c r="AY132" s="1461">
        <f>IF(YEAR('3 pr-2'!$AJ132)=2023,$AP132,0)</f>
        <v>0</v>
      </c>
      <c r="AZ132" s="518"/>
      <c r="BA132" s="880"/>
      <c r="BB132" s="518"/>
      <c r="BC132" s="518"/>
      <c r="BD132" s="518"/>
      <c r="BE132" s="518"/>
      <c r="BF132" s="518"/>
      <c r="BG132" s="518"/>
      <c r="BH132" s="518"/>
      <c r="BI132" s="1337"/>
      <c r="BJ132" s="518"/>
      <c r="BK132" s="1338"/>
      <c r="BL132" s="518"/>
      <c r="BM132" s="518"/>
      <c r="BN132" s="518"/>
      <c r="BO132" s="518"/>
      <c r="BP132" s="518"/>
      <c r="BQ132" s="518"/>
      <c r="BR132" s="518"/>
      <c r="BS132" s="518"/>
      <c r="BT132" s="523"/>
      <c r="BU132" s="881"/>
      <c r="BV132" s="518"/>
      <c r="BW132" s="518"/>
      <c r="BX132" s="518"/>
      <c r="BY132" s="518"/>
      <c r="BZ132" s="518"/>
      <c r="CA132" s="518"/>
      <c r="CB132" s="518"/>
      <c r="CC132" s="1337"/>
      <c r="CD132" s="518"/>
      <c r="CE132" s="518"/>
      <c r="CF132" s="518"/>
      <c r="CG132" s="518"/>
      <c r="CH132" s="518"/>
      <c r="CI132" s="518"/>
      <c r="CJ132" s="518"/>
      <c r="CK132" s="518"/>
      <c r="CL132" s="518"/>
      <c r="CM132" s="518"/>
      <c r="CN132" s="523"/>
      <c r="CO132" s="882"/>
      <c r="CP132" s="518"/>
      <c r="CQ132" s="518"/>
      <c r="CR132" s="518"/>
      <c r="CS132" s="518"/>
      <c r="CT132" s="518"/>
      <c r="CU132" s="518"/>
      <c r="CV132" s="518"/>
      <c r="CW132" s="1337"/>
      <c r="CX132" s="524"/>
      <c r="CY132" s="504"/>
      <c r="CZ132" s="504"/>
      <c r="DA132" s="1332">
        <f>IF(YEAR('3 pr-2'!AJ132)=2017,CX132,0)</f>
        <v>0</v>
      </c>
      <c r="DB132" s="1332">
        <f>IF(YEAR('3 pr-2'!AJ132)=2018,CX132,0)</f>
        <v>0</v>
      </c>
      <c r="DC132" s="1332">
        <f>IF(YEAR('3 pr-2'!AJ132)=2019,CX132,0)</f>
        <v>0</v>
      </c>
      <c r="DD132" s="1332">
        <f>IF(YEAR('3 pr-2'!AJ132)=2020,CX132,0)</f>
        <v>0</v>
      </c>
      <c r="DE132" s="1332">
        <f>IF(YEAR('3 pr-2'!AJ132)=2021,CX132,0)</f>
        <v>0</v>
      </c>
      <c r="DF132" s="1332">
        <f>IF(YEAR('3 pr-2'!AJ132)=2022,CX132,0)</f>
        <v>0</v>
      </c>
      <c r="DG132" s="1332">
        <f>IF(YEAR('3 pr-2'!AJ132)=2023,CX132,0)</f>
        <v>0</v>
      </c>
    </row>
    <row r="133" spans="1:111" ht="75" thickTop="1" thickBot="1" x14ac:dyDescent="0.3">
      <c r="A133" s="518" t="str">
        <f>CONCATENATE('3 pr-2'!A133)</f>
        <v>2.1.2.1.12</v>
      </c>
      <c r="B133" s="518" t="str">
        <f>CONCATENATE('3 pr-2'!B133)</f>
        <v>R01-6609-274710-2222</v>
      </c>
      <c r="C133" s="1449"/>
      <c r="D133" s="480" t="str">
        <f>CONCATENATE('3 pr-2'!D133)</f>
        <v>Pirminės asmens sveikatos priežiūros veiklos efektyvumo didinimas Varėnos rajono savivaldybėje</v>
      </c>
      <c r="E133" s="480" t="str">
        <f>CONCATENATE('3 pr-2'!E133)</f>
        <v>VšĮ Varėnos pirminės sveikatos priežiūros centras</v>
      </c>
      <c r="F133" s="480" t="str">
        <f>CONCATENATE('3 pr-2'!F133)</f>
        <v>Lietuvos Respublikos Sveikatos apsaugos ministerija</v>
      </c>
      <c r="G133" s="480" t="str">
        <f>CONCATENATE('3 pr-2'!G133)</f>
        <v>Varėnos r. sav.</v>
      </c>
      <c r="H133" s="518" t="str">
        <f>CONCATENATE('3 pr-2'!H133)</f>
        <v>08.1.3-CPVA-R-609</v>
      </c>
      <c r="I133" s="518" t="str">
        <f>CONCATENATE('3 pr-2'!I133)</f>
        <v>R</v>
      </c>
      <c r="J133" s="518" t="str">
        <f>CONCATENATE('3 pr-2'!J133)</f>
        <v>-</v>
      </c>
      <c r="K133" s="518" t="str">
        <f>CONCATENATE('3 pr-2'!K133)</f>
        <v>-</v>
      </c>
      <c r="L133" s="518" t="s">
        <v>1741</v>
      </c>
      <c r="M133" s="1204" t="s">
        <v>1742</v>
      </c>
      <c r="N133" s="522"/>
      <c r="O133" s="522"/>
      <c r="P133" s="522"/>
      <c r="Q133" s="522"/>
      <c r="R133" s="522"/>
      <c r="S133" s="522"/>
      <c r="T133" s="522"/>
      <c r="U133" s="1475">
        <f t="shared" si="514"/>
        <v>0</v>
      </c>
      <c r="V133" s="518">
        <v>1</v>
      </c>
      <c r="W133" s="1468"/>
      <c r="X133" s="1461"/>
      <c r="Y133" s="1461">
        <f>IF(YEAR('3 pr-2'!$AJ133)=2017,$V133,0)</f>
        <v>0</v>
      </c>
      <c r="Z133" s="1461">
        <f>IF(YEAR('3 pr-2'!$AJ133)=2018,$V133,0)</f>
        <v>0</v>
      </c>
      <c r="AA133" s="1461">
        <f>IF(YEAR('3 pr-2'!$AJ133)=2019,$V133,0)</f>
        <v>0</v>
      </c>
      <c r="AB133" s="1461">
        <f>IF(YEAR('3 pr-2'!$AJ133)=2020,$V133,0)</f>
        <v>0</v>
      </c>
      <c r="AC133" s="1461">
        <f>IF(YEAR('3 pr-2'!$AJ133)=2021,$V133,0)</f>
        <v>1</v>
      </c>
      <c r="AD133" s="1461">
        <f>IF(YEAR('3 pr-2'!$AJ133)=2022,$V133,0)</f>
        <v>0</v>
      </c>
      <c r="AE133" s="1461">
        <f>IF(YEAR('3 pr-2'!$AJ133)=2023,$V133,0)</f>
        <v>0</v>
      </c>
      <c r="AF133" s="523" t="s">
        <v>543</v>
      </c>
      <c r="AG133" s="1204" t="s">
        <v>545</v>
      </c>
      <c r="AH133" s="522"/>
      <c r="AI133" s="522"/>
      <c r="AJ133" s="522"/>
      <c r="AK133" s="522"/>
      <c r="AL133" s="522"/>
      <c r="AM133" s="522"/>
      <c r="AN133" s="522"/>
      <c r="AO133" s="1476">
        <f t="shared" si="546"/>
        <v>0</v>
      </c>
      <c r="AP133" s="518">
        <v>17107</v>
      </c>
      <c r="AQ133" s="1338"/>
      <c r="AR133" s="518"/>
      <c r="AS133" s="1461">
        <f>IF(YEAR('3 pr-2'!$AJ133)=2017,$AP133,0)</f>
        <v>0</v>
      </c>
      <c r="AT133" s="1461">
        <f>IF(YEAR('3 pr-2'!$AJ133)=2018,$AP133,0)</f>
        <v>0</v>
      </c>
      <c r="AU133" s="1461">
        <f>IF(YEAR('3 pr-2'!$AJ133)=2019,$AP133,0)</f>
        <v>0</v>
      </c>
      <c r="AV133" s="1461">
        <f>IF(YEAR('3 pr-2'!$AJ133)=2020,$AP133,0)</f>
        <v>0</v>
      </c>
      <c r="AW133" s="1461">
        <f>IF(YEAR('3 pr-2'!$AJ133)=2021,$AP133,0)</f>
        <v>17107</v>
      </c>
      <c r="AX133" s="1461">
        <f>IF(YEAR('3 pr-2'!$AJ133)=2022,$AP133,0)</f>
        <v>0</v>
      </c>
      <c r="AY133" s="1461">
        <f>IF(YEAR('3 pr-2'!$AJ133)=2023,$AP133,0)</f>
        <v>0</v>
      </c>
      <c r="AZ133" s="518"/>
      <c r="BA133" s="880"/>
      <c r="BB133" s="518"/>
      <c r="BC133" s="518"/>
      <c r="BD133" s="518"/>
      <c r="BE133" s="518"/>
      <c r="BF133" s="518"/>
      <c r="BG133" s="518"/>
      <c r="BH133" s="518"/>
      <c r="BI133" s="1337"/>
      <c r="BJ133" s="518"/>
      <c r="BK133" s="1338"/>
      <c r="BL133" s="518"/>
      <c r="BM133" s="518"/>
      <c r="BN133" s="518"/>
      <c r="BO133" s="518"/>
      <c r="BP133" s="518"/>
      <c r="BQ133" s="518"/>
      <c r="BR133" s="518"/>
      <c r="BS133" s="518"/>
      <c r="BT133" s="523"/>
      <c r="BU133" s="881"/>
      <c r="BV133" s="518"/>
      <c r="BW133" s="518"/>
      <c r="BX133" s="518"/>
      <c r="BY133" s="518"/>
      <c r="BZ133" s="518"/>
      <c r="CA133" s="518"/>
      <c r="CB133" s="518"/>
      <c r="CC133" s="1337"/>
      <c r="CD133" s="518"/>
      <c r="CE133" s="518"/>
      <c r="CF133" s="518"/>
      <c r="CG133" s="518"/>
      <c r="CH133" s="518"/>
      <c r="CI133" s="518"/>
      <c r="CJ133" s="518"/>
      <c r="CK133" s="518"/>
      <c r="CL133" s="518"/>
      <c r="CM133" s="518"/>
      <c r="CN133" s="523"/>
      <c r="CO133" s="882"/>
      <c r="CP133" s="518"/>
      <c r="CQ133" s="518"/>
      <c r="CR133" s="518"/>
      <c r="CS133" s="518"/>
      <c r="CT133" s="518"/>
      <c r="CU133" s="518"/>
      <c r="CV133" s="518"/>
      <c r="CW133" s="1337"/>
      <c r="CX133" s="524"/>
      <c r="CY133" s="504"/>
      <c r="CZ133" s="504"/>
      <c r="DA133" s="1332">
        <f>IF(YEAR('3 pr-2'!AJ133)=2017,CX133,0)</f>
        <v>0</v>
      </c>
      <c r="DB133" s="1332">
        <f>IF(YEAR('3 pr-2'!AJ133)=2018,CX133,0)</f>
        <v>0</v>
      </c>
      <c r="DC133" s="1332">
        <f>IF(YEAR('3 pr-2'!AJ133)=2019,CX133,0)</f>
        <v>0</v>
      </c>
      <c r="DD133" s="1332">
        <f>IF(YEAR('3 pr-2'!AJ133)=2020,CX133,0)</f>
        <v>0</v>
      </c>
      <c r="DE133" s="1332">
        <f>IF(YEAR('3 pr-2'!AJ133)=2021,CX133,0)</f>
        <v>0</v>
      </c>
      <c r="DF133" s="1332">
        <f>IF(YEAR('3 pr-2'!AJ133)=2022,CX133,0)</f>
        <v>0</v>
      </c>
      <c r="DG133" s="1332">
        <f>IF(YEAR('3 pr-2'!AJ133)=2023,CX133,0)</f>
        <v>0</v>
      </c>
    </row>
    <row r="134" spans="1:111" ht="75" thickTop="1" thickBot="1" x14ac:dyDescent="0.3">
      <c r="A134" s="1428" t="str">
        <f>CONCATENATE('3 pr-2'!A134)</f>
        <v>2.1.2.1.13</v>
      </c>
      <c r="B134" s="1428" t="str">
        <f>CONCATENATE('3 pr-2'!B134)</f>
        <v>R01-6609-470000-2223</v>
      </c>
      <c r="C134" s="1450"/>
      <c r="D134" s="1441" t="str">
        <f>CONCATENATE('3 pr-2'!D134)</f>
        <v>Pirminės asmens sveikatos priežiūros veiklos efektyvumo didinimas N. Jarašienės personalinėje įmonėje</v>
      </c>
      <c r="E134" s="1441" t="str">
        <f>CONCATENATE('3 pr-2'!E134)</f>
        <v>N. Jarašienės personalinė įmonė</v>
      </c>
      <c r="F134" s="1441" t="str">
        <f>CONCATENATE('3 pr-2'!F134)</f>
        <v>Lietuvos Respublikos Sveikatos apsaugos ministerija</v>
      </c>
      <c r="G134" s="1441" t="str">
        <f>CONCATENATE('3 pr-2'!G134)</f>
        <v>Varėnos r. sav.</v>
      </c>
      <c r="H134" s="1428" t="str">
        <f>CONCATENATE('3 pr-2'!H134)</f>
        <v>08.1.3-CPVA-R-609</v>
      </c>
      <c r="I134" s="1428" t="str">
        <f>CONCATENATE('3 pr-2'!I134)</f>
        <v>R</v>
      </c>
      <c r="J134" s="1428" t="str">
        <f>CONCATENATE('3 pr-2'!J134)</f>
        <v>-</v>
      </c>
      <c r="K134" s="518" t="str">
        <f>CONCATENATE('3 pr-2'!K134)</f>
        <v>-</v>
      </c>
      <c r="L134" s="1428" t="s">
        <v>1741</v>
      </c>
      <c r="M134" s="1442" t="s">
        <v>1742</v>
      </c>
      <c r="N134" s="522"/>
      <c r="O134" s="522"/>
      <c r="P134" s="522"/>
      <c r="Q134" s="522"/>
      <c r="R134" s="522"/>
      <c r="S134" s="522"/>
      <c r="T134" s="522"/>
      <c r="U134" s="1475">
        <f t="shared" ref="U134" si="547">SUM(N134:T134)</f>
        <v>0</v>
      </c>
      <c r="V134" s="1428">
        <v>1</v>
      </c>
      <c r="W134" s="1468"/>
      <c r="X134" s="1461"/>
      <c r="Y134" s="1461">
        <f>IF(YEAR('3 pr-2'!$AJ134)=2017,$V134,0)</f>
        <v>0</v>
      </c>
      <c r="Z134" s="1461">
        <f>IF(YEAR('3 pr-2'!$AJ134)=2018,$V134,0)</f>
        <v>0</v>
      </c>
      <c r="AA134" s="1461">
        <f>IF(YEAR('3 pr-2'!$AJ134)=2019,$V134,0)</f>
        <v>1</v>
      </c>
      <c r="AB134" s="1461">
        <f>IF(YEAR('3 pr-2'!$AJ134)=2020,$V134,0)</f>
        <v>0</v>
      </c>
      <c r="AC134" s="1461">
        <f>IF(YEAR('3 pr-2'!$AJ134)=2021,$V134,0)</f>
        <v>0</v>
      </c>
      <c r="AD134" s="1461">
        <f>IF(YEAR('3 pr-2'!$AJ134)=2022,$V134,0)</f>
        <v>0</v>
      </c>
      <c r="AE134" s="1461">
        <f>IF(YEAR('3 pr-2'!$AJ134)=2023,$V134,0)</f>
        <v>0</v>
      </c>
      <c r="AF134" s="1469" t="s">
        <v>543</v>
      </c>
      <c r="AG134" s="1442" t="s">
        <v>545</v>
      </c>
      <c r="AH134" s="522"/>
      <c r="AI134" s="522"/>
      <c r="AJ134" s="522"/>
      <c r="AK134" s="522"/>
      <c r="AL134" s="522"/>
      <c r="AM134" s="522"/>
      <c r="AN134" s="522"/>
      <c r="AO134" s="1476">
        <f t="shared" ref="AO134" si="548">SUM(AH134:AN134)</f>
        <v>0</v>
      </c>
      <c r="AP134" s="1428">
        <v>758</v>
      </c>
      <c r="AQ134" s="1336"/>
      <c r="AR134" s="518"/>
      <c r="AS134" s="1461">
        <f>IF(YEAR('3 pr-2'!$AJ134)=2017,$AP134,0)</f>
        <v>0</v>
      </c>
      <c r="AT134" s="1461">
        <f>IF(YEAR('3 pr-2'!$AJ134)=2018,$AP134,0)</f>
        <v>0</v>
      </c>
      <c r="AU134" s="1461">
        <f>IF(YEAR('3 pr-2'!$AJ134)=2019,$AP134,0)</f>
        <v>758</v>
      </c>
      <c r="AV134" s="1461">
        <f>IF(YEAR('3 pr-2'!$AJ134)=2020,$AP134,0)</f>
        <v>0</v>
      </c>
      <c r="AW134" s="1461">
        <f>IF(YEAR('3 pr-2'!$AJ134)=2021,$AP134,0)</f>
        <v>0</v>
      </c>
      <c r="AX134" s="1461">
        <f>IF(YEAR('3 pr-2'!$AJ134)=2022,$AP134,0)</f>
        <v>0</v>
      </c>
      <c r="AY134" s="1461">
        <f>IF(YEAR('3 pr-2'!$AJ134)=2023,$AP134,0)</f>
        <v>0</v>
      </c>
      <c r="AZ134" s="518"/>
      <c r="BA134" s="880"/>
      <c r="BB134" s="518"/>
      <c r="BC134" s="518"/>
      <c r="BD134" s="518"/>
      <c r="BE134" s="518"/>
      <c r="BF134" s="518"/>
      <c r="BG134" s="518"/>
      <c r="BH134" s="518"/>
      <c r="BI134" s="1337"/>
      <c r="BJ134" s="518"/>
      <c r="BK134" s="1336"/>
      <c r="BL134" s="518"/>
      <c r="BM134" s="518"/>
      <c r="BN134" s="518"/>
      <c r="BO134" s="518"/>
      <c r="BP134" s="518"/>
      <c r="BQ134" s="518"/>
      <c r="BR134" s="518"/>
      <c r="BS134" s="518"/>
      <c r="BT134" s="1336"/>
      <c r="BU134" s="881"/>
      <c r="BV134" s="518"/>
      <c r="BW134" s="518"/>
      <c r="BX134" s="518"/>
      <c r="BY134" s="518"/>
      <c r="BZ134" s="518"/>
      <c r="CA134" s="518"/>
      <c r="CB134" s="518"/>
      <c r="CC134" s="1337"/>
      <c r="CD134" s="518"/>
      <c r="CE134" s="518"/>
      <c r="CF134" s="518"/>
      <c r="CG134" s="518"/>
      <c r="CH134" s="518"/>
      <c r="CI134" s="518"/>
      <c r="CJ134" s="518"/>
      <c r="CK134" s="518"/>
      <c r="CL134" s="518"/>
      <c r="CM134" s="518"/>
      <c r="CN134" s="1336"/>
      <c r="CO134" s="882"/>
      <c r="CP134" s="518"/>
      <c r="CQ134" s="518"/>
      <c r="CR134" s="518"/>
      <c r="CS134" s="518"/>
      <c r="CT134" s="518"/>
      <c r="CU134" s="518"/>
      <c r="CV134" s="518"/>
      <c r="CW134" s="1337"/>
      <c r="CX134" s="524"/>
      <c r="CY134" s="504"/>
      <c r="CZ134" s="504"/>
      <c r="DA134" s="1332">
        <f>IF(YEAR('3 pr-2'!AJ134)=2017,CX134,0)</f>
        <v>0</v>
      </c>
      <c r="DB134" s="1332">
        <f>IF(YEAR('3 pr-2'!AJ134)=2018,CX134,0)</f>
        <v>0</v>
      </c>
      <c r="DC134" s="1332">
        <f>IF(YEAR('3 pr-2'!AJ134)=2019,CX134,0)</f>
        <v>0</v>
      </c>
      <c r="DD134" s="1332">
        <f>IF(YEAR('3 pr-2'!AJ134)=2020,CX134,0)</f>
        <v>0</v>
      </c>
      <c r="DE134" s="1332">
        <f>IF(YEAR('3 pr-2'!AJ134)=2021,CX134,0)</f>
        <v>0</v>
      </c>
      <c r="DF134" s="1332">
        <f>IF(YEAR('3 pr-2'!AJ134)=2022,CX134,0)</f>
        <v>0</v>
      </c>
      <c r="DG134" s="1332">
        <f>IF(YEAR('3 pr-2'!AJ134)=2023,CX134,0)</f>
        <v>0</v>
      </c>
    </row>
    <row r="135" spans="1:111" ht="63.75" thickBot="1" x14ac:dyDescent="0.3">
      <c r="A135" s="1364" t="str">
        <f>CONCATENATE('3 pr-2'!A135)</f>
        <v>2.1.2.2</v>
      </c>
      <c r="B135" s="1687" t="str">
        <f>CONCATENATE('3 pr-2'!B135)</f>
        <v>Priemonė:
Sveikos gyvensenos skatinimas regioniniu lygiu</v>
      </c>
      <c r="C135" s="1688"/>
      <c r="D135" s="1688"/>
      <c r="E135" s="1688"/>
      <c r="F135" s="1688"/>
      <c r="G135" s="1688"/>
      <c r="H135" s="1688"/>
      <c r="I135" s="1688"/>
      <c r="J135" s="1688"/>
      <c r="K135" s="1689"/>
      <c r="L135" s="1365" t="s">
        <v>1471</v>
      </c>
      <c r="M135" s="884" t="s">
        <v>1472</v>
      </c>
      <c r="N135" s="1332">
        <f t="shared" ref="N135:T135" si="549">SUM(N136:N140)</f>
        <v>0</v>
      </c>
      <c r="O135" s="1332">
        <f t="shared" si="549"/>
        <v>0</v>
      </c>
      <c r="P135" s="1332">
        <f t="shared" si="549"/>
        <v>0</v>
      </c>
      <c r="Q135" s="1332">
        <f t="shared" si="549"/>
        <v>0</v>
      </c>
      <c r="R135" s="1332">
        <f t="shared" si="549"/>
        <v>0</v>
      </c>
      <c r="S135" s="1332">
        <f t="shared" si="549"/>
        <v>0</v>
      </c>
      <c r="T135" s="1332">
        <f t="shared" si="549"/>
        <v>0</v>
      </c>
      <c r="U135" s="1333">
        <f t="shared" ref="U135:U140" si="550">SUM(N135:T135)</f>
        <v>0</v>
      </c>
      <c r="V135" s="1303">
        <f>SUM(V136:V140)</f>
        <v>8937</v>
      </c>
      <c r="W135" s="1366"/>
      <c r="X135" s="1367"/>
      <c r="Y135" s="1332">
        <f t="shared" ref="Y135:AE135" si="551">SUM(Y136:Y140)</f>
        <v>0</v>
      </c>
      <c r="Z135" s="1332">
        <f t="shared" si="551"/>
        <v>2270</v>
      </c>
      <c r="AA135" s="1332">
        <f t="shared" si="551"/>
        <v>2826</v>
      </c>
      <c r="AB135" s="1332">
        <f t="shared" si="551"/>
        <v>2828</v>
      </c>
      <c r="AC135" s="1332">
        <f t="shared" si="551"/>
        <v>1013</v>
      </c>
      <c r="AD135" s="1332">
        <f t="shared" si="551"/>
        <v>0</v>
      </c>
      <c r="AE135" s="1332">
        <f t="shared" si="551"/>
        <v>0</v>
      </c>
      <c r="AF135" s="1367" t="s">
        <v>1473</v>
      </c>
      <c r="AG135" s="1331" t="s">
        <v>1474</v>
      </c>
      <c r="AH135" s="1332">
        <f t="shared" ref="AH135:AN135" si="552">SUM(AH136:AH140)</f>
        <v>0</v>
      </c>
      <c r="AI135" s="1332">
        <f t="shared" si="552"/>
        <v>0</v>
      </c>
      <c r="AJ135" s="1332">
        <f t="shared" si="552"/>
        <v>0</v>
      </c>
      <c r="AK135" s="1332">
        <f t="shared" si="552"/>
        <v>0</v>
      </c>
      <c r="AL135" s="1332">
        <f t="shared" si="552"/>
        <v>0</v>
      </c>
      <c r="AM135" s="1332">
        <f t="shared" si="552"/>
        <v>0</v>
      </c>
      <c r="AN135" s="1332">
        <f t="shared" si="552"/>
        <v>0</v>
      </c>
      <c r="AO135" s="1303">
        <f t="shared" si="546"/>
        <v>0</v>
      </c>
      <c r="AP135" s="1303">
        <f>SUM(AP136:AP140)</f>
        <v>2</v>
      </c>
      <c r="AQ135" s="1332"/>
      <c r="AR135" s="1332"/>
      <c r="AS135" s="1332">
        <f t="shared" ref="AS135:AY135" si="553">SUM(AS136:AS140)</f>
        <v>0</v>
      </c>
      <c r="AT135" s="1332">
        <f t="shared" si="553"/>
        <v>1</v>
      </c>
      <c r="AU135" s="1332">
        <f t="shared" si="553"/>
        <v>0</v>
      </c>
      <c r="AV135" s="1332">
        <f t="shared" si="553"/>
        <v>0</v>
      </c>
      <c r="AW135" s="1332">
        <f t="shared" si="553"/>
        <v>1</v>
      </c>
      <c r="AX135" s="1332">
        <f t="shared" si="553"/>
        <v>0</v>
      </c>
      <c r="AY135" s="1332">
        <f t="shared" si="553"/>
        <v>0</v>
      </c>
      <c r="AZ135" s="1303"/>
      <c r="BA135" s="1331"/>
      <c r="BB135" s="1332"/>
      <c r="BC135" s="1332"/>
      <c r="BD135" s="1332"/>
      <c r="BE135" s="1332"/>
      <c r="BF135" s="1332"/>
      <c r="BG135" s="1332"/>
      <c r="BH135" s="1332"/>
      <c r="BI135" s="1303"/>
      <c r="BJ135" s="1303"/>
      <c r="BK135" s="1332"/>
      <c r="BL135" s="1332"/>
      <c r="BM135" s="1332"/>
      <c r="BN135" s="1332"/>
      <c r="BO135" s="1332"/>
      <c r="BP135" s="1332"/>
      <c r="BQ135" s="1332"/>
      <c r="BR135" s="1332"/>
      <c r="BS135" s="1332"/>
      <c r="BT135" s="1332"/>
      <c r="BU135" s="882"/>
      <c r="BV135" s="1332"/>
      <c r="BW135" s="1332"/>
      <c r="BX135" s="1332"/>
      <c r="BY135" s="1332"/>
      <c r="BZ135" s="1332"/>
      <c r="CA135" s="1332"/>
      <c r="CB135" s="1332"/>
      <c r="CC135" s="1303"/>
      <c r="CD135" s="1332"/>
      <c r="CE135" s="1332"/>
      <c r="CF135" s="1332"/>
      <c r="CG135" s="1332">
        <f t="shared" ref="CG135:CM135" si="554">SUM(CG136:CG140)</f>
        <v>0</v>
      </c>
      <c r="CH135" s="1332">
        <f t="shared" si="554"/>
        <v>0</v>
      </c>
      <c r="CI135" s="1332">
        <f t="shared" si="554"/>
        <v>0</v>
      </c>
      <c r="CJ135" s="1332">
        <f t="shared" si="554"/>
        <v>0</v>
      </c>
      <c r="CK135" s="1332">
        <f t="shared" si="554"/>
        <v>0</v>
      </c>
      <c r="CL135" s="1332">
        <f t="shared" si="554"/>
        <v>0</v>
      </c>
      <c r="CM135" s="1332">
        <f t="shared" si="554"/>
        <v>0</v>
      </c>
      <c r="CN135" s="1332"/>
      <c r="CO135" s="882"/>
      <c r="CP135" s="1332">
        <f t="shared" ref="CP135:CV135" si="555">SUM(CP136:CP140)</f>
        <v>0</v>
      </c>
      <c r="CQ135" s="1332">
        <f t="shared" si="555"/>
        <v>0</v>
      </c>
      <c r="CR135" s="1332">
        <f t="shared" si="555"/>
        <v>0</v>
      </c>
      <c r="CS135" s="1332">
        <f t="shared" si="555"/>
        <v>0</v>
      </c>
      <c r="CT135" s="1332">
        <f t="shared" si="555"/>
        <v>0</v>
      </c>
      <c r="CU135" s="1332">
        <f t="shared" si="555"/>
        <v>0</v>
      </c>
      <c r="CV135" s="1332">
        <f t="shared" si="555"/>
        <v>0</v>
      </c>
      <c r="CW135" s="1303">
        <f t="shared" si="545"/>
        <v>0</v>
      </c>
      <c r="CX135" s="1332"/>
      <c r="CY135" s="1332"/>
      <c r="CZ135" s="1332"/>
      <c r="DA135" s="1332"/>
      <c r="DB135" s="1332"/>
      <c r="DC135" s="1332"/>
      <c r="DD135" s="1332"/>
      <c r="DE135" s="1332"/>
      <c r="DF135" s="1332"/>
      <c r="DG135" s="1332"/>
    </row>
    <row r="136" spans="1:111" ht="64.5" thickTop="1" thickBot="1" x14ac:dyDescent="0.3">
      <c r="A136" s="518" t="str">
        <f>CONCATENATE('3 pr-2'!A136)</f>
        <v>2.1.2.2.1</v>
      </c>
      <c r="B136" s="518" t="str">
        <f>CONCATENATE('3 pr-2'!B136)</f>
        <v>R01-6630-475000-2221</v>
      </c>
      <c r="C136" s="1449" t="str">
        <f>CONCATENATE('ketv. 2lent'!B134)</f>
        <v/>
      </c>
      <c r="D136" s="480" t="str">
        <f>CONCATENATE('3 pr-2'!D136)</f>
        <v>Sveikos gyvensenos skatinimas Alytaus rajone</v>
      </c>
      <c r="E136" s="480" t="str">
        <f>CONCATENATE('3 pr-2'!E136)</f>
        <v>Alytaus rajono savivaldybės visuomenės sveikatos biuras</v>
      </c>
      <c r="F136" s="480" t="str">
        <f>CONCATENATE('3 pr-2'!F136)</f>
        <v>Lietuvos Respublikos Sveikatos apsaugos ministerija</v>
      </c>
      <c r="G136" s="480" t="str">
        <f>CONCATENATE('3 pr-2'!G136)</f>
        <v>Alytaus rajono savivaldybė</v>
      </c>
      <c r="H136" s="518" t="str">
        <f>CONCATENATE('3 pr-2'!H136)</f>
        <v>08.4.2-ESFA-R-630</v>
      </c>
      <c r="I136" s="518" t="str">
        <f>CONCATENATE('3 pr-2'!I136)</f>
        <v>R</v>
      </c>
      <c r="J136" s="518" t="str">
        <f>CONCATENATE('3 pr-2'!J136)</f>
        <v>-</v>
      </c>
      <c r="K136" s="518" t="str">
        <f>CONCATENATE('3 pr-2'!K136)</f>
        <v>-</v>
      </c>
      <c r="L136" s="518" t="s">
        <v>1471</v>
      </c>
      <c r="M136" s="881" t="s">
        <v>1472</v>
      </c>
      <c r="N136" s="505"/>
      <c r="O136" s="505"/>
      <c r="P136" s="505"/>
      <c r="Q136" s="505"/>
      <c r="R136" s="505"/>
      <c r="S136" s="505"/>
      <c r="T136" s="505"/>
      <c r="U136" s="1328">
        <f t="shared" si="550"/>
        <v>0</v>
      </c>
      <c r="V136" s="1332">
        <f>SUM(Y136:AE136)</f>
        <v>1696</v>
      </c>
      <c r="W136" s="1336">
        <f>IF('ketv. 6 lent'!K135&gt;0,"taip",0)</f>
        <v>0</v>
      </c>
      <c r="X136" s="518"/>
      <c r="Y136" s="518">
        <v>0</v>
      </c>
      <c r="Z136" s="518">
        <v>454</v>
      </c>
      <c r="AA136" s="518">
        <v>621</v>
      </c>
      <c r="AB136" s="518">
        <v>621</v>
      </c>
      <c r="AC136" s="518">
        <v>0</v>
      </c>
      <c r="AD136" s="518">
        <v>0</v>
      </c>
      <c r="AE136" s="518">
        <v>0</v>
      </c>
      <c r="AF136" s="523" t="s">
        <v>1473</v>
      </c>
      <c r="AG136" s="881" t="s">
        <v>1474</v>
      </c>
      <c r="AH136" s="518"/>
      <c r="AI136" s="518"/>
      <c r="AJ136" s="518"/>
      <c r="AK136" s="518"/>
      <c r="AL136" s="518"/>
      <c r="AM136" s="518"/>
      <c r="AN136" s="518"/>
      <c r="AO136" s="1337">
        <f t="shared" si="546"/>
        <v>0</v>
      </c>
      <c r="AP136" s="518">
        <v>1</v>
      </c>
      <c r="AQ136" s="1338"/>
      <c r="AR136" s="518"/>
      <c r="AS136" s="518"/>
      <c r="AT136" s="518">
        <v>1</v>
      </c>
      <c r="AU136" s="518"/>
      <c r="AV136" s="518"/>
      <c r="AW136" s="518"/>
      <c r="AX136" s="518"/>
      <c r="AY136" s="518"/>
      <c r="AZ136" s="518"/>
      <c r="BA136" s="880"/>
      <c r="BB136" s="518"/>
      <c r="BC136" s="518"/>
      <c r="BD136" s="518"/>
      <c r="BE136" s="518"/>
      <c r="BF136" s="518"/>
      <c r="BG136" s="518"/>
      <c r="BH136" s="518"/>
      <c r="BI136" s="1337">
        <f t="shared" si="524"/>
        <v>0</v>
      </c>
      <c r="BJ136" s="518"/>
      <c r="BK136" s="1338"/>
      <c r="BL136" s="518"/>
      <c r="BM136" s="518"/>
      <c r="BN136" s="518"/>
      <c r="BO136" s="518"/>
      <c r="BP136" s="518"/>
      <c r="BQ136" s="518"/>
      <c r="BR136" s="518"/>
      <c r="BS136" s="518"/>
      <c r="BT136" s="523"/>
      <c r="BU136" s="881"/>
      <c r="BV136" s="518"/>
      <c r="BW136" s="518"/>
      <c r="BX136" s="518"/>
      <c r="BY136" s="518"/>
      <c r="BZ136" s="518"/>
      <c r="CA136" s="518"/>
      <c r="CB136" s="518"/>
      <c r="CC136" s="1337">
        <f t="shared" si="538"/>
        <v>0</v>
      </c>
      <c r="CD136" s="518"/>
      <c r="CE136" s="518"/>
      <c r="CF136" s="518"/>
      <c r="CG136" s="518">
        <f>IF(YEAR('3 pr-2'!$AJ136)=2017,$CD136,0)</f>
        <v>0</v>
      </c>
      <c r="CH136" s="518">
        <f>IF(YEAR('3 pr-2'!$AJ136)=2018,$CD136,0)</f>
        <v>0</v>
      </c>
      <c r="CI136" s="518">
        <f>IF(YEAR('3 pr-2'!$AJ136)=2019,$CD136,0)</f>
        <v>0</v>
      </c>
      <c r="CJ136" s="518">
        <f>IF(YEAR('3 pr-2'!$AJ136)=2020,$CD136,0)</f>
        <v>0</v>
      </c>
      <c r="CK136" s="518">
        <f>IF(YEAR('3 pr-2'!$AJ136)=2021,$CD136,0)</f>
        <v>0</v>
      </c>
      <c r="CL136" s="518">
        <f>IF(YEAR('3 pr-2'!$AJ136)=2022,$CD136,0)</f>
        <v>0</v>
      </c>
      <c r="CM136" s="518">
        <f>IF(YEAR('3 pr-2'!$AJ136)=2023,$CD136,0)</f>
        <v>0</v>
      </c>
      <c r="CN136" s="523"/>
      <c r="CO136" s="882"/>
      <c r="CP136" s="518"/>
      <c r="CQ136" s="518"/>
      <c r="CR136" s="518"/>
      <c r="CS136" s="518"/>
      <c r="CT136" s="518"/>
      <c r="CU136" s="518"/>
      <c r="CV136" s="518"/>
      <c r="CW136" s="1337">
        <f t="shared" si="545"/>
        <v>0</v>
      </c>
      <c r="CX136" s="524"/>
      <c r="CY136" s="504"/>
      <c r="CZ136" s="504"/>
      <c r="DA136" s="1332">
        <f>IF(YEAR('3 pr-2'!AJ136)=2017,CX136,0)</f>
        <v>0</v>
      </c>
      <c r="DB136" s="1332">
        <f>IF(YEAR('3 pr-2'!AJ136)=2018,CX136,0)</f>
        <v>0</v>
      </c>
      <c r="DC136" s="1332">
        <f>IF(YEAR('3 pr-2'!AJ136)=2019,CX136,0)</f>
        <v>0</v>
      </c>
      <c r="DD136" s="1332">
        <f>IF(YEAR('3 pr-2'!AJ136)=2020,CX136,0)</f>
        <v>0</v>
      </c>
      <c r="DE136" s="1332">
        <f>IF(YEAR('3 pr-2'!AJ136)=2021,CX136,0)</f>
        <v>0</v>
      </c>
      <c r="DF136" s="1332">
        <f>IF(YEAR('3 pr-2'!AJ136)=2022,CX136,0)</f>
        <v>0</v>
      </c>
      <c r="DG136" s="1332">
        <f>IF(YEAR('3 pr-2'!AJ136)=2023,CX136,0)</f>
        <v>0</v>
      </c>
    </row>
    <row r="137" spans="1:111" ht="64.5" thickTop="1" thickBot="1" x14ac:dyDescent="0.3">
      <c r="A137" s="518" t="str">
        <f>CONCATENATE('3 pr-2'!A137)</f>
        <v>2.1.2.2.2</v>
      </c>
      <c r="B137" s="518" t="str">
        <f>CONCATENATE('3 pr-2'!B137)</f>
        <v>R01-6630-470000-2222</v>
      </c>
      <c r="C137" s="1449" t="str">
        <f>CONCATENATE('ketv. 2lent'!B135)</f>
        <v/>
      </c>
      <c r="D137" s="480" t="str">
        <f>CONCATENATE('3 pr-2'!D137)</f>
        <v>Mažais žingsneliais – sveikos gyvensenos link</v>
      </c>
      <c r="E137" s="480" t="str">
        <f>CONCATENATE('3 pr-2'!E137)</f>
        <v>Alytaus miesto savivaldybės administracija</v>
      </c>
      <c r="F137" s="480" t="str">
        <f>CONCATENATE('3 pr-2'!F137)</f>
        <v>Lietuvos Respublikos Sveikatos apsaugos ministerija</v>
      </c>
      <c r="G137" s="480" t="str">
        <f>CONCATENATE('3 pr-2'!G137)</f>
        <v>Alytaus  miestas</v>
      </c>
      <c r="H137" s="518" t="str">
        <f>CONCATENATE('3 pr-2'!H137)</f>
        <v>08.4.2-ESFA-R-630</v>
      </c>
      <c r="I137" s="518" t="str">
        <f>CONCATENATE('3 pr-2'!I137)</f>
        <v>R</v>
      </c>
      <c r="J137" s="518" t="str">
        <f>CONCATENATE('3 pr-2'!J137)</f>
        <v>-</v>
      </c>
      <c r="K137" s="518" t="str">
        <f>CONCATENATE('3 pr-2'!K137)</f>
        <v>-</v>
      </c>
      <c r="L137" s="505" t="s">
        <v>1471</v>
      </c>
      <c r="M137" s="881" t="s">
        <v>1472</v>
      </c>
      <c r="N137" s="505"/>
      <c r="O137" s="505"/>
      <c r="P137" s="505"/>
      <c r="Q137" s="505"/>
      <c r="R137" s="505"/>
      <c r="S137" s="505"/>
      <c r="T137" s="505"/>
      <c r="U137" s="1328">
        <f t="shared" si="550"/>
        <v>0</v>
      </c>
      <c r="V137" s="1332">
        <f>SUM(Y137:AE137)</f>
        <v>2151</v>
      </c>
      <c r="W137" s="1336">
        <f>IF('ketv. 6 lent'!K136&gt;0,"taip",0)</f>
        <v>0</v>
      </c>
      <c r="X137" s="518"/>
      <c r="Y137" s="518">
        <v>0</v>
      </c>
      <c r="Z137" s="518">
        <v>454</v>
      </c>
      <c r="AA137" s="518">
        <v>849</v>
      </c>
      <c r="AB137" s="518">
        <v>848</v>
      </c>
      <c r="AC137" s="518">
        <v>0</v>
      </c>
      <c r="AD137" s="518">
        <v>0</v>
      </c>
      <c r="AE137" s="518">
        <v>0</v>
      </c>
      <c r="AF137" s="523"/>
      <c r="AG137" s="881"/>
      <c r="AH137" s="518"/>
      <c r="AI137" s="518"/>
      <c r="AJ137" s="518"/>
      <c r="AK137" s="518"/>
      <c r="AL137" s="518"/>
      <c r="AM137" s="518"/>
      <c r="AN137" s="518"/>
      <c r="AO137" s="1337">
        <f t="shared" si="546"/>
        <v>0</v>
      </c>
      <c r="AP137" s="518"/>
      <c r="AQ137" s="1338"/>
      <c r="AR137" s="518"/>
      <c r="AS137" s="518">
        <f>IF(YEAR('3 pr-2'!$AJ137)=2017,$AP137,0)</f>
        <v>0</v>
      </c>
      <c r="AT137" s="518">
        <f>IF(YEAR('3 pr-2'!$AJ137)=2018,$AP137,0)</f>
        <v>0</v>
      </c>
      <c r="AU137" s="518">
        <f>IF(YEAR('3 pr-2'!$AJ137)=2019,$AP137,0)</f>
        <v>0</v>
      </c>
      <c r="AV137" s="518">
        <f>IF(YEAR('3 pr-2'!$AJ137)=2020,$AP137,0)</f>
        <v>0</v>
      </c>
      <c r="AW137" s="518">
        <f>IF(YEAR('3 pr-2'!$AJ137)=2021,$AP137,0)</f>
        <v>0</v>
      </c>
      <c r="AX137" s="518">
        <f>IF(YEAR('3 pr-2'!$AJ137)=2022,$AP137,0)</f>
        <v>0</v>
      </c>
      <c r="AY137" s="518">
        <f>IF(YEAR('3 pr-2'!$AJ137)=2023,$AP137,0)</f>
        <v>0</v>
      </c>
      <c r="AZ137" s="518"/>
      <c r="BA137" s="880"/>
      <c r="BB137" s="518"/>
      <c r="BC137" s="518"/>
      <c r="BD137" s="518"/>
      <c r="BE137" s="518"/>
      <c r="BF137" s="518"/>
      <c r="BG137" s="518"/>
      <c r="BH137" s="518"/>
      <c r="BI137" s="1337"/>
      <c r="BJ137" s="518"/>
      <c r="BK137" s="1338"/>
      <c r="BL137" s="518"/>
      <c r="BM137" s="518"/>
      <c r="BN137" s="518">
        <v>0</v>
      </c>
      <c r="BO137" s="518">
        <v>2</v>
      </c>
      <c r="BP137" s="518"/>
      <c r="BQ137" s="518"/>
      <c r="BR137" s="518"/>
      <c r="BS137" s="518"/>
      <c r="BT137" s="523"/>
      <c r="BU137" s="881"/>
      <c r="BV137" s="518"/>
      <c r="BW137" s="518"/>
      <c r="BX137" s="518"/>
      <c r="BY137" s="518"/>
      <c r="BZ137" s="518"/>
      <c r="CA137" s="518"/>
      <c r="CB137" s="518"/>
      <c r="CC137" s="1337">
        <f t="shared" si="538"/>
        <v>0</v>
      </c>
      <c r="CD137" s="518"/>
      <c r="CE137" s="518"/>
      <c r="CF137" s="518"/>
      <c r="CG137" s="518">
        <f>IF(YEAR('3 pr-2'!$AJ137)=2017,$CD137,0)</f>
        <v>0</v>
      </c>
      <c r="CH137" s="518">
        <f>IF(YEAR('3 pr-2'!$AJ137)=2018,$CD137,0)</f>
        <v>0</v>
      </c>
      <c r="CI137" s="518">
        <f>IF(YEAR('3 pr-2'!$AJ137)=2019,$CD137,0)</f>
        <v>0</v>
      </c>
      <c r="CJ137" s="518">
        <f>IF(YEAR('3 pr-2'!$AJ137)=2020,$CD137,0)</f>
        <v>0</v>
      </c>
      <c r="CK137" s="518">
        <f>IF(YEAR('3 pr-2'!$AJ137)=2021,$CD137,0)</f>
        <v>0</v>
      </c>
      <c r="CL137" s="518">
        <f>IF(YEAR('3 pr-2'!$AJ137)=2022,$CD137,0)</f>
        <v>0</v>
      </c>
      <c r="CM137" s="518">
        <f>IF(YEAR('3 pr-2'!$AJ137)=2023,$CD137,0)</f>
        <v>0</v>
      </c>
      <c r="CN137" s="523"/>
      <c r="CO137" s="882"/>
      <c r="CP137" s="518"/>
      <c r="CQ137" s="518"/>
      <c r="CR137" s="518"/>
      <c r="CS137" s="518"/>
      <c r="CT137" s="518"/>
      <c r="CU137" s="518"/>
      <c r="CV137" s="518"/>
      <c r="CW137" s="1337">
        <f t="shared" si="545"/>
        <v>0</v>
      </c>
      <c r="CX137" s="524"/>
      <c r="CY137" s="504"/>
      <c r="CZ137" s="504"/>
      <c r="DA137" s="1332">
        <f>IF(YEAR('3 pr-2'!AJ137)=2017,CX137,0)</f>
        <v>0</v>
      </c>
      <c r="DB137" s="1332">
        <f>IF(YEAR('3 pr-2'!AJ137)=2018,CX137,0)</f>
        <v>0</v>
      </c>
      <c r="DC137" s="1332">
        <f>IF(YEAR('3 pr-2'!AJ137)=2019,CX137,0)</f>
        <v>0</v>
      </c>
      <c r="DD137" s="1332">
        <f>IF(YEAR('3 pr-2'!AJ137)=2020,CX137,0)</f>
        <v>0</v>
      </c>
      <c r="DE137" s="1332">
        <f>IF(YEAR('3 pr-2'!AJ137)=2021,CX137,0)</f>
        <v>0</v>
      </c>
      <c r="DF137" s="1332">
        <f>IF(YEAR('3 pr-2'!AJ137)=2022,CX137,0)</f>
        <v>0</v>
      </c>
      <c r="DG137" s="1332">
        <f>IF(YEAR('3 pr-2'!AJ137)=2023,CX137,0)</f>
        <v>0</v>
      </c>
    </row>
    <row r="138" spans="1:111" ht="64.5" thickTop="1" thickBot="1" x14ac:dyDescent="0.3">
      <c r="A138" s="518" t="str">
        <f>CONCATENATE('3 pr-2'!A138)</f>
        <v>2.1.2.2.3</v>
      </c>
      <c r="B138" s="518" t="str">
        <f>CONCATENATE('3 pr-2'!B138)</f>
        <v>R01-6630-470000-2223</v>
      </c>
      <c r="C138" s="1449" t="str">
        <f>CONCATENATE('ketv. 2lent'!B136)</f>
        <v/>
      </c>
      <c r="D138" s="480" t="str">
        <f>CONCATENATE('3 pr-2'!D138)</f>
        <v>Sveikos gyvensenos skatinimas Varėnos rajono savivaldybėje</v>
      </c>
      <c r="E138" s="480" t="str">
        <f>CONCATENATE('3 pr-2'!E138)</f>
        <v>Varėnos rajono savivaldybės visuomenės sveikatos biuras</v>
      </c>
      <c r="F138" s="480" t="str">
        <f>CONCATENATE('3 pr-2'!F138)</f>
        <v>Lietuvos Respublikos Sveikatos apsaugos ministerija</v>
      </c>
      <c r="G138" s="480" t="str">
        <f>CONCATENATE('3 pr-2'!G138)</f>
        <v>Varėnos rajono savivaldybė</v>
      </c>
      <c r="H138" s="518" t="str">
        <f>CONCATENATE('3 pr-2'!H138)</f>
        <v>08.4.2-ESFA-R-630</v>
      </c>
      <c r="I138" s="518" t="str">
        <f>CONCATENATE('3 pr-2'!I138)</f>
        <v>R</v>
      </c>
      <c r="J138" s="518" t="str">
        <f>CONCATENATE('3 pr-2'!J138)</f>
        <v>-</v>
      </c>
      <c r="K138" s="518" t="str">
        <f>CONCATENATE('3 pr-2'!K138)</f>
        <v>-</v>
      </c>
      <c r="L138" s="505" t="s">
        <v>1471</v>
      </c>
      <c r="M138" s="881" t="s">
        <v>1472</v>
      </c>
      <c r="N138" s="505"/>
      <c r="O138" s="505"/>
      <c r="P138" s="505"/>
      <c r="Q138" s="505"/>
      <c r="R138" s="505"/>
      <c r="S138" s="505"/>
      <c r="T138" s="505"/>
      <c r="U138" s="1328">
        <f t="shared" si="550"/>
        <v>0</v>
      </c>
      <c r="V138" s="1332">
        <f>SUM(Y138:AE138)</f>
        <v>1697</v>
      </c>
      <c r="W138" s="1336">
        <f>IF('ketv. 6 lent'!K137&gt;0,"taip",0)</f>
        <v>0</v>
      </c>
      <c r="X138" s="518"/>
      <c r="Y138" s="518">
        <v>0</v>
      </c>
      <c r="Z138" s="518">
        <v>454</v>
      </c>
      <c r="AA138" s="518">
        <v>522</v>
      </c>
      <c r="AB138" s="518">
        <v>522</v>
      </c>
      <c r="AC138" s="518">
        <v>199</v>
      </c>
      <c r="AD138" s="518">
        <v>0</v>
      </c>
      <c r="AE138" s="518">
        <v>0</v>
      </c>
      <c r="AF138" s="523" t="s">
        <v>1473</v>
      </c>
      <c r="AG138" s="881" t="s">
        <v>1474</v>
      </c>
      <c r="AH138" s="518"/>
      <c r="AI138" s="518"/>
      <c r="AJ138" s="518"/>
      <c r="AK138" s="518"/>
      <c r="AL138" s="518"/>
      <c r="AM138" s="518"/>
      <c r="AN138" s="518"/>
      <c r="AO138" s="1337">
        <f t="shared" ref="AO138" si="556">SUM(AH138:AN138)</f>
        <v>0</v>
      </c>
      <c r="AP138" s="518">
        <v>1</v>
      </c>
      <c r="AQ138" s="1338"/>
      <c r="AR138" s="518"/>
      <c r="AS138" s="518">
        <f>IF(YEAR('3 pr-2'!$AJ138)=2017,$AP138,0)</f>
        <v>0</v>
      </c>
      <c r="AT138" s="518">
        <f>IF(YEAR('3 pr-2'!$AJ138)=2018,$AP138,0)</f>
        <v>0</v>
      </c>
      <c r="AU138" s="518">
        <f>IF(YEAR('3 pr-2'!$AJ138)=2019,$AP138,0)</f>
        <v>0</v>
      </c>
      <c r="AV138" s="518">
        <f>IF(YEAR('3 pr-2'!$AJ138)=2020,$AP138,0)</f>
        <v>0</v>
      </c>
      <c r="AW138" s="518">
        <f>IF(YEAR('3 pr-2'!$AJ138)=2021,$AP138,0)</f>
        <v>1</v>
      </c>
      <c r="AX138" s="518">
        <f>IF(YEAR('3 pr-2'!$AJ138)=2022,$AP138,0)</f>
        <v>0</v>
      </c>
      <c r="AY138" s="518">
        <f>IF(YEAR('3 pr-2'!$AJ138)=2023,$AP138,0)</f>
        <v>0</v>
      </c>
      <c r="AZ138" s="518"/>
      <c r="BA138" s="880"/>
      <c r="BB138" s="518"/>
      <c r="BC138" s="518"/>
      <c r="BD138" s="518"/>
      <c r="BE138" s="518"/>
      <c r="BF138" s="518"/>
      <c r="BG138" s="518"/>
      <c r="BH138" s="518"/>
      <c r="BI138" s="1337">
        <f t="shared" si="524"/>
        <v>0</v>
      </c>
      <c r="BJ138" s="518"/>
      <c r="BK138" s="1338"/>
      <c r="BL138" s="518"/>
      <c r="BM138" s="518"/>
      <c r="BN138" s="518"/>
      <c r="BO138" s="518"/>
      <c r="BP138" s="518"/>
      <c r="BQ138" s="518"/>
      <c r="BR138" s="518"/>
      <c r="BS138" s="518"/>
      <c r="BT138" s="523"/>
      <c r="BU138" s="881"/>
      <c r="BV138" s="518"/>
      <c r="BW138" s="518"/>
      <c r="BX138" s="518"/>
      <c r="BY138" s="518"/>
      <c r="BZ138" s="518"/>
      <c r="CA138" s="518"/>
      <c r="CB138" s="518"/>
      <c r="CC138" s="1337">
        <f t="shared" si="538"/>
        <v>0</v>
      </c>
      <c r="CD138" s="518"/>
      <c r="CE138" s="518"/>
      <c r="CF138" s="518"/>
      <c r="CG138" s="518">
        <f>IF(YEAR('3 pr-2'!$AJ138)=2017,$CD138,0)</f>
        <v>0</v>
      </c>
      <c r="CH138" s="518">
        <f>IF(YEAR('3 pr-2'!$AJ138)=2018,$CD138,0)</f>
        <v>0</v>
      </c>
      <c r="CI138" s="518">
        <f>IF(YEAR('3 pr-2'!$AJ138)=2019,$CD138,0)</f>
        <v>0</v>
      </c>
      <c r="CJ138" s="518">
        <f>IF(YEAR('3 pr-2'!$AJ138)=2020,$CD138,0)</f>
        <v>0</v>
      </c>
      <c r="CK138" s="518">
        <f>IF(YEAR('3 pr-2'!$AJ138)=2021,$CD138,0)</f>
        <v>0</v>
      </c>
      <c r="CL138" s="518">
        <f>IF(YEAR('3 pr-2'!$AJ138)=2022,$CD138,0)</f>
        <v>0</v>
      </c>
      <c r="CM138" s="518">
        <f>IF(YEAR('3 pr-2'!$AJ138)=2023,$CD138,0)</f>
        <v>0</v>
      </c>
      <c r="CN138" s="523"/>
      <c r="CO138" s="882"/>
      <c r="CP138" s="518"/>
      <c r="CQ138" s="518"/>
      <c r="CR138" s="518"/>
      <c r="CS138" s="518"/>
      <c r="CT138" s="518"/>
      <c r="CU138" s="518"/>
      <c r="CV138" s="518"/>
      <c r="CW138" s="1337">
        <f t="shared" si="545"/>
        <v>0</v>
      </c>
      <c r="CX138" s="524"/>
      <c r="CY138" s="504"/>
      <c r="CZ138" s="504"/>
      <c r="DA138" s="1332">
        <f>IF(YEAR('3 pr-2'!AJ138)=2017,CX138,0)</f>
        <v>0</v>
      </c>
      <c r="DB138" s="1332">
        <f>IF(YEAR('3 pr-2'!AJ138)=2018,CX138,0)</f>
        <v>0</v>
      </c>
      <c r="DC138" s="1332">
        <f>IF(YEAR('3 pr-2'!AJ138)=2019,CX138,0)</f>
        <v>0</v>
      </c>
      <c r="DD138" s="1332">
        <f>IF(YEAR('3 pr-2'!AJ138)=2020,CX138,0)</f>
        <v>0</v>
      </c>
      <c r="DE138" s="1332">
        <f>IF(YEAR('3 pr-2'!AJ138)=2021,CX138,0)</f>
        <v>0</v>
      </c>
      <c r="DF138" s="1332">
        <f>IF(YEAR('3 pr-2'!AJ138)=2022,CX138,0)</f>
        <v>0</v>
      </c>
      <c r="DG138" s="1332">
        <f>IF(YEAR('3 pr-2'!AJ138)=2023,CX138,0)</f>
        <v>0</v>
      </c>
    </row>
    <row r="139" spans="1:111" ht="64.5" thickTop="1" thickBot="1" x14ac:dyDescent="0.3">
      <c r="A139" s="518" t="str">
        <f>CONCATENATE('3 pr-2'!A139)</f>
        <v>2.1.2.2.4.</v>
      </c>
      <c r="B139" s="518" t="str">
        <f>CONCATENATE('3 pr-2'!B139)</f>
        <v>R01-6630-470000-2224</v>
      </c>
      <c r="C139" s="1449" t="str">
        <f>CONCATENATE('ketv. 2lent'!B137)</f>
        <v/>
      </c>
      <c r="D139" s="480" t="str">
        <f>CONCATENATE('3 pr-2'!D139)</f>
        <v>Sveika bendruomenė – stipri visuomenė</v>
      </c>
      <c r="E139" s="480" t="str">
        <f>CONCATENATE('3 pr-2'!E139)</f>
        <v>Druskininkų savivaldybės visuomenės sveikatos biuras</v>
      </c>
      <c r="F139" s="480" t="str">
        <f>CONCATENATE('3 pr-2'!F139)</f>
        <v>Lietuvos Respublikos Sveikatos apsaugos ministerija</v>
      </c>
      <c r="G139" s="480" t="str">
        <f>CONCATENATE('3 pr-2'!G139)</f>
        <v>Druskininkų savivaldybė</v>
      </c>
      <c r="H139" s="518" t="str">
        <f>CONCATENATE('3 pr-2'!H139)</f>
        <v>08.4.2-ESFA-R-630</v>
      </c>
      <c r="I139" s="518" t="str">
        <f>CONCATENATE('3 pr-2'!I139)</f>
        <v>R</v>
      </c>
      <c r="J139" s="518" t="str">
        <f>CONCATENATE('3 pr-2'!J139)</f>
        <v>-</v>
      </c>
      <c r="K139" s="518" t="str">
        <f>CONCATENATE('3 pr-2'!K139)</f>
        <v>-</v>
      </c>
      <c r="L139" s="505" t="s">
        <v>1471</v>
      </c>
      <c r="M139" s="881" t="s">
        <v>1472</v>
      </c>
      <c r="N139" s="505"/>
      <c r="O139" s="505"/>
      <c r="P139" s="505"/>
      <c r="Q139" s="505"/>
      <c r="R139" s="505"/>
      <c r="S139" s="505"/>
      <c r="T139" s="505"/>
      <c r="U139" s="1328">
        <f t="shared" si="550"/>
        <v>0</v>
      </c>
      <c r="V139" s="1332">
        <f>SUM(Y139:AE139)</f>
        <v>1696</v>
      </c>
      <c r="W139" s="1336">
        <f>IF('ketv. 6 lent'!K138&gt;0,"taip",0)</f>
        <v>0</v>
      </c>
      <c r="X139" s="518"/>
      <c r="Y139" s="518">
        <v>0</v>
      </c>
      <c r="Z139" s="518">
        <v>454</v>
      </c>
      <c r="AA139" s="518">
        <v>414</v>
      </c>
      <c r="AB139" s="518">
        <v>414</v>
      </c>
      <c r="AC139" s="518">
        <v>414</v>
      </c>
      <c r="AD139" s="518">
        <v>0</v>
      </c>
      <c r="AE139" s="518">
        <v>0</v>
      </c>
      <c r="AF139" s="523"/>
      <c r="AG139" s="881"/>
      <c r="AH139" s="518"/>
      <c r="AI139" s="518"/>
      <c r="AJ139" s="518"/>
      <c r="AK139" s="518"/>
      <c r="AL139" s="518"/>
      <c r="AM139" s="518"/>
      <c r="AN139" s="518"/>
      <c r="AO139" s="1337">
        <f t="shared" si="546"/>
        <v>0</v>
      </c>
      <c r="AP139" s="518"/>
      <c r="AQ139" s="1338"/>
      <c r="AR139" s="518"/>
      <c r="AS139" s="518">
        <f>IF(YEAR('3 pr-2'!$AJ139)=2017,$AP139,0)</f>
        <v>0</v>
      </c>
      <c r="AT139" s="518">
        <f>IF(YEAR('3 pr-2'!$AJ139)=2018,$AP139,0)</f>
        <v>0</v>
      </c>
      <c r="AU139" s="518">
        <f>IF(YEAR('3 pr-2'!$AJ139)=2019,$AP139,0)</f>
        <v>0</v>
      </c>
      <c r="AV139" s="518">
        <f>IF(YEAR('3 pr-2'!$AJ139)=2020,$AP139,0)</f>
        <v>0</v>
      </c>
      <c r="AW139" s="518">
        <f>IF(YEAR('3 pr-2'!$AJ139)=2021,$AP139,0)</f>
        <v>0</v>
      </c>
      <c r="AX139" s="518">
        <f>IF(YEAR('3 pr-2'!$AJ139)=2022,$AP139,0)</f>
        <v>0</v>
      </c>
      <c r="AY139" s="518">
        <f>IF(YEAR('3 pr-2'!$AJ139)=2023,$AP139,0)</f>
        <v>0</v>
      </c>
      <c r="AZ139" s="518"/>
      <c r="BA139" s="880"/>
      <c r="BB139" s="518"/>
      <c r="BC139" s="518"/>
      <c r="BD139" s="518"/>
      <c r="BE139" s="518"/>
      <c r="BF139" s="518"/>
      <c r="BG139" s="518"/>
      <c r="BH139" s="518"/>
      <c r="BI139" s="1337">
        <f t="shared" si="524"/>
        <v>0</v>
      </c>
      <c r="BJ139" s="518"/>
      <c r="BK139" s="1338"/>
      <c r="BL139" s="518"/>
      <c r="BM139" s="518"/>
      <c r="BN139" s="518"/>
      <c r="BO139" s="518"/>
      <c r="BP139" s="518"/>
      <c r="BQ139" s="518"/>
      <c r="BR139" s="518"/>
      <c r="BS139" s="518"/>
      <c r="BT139" s="523"/>
      <c r="BU139" s="881"/>
      <c r="BV139" s="518"/>
      <c r="BW139" s="518"/>
      <c r="BX139" s="518"/>
      <c r="BY139" s="518"/>
      <c r="BZ139" s="518"/>
      <c r="CA139" s="518"/>
      <c r="CB139" s="518"/>
      <c r="CC139" s="1337">
        <f t="shared" si="538"/>
        <v>0</v>
      </c>
      <c r="CD139" s="518"/>
      <c r="CE139" s="518"/>
      <c r="CF139" s="518"/>
      <c r="CG139" s="518">
        <f>IF(YEAR('3 pr-2'!$AJ139)=2017,$CD139,0)</f>
        <v>0</v>
      </c>
      <c r="CH139" s="518">
        <f>IF(YEAR('3 pr-2'!$AJ139)=2018,$CD139,0)</f>
        <v>0</v>
      </c>
      <c r="CI139" s="518">
        <f>IF(YEAR('3 pr-2'!$AJ139)=2019,$CD139,0)</f>
        <v>0</v>
      </c>
      <c r="CJ139" s="518">
        <f>IF(YEAR('3 pr-2'!$AJ139)=2020,$CD139,0)</f>
        <v>0</v>
      </c>
      <c r="CK139" s="518">
        <f>IF(YEAR('3 pr-2'!$AJ139)=2021,$CD139,0)</f>
        <v>0</v>
      </c>
      <c r="CL139" s="518">
        <f>IF(YEAR('3 pr-2'!$AJ139)=2022,$CD139,0)</f>
        <v>0</v>
      </c>
      <c r="CM139" s="518">
        <f>IF(YEAR('3 pr-2'!$AJ139)=2023,$CD139,0)</f>
        <v>0</v>
      </c>
      <c r="CN139" s="523"/>
      <c r="CO139" s="882"/>
      <c r="CP139" s="518"/>
      <c r="CQ139" s="518"/>
      <c r="CR139" s="518"/>
      <c r="CS139" s="518"/>
      <c r="CT139" s="518"/>
      <c r="CU139" s="518"/>
      <c r="CV139" s="518"/>
      <c r="CW139" s="1337">
        <f t="shared" si="545"/>
        <v>0</v>
      </c>
      <c r="CX139" s="524"/>
      <c r="CY139" s="504"/>
      <c r="CZ139" s="504"/>
      <c r="DA139" s="1332">
        <f>IF(YEAR('3 pr-2'!AJ139)=2017,CX139,0)</f>
        <v>0</v>
      </c>
      <c r="DB139" s="1332">
        <f>IF(YEAR('3 pr-2'!AJ139)=2018,CX139,0)</f>
        <v>0</v>
      </c>
      <c r="DC139" s="1332">
        <f>IF(YEAR('3 pr-2'!AJ139)=2019,CX139,0)</f>
        <v>0</v>
      </c>
      <c r="DD139" s="1332">
        <f>IF(YEAR('3 pr-2'!AJ139)=2020,CX139,0)</f>
        <v>0</v>
      </c>
      <c r="DE139" s="1332">
        <f>IF(YEAR('3 pr-2'!AJ139)=2021,CX139,0)</f>
        <v>0</v>
      </c>
      <c r="DF139" s="1332">
        <f>IF(YEAR('3 pr-2'!AJ139)=2022,CX139,0)</f>
        <v>0</v>
      </c>
      <c r="DG139" s="1332">
        <f>IF(YEAR('3 pr-2'!AJ139)=2023,CX139,0)</f>
        <v>0</v>
      </c>
    </row>
    <row r="140" spans="1:111" ht="64.5" thickTop="1" thickBot="1" x14ac:dyDescent="0.3">
      <c r="A140" s="518" t="str">
        <f>CONCATENATE('3 pr-2'!A140)</f>
        <v>2.1.2.2.5</v>
      </c>
      <c r="B140" s="518" t="str">
        <f>CONCATENATE('3 pr-2'!B140)</f>
        <v>R01-6630-470000-2225</v>
      </c>
      <c r="C140" s="1449" t="str">
        <f>CONCATENATE('ketv. 2lent'!B138)</f>
        <v/>
      </c>
      <c r="D140" s="480" t="str">
        <f>CONCATENATE('3 pr-2'!D140)</f>
        <v>Sveikos gyvensenos skatinimas Lazdijų rajono savivaldybėje</v>
      </c>
      <c r="E140" s="480" t="str">
        <f>CONCATENATE('3 pr-2'!E140)</f>
        <v>Lazdijų rajono savivaldybės visuomenės sveikatos biuras</v>
      </c>
      <c r="F140" s="480" t="str">
        <f>CONCATENATE('3 pr-2'!F140)</f>
        <v>Lietuvos Respublikos Sveikatos apsaugos ministerija</v>
      </c>
      <c r="G140" s="480" t="str">
        <f>CONCATENATE('3 pr-2'!G140)</f>
        <v>Lazdijų rajono savivaldybė</v>
      </c>
      <c r="H140" s="518" t="str">
        <f>CONCATENATE('3 pr-2'!H140)</f>
        <v>08.4.2-ESFA-R-630</v>
      </c>
      <c r="I140" s="518" t="str">
        <f>CONCATENATE('3 pr-2'!I140)</f>
        <v>R</v>
      </c>
      <c r="J140" s="518" t="str">
        <f>CONCATENATE('3 pr-2'!J140)</f>
        <v>-</v>
      </c>
      <c r="K140" s="518" t="str">
        <f>CONCATENATE('3 pr-2'!K140)</f>
        <v>-</v>
      </c>
      <c r="L140" s="505" t="s">
        <v>1471</v>
      </c>
      <c r="M140" s="881" t="s">
        <v>1472</v>
      </c>
      <c r="N140" s="505"/>
      <c r="O140" s="505"/>
      <c r="P140" s="505"/>
      <c r="Q140" s="505"/>
      <c r="R140" s="505"/>
      <c r="S140" s="505"/>
      <c r="T140" s="505"/>
      <c r="U140" s="1328">
        <f t="shared" si="550"/>
        <v>0</v>
      </c>
      <c r="V140" s="1332">
        <f>SUM(Y140:AE140)</f>
        <v>1697</v>
      </c>
      <c r="W140" s="1336">
        <f>IF('ketv. 6 lent'!K139&gt;0,"taip",0)</f>
        <v>0</v>
      </c>
      <c r="X140" s="518"/>
      <c r="Y140" s="518">
        <v>0</v>
      </c>
      <c r="Z140" s="518">
        <v>454</v>
      </c>
      <c r="AA140" s="518">
        <v>420</v>
      </c>
      <c r="AB140" s="518">
        <v>423</v>
      </c>
      <c r="AC140" s="518">
        <v>400</v>
      </c>
      <c r="AD140" s="518">
        <v>0</v>
      </c>
      <c r="AE140" s="518">
        <v>0</v>
      </c>
      <c r="AF140" s="523"/>
      <c r="AG140" s="881"/>
      <c r="AH140" s="518"/>
      <c r="AI140" s="518"/>
      <c r="AJ140" s="518"/>
      <c r="AK140" s="518"/>
      <c r="AL140" s="518"/>
      <c r="AM140" s="518"/>
      <c r="AN140" s="518"/>
      <c r="AO140" s="1337">
        <f t="shared" si="546"/>
        <v>0</v>
      </c>
      <c r="AP140" s="518"/>
      <c r="AQ140" s="1338"/>
      <c r="AR140" s="518"/>
      <c r="AS140" s="518">
        <f>IF(YEAR('3 pr-2'!$AJ140)=2017,$AP140,0)</f>
        <v>0</v>
      </c>
      <c r="AT140" s="518">
        <f>IF(YEAR('3 pr-2'!$AJ140)=2018,$AP140,0)</f>
        <v>0</v>
      </c>
      <c r="AU140" s="518">
        <f>IF(YEAR('3 pr-2'!$AJ140)=2019,$AP140,0)</f>
        <v>0</v>
      </c>
      <c r="AV140" s="518">
        <f>IF(YEAR('3 pr-2'!$AJ140)=2020,$AP140,0)</f>
        <v>0</v>
      </c>
      <c r="AW140" s="518">
        <f>IF(YEAR('3 pr-2'!$AJ140)=2021,$AP140,0)</f>
        <v>0</v>
      </c>
      <c r="AX140" s="518">
        <f>IF(YEAR('3 pr-2'!$AJ140)=2022,$AP140,0)</f>
        <v>0</v>
      </c>
      <c r="AY140" s="518">
        <f>IF(YEAR('3 pr-2'!$AJ140)=2023,$AP140,0)</f>
        <v>0</v>
      </c>
      <c r="AZ140" s="518"/>
      <c r="BA140" s="880"/>
      <c r="BB140" s="518"/>
      <c r="BC140" s="518"/>
      <c r="BD140" s="518"/>
      <c r="BE140" s="518"/>
      <c r="BF140" s="518"/>
      <c r="BG140" s="518"/>
      <c r="BH140" s="518"/>
      <c r="BI140" s="1337">
        <f t="shared" si="524"/>
        <v>0</v>
      </c>
      <c r="BJ140" s="518"/>
      <c r="BK140" s="1338"/>
      <c r="BL140" s="518"/>
      <c r="BM140" s="518"/>
      <c r="BN140" s="518"/>
      <c r="BO140" s="518"/>
      <c r="BP140" s="518"/>
      <c r="BQ140" s="518"/>
      <c r="BR140" s="518"/>
      <c r="BS140" s="518"/>
      <c r="BT140" s="523"/>
      <c r="BU140" s="881"/>
      <c r="BV140" s="518"/>
      <c r="BW140" s="518"/>
      <c r="BX140" s="518"/>
      <c r="BY140" s="518"/>
      <c r="BZ140" s="518"/>
      <c r="CA140" s="518"/>
      <c r="CB140" s="518"/>
      <c r="CC140" s="1337">
        <f t="shared" si="538"/>
        <v>0</v>
      </c>
      <c r="CD140" s="518"/>
      <c r="CE140" s="518"/>
      <c r="CF140" s="518"/>
      <c r="CG140" s="518">
        <f>IF(YEAR('3 pr-2'!$AJ140)=2017,$CD140,0)</f>
        <v>0</v>
      </c>
      <c r="CH140" s="518">
        <f>IF(YEAR('3 pr-2'!$AJ140)=2018,$CD140,0)</f>
        <v>0</v>
      </c>
      <c r="CI140" s="518">
        <f>IF(YEAR('3 pr-2'!$AJ140)=2019,$CD140,0)</f>
        <v>0</v>
      </c>
      <c r="CJ140" s="518">
        <f>IF(YEAR('3 pr-2'!$AJ140)=2020,$CD140,0)</f>
        <v>0</v>
      </c>
      <c r="CK140" s="518">
        <f>IF(YEAR('3 pr-2'!$AJ140)=2021,$CD140,0)</f>
        <v>0</v>
      </c>
      <c r="CL140" s="518">
        <f>IF(YEAR('3 pr-2'!$AJ140)=2022,$CD140,0)</f>
        <v>0</v>
      </c>
      <c r="CM140" s="518">
        <f>IF(YEAR('3 pr-2'!$AJ140)=2023,$CD140,0)</f>
        <v>0</v>
      </c>
      <c r="CN140" s="523"/>
      <c r="CO140" s="882"/>
      <c r="CP140" s="518"/>
      <c r="CQ140" s="518"/>
      <c r="CR140" s="518"/>
      <c r="CS140" s="518"/>
      <c r="CT140" s="518"/>
      <c r="CU140" s="518"/>
      <c r="CV140" s="518"/>
      <c r="CW140" s="1337">
        <f t="shared" si="545"/>
        <v>0</v>
      </c>
      <c r="CX140" s="524"/>
      <c r="CY140" s="504"/>
      <c r="CZ140" s="504"/>
      <c r="DA140" s="1332">
        <f>IF(YEAR('3 pr-2'!AJ140)=2017,CX140,0)</f>
        <v>0</v>
      </c>
      <c r="DB140" s="1332">
        <f>IF(YEAR('3 pr-2'!AJ140)=2018,CX140,0)</f>
        <v>0</v>
      </c>
      <c r="DC140" s="1332">
        <f>IF(YEAR('3 pr-2'!AJ140)=2019,CX140,0)</f>
        <v>0</v>
      </c>
      <c r="DD140" s="1332">
        <f>IF(YEAR('3 pr-2'!AJ140)=2020,CX140,0)</f>
        <v>0</v>
      </c>
      <c r="DE140" s="1332">
        <f>IF(YEAR('3 pr-2'!AJ140)=2021,CX140,0)</f>
        <v>0</v>
      </c>
      <c r="DF140" s="1332">
        <f>IF(YEAR('3 pr-2'!AJ140)=2022,CX140,0)</f>
        <v>0</v>
      </c>
      <c r="DG140" s="1332">
        <f>IF(YEAR('3 pr-2'!AJ140)=2023,CX140,0)</f>
        <v>0</v>
      </c>
    </row>
    <row r="141" spans="1:111" ht="90" customHeight="1" thickBot="1" x14ac:dyDescent="0.3">
      <c r="A141" s="1364" t="str">
        <f>CONCATENATE('3 pr-2'!A141)</f>
        <v>2.1.2.3</v>
      </c>
      <c r="B141" s="1687" t="str">
        <f>CONCATENATE('3 pr-2'!B141)</f>
        <v>Priemonė:
Priemonių, gerinančių ambulatorinių sveikatos priežiūros paslaugų prieinamumą tuberkulioze sergantiems pacientams, įgyvendinimas</v>
      </c>
      <c r="C141" s="1688"/>
      <c r="D141" s="1688"/>
      <c r="E141" s="1688"/>
      <c r="F141" s="1688"/>
      <c r="G141" s="1688"/>
      <c r="H141" s="1688"/>
      <c r="I141" s="1688"/>
      <c r="J141" s="1688"/>
      <c r="K141" s="1689"/>
      <c r="L141" s="1365" t="s">
        <v>1485</v>
      </c>
      <c r="M141" s="884" t="s">
        <v>1486</v>
      </c>
      <c r="N141" s="1332">
        <f>SUM(N142:N152)</f>
        <v>0</v>
      </c>
      <c r="O141" s="1332">
        <f t="shared" ref="O141:T141" si="557">SUM(O142:O152)</f>
        <v>0</v>
      </c>
      <c r="P141" s="1332">
        <f t="shared" si="557"/>
        <v>0</v>
      </c>
      <c r="Q141" s="1332">
        <f t="shared" si="557"/>
        <v>0</v>
      </c>
      <c r="R141" s="1332">
        <f t="shared" si="557"/>
        <v>0</v>
      </c>
      <c r="S141" s="1332">
        <f t="shared" si="557"/>
        <v>0</v>
      </c>
      <c r="T141" s="1332">
        <f t="shared" si="557"/>
        <v>0</v>
      </c>
      <c r="U141" s="1333">
        <f t="shared" ref="U141:U146" si="558">SUM(N141:T141)</f>
        <v>0</v>
      </c>
      <c r="V141" s="1303">
        <f>SUM(V142:V146)</f>
        <v>180</v>
      </c>
      <c r="W141" s="1366"/>
      <c r="X141" s="1367"/>
      <c r="Y141" s="1332">
        <f>SUM(Y142:Y146)</f>
        <v>0</v>
      </c>
      <c r="Z141" s="1332">
        <f t="shared" ref="Z141:AE141" si="559">SUM(Z142:Z146)</f>
        <v>0</v>
      </c>
      <c r="AA141" s="1332">
        <f t="shared" si="559"/>
        <v>0</v>
      </c>
      <c r="AB141" s="1332">
        <f t="shared" si="559"/>
        <v>50</v>
      </c>
      <c r="AC141" s="1332">
        <f t="shared" si="559"/>
        <v>130</v>
      </c>
      <c r="AD141" s="1332">
        <f t="shared" si="559"/>
        <v>0</v>
      </c>
      <c r="AE141" s="1332">
        <f t="shared" si="559"/>
        <v>0</v>
      </c>
      <c r="AF141" s="1367"/>
      <c r="AG141" s="1331"/>
      <c r="AH141" s="1332"/>
      <c r="AI141" s="1332"/>
      <c r="AJ141" s="1332"/>
      <c r="AK141" s="1332"/>
      <c r="AL141" s="1332"/>
      <c r="AM141" s="1332"/>
      <c r="AN141" s="1332"/>
      <c r="AO141" s="1303"/>
      <c r="AP141" s="1303"/>
      <c r="AQ141" s="1332"/>
      <c r="AR141" s="1332"/>
      <c r="AS141" s="1332">
        <f t="shared" ref="AS141:AY141" si="560">SUM(AS142:AS152)</f>
        <v>0</v>
      </c>
      <c r="AT141" s="1332">
        <f t="shared" si="560"/>
        <v>0</v>
      </c>
      <c r="AU141" s="1332">
        <f t="shared" si="560"/>
        <v>0</v>
      </c>
      <c r="AV141" s="1332">
        <f t="shared" si="560"/>
        <v>0</v>
      </c>
      <c r="AW141" s="1332">
        <f t="shared" si="560"/>
        <v>0</v>
      </c>
      <c r="AX141" s="1332">
        <f t="shared" si="560"/>
        <v>0</v>
      </c>
      <c r="AY141" s="1332">
        <f t="shared" si="560"/>
        <v>0</v>
      </c>
      <c r="AZ141" s="1303"/>
      <c r="BA141" s="1331"/>
      <c r="BB141" s="1332"/>
      <c r="BC141" s="1332"/>
      <c r="BD141" s="1332"/>
      <c r="BE141" s="1332"/>
      <c r="BF141" s="1332"/>
      <c r="BG141" s="1332"/>
      <c r="BH141" s="1332"/>
      <c r="BI141" s="1303"/>
      <c r="BJ141" s="1303"/>
      <c r="BK141" s="1332"/>
      <c r="BL141" s="1332"/>
      <c r="BM141" s="1332"/>
      <c r="BN141" s="1332"/>
      <c r="BO141" s="1332"/>
      <c r="BP141" s="1332"/>
      <c r="BQ141" s="1332"/>
      <c r="BR141" s="1332"/>
      <c r="BS141" s="1332"/>
      <c r="BT141" s="1332"/>
      <c r="BU141" s="882"/>
      <c r="BV141" s="1332"/>
      <c r="BW141" s="1332"/>
      <c r="BX141" s="1332"/>
      <c r="BY141" s="1332"/>
      <c r="BZ141" s="1332"/>
      <c r="CA141" s="1332"/>
      <c r="CB141" s="1332"/>
      <c r="CC141" s="1303"/>
      <c r="CD141" s="1332"/>
      <c r="CE141" s="1332"/>
      <c r="CF141" s="1332"/>
      <c r="CG141" s="1332">
        <f t="shared" ref="CG141:CM141" si="561">SUM(CG142:CG152)</f>
        <v>0</v>
      </c>
      <c r="CH141" s="1332">
        <f t="shared" si="561"/>
        <v>0</v>
      </c>
      <c r="CI141" s="1332">
        <f t="shared" si="561"/>
        <v>0</v>
      </c>
      <c r="CJ141" s="1332">
        <f t="shared" si="561"/>
        <v>0</v>
      </c>
      <c r="CK141" s="1332">
        <f t="shared" si="561"/>
        <v>0</v>
      </c>
      <c r="CL141" s="1332">
        <f t="shared" si="561"/>
        <v>0</v>
      </c>
      <c r="CM141" s="1332">
        <f t="shared" si="561"/>
        <v>0</v>
      </c>
      <c r="CN141" s="1332"/>
      <c r="CO141" s="882"/>
      <c r="CP141" s="1332">
        <f>SUM(CP142:CP152)</f>
        <v>0</v>
      </c>
      <c r="CQ141" s="1332">
        <f t="shared" ref="CQ141:CV141" si="562">SUM(CQ142:CQ152)</f>
        <v>0</v>
      </c>
      <c r="CR141" s="1332">
        <f t="shared" si="562"/>
        <v>0</v>
      </c>
      <c r="CS141" s="1332">
        <f t="shared" si="562"/>
        <v>0</v>
      </c>
      <c r="CT141" s="1332">
        <f t="shared" si="562"/>
        <v>0</v>
      </c>
      <c r="CU141" s="1332">
        <f t="shared" si="562"/>
        <v>0</v>
      </c>
      <c r="CV141" s="1332">
        <f t="shared" si="562"/>
        <v>0</v>
      </c>
      <c r="CW141" s="1303">
        <f t="shared" ref="CW141:CW146" si="563">SUM(CP141:CV141)</f>
        <v>0</v>
      </c>
      <c r="CX141" s="1332"/>
      <c r="CY141" s="1332"/>
      <c r="CZ141" s="1332"/>
      <c r="DA141" s="1332"/>
      <c r="DB141" s="1332"/>
      <c r="DC141" s="1332"/>
      <c r="DD141" s="1332"/>
      <c r="DE141" s="1332"/>
      <c r="DF141" s="1332"/>
      <c r="DG141" s="1332"/>
    </row>
    <row r="142" spans="1:111" ht="97.5" thickTop="1" thickBot="1" x14ac:dyDescent="0.3">
      <c r="A142" s="518" t="str">
        <f>CONCATENATE('3 pr-2'!A142)</f>
        <v>2.1.2.3.1</v>
      </c>
      <c r="B142" s="518" t="str">
        <f>CONCATENATE('3 pr-2'!B142)</f>
        <v>R01-6615-475000-2231</v>
      </c>
      <c r="C142" s="1262" t="str">
        <f>CONCATENATE('ketv. 2lent'!B146)</f>
        <v/>
      </c>
      <c r="D142" s="480" t="str">
        <f>CONCATENATE('3 pr-2'!D142)</f>
        <v>Priemonių gerinančių ambulatorinių sveikatos priežiūros paslaugų prieinamumą tuberkulioze sergantiems asmenims, Alytaus rajone įgyvendinimas</v>
      </c>
      <c r="E142" s="480" t="str">
        <f>CONCATENATE('3 pr-2'!E142)</f>
        <v>VšĮ Alytaus rajono savivaldybės pirminės sveikatos priežiūros centras</v>
      </c>
      <c r="F142" s="480" t="str">
        <f>CONCATENATE('3 pr-2'!F142)</f>
        <v>Lietuvos Respublikos Sveikatos apsaugos ministerija</v>
      </c>
      <c r="G142" s="480" t="str">
        <f>CONCATENATE('3 pr-2'!G142)</f>
        <v>Alytaus rajono savivaldybė</v>
      </c>
      <c r="H142" s="518" t="str">
        <f>CONCATENATE('3 pr-2'!H142)</f>
        <v>08.4.2-ESFA-R-615</v>
      </c>
      <c r="I142" s="518" t="str">
        <f>CONCATENATE('3 pr-2'!I142)</f>
        <v>R</v>
      </c>
      <c r="J142" s="518" t="str">
        <f>CONCATENATE('3 pr-2'!J142)</f>
        <v>-</v>
      </c>
      <c r="K142" s="518" t="str">
        <f>CONCATENATE('3 pr-2'!K142)</f>
        <v>-</v>
      </c>
      <c r="L142" s="518" t="s">
        <v>1485</v>
      </c>
      <c r="M142" s="881" t="s">
        <v>1486</v>
      </c>
      <c r="N142" s="505"/>
      <c r="O142" s="505"/>
      <c r="P142" s="505"/>
      <c r="Q142" s="505"/>
      <c r="R142" s="505"/>
      <c r="S142" s="505"/>
      <c r="T142" s="505"/>
      <c r="U142" s="1328">
        <f t="shared" si="558"/>
        <v>0</v>
      </c>
      <c r="V142" s="1332">
        <v>34</v>
      </c>
      <c r="W142" s="1336">
        <f>IF('ketv. 6 lent'!K141&gt;0,"taip",0)</f>
        <v>0</v>
      </c>
      <c r="X142" s="518"/>
      <c r="Y142" s="518">
        <f>IF(YEAR('3 pr-2'!$AJ142)=2017,$V142,0)</f>
        <v>0</v>
      </c>
      <c r="Z142" s="518">
        <f>IF(YEAR('3 pr-2'!$AJ142)=2018,$V142,0)</f>
        <v>0</v>
      </c>
      <c r="AA142" s="518">
        <f>IF(YEAR('3 pr-2'!$AJ142)=2019,$V142,0)</f>
        <v>0</v>
      </c>
      <c r="AB142" s="518">
        <f>IF(YEAR('3 pr-2'!$AJ142)=2020,$V142,0)</f>
        <v>0</v>
      </c>
      <c r="AC142" s="518">
        <f>IF(YEAR('3 pr-2'!$AJ142)=2021,$V142,0)</f>
        <v>34</v>
      </c>
      <c r="AD142" s="518">
        <f>IF(YEAR('3 pr-2'!$AJ142)=2022,$V142,0)</f>
        <v>0</v>
      </c>
      <c r="AE142" s="518">
        <f>IF(YEAR('3 pr-2'!$AJ142)=2023,$V142,0)</f>
        <v>0</v>
      </c>
      <c r="AF142" s="523"/>
      <c r="AG142" s="881"/>
      <c r="AH142" s="518"/>
      <c r="AI142" s="518"/>
      <c r="AJ142" s="518"/>
      <c r="AK142" s="518"/>
      <c r="AL142" s="518"/>
      <c r="AM142" s="518"/>
      <c r="AN142" s="518"/>
      <c r="AO142" s="1337"/>
      <c r="AP142" s="518"/>
      <c r="AQ142" s="1338"/>
      <c r="AR142" s="518"/>
      <c r="AS142" s="518"/>
      <c r="AT142" s="518">
        <f>SUM(AP142/2)</f>
        <v>0</v>
      </c>
      <c r="AU142" s="518">
        <f>SUM(AP142/2)</f>
        <v>0</v>
      </c>
      <c r="AV142" s="518"/>
      <c r="AW142" s="518"/>
      <c r="AX142" s="518"/>
      <c r="AY142" s="518"/>
      <c r="AZ142" s="518"/>
      <c r="BA142" s="880"/>
      <c r="BB142" s="518"/>
      <c r="BC142" s="518"/>
      <c r="BD142" s="518"/>
      <c r="BE142" s="518"/>
      <c r="BF142" s="518"/>
      <c r="BG142" s="518"/>
      <c r="BH142" s="518"/>
      <c r="BI142" s="1337">
        <f t="shared" ref="BI142" si="564">SUM(BB142:BH142)</f>
        <v>0</v>
      </c>
      <c r="BJ142" s="518"/>
      <c r="BK142" s="1338"/>
      <c r="BL142" s="518"/>
      <c r="BM142" s="518"/>
      <c r="BN142" s="518"/>
      <c r="BO142" s="518"/>
      <c r="BP142" s="518"/>
      <c r="BQ142" s="518"/>
      <c r="BR142" s="518"/>
      <c r="BS142" s="518"/>
      <c r="BT142" s="523"/>
      <c r="BU142" s="881"/>
      <c r="BV142" s="518"/>
      <c r="BW142" s="518"/>
      <c r="BX142" s="518"/>
      <c r="BY142" s="518"/>
      <c r="BZ142" s="518"/>
      <c r="CA142" s="518"/>
      <c r="CB142" s="518"/>
      <c r="CC142" s="1337">
        <f t="shared" ref="CC142:CC146" si="565">SUM(BV142:CB142)</f>
        <v>0</v>
      </c>
      <c r="CD142" s="518"/>
      <c r="CE142" s="518"/>
      <c r="CF142" s="518"/>
      <c r="CG142" s="518">
        <f>IF(YEAR('3 pr-2'!$AJ142)=2017,$CD142,0)</f>
        <v>0</v>
      </c>
      <c r="CH142" s="518">
        <f>IF(YEAR('3 pr-2'!$AJ142)=2018,$CD142,0)</f>
        <v>0</v>
      </c>
      <c r="CI142" s="518">
        <f>IF(YEAR('3 pr-2'!$AJ142)=2019,$CD142,0)</f>
        <v>0</v>
      </c>
      <c r="CJ142" s="518">
        <f>IF(YEAR('3 pr-2'!$AJ142)=2020,$CD142,0)</f>
        <v>0</v>
      </c>
      <c r="CK142" s="518">
        <f>IF(YEAR('3 pr-2'!$AJ142)=2021,$CD142,0)</f>
        <v>0</v>
      </c>
      <c r="CL142" s="518">
        <f>IF(YEAR('3 pr-2'!$AJ142)=2022,$CD142,0)</f>
        <v>0</v>
      </c>
      <c r="CM142" s="518">
        <f>IF(YEAR('3 pr-2'!$AJ142)=2023,$CD142,0)</f>
        <v>0</v>
      </c>
      <c r="CN142" s="523"/>
      <c r="CO142" s="882"/>
      <c r="CP142" s="518"/>
      <c r="CQ142" s="518"/>
      <c r="CR142" s="518"/>
      <c r="CS142" s="518"/>
      <c r="CT142" s="518"/>
      <c r="CU142" s="518"/>
      <c r="CV142" s="518"/>
      <c r="CW142" s="1337">
        <f t="shared" si="563"/>
        <v>0</v>
      </c>
      <c r="CX142" s="524"/>
      <c r="CY142" s="504"/>
      <c r="CZ142" s="504"/>
      <c r="DA142" s="1332">
        <f>IF(YEAR('3 pr-2'!AJ142)=2017,CX142,0)</f>
        <v>0</v>
      </c>
      <c r="DB142" s="1332">
        <f>IF(YEAR('3 pr-2'!AJ142)=2018,CX142,0)</f>
        <v>0</v>
      </c>
      <c r="DC142" s="1332">
        <f>IF(YEAR('3 pr-2'!AJ142)=2019,CX142,0)</f>
        <v>0</v>
      </c>
      <c r="DD142" s="1332">
        <f>IF(YEAR('3 pr-2'!AJ142)=2020,CX142,0)</f>
        <v>0</v>
      </c>
      <c r="DE142" s="1332">
        <f>IF(YEAR('3 pr-2'!AJ142)=2021,CX142,0)</f>
        <v>0</v>
      </c>
      <c r="DF142" s="1332">
        <f>IF(YEAR('3 pr-2'!AJ142)=2022,CX142,0)</f>
        <v>0</v>
      </c>
      <c r="DG142" s="1332">
        <f>IF(YEAR('3 pr-2'!AJ142)=2023,CX142,0)</f>
        <v>0</v>
      </c>
    </row>
    <row r="143" spans="1:111" ht="75" thickTop="1" thickBot="1" x14ac:dyDescent="0.3">
      <c r="A143" s="518" t="str">
        <f>CONCATENATE('3 pr-2'!A143)</f>
        <v>2.1.2.3.2</v>
      </c>
      <c r="B143" s="518" t="str">
        <f>CONCATENATE('3 pr-2'!B143)</f>
        <v>R01-6615-470000-2232</v>
      </c>
      <c r="C143" s="1449" t="str">
        <f>CONCATENATE('ketv. 2lent'!B147)</f>
        <v>08.1.1-CPVA-R-407-11-0002</v>
      </c>
      <c r="D143" s="480" t="str">
        <f>CONCATENATE('3 pr-2'!D143)</f>
        <v>Ambulatorinių sveikatos priežiūros paslaugų gerinimas tuberkulioze sergantiems asmenims</v>
      </c>
      <c r="E143" s="480" t="str">
        <f>CONCATENATE('3 pr-2'!E143)</f>
        <v>Alytaus miesto savivaldybės administracija</v>
      </c>
      <c r="F143" s="480" t="str">
        <f>CONCATENATE('3 pr-2'!F143)</f>
        <v>Lietuvos Respublikos Sveikatos apsaugos ministerija</v>
      </c>
      <c r="G143" s="480" t="str">
        <f>CONCATENATE('3 pr-2'!G143)</f>
        <v>Alytaus  miestas</v>
      </c>
      <c r="H143" s="518" t="str">
        <f>CONCATENATE('3 pr-2'!H143)</f>
        <v>08.4.2-ESFA-R-615</v>
      </c>
      <c r="I143" s="518" t="str">
        <f>CONCATENATE('3 pr-2'!I143)</f>
        <v>R</v>
      </c>
      <c r="J143" s="518" t="str">
        <f>CONCATENATE('3 pr-2'!J143)</f>
        <v>-</v>
      </c>
      <c r="K143" s="518" t="str">
        <f>CONCATENATE('3 pr-2'!K143)</f>
        <v>-</v>
      </c>
      <c r="L143" s="505" t="s">
        <v>1485</v>
      </c>
      <c r="M143" s="881" t="s">
        <v>1486</v>
      </c>
      <c r="N143" s="505"/>
      <c r="O143" s="505"/>
      <c r="P143" s="505"/>
      <c r="Q143" s="505"/>
      <c r="R143" s="505"/>
      <c r="S143" s="505"/>
      <c r="T143" s="505"/>
      <c r="U143" s="1328">
        <f t="shared" si="558"/>
        <v>0</v>
      </c>
      <c r="V143" s="1361">
        <v>50</v>
      </c>
      <c r="W143" s="1336">
        <f>IF('ketv. 6 lent'!K142&gt;0,"taip",0)</f>
        <v>0</v>
      </c>
      <c r="X143" s="518"/>
      <c r="Y143" s="518">
        <f>IF(YEAR('3 pr-2'!$AJ143)=2017,$V143,0)</f>
        <v>0</v>
      </c>
      <c r="Z143" s="518">
        <f>IF(YEAR('3 pr-2'!$AJ143)=2018,$V143,0)</f>
        <v>0</v>
      </c>
      <c r="AA143" s="518">
        <f>IF(YEAR('3 pr-2'!$AJ143)=2019,$V143,0)</f>
        <v>0</v>
      </c>
      <c r="AB143" s="518">
        <f>IF(YEAR('3 pr-2'!$AJ143)=2020,$V143,0)</f>
        <v>50</v>
      </c>
      <c r="AC143" s="518">
        <f>IF(YEAR('3 pr-2'!$AJ143)=2021,$V143,0)</f>
        <v>0</v>
      </c>
      <c r="AD143" s="518">
        <f>IF(YEAR('3 pr-2'!$AJ143)=2022,$V143,0)</f>
        <v>0</v>
      </c>
      <c r="AE143" s="518">
        <f>IF(YEAR('3 pr-2'!$AJ143)=2023,$V143,0)</f>
        <v>0</v>
      </c>
      <c r="AF143" s="523"/>
      <c r="AG143" s="881"/>
      <c r="AH143" s="518"/>
      <c r="AI143" s="518"/>
      <c r="AJ143" s="518"/>
      <c r="AK143" s="518"/>
      <c r="AL143" s="518"/>
      <c r="AM143" s="518"/>
      <c r="AN143" s="518"/>
      <c r="AO143" s="1337">
        <f t="shared" ref="AO143:AO146" si="566">SUM(AH143:AN143)</f>
        <v>0</v>
      </c>
      <c r="AP143" s="518"/>
      <c r="AQ143" s="1338"/>
      <c r="AR143" s="518"/>
      <c r="AS143" s="518"/>
      <c r="AT143" s="518"/>
      <c r="AU143" s="518"/>
      <c r="AV143" s="518"/>
      <c r="AW143" s="518"/>
      <c r="AX143" s="518"/>
      <c r="AY143" s="518"/>
      <c r="AZ143" s="518"/>
      <c r="BA143" s="880"/>
      <c r="BB143" s="518"/>
      <c r="BC143" s="518"/>
      <c r="BD143" s="518"/>
      <c r="BE143" s="518"/>
      <c r="BF143" s="518"/>
      <c r="BG143" s="518"/>
      <c r="BH143" s="518"/>
      <c r="BI143" s="1337"/>
      <c r="BJ143" s="518"/>
      <c r="BK143" s="1338"/>
      <c r="BL143" s="518"/>
      <c r="BM143" s="518"/>
      <c r="BN143" s="518">
        <v>0</v>
      </c>
      <c r="BO143" s="518">
        <v>2</v>
      </c>
      <c r="BP143" s="518"/>
      <c r="BQ143" s="518"/>
      <c r="BR143" s="518"/>
      <c r="BS143" s="518"/>
      <c r="BT143" s="523"/>
      <c r="BU143" s="881"/>
      <c r="BV143" s="518"/>
      <c r="BW143" s="518"/>
      <c r="BX143" s="518"/>
      <c r="BY143" s="518"/>
      <c r="BZ143" s="518"/>
      <c r="CA143" s="518"/>
      <c r="CB143" s="518"/>
      <c r="CC143" s="1337">
        <f t="shared" si="565"/>
        <v>0</v>
      </c>
      <c r="CD143" s="518"/>
      <c r="CE143" s="518"/>
      <c r="CF143" s="518"/>
      <c r="CG143" s="518">
        <f>IF(YEAR('3 pr-2'!$AJ143)=2017,$CD143,0)</f>
        <v>0</v>
      </c>
      <c r="CH143" s="518">
        <f>IF(YEAR('3 pr-2'!$AJ143)=2018,$CD143,0)</f>
        <v>0</v>
      </c>
      <c r="CI143" s="518">
        <f>IF(YEAR('3 pr-2'!$AJ143)=2019,$CD143,0)</f>
        <v>0</v>
      </c>
      <c r="CJ143" s="518">
        <f>IF(YEAR('3 pr-2'!$AJ143)=2020,$CD143,0)</f>
        <v>0</v>
      </c>
      <c r="CK143" s="518">
        <f>IF(YEAR('3 pr-2'!$AJ143)=2021,$CD143,0)</f>
        <v>0</v>
      </c>
      <c r="CL143" s="518">
        <f>IF(YEAR('3 pr-2'!$AJ143)=2022,$CD143,0)</f>
        <v>0</v>
      </c>
      <c r="CM143" s="518">
        <f>IF(YEAR('3 pr-2'!$AJ143)=2023,$CD143,0)</f>
        <v>0</v>
      </c>
      <c r="CN143" s="523"/>
      <c r="CO143" s="882"/>
      <c r="CP143" s="518"/>
      <c r="CQ143" s="518"/>
      <c r="CR143" s="518"/>
      <c r="CS143" s="518"/>
      <c r="CT143" s="518"/>
      <c r="CU143" s="518"/>
      <c r="CV143" s="518"/>
      <c r="CW143" s="1337">
        <f t="shared" si="563"/>
        <v>0</v>
      </c>
      <c r="CX143" s="524"/>
      <c r="CY143" s="504"/>
      <c r="CZ143" s="504"/>
      <c r="DA143" s="1332">
        <f>IF(YEAR('3 pr-2'!AJ143)=2017,CX143,0)</f>
        <v>0</v>
      </c>
      <c r="DB143" s="1332">
        <f>IF(YEAR('3 pr-2'!AJ143)=2018,CX143,0)</f>
        <v>0</v>
      </c>
      <c r="DC143" s="1332">
        <f>IF(YEAR('3 pr-2'!AJ143)=2019,CX143,0)</f>
        <v>0</v>
      </c>
      <c r="DD143" s="1332">
        <f>IF(YEAR('3 pr-2'!AJ143)=2020,CX143,0)</f>
        <v>0</v>
      </c>
      <c r="DE143" s="1332">
        <f>IF(YEAR('3 pr-2'!AJ143)=2021,CX143,0)</f>
        <v>0</v>
      </c>
      <c r="DF143" s="1332">
        <f>IF(YEAR('3 pr-2'!AJ143)=2022,CX143,0)</f>
        <v>0</v>
      </c>
      <c r="DG143" s="1332">
        <f>IF(YEAR('3 pr-2'!AJ143)=2023,CX143,0)</f>
        <v>0</v>
      </c>
    </row>
    <row r="144" spans="1:111" ht="75" thickTop="1" thickBot="1" x14ac:dyDescent="0.3">
      <c r="A144" s="518" t="str">
        <f>CONCATENATE('3 pr-2'!A144)</f>
        <v>2.1.2.3.3</v>
      </c>
      <c r="B144" s="518" t="str">
        <f>CONCATENATE('3 pr-2'!B144)</f>
        <v>R01-6615-470000-2233</v>
      </c>
      <c r="C144" s="1449" t="str">
        <f>CONCATENATE('ketv. 2lent'!B148)</f>
        <v>08.1.1-CPVA-R-407-11-0004</v>
      </c>
      <c r="D144" s="480" t="str">
        <f>CONCATENATE('3 pr-2'!D144)</f>
        <v xml:space="preserve">Paslaugų tuberkulioze sergantiems asmenims gerinimas Lazdijų rajono savivaldybėje </v>
      </c>
      <c r="E144" s="480" t="str">
        <f>CONCATENATE('3 pr-2'!E144)</f>
        <v>Lazdijų rajono savivaldybės administracija</v>
      </c>
      <c r="F144" s="480" t="str">
        <f>CONCATENATE('3 pr-2'!F144)</f>
        <v>Lietuvos Respublikos Sveikatos apsaugos ministerija</v>
      </c>
      <c r="G144" s="480" t="str">
        <f>CONCATENATE('3 pr-2'!G144)</f>
        <v>Lazdijų rajono savivaldybė</v>
      </c>
      <c r="H144" s="518" t="str">
        <f>CONCATENATE('3 pr-2'!H144)</f>
        <v>08.4.2-ESFA-R-615</v>
      </c>
      <c r="I144" s="518" t="str">
        <f>CONCATENATE('3 pr-2'!I144)</f>
        <v>R</v>
      </c>
      <c r="J144" s="518" t="str">
        <f>CONCATENATE('3 pr-2'!J144)</f>
        <v>-</v>
      </c>
      <c r="K144" s="518" t="str">
        <f>CONCATENATE('3 pr-2'!K144)</f>
        <v>-</v>
      </c>
      <c r="L144" s="505" t="s">
        <v>1485</v>
      </c>
      <c r="M144" s="881" t="s">
        <v>1486</v>
      </c>
      <c r="N144" s="505"/>
      <c r="O144" s="505"/>
      <c r="P144" s="505"/>
      <c r="Q144" s="505"/>
      <c r="R144" s="505"/>
      <c r="S144" s="505"/>
      <c r="T144" s="505"/>
      <c r="U144" s="1328">
        <f t="shared" si="558"/>
        <v>0</v>
      </c>
      <c r="V144" s="1361">
        <v>42</v>
      </c>
      <c r="W144" s="1336">
        <f>IF('ketv. 6 lent'!K143&gt;0,"taip",0)</f>
        <v>0</v>
      </c>
      <c r="X144" s="518"/>
      <c r="Y144" s="518">
        <f>IF(YEAR('3 pr-2'!$AJ144)=2017,$V144,0)</f>
        <v>0</v>
      </c>
      <c r="Z144" s="518">
        <f>IF(YEAR('3 pr-2'!$AJ144)=2018,$V144,0)</f>
        <v>0</v>
      </c>
      <c r="AA144" s="518">
        <f>IF(YEAR('3 pr-2'!$AJ144)=2019,$V144,0)</f>
        <v>0</v>
      </c>
      <c r="AB144" s="518">
        <f>IF(YEAR('3 pr-2'!$AJ144)=2020,$V144,0)</f>
        <v>0</v>
      </c>
      <c r="AC144" s="518">
        <f>IF(YEAR('3 pr-2'!$AJ144)=2021,$V144,0)</f>
        <v>42</v>
      </c>
      <c r="AD144" s="518">
        <f>IF(YEAR('3 pr-2'!$AJ144)=2022,$V144,0)</f>
        <v>0</v>
      </c>
      <c r="AE144" s="518">
        <f>IF(YEAR('3 pr-2'!$AJ144)=2023,$V144,0)</f>
        <v>0</v>
      </c>
      <c r="AF144" s="523"/>
      <c r="AG144" s="881"/>
      <c r="AH144" s="518"/>
      <c r="AI144" s="518"/>
      <c r="AJ144" s="518"/>
      <c r="AK144" s="518"/>
      <c r="AL144" s="518"/>
      <c r="AM144" s="518"/>
      <c r="AN144" s="518"/>
      <c r="AO144" s="1337"/>
      <c r="AP144" s="518"/>
      <c r="AQ144" s="1338"/>
      <c r="AR144" s="518"/>
      <c r="AS144" s="518"/>
      <c r="AT144" s="518"/>
      <c r="AU144" s="518"/>
      <c r="AV144" s="518"/>
      <c r="AW144" s="518"/>
      <c r="AX144" s="518"/>
      <c r="AY144" s="518"/>
      <c r="AZ144" s="518"/>
      <c r="BA144" s="880"/>
      <c r="BB144" s="518"/>
      <c r="BC144" s="518"/>
      <c r="BD144" s="518"/>
      <c r="BE144" s="518"/>
      <c r="BF144" s="518"/>
      <c r="BG144" s="518"/>
      <c r="BH144" s="518"/>
      <c r="BI144" s="1337">
        <f t="shared" ref="BI144:BI146" si="567">SUM(BB144:BH144)</f>
        <v>0</v>
      </c>
      <c r="BJ144" s="518"/>
      <c r="BK144" s="1338"/>
      <c r="BL144" s="518"/>
      <c r="BM144" s="518"/>
      <c r="BN144" s="518"/>
      <c r="BO144" s="518"/>
      <c r="BP144" s="518"/>
      <c r="BQ144" s="518"/>
      <c r="BR144" s="518"/>
      <c r="BS144" s="518"/>
      <c r="BT144" s="523"/>
      <c r="BU144" s="881"/>
      <c r="BV144" s="518"/>
      <c r="BW144" s="518"/>
      <c r="BX144" s="518"/>
      <c r="BY144" s="518"/>
      <c r="BZ144" s="518"/>
      <c r="CA144" s="518"/>
      <c r="CB144" s="518"/>
      <c r="CC144" s="1337">
        <f t="shared" si="565"/>
        <v>0</v>
      </c>
      <c r="CD144" s="518"/>
      <c r="CE144" s="518"/>
      <c r="CF144" s="518"/>
      <c r="CG144" s="518">
        <f>IF(YEAR('3 pr-2'!$AJ144)=2017,$CD144,0)</f>
        <v>0</v>
      </c>
      <c r="CH144" s="518">
        <f>IF(YEAR('3 pr-2'!$AJ144)=2018,$CD144,0)</f>
        <v>0</v>
      </c>
      <c r="CI144" s="518">
        <f>IF(YEAR('3 pr-2'!$AJ144)=2019,$CD144,0)</f>
        <v>0</v>
      </c>
      <c r="CJ144" s="518">
        <f>IF(YEAR('3 pr-2'!$AJ144)=2020,$CD144,0)</f>
        <v>0</v>
      </c>
      <c r="CK144" s="518">
        <f>IF(YEAR('3 pr-2'!$AJ144)=2021,$CD144,0)</f>
        <v>0</v>
      </c>
      <c r="CL144" s="518">
        <f>IF(YEAR('3 pr-2'!$AJ144)=2022,$CD144,0)</f>
        <v>0</v>
      </c>
      <c r="CM144" s="518">
        <f>IF(YEAR('3 pr-2'!$AJ144)=2023,$CD144,0)</f>
        <v>0</v>
      </c>
      <c r="CN144" s="523"/>
      <c r="CO144" s="882"/>
      <c r="CP144" s="518"/>
      <c r="CQ144" s="518"/>
      <c r="CR144" s="518"/>
      <c r="CS144" s="518"/>
      <c r="CT144" s="518"/>
      <c r="CU144" s="518"/>
      <c r="CV144" s="518"/>
      <c r="CW144" s="1337">
        <f t="shared" si="563"/>
        <v>0</v>
      </c>
      <c r="CX144" s="524"/>
      <c r="CY144" s="504"/>
      <c r="CZ144" s="504"/>
      <c r="DA144" s="1332">
        <f>IF(YEAR('3 pr-2'!AJ144)=2017,CX144,0)</f>
        <v>0</v>
      </c>
      <c r="DB144" s="1332">
        <f>IF(YEAR('3 pr-2'!AJ144)=2018,CX144,0)</f>
        <v>0</v>
      </c>
      <c r="DC144" s="1332">
        <f>IF(YEAR('3 pr-2'!AJ144)=2019,CX144,0)</f>
        <v>0</v>
      </c>
      <c r="DD144" s="1332">
        <f>IF(YEAR('3 pr-2'!AJ144)=2020,CX144,0)</f>
        <v>0</v>
      </c>
      <c r="DE144" s="1332">
        <f>IF(YEAR('3 pr-2'!AJ144)=2021,CX144,0)</f>
        <v>0</v>
      </c>
      <c r="DF144" s="1332">
        <f>IF(YEAR('3 pr-2'!AJ144)=2022,CX144,0)</f>
        <v>0</v>
      </c>
      <c r="DG144" s="1332">
        <f>IF(YEAR('3 pr-2'!AJ144)=2023,CX144,0)</f>
        <v>0</v>
      </c>
    </row>
    <row r="145" spans="1:111" ht="85.5" thickTop="1" thickBot="1" x14ac:dyDescent="0.3">
      <c r="A145" s="518" t="str">
        <f>CONCATENATE('3 pr-2'!A145)</f>
        <v>2.1.2.3.4</v>
      </c>
      <c r="B145" s="518" t="str">
        <f>CONCATENATE('3 pr-2'!B145)</f>
        <v>R01-6615-470000-2234</v>
      </c>
      <c r="C145" s="1449" t="str">
        <f>CONCATENATE('ketv. 2lent'!B149)</f>
        <v>08.1.1-CPVA-R-407-11-0005</v>
      </c>
      <c r="D145" s="480" t="str">
        <f>CONCATENATE('3 pr-2'!D145)</f>
        <v>Ambulatorinių sveikatos priežiūros paslaugų tuberkulioze sergantiems asmenims prieinamumo gerinimas Druskininkų savivaldybėje</v>
      </c>
      <c r="E145" s="480" t="str">
        <f>CONCATENATE('3 pr-2'!E145)</f>
        <v>Druskininkų pirminės sveikatos priežiūros centras</v>
      </c>
      <c r="F145" s="480" t="str">
        <f>CONCATENATE('3 pr-2'!F145)</f>
        <v>Lietuvos Respublikos Sveikatos apsaugos ministerija</v>
      </c>
      <c r="G145" s="480" t="str">
        <f>CONCATENATE('3 pr-2'!G145)</f>
        <v>Druskininkų savivaldybė</v>
      </c>
      <c r="H145" s="518" t="str">
        <f>CONCATENATE('3 pr-2'!H145)</f>
        <v>08.4.2-ESFA-R-615</v>
      </c>
      <c r="I145" s="518" t="str">
        <f>CONCATENATE('3 pr-2'!I145)</f>
        <v>R</v>
      </c>
      <c r="J145" s="518" t="str">
        <f>CONCATENATE('3 pr-2'!J145)</f>
        <v>-</v>
      </c>
      <c r="K145" s="518" t="str">
        <f>CONCATENATE('3 pr-2'!K145)</f>
        <v>-</v>
      </c>
      <c r="L145" s="505" t="s">
        <v>1485</v>
      </c>
      <c r="M145" s="881" t="s">
        <v>1486</v>
      </c>
      <c r="N145" s="505"/>
      <c r="O145" s="505"/>
      <c r="P145" s="505"/>
      <c r="Q145" s="505"/>
      <c r="R145" s="505"/>
      <c r="S145" s="505"/>
      <c r="T145" s="505"/>
      <c r="U145" s="1328">
        <f t="shared" si="558"/>
        <v>0</v>
      </c>
      <c r="V145" s="1361">
        <v>11</v>
      </c>
      <c r="W145" s="1336">
        <f>IF('ketv. 6 lent'!K144&gt;0,"taip",0)</f>
        <v>0</v>
      </c>
      <c r="X145" s="518"/>
      <c r="Y145" s="518">
        <f>IF(YEAR('3 pr-2'!$AJ145)=2017,$V145,0)</f>
        <v>0</v>
      </c>
      <c r="Z145" s="518">
        <f>IF(YEAR('3 pr-2'!$AJ145)=2018,$V145,0)</f>
        <v>0</v>
      </c>
      <c r="AA145" s="518">
        <f>IF(YEAR('3 pr-2'!$AJ145)=2019,$V145,0)</f>
        <v>0</v>
      </c>
      <c r="AB145" s="518">
        <f>IF(YEAR('3 pr-2'!$AJ145)=2020,$V145,0)</f>
        <v>0</v>
      </c>
      <c r="AC145" s="518">
        <f>IF(YEAR('3 pr-2'!$AJ145)=2021,$V145,0)</f>
        <v>11</v>
      </c>
      <c r="AD145" s="518">
        <f>IF(YEAR('3 pr-2'!$AJ145)=2022,$V145,0)</f>
        <v>0</v>
      </c>
      <c r="AE145" s="518">
        <f>IF(YEAR('3 pr-2'!$AJ145)=2023,$V145,0)</f>
        <v>0</v>
      </c>
      <c r="AF145" s="523"/>
      <c r="AG145" s="881"/>
      <c r="AH145" s="518"/>
      <c r="AI145" s="518"/>
      <c r="AJ145" s="518"/>
      <c r="AK145" s="518"/>
      <c r="AL145" s="518"/>
      <c r="AM145" s="518"/>
      <c r="AN145" s="518"/>
      <c r="AO145" s="1337">
        <f t="shared" si="566"/>
        <v>0</v>
      </c>
      <c r="AP145" s="518"/>
      <c r="AQ145" s="1338"/>
      <c r="AR145" s="518"/>
      <c r="AS145" s="518"/>
      <c r="AT145" s="518"/>
      <c r="AU145" s="518"/>
      <c r="AV145" s="518"/>
      <c r="AW145" s="518"/>
      <c r="AX145" s="518"/>
      <c r="AY145" s="518"/>
      <c r="AZ145" s="518"/>
      <c r="BA145" s="880"/>
      <c r="BB145" s="518"/>
      <c r="BC145" s="518"/>
      <c r="BD145" s="518"/>
      <c r="BE145" s="518"/>
      <c r="BF145" s="518"/>
      <c r="BG145" s="518"/>
      <c r="BH145" s="518"/>
      <c r="BI145" s="1337">
        <f t="shared" si="567"/>
        <v>0</v>
      </c>
      <c r="BJ145" s="518"/>
      <c r="BK145" s="1338"/>
      <c r="BL145" s="518"/>
      <c r="BM145" s="518"/>
      <c r="BN145" s="518"/>
      <c r="BO145" s="518"/>
      <c r="BP145" s="518"/>
      <c r="BQ145" s="518"/>
      <c r="BR145" s="518"/>
      <c r="BS145" s="518"/>
      <c r="BT145" s="523"/>
      <c r="BU145" s="881"/>
      <c r="BV145" s="518"/>
      <c r="BW145" s="518"/>
      <c r="BX145" s="518"/>
      <c r="BY145" s="518"/>
      <c r="BZ145" s="518"/>
      <c r="CA145" s="518"/>
      <c r="CB145" s="518"/>
      <c r="CC145" s="1337">
        <f t="shared" si="565"/>
        <v>0</v>
      </c>
      <c r="CD145" s="518"/>
      <c r="CE145" s="518"/>
      <c r="CF145" s="518"/>
      <c r="CG145" s="518">
        <f>IF(YEAR('3 pr-2'!$AJ145)=2017,$CD145,0)</f>
        <v>0</v>
      </c>
      <c r="CH145" s="518">
        <f>IF(YEAR('3 pr-2'!$AJ145)=2018,$CD145,0)</f>
        <v>0</v>
      </c>
      <c r="CI145" s="518">
        <f>IF(YEAR('3 pr-2'!$AJ145)=2019,$CD145,0)</f>
        <v>0</v>
      </c>
      <c r="CJ145" s="518">
        <f>IF(YEAR('3 pr-2'!$AJ145)=2020,$CD145,0)</f>
        <v>0</v>
      </c>
      <c r="CK145" s="518">
        <f>IF(YEAR('3 pr-2'!$AJ145)=2021,$CD145,0)</f>
        <v>0</v>
      </c>
      <c r="CL145" s="518">
        <f>IF(YEAR('3 pr-2'!$AJ145)=2022,$CD145,0)</f>
        <v>0</v>
      </c>
      <c r="CM145" s="518">
        <f>IF(YEAR('3 pr-2'!$AJ145)=2023,$CD145,0)</f>
        <v>0</v>
      </c>
      <c r="CN145" s="523"/>
      <c r="CO145" s="882"/>
      <c r="CP145" s="518"/>
      <c r="CQ145" s="518"/>
      <c r="CR145" s="518"/>
      <c r="CS145" s="518"/>
      <c r="CT145" s="518"/>
      <c r="CU145" s="518"/>
      <c r="CV145" s="518"/>
      <c r="CW145" s="1337">
        <f t="shared" si="563"/>
        <v>0</v>
      </c>
      <c r="CX145" s="524"/>
      <c r="CY145" s="504"/>
      <c r="CZ145" s="504"/>
      <c r="DA145" s="1332">
        <f>IF(YEAR('3 pr-2'!AJ145)=2017,CX145,0)</f>
        <v>0</v>
      </c>
      <c r="DB145" s="1332">
        <f>IF(YEAR('3 pr-2'!AJ145)=2018,CX145,0)</f>
        <v>0</v>
      </c>
      <c r="DC145" s="1332">
        <f>IF(YEAR('3 pr-2'!AJ145)=2019,CX145,0)</f>
        <v>0</v>
      </c>
      <c r="DD145" s="1332">
        <f>IF(YEAR('3 pr-2'!AJ145)=2020,CX145,0)</f>
        <v>0</v>
      </c>
      <c r="DE145" s="1332">
        <f>IF(YEAR('3 pr-2'!AJ145)=2021,CX145,0)</f>
        <v>0</v>
      </c>
      <c r="DF145" s="1332">
        <f>IF(YEAR('3 pr-2'!AJ145)=2022,CX145,0)</f>
        <v>0</v>
      </c>
      <c r="DG145" s="1332">
        <f>IF(YEAR('3 pr-2'!AJ145)=2023,CX145,0)</f>
        <v>0</v>
      </c>
    </row>
    <row r="146" spans="1:111" ht="85.5" thickTop="1" thickBot="1" x14ac:dyDescent="0.3">
      <c r="A146" s="518" t="str">
        <f>CONCATENATE('3 pr-2'!A146)</f>
        <v>2.1.2.3.5</v>
      </c>
      <c r="B146" s="518" t="str">
        <f>CONCATENATE('3 pr-2'!B146)</f>
        <v>R01-6615-470000-2235</v>
      </c>
      <c r="C146" s="1449" t="str">
        <f>CONCATENATE('ketv. 2lent'!B150)</f>
        <v>08.1.1-CPVA-R-407-11-0001</v>
      </c>
      <c r="D146" s="480" t="str">
        <f>CONCATENATE('3 pr-2'!D146)</f>
        <v>Ambulatorinių sveikatos priežiūros paslaugų prieinamumo gerinimas tuberkulioze sergantiems asmenims Varėnos rajono savivaldybėje</v>
      </c>
      <c r="E146" s="480" t="str">
        <f>CONCATENATE('3 pr-2'!E146)</f>
        <v>Varėnos rajono savivaldybės administracija</v>
      </c>
      <c r="F146" s="480" t="str">
        <f>CONCATENATE('3 pr-2'!F146)</f>
        <v>Lietuvos Respublikos Sveikatos apsaugos ministerija</v>
      </c>
      <c r="G146" s="480" t="str">
        <f>CONCATENATE('3 pr-2'!G146)</f>
        <v>Varėnos rajono savivaldybė</v>
      </c>
      <c r="H146" s="518" t="str">
        <f>CONCATENATE('3 pr-2'!H146)</f>
        <v>08.4.2-ESFA-R-615</v>
      </c>
      <c r="I146" s="518" t="str">
        <f>CONCATENATE('3 pr-2'!I146)</f>
        <v>R</v>
      </c>
      <c r="J146" s="518" t="str">
        <f>CONCATENATE('3 pr-2'!J146)</f>
        <v>-</v>
      </c>
      <c r="K146" s="518" t="str">
        <f>CONCATENATE('3 pr-2'!K146)</f>
        <v>-</v>
      </c>
      <c r="L146" s="505" t="s">
        <v>1485</v>
      </c>
      <c r="M146" s="881" t="s">
        <v>1486</v>
      </c>
      <c r="N146" s="505"/>
      <c r="O146" s="505"/>
      <c r="P146" s="505"/>
      <c r="Q146" s="505"/>
      <c r="R146" s="505"/>
      <c r="S146" s="505"/>
      <c r="T146" s="505"/>
      <c r="U146" s="1328">
        <f t="shared" si="558"/>
        <v>0</v>
      </c>
      <c r="V146" s="505">
        <v>43</v>
      </c>
      <c r="W146" s="1336">
        <f>IF('ketv. 6 lent'!K145&gt;0,"taip",0)</f>
        <v>0</v>
      </c>
      <c r="X146" s="518"/>
      <c r="Y146" s="518">
        <f>IF(YEAR('3 pr-2'!$AJ146)=2017,$V146,0)</f>
        <v>0</v>
      </c>
      <c r="Z146" s="518">
        <f>IF(YEAR('3 pr-2'!$AJ146)=2018,$V146,0)</f>
        <v>0</v>
      </c>
      <c r="AA146" s="518">
        <f>IF(YEAR('3 pr-2'!$AJ146)=2019,$V146,0)</f>
        <v>0</v>
      </c>
      <c r="AB146" s="518">
        <f>IF(YEAR('3 pr-2'!$AJ146)=2020,$V146,0)</f>
        <v>0</v>
      </c>
      <c r="AC146" s="518">
        <f>IF(YEAR('3 pr-2'!$AJ146)=2021,$V146,0)</f>
        <v>43</v>
      </c>
      <c r="AD146" s="518">
        <f>IF(YEAR('3 pr-2'!$AJ146)=2022,$V146,0)</f>
        <v>0</v>
      </c>
      <c r="AE146" s="518">
        <f>IF(YEAR('3 pr-2'!$AJ146)=2023,$V146,0)</f>
        <v>0</v>
      </c>
      <c r="AF146" s="523"/>
      <c r="AG146" s="881"/>
      <c r="AH146" s="518"/>
      <c r="AI146" s="518"/>
      <c r="AJ146" s="518"/>
      <c r="AK146" s="518"/>
      <c r="AL146" s="518"/>
      <c r="AM146" s="518"/>
      <c r="AN146" s="518"/>
      <c r="AO146" s="1337">
        <f t="shared" si="566"/>
        <v>0</v>
      </c>
      <c r="AP146" s="518"/>
      <c r="AQ146" s="1338"/>
      <c r="AR146" s="518"/>
      <c r="AS146" s="518"/>
      <c r="AT146" s="518"/>
      <c r="AU146" s="518"/>
      <c r="AV146" s="518"/>
      <c r="AW146" s="518"/>
      <c r="AX146" s="518"/>
      <c r="AY146" s="518"/>
      <c r="AZ146" s="518"/>
      <c r="BA146" s="880"/>
      <c r="BB146" s="518"/>
      <c r="BC146" s="518"/>
      <c r="BD146" s="518"/>
      <c r="BE146" s="518"/>
      <c r="BF146" s="518"/>
      <c r="BG146" s="518"/>
      <c r="BH146" s="518"/>
      <c r="BI146" s="1337">
        <f t="shared" si="567"/>
        <v>0</v>
      </c>
      <c r="BJ146" s="518"/>
      <c r="BK146" s="1338"/>
      <c r="BL146" s="518"/>
      <c r="BM146" s="518"/>
      <c r="BN146" s="518"/>
      <c r="BO146" s="518"/>
      <c r="BP146" s="518"/>
      <c r="BQ146" s="518"/>
      <c r="BR146" s="518"/>
      <c r="BS146" s="518"/>
      <c r="BT146" s="523"/>
      <c r="BU146" s="881"/>
      <c r="BV146" s="518"/>
      <c r="BW146" s="518"/>
      <c r="BX146" s="518"/>
      <c r="BY146" s="518"/>
      <c r="BZ146" s="518"/>
      <c r="CA146" s="518"/>
      <c r="CB146" s="518"/>
      <c r="CC146" s="1337">
        <f t="shared" si="565"/>
        <v>0</v>
      </c>
      <c r="CD146" s="518"/>
      <c r="CE146" s="518"/>
      <c r="CF146" s="518"/>
      <c r="CG146" s="518">
        <f>IF(YEAR('3 pr-2'!$AJ146)=2017,$CD146,0)</f>
        <v>0</v>
      </c>
      <c r="CH146" s="518">
        <f>IF(YEAR('3 pr-2'!$AJ146)=2018,$CD146,0)</f>
        <v>0</v>
      </c>
      <c r="CI146" s="518">
        <f>IF(YEAR('3 pr-2'!$AJ146)=2019,$CD146,0)</f>
        <v>0</v>
      </c>
      <c r="CJ146" s="518">
        <f>IF(YEAR('3 pr-2'!$AJ146)=2020,$CD146,0)</f>
        <v>0</v>
      </c>
      <c r="CK146" s="518">
        <f>IF(YEAR('3 pr-2'!$AJ146)=2021,$CD146,0)</f>
        <v>0</v>
      </c>
      <c r="CL146" s="518">
        <f>IF(YEAR('3 pr-2'!$AJ146)=2022,$CD146,0)</f>
        <v>0</v>
      </c>
      <c r="CM146" s="518">
        <f>IF(YEAR('3 pr-2'!$AJ146)=2023,$CD146,0)</f>
        <v>0</v>
      </c>
      <c r="CN146" s="523"/>
      <c r="CO146" s="882"/>
      <c r="CP146" s="518"/>
      <c r="CQ146" s="518"/>
      <c r="CR146" s="518"/>
      <c r="CS146" s="518"/>
      <c r="CT146" s="518"/>
      <c r="CU146" s="518"/>
      <c r="CV146" s="518"/>
      <c r="CW146" s="1337">
        <f t="shared" si="563"/>
        <v>0</v>
      </c>
      <c r="CX146" s="524"/>
      <c r="CY146" s="504"/>
      <c r="CZ146" s="504"/>
      <c r="DA146" s="1332">
        <f>IF(YEAR('3 pr-2'!AJ146)=2017,CX146,0)</f>
        <v>0</v>
      </c>
      <c r="DB146" s="1332">
        <f>IF(YEAR('3 pr-2'!AJ146)=2018,CX146,0)</f>
        <v>0</v>
      </c>
      <c r="DC146" s="1332">
        <f>IF(YEAR('3 pr-2'!AJ146)=2019,CX146,0)</f>
        <v>0</v>
      </c>
      <c r="DD146" s="1332">
        <f>IF(YEAR('3 pr-2'!AJ146)=2020,CX146,0)</f>
        <v>0</v>
      </c>
      <c r="DE146" s="1332">
        <f>IF(YEAR('3 pr-2'!AJ146)=2021,CX146,0)</f>
        <v>0</v>
      </c>
      <c r="DF146" s="1332">
        <f>IF(YEAR('3 pr-2'!AJ146)=2022,CX146,0)</f>
        <v>0</v>
      </c>
      <c r="DG146" s="1332">
        <f>IF(YEAR('3 pr-2'!AJ146)=2023,CX146,0)</f>
        <v>0</v>
      </c>
    </row>
    <row r="147" spans="1:111" ht="55.5" customHeight="1" thickBot="1" x14ac:dyDescent="0.3">
      <c r="A147" s="1363" t="str">
        <f>CONCATENATE('3 pr-2'!A147)</f>
        <v>2.1.3.</v>
      </c>
      <c r="B147" s="1687" t="str">
        <f>CONCATENATE('3 pr-2'!B147)</f>
        <v>Uždavinys:
Socialinio būsto ir socialinių paslaugų prieinamumo pažeidžiamiausioms gyventojų grupėms padidinimas</v>
      </c>
      <c r="C147" s="1688"/>
      <c r="D147" s="1688"/>
      <c r="E147" s="1688"/>
      <c r="F147" s="1688"/>
      <c r="G147" s="1688"/>
      <c r="H147" s="1688"/>
      <c r="I147" s="1688"/>
      <c r="J147" s="1688"/>
      <c r="K147" s="1689"/>
      <c r="L147" s="1332"/>
      <c r="M147" s="1160"/>
      <c r="N147" s="1334"/>
      <c r="O147" s="1334"/>
      <c r="P147" s="1334"/>
      <c r="Q147" s="1334"/>
      <c r="R147" s="1334"/>
      <c r="S147" s="1334"/>
      <c r="T147" s="1334"/>
      <c r="U147" s="1356"/>
      <c r="V147" s="1332"/>
      <c r="W147" s="1334"/>
      <c r="X147" s="1334"/>
      <c r="Y147" s="1334"/>
      <c r="Z147" s="1334"/>
      <c r="AA147" s="1334"/>
      <c r="AB147" s="1334"/>
      <c r="AC147" s="1334"/>
      <c r="AD147" s="1334"/>
      <c r="AE147" s="1334"/>
      <c r="AF147" s="1334"/>
      <c r="AG147" s="1160"/>
      <c r="AH147" s="1334"/>
      <c r="AI147" s="1334"/>
      <c r="AJ147" s="1334"/>
      <c r="AK147" s="1334"/>
      <c r="AL147" s="1334"/>
      <c r="AM147" s="1334"/>
      <c r="AN147" s="1334"/>
      <c r="AO147" s="1334"/>
      <c r="AP147" s="1334"/>
      <c r="AQ147" s="1334"/>
      <c r="AR147" s="1334"/>
      <c r="AS147" s="1334"/>
      <c r="AT147" s="1334"/>
      <c r="AU147" s="1334"/>
      <c r="AV147" s="1334"/>
      <c r="AW147" s="1334"/>
      <c r="AX147" s="1334"/>
      <c r="AY147" s="1334"/>
      <c r="AZ147" s="1334"/>
      <c r="BA147" s="1160"/>
      <c r="BB147" s="1334"/>
      <c r="BC147" s="1334"/>
      <c r="BD147" s="1334"/>
      <c r="BE147" s="1334"/>
      <c r="BF147" s="1334"/>
      <c r="BG147" s="1334"/>
      <c r="BH147" s="1334"/>
      <c r="BI147" s="1334"/>
      <c r="BJ147" s="1334"/>
      <c r="BK147" s="1334"/>
      <c r="BL147" s="1334"/>
      <c r="BM147" s="1334"/>
      <c r="BN147" s="1334"/>
      <c r="BO147" s="1334"/>
      <c r="BP147" s="1334"/>
      <c r="BQ147" s="1334"/>
      <c r="BR147" s="1334"/>
      <c r="BS147" s="1334"/>
      <c r="BT147" s="1334"/>
      <c r="BU147" s="1160"/>
      <c r="BV147" s="1334"/>
      <c r="BW147" s="1334"/>
      <c r="BX147" s="1334"/>
      <c r="BY147" s="1334"/>
      <c r="BZ147" s="1334"/>
      <c r="CA147" s="1334"/>
      <c r="CB147" s="1334"/>
      <c r="CC147" s="1334"/>
      <c r="CD147" s="1334"/>
      <c r="CE147" s="1334"/>
      <c r="CF147" s="1334"/>
      <c r="CG147" s="1334"/>
      <c r="CH147" s="1334"/>
      <c r="CI147" s="1334"/>
      <c r="CJ147" s="1334"/>
      <c r="CK147" s="1334"/>
      <c r="CL147" s="1334"/>
      <c r="CM147" s="1334"/>
      <c r="CN147" s="1334"/>
      <c r="CO147" s="882"/>
      <c r="CP147" s="1334"/>
      <c r="CQ147" s="1334"/>
      <c r="CR147" s="1334"/>
      <c r="CS147" s="1334"/>
      <c r="CT147" s="1334"/>
      <c r="CU147" s="1334"/>
      <c r="CV147" s="1334"/>
      <c r="CW147" s="1334"/>
      <c r="CX147" s="1334"/>
      <c r="CY147" s="1357"/>
      <c r="CZ147" s="1357"/>
      <c r="DA147" s="478"/>
      <c r="DB147" s="1259"/>
      <c r="DC147" s="1259"/>
      <c r="DD147" s="1259"/>
      <c r="DE147" s="1259"/>
      <c r="DF147" s="1259"/>
      <c r="DG147" s="1259"/>
    </row>
    <row r="148" spans="1:111" ht="33" customHeight="1" thickBot="1" x14ac:dyDescent="0.3">
      <c r="A148" s="1364" t="str">
        <f>CONCATENATE('3 pr-2'!A148)</f>
        <v>2.1.3.1</v>
      </c>
      <c r="B148" s="1687" t="str">
        <f>CONCATENATE('3 pr-2'!B148)</f>
        <v>Priemonė:
Socialinių paslaugų infrastruktūros plėtra</v>
      </c>
      <c r="C148" s="1688"/>
      <c r="D148" s="1688"/>
      <c r="E148" s="1688"/>
      <c r="F148" s="1688"/>
      <c r="G148" s="1688"/>
      <c r="H148" s="1688"/>
      <c r="I148" s="1688"/>
      <c r="J148" s="1688"/>
      <c r="K148" s="1689"/>
      <c r="L148" s="1365" t="s">
        <v>552</v>
      </c>
      <c r="M148" s="884" t="s">
        <v>553</v>
      </c>
      <c r="N148" s="1332">
        <f>SUM(N149:N153)</f>
        <v>0</v>
      </c>
      <c r="O148" s="1332">
        <f t="shared" ref="O148:T148" si="568">SUM(O149:O153)</f>
        <v>0</v>
      </c>
      <c r="P148" s="1332">
        <f t="shared" si="568"/>
        <v>0</v>
      </c>
      <c r="Q148" s="1332">
        <f t="shared" si="568"/>
        <v>0</v>
      </c>
      <c r="R148" s="1332">
        <f t="shared" si="568"/>
        <v>0</v>
      </c>
      <c r="S148" s="1332">
        <f t="shared" si="568"/>
        <v>0</v>
      </c>
      <c r="T148" s="1332">
        <f t="shared" si="568"/>
        <v>0</v>
      </c>
      <c r="U148" s="1333">
        <f>SUM(N148:T148)</f>
        <v>0</v>
      </c>
      <c r="V148" s="1303">
        <f>SUM(V149:V153)</f>
        <v>5</v>
      </c>
      <c r="W148" s="1366"/>
      <c r="X148" s="1367"/>
      <c r="Y148" s="1332">
        <f t="shared" ref="Y148:AE148" si="569">SUM(Y149:Y153)</f>
        <v>0</v>
      </c>
      <c r="Z148" s="1332">
        <f t="shared" si="569"/>
        <v>0</v>
      </c>
      <c r="AA148" s="1332">
        <f t="shared" si="569"/>
        <v>5</v>
      </c>
      <c r="AB148" s="1332">
        <f t="shared" si="569"/>
        <v>0</v>
      </c>
      <c r="AC148" s="1332">
        <f t="shared" si="569"/>
        <v>0</v>
      </c>
      <c r="AD148" s="1332">
        <f t="shared" si="569"/>
        <v>0</v>
      </c>
      <c r="AE148" s="1332">
        <f t="shared" si="569"/>
        <v>0</v>
      </c>
      <c r="AF148" s="1367"/>
      <c r="AG148" s="1331"/>
      <c r="AH148" s="1332">
        <f>SUM(AH149:AH153)</f>
        <v>0</v>
      </c>
      <c r="AI148" s="1332">
        <f t="shared" ref="AI148" si="570">SUM(AI149:AI153)</f>
        <v>0</v>
      </c>
      <c r="AJ148" s="1332">
        <f t="shared" ref="AJ148" si="571">SUM(AJ149:AJ153)</f>
        <v>0</v>
      </c>
      <c r="AK148" s="1332">
        <f t="shared" ref="AK148" si="572">SUM(AK149:AK153)</f>
        <v>0</v>
      </c>
      <c r="AL148" s="1332">
        <f t="shared" ref="AL148" si="573">SUM(AL149:AL153)</f>
        <v>0</v>
      </c>
      <c r="AM148" s="1332">
        <f t="shared" ref="AM148" si="574">SUM(AM149:AM153)</f>
        <v>0</v>
      </c>
      <c r="AN148" s="1332">
        <f t="shared" ref="AN148" si="575">SUM(AN149:AN153)</f>
        <v>0</v>
      </c>
      <c r="AO148" s="1303">
        <f>SUM(AH148:AN148)</f>
        <v>0</v>
      </c>
      <c r="AP148" s="1303"/>
      <c r="AQ148" s="1332"/>
      <c r="AR148" s="1332"/>
      <c r="AS148" s="1332"/>
      <c r="AT148" s="1332"/>
      <c r="AU148" s="1332"/>
      <c r="AV148" s="1332"/>
      <c r="AW148" s="1332"/>
      <c r="AX148" s="1332"/>
      <c r="AY148" s="1332"/>
      <c r="AZ148" s="1303"/>
      <c r="BA148" s="1331"/>
      <c r="BB148" s="1332">
        <f>SUM(BB149:BB153)</f>
        <v>0</v>
      </c>
      <c r="BC148" s="1332">
        <f t="shared" ref="BC148" si="576">SUM(BC149:BC153)</f>
        <v>0</v>
      </c>
      <c r="BD148" s="1332">
        <f t="shared" ref="BD148" si="577">SUM(BD149:BD153)</f>
        <v>0</v>
      </c>
      <c r="BE148" s="1332">
        <f t="shared" ref="BE148" si="578">SUM(BE149:BE153)</f>
        <v>0</v>
      </c>
      <c r="BF148" s="1332">
        <f t="shared" ref="BF148" si="579">SUM(BF149:BF153)</f>
        <v>0</v>
      </c>
      <c r="BG148" s="1332">
        <f t="shared" ref="BG148" si="580">SUM(BG149:BG153)</f>
        <v>0</v>
      </c>
      <c r="BH148" s="1332">
        <f t="shared" ref="BH148" si="581">SUM(BH149:BH153)</f>
        <v>0</v>
      </c>
      <c r="BI148" s="1303">
        <f>SUM(BB148:BH148)</f>
        <v>0</v>
      </c>
      <c r="BJ148" s="1303"/>
      <c r="BK148" s="1332"/>
      <c r="BL148" s="1332"/>
      <c r="BM148" s="1332"/>
      <c r="BN148" s="1332"/>
      <c r="BO148" s="1332"/>
      <c r="BP148" s="1332"/>
      <c r="BQ148" s="1332"/>
      <c r="BR148" s="1332"/>
      <c r="BS148" s="1332"/>
      <c r="BT148" s="1332"/>
      <c r="BU148" s="882"/>
      <c r="BV148" s="1332">
        <f>SUM(BV149:BV153)</f>
        <v>0</v>
      </c>
      <c r="BW148" s="1332">
        <f t="shared" ref="BW148" si="582">SUM(BW149:BW153)</f>
        <v>0</v>
      </c>
      <c r="BX148" s="1332">
        <f t="shared" ref="BX148" si="583">SUM(BX149:BX153)</f>
        <v>0</v>
      </c>
      <c r="BY148" s="1332">
        <f t="shared" ref="BY148" si="584">SUM(BY149:BY153)</f>
        <v>0</v>
      </c>
      <c r="BZ148" s="1332">
        <f t="shared" ref="BZ148" si="585">SUM(BZ149:BZ153)</f>
        <v>0</v>
      </c>
      <c r="CA148" s="1332">
        <f t="shared" ref="CA148" si="586">SUM(CA149:CA153)</f>
        <v>0</v>
      </c>
      <c r="CB148" s="1332">
        <f t="shared" ref="CB148" si="587">SUM(CB149:CB153)</f>
        <v>0</v>
      </c>
      <c r="CC148" s="1303">
        <f>SUM(BV148:CB148)</f>
        <v>0</v>
      </c>
      <c r="CD148" s="1332"/>
      <c r="CE148" s="1332"/>
      <c r="CF148" s="1332"/>
      <c r="CG148" s="1332"/>
      <c r="CH148" s="1332"/>
      <c r="CI148" s="1332"/>
      <c r="CJ148" s="1332"/>
      <c r="CK148" s="1332"/>
      <c r="CL148" s="1332"/>
      <c r="CM148" s="1332"/>
      <c r="CN148" s="1332"/>
      <c r="CO148" s="882"/>
      <c r="CP148" s="1332">
        <f>SUM(CP149:CP153)</f>
        <v>0</v>
      </c>
      <c r="CQ148" s="1332">
        <f t="shared" ref="CQ148" si="588">SUM(CQ149:CQ153)</f>
        <v>0</v>
      </c>
      <c r="CR148" s="1332">
        <f t="shared" ref="CR148" si="589">SUM(CR149:CR153)</f>
        <v>0</v>
      </c>
      <c r="CS148" s="1332">
        <f t="shared" ref="CS148" si="590">SUM(CS149:CS153)</f>
        <v>0</v>
      </c>
      <c r="CT148" s="1332">
        <f t="shared" ref="CT148" si="591">SUM(CT149:CT153)</f>
        <v>0</v>
      </c>
      <c r="CU148" s="1332">
        <f t="shared" ref="CU148" si="592">SUM(CU149:CU153)</f>
        <v>0</v>
      </c>
      <c r="CV148" s="1332">
        <f t="shared" ref="CV148" si="593">SUM(CV149:CV153)</f>
        <v>0</v>
      </c>
      <c r="CW148" s="1303">
        <f>SUM(CP148:CV148)</f>
        <v>0</v>
      </c>
      <c r="CX148" s="1332"/>
      <c r="CY148" s="1332"/>
      <c r="CZ148" s="1332"/>
      <c r="DA148" s="1332"/>
      <c r="DB148" s="1332"/>
      <c r="DC148" s="1332"/>
      <c r="DD148" s="1332"/>
      <c r="DE148" s="1332"/>
      <c r="DF148" s="1332"/>
      <c r="DG148" s="1332"/>
    </row>
    <row r="149" spans="1:111" ht="61.5" thickTop="1" thickBot="1" x14ac:dyDescent="0.3">
      <c r="A149" s="518" t="str">
        <f>CONCATENATE('3 pr-2'!A149)</f>
        <v>2.1.3.1.1</v>
      </c>
      <c r="B149" s="518" t="str">
        <f>CONCATENATE('3 pr-2'!B149)</f>
        <v>R01-4407-270000-2311</v>
      </c>
      <c r="C149" s="1449" t="str">
        <f>CONCATENATE('ketv. 2lent'!B147)</f>
        <v>08.1.1-CPVA-R-407-11-0002</v>
      </c>
      <c r="D149" s="480" t="str">
        <f>CONCATENATE('3 pr-2'!D149)</f>
        <v>Socialinių paslaugų infrastruktūros plėtra Varėnos rajono savivaldybėje</v>
      </c>
      <c r="E149" s="480" t="str">
        <f>CONCATENATE('3 pr-2'!E149)</f>
        <v>Varėnos rajono savivaldybės administracija</v>
      </c>
      <c r="F149" s="480" t="str">
        <f>CONCATENATE('3 pr-2'!F149)</f>
        <v>Lietuvos Respublikos socialinės apsaugos ir darbo ministerija</v>
      </c>
      <c r="G149" s="480" t="str">
        <f>CONCATENATE('3 pr-2'!G149)</f>
        <v>Varėnos rajono savivaldybė</v>
      </c>
      <c r="H149" s="518" t="str">
        <f>CONCATENATE('3 pr-2'!H149)</f>
        <v>08.1.2-CPVA-R-407</v>
      </c>
      <c r="I149" s="518" t="str">
        <f>CONCATENATE('3 pr-2'!I149)</f>
        <v>R</v>
      </c>
      <c r="J149" s="518" t="str">
        <f>CONCATENATE('3 pr-2'!J149)</f>
        <v>-</v>
      </c>
      <c r="K149" s="518" t="str">
        <f>CONCATENATE('3 pr-2'!K149)</f>
        <v>-</v>
      </c>
      <c r="L149" s="518" t="s">
        <v>552</v>
      </c>
      <c r="M149" s="881" t="s">
        <v>553</v>
      </c>
      <c r="N149" s="518"/>
      <c r="O149" s="518"/>
      <c r="P149" s="518"/>
      <c r="Q149" s="518"/>
      <c r="R149" s="518"/>
      <c r="S149" s="518"/>
      <c r="T149" s="518"/>
      <c r="U149" s="1335">
        <f t="shared" ref="U149:U154" si="594">SUM(N149:T149)</f>
        <v>0</v>
      </c>
      <c r="V149" s="518">
        <v>1</v>
      </c>
      <c r="W149" s="1336" t="str">
        <f>IF('ketv. 6 lent'!K148&gt;0,"1",0)</f>
        <v>1</v>
      </c>
      <c r="X149" s="518">
        <f t="shared" ref="X149:X153" si="595">SUM(W149-V149)</f>
        <v>0</v>
      </c>
      <c r="Y149" s="518">
        <f>IF(YEAR('3 pr-2'!$AJ149)=2017,$V149,0)</f>
        <v>0</v>
      </c>
      <c r="Z149" s="518">
        <f>IF(YEAR('3 pr-2'!$AJ149)=2018,$V149,0)</f>
        <v>0</v>
      </c>
      <c r="AA149" s="518">
        <f>IF(YEAR('3 pr-2'!$AJ149)=2019,$V149,0)</f>
        <v>1</v>
      </c>
      <c r="AB149" s="518">
        <f>IF(YEAR('3 pr-2'!$AJ149)=2020,$V149,0)</f>
        <v>0</v>
      </c>
      <c r="AC149" s="518">
        <f>IF(YEAR('3 pr-2'!$AJ149)=2021,$V149,0)</f>
        <v>0</v>
      </c>
      <c r="AD149" s="518">
        <f>IF(YEAR('3 pr-2'!$AJ149)=2022,$V149,0)</f>
        <v>0</v>
      </c>
      <c r="AE149" s="518">
        <f>IF(YEAR('3 pr-2'!$AJ149)=2023,$V149,0)</f>
        <v>0</v>
      </c>
      <c r="AF149" s="523"/>
      <c r="AG149" s="881"/>
      <c r="AH149" s="518"/>
      <c r="AI149" s="518"/>
      <c r="AJ149" s="518"/>
      <c r="AK149" s="518"/>
      <c r="AL149" s="518"/>
      <c r="AM149" s="518"/>
      <c r="AN149" s="518"/>
      <c r="AO149" s="1337">
        <f t="shared" ref="AO149:AO159" si="596">SUM(AH149:AN149)</f>
        <v>0</v>
      </c>
      <c r="AP149" s="518"/>
      <c r="AQ149" s="1338"/>
      <c r="AR149" s="518"/>
      <c r="AS149" s="518">
        <f>IF(YEAR('3 pr-2'!$AJ149)=2017,$AP149,0)</f>
        <v>0</v>
      </c>
      <c r="AT149" s="518">
        <f>IF(YEAR('3 pr-2'!$AJ149)=2018,$AP149,0)</f>
        <v>0</v>
      </c>
      <c r="AU149" s="518">
        <f>IF(YEAR('3 pr-2'!$AJ149)=2019,$AP149,0)</f>
        <v>0</v>
      </c>
      <c r="AV149" s="518">
        <f>IF(YEAR('3 pr-2'!$AJ149)=2020,$AP149,0)</f>
        <v>0</v>
      </c>
      <c r="AW149" s="518">
        <f>IF(YEAR('3 pr-2'!$AJ149)=2021,$AP149,0)</f>
        <v>0</v>
      </c>
      <c r="AX149" s="518">
        <f>IF(YEAR('3 pr-2'!$AJ149)=2022,$AP149,0)</f>
        <v>0</v>
      </c>
      <c r="AY149" s="518">
        <f>IF(YEAR('3 pr-2'!$AJ149)=2023,$AP149,0)</f>
        <v>0</v>
      </c>
      <c r="AZ149" s="518"/>
      <c r="BA149" s="880"/>
      <c r="BB149" s="518"/>
      <c r="BC149" s="518"/>
      <c r="BD149" s="518"/>
      <c r="BE149" s="518"/>
      <c r="BF149" s="518"/>
      <c r="BG149" s="518"/>
      <c r="BH149" s="518"/>
      <c r="BI149" s="1337">
        <f t="shared" ref="BI149:BI159" si="597">SUM(BB149:BH149)</f>
        <v>0</v>
      </c>
      <c r="BJ149" s="518"/>
      <c r="BK149" s="1338"/>
      <c r="BL149" s="518"/>
      <c r="BM149" s="518">
        <f>IF('3 pr-2'!AJ149=2017,BJ149,0)</f>
        <v>0</v>
      </c>
      <c r="BN149" s="518">
        <f>IF('3 pr-2'!AJ149=2018,BJ149,0)</f>
        <v>0</v>
      </c>
      <c r="BO149" s="518">
        <f>IF('3 pr-2'!AJ149=2019,BJ149,0)</f>
        <v>0</v>
      </c>
      <c r="BP149" s="518">
        <f>IF('3 pr-2'!AJ149=2020,BJ149,0)</f>
        <v>0</v>
      </c>
      <c r="BQ149" s="518">
        <f>IF('3 pr-2'!AJ149=2021,BJ149,0)</f>
        <v>0</v>
      </c>
      <c r="BR149" s="518">
        <f>IF('3 pr-2'!AJ149=2022,BJ149,0)</f>
        <v>0</v>
      </c>
      <c r="BS149" s="518">
        <f>IF('3 pr-2'!AJ149=2023,BJ149,0)</f>
        <v>0</v>
      </c>
      <c r="BT149" s="523"/>
      <c r="BU149" s="881"/>
      <c r="BV149" s="518"/>
      <c r="BW149" s="518"/>
      <c r="BX149" s="518"/>
      <c r="BY149" s="518"/>
      <c r="BZ149" s="518"/>
      <c r="CA149" s="518"/>
      <c r="CB149" s="518"/>
      <c r="CC149" s="1337">
        <f t="shared" ref="CC149:CC159" si="598">SUM(BV149:CB149)</f>
        <v>0</v>
      </c>
      <c r="CD149" s="518"/>
      <c r="CE149" s="518"/>
      <c r="CF149" s="518"/>
      <c r="CG149" s="518">
        <f>IF(YEAR('3 pr-2'!$AJ149)=2017,$CD149,0)</f>
        <v>0</v>
      </c>
      <c r="CH149" s="518">
        <f>IF(YEAR('3 pr-2'!$AJ149)=2018,$CD149,0)</f>
        <v>0</v>
      </c>
      <c r="CI149" s="518">
        <f>IF(YEAR('3 pr-2'!$AJ149)=2019,$CD149,0)</f>
        <v>0</v>
      </c>
      <c r="CJ149" s="518">
        <f>IF(YEAR('3 pr-2'!$AJ149)=2020,$CD149,0)</f>
        <v>0</v>
      </c>
      <c r="CK149" s="518">
        <f>IF(YEAR('3 pr-2'!$AJ149)=2021,$CD149,0)</f>
        <v>0</v>
      </c>
      <c r="CL149" s="518">
        <f>IF(YEAR('3 pr-2'!$AJ149)=2022,$CD149,0)</f>
        <v>0</v>
      </c>
      <c r="CM149" s="518">
        <f>IF(YEAR('3 pr-2'!$AJ149)=2023,$CD149,0)</f>
        <v>0</v>
      </c>
      <c r="CN149" s="523"/>
      <c r="CO149" s="882"/>
      <c r="CP149" s="518"/>
      <c r="CQ149" s="518"/>
      <c r="CR149" s="518"/>
      <c r="CS149" s="518"/>
      <c r="CT149" s="518"/>
      <c r="CU149" s="518"/>
      <c r="CV149" s="518"/>
      <c r="CW149" s="1337">
        <f t="shared" ref="CW149:CW159" si="599">SUM(CP149:CV149)</f>
        <v>0</v>
      </c>
      <c r="CX149" s="524"/>
      <c r="CY149" s="504"/>
      <c r="CZ149" s="504"/>
      <c r="DA149" s="1332">
        <f>IF(YEAR('3 pr-2'!AJ149)=2017,CX149,0)</f>
        <v>0</v>
      </c>
      <c r="DB149" s="1332">
        <f>IF(YEAR('3 pr-2'!AJ149)=2018,CX149,0)</f>
        <v>0</v>
      </c>
      <c r="DC149" s="1332">
        <f>IF(YEAR('3 pr-2'!AJ149)=2019,CX149,0)</f>
        <v>0</v>
      </c>
      <c r="DD149" s="1332">
        <f>IF(YEAR('3 pr-2'!AJ149)=2020,CX149,0)</f>
        <v>0</v>
      </c>
      <c r="DE149" s="1332">
        <f>IF(YEAR('3 pr-2'!AJ149)=2021,CX149,0)</f>
        <v>0</v>
      </c>
      <c r="DF149" s="1332">
        <f>IF(YEAR('3 pr-2'!AJ149)=2022,CX149,0)</f>
        <v>0</v>
      </c>
      <c r="DG149" s="1332">
        <f>IF(YEAR('3 pr-2'!AJ149)=2023,CX149,0)</f>
        <v>0</v>
      </c>
    </row>
    <row r="150" spans="1:111" ht="61.5" thickTop="1" thickBot="1" x14ac:dyDescent="0.3">
      <c r="A150" s="518" t="str">
        <f>CONCATENATE('3 pr-2'!A150)</f>
        <v>2.1.3.1.2</v>
      </c>
      <c r="B150" s="518" t="str">
        <f>CONCATENATE('3 pr-2'!B150)</f>
        <v>R01-4407-274800-2312</v>
      </c>
      <c r="C150" s="1449" t="str">
        <f>CONCATENATE('ketv. 2lent'!B148)</f>
        <v>08.1.1-CPVA-R-407-11-0004</v>
      </c>
      <c r="D150" s="480" t="str">
        <f>CONCATENATE('3 pr-2'!D150)</f>
        <v>Psichosocialinės pagalbos centro įkūrimas</v>
      </c>
      <c r="E150" s="480" t="str">
        <f>CONCATENATE('3 pr-2'!E150)</f>
        <v>Alytaus rajono savivaldybės administracija</v>
      </c>
      <c r="F150" s="480" t="str">
        <f>CONCATENATE('3 pr-2'!F150)</f>
        <v>Lietuvos Respublikos socialinės apsaugos ir darbo ministerija</v>
      </c>
      <c r="G150" s="480" t="str">
        <f>CONCATENATE('3 pr-2'!G150)</f>
        <v>Alytaus  miestas</v>
      </c>
      <c r="H150" s="518" t="str">
        <f>CONCATENATE('3 pr-2'!H150)</f>
        <v>08.1.2-CPVA-R-407</v>
      </c>
      <c r="I150" s="518" t="str">
        <f>CONCATENATE('3 pr-2'!I150)</f>
        <v>R</v>
      </c>
      <c r="J150" s="518" t="str">
        <f>CONCATENATE('3 pr-2'!J150)</f>
        <v/>
      </c>
      <c r="K150" s="518" t="str">
        <f>CONCATENATE('3 pr-2'!K150)</f>
        <v>-</v>
      </c>
      <c r="L150" s="518" t="s">
        <v>552</v>
      </c>
      <c r="M150" s="881" t="s">
        <v>553</v>
      </c>
      <c r="N150" s="518"/>
      <c r="O150" s="518"/>
      <c r="P150" s="518"/>
      <c r="Q150" s="518"/>
      <c r="R150" s="518"/>
      <c r="S150" s="518"/>
      <c r="T150" s="518"/>
      <c r="U150" s="1335">
        <f t="shared" si="594"/>
        <v>0</v>
      </c>
      <c r="V150" s="518">
        <v>1</v>
      </c>
      <c r="W150" s="1336" t="str">
        <f>IF('ketv. 6 lent'!K149&gt;0,"1",0)</f>
        <v>1</v>
      </c>
      <c r="X150" s="518">
        <f t="shared" si="595"/>
        <v>0</v>
      </c>
      <c r="Y150" s="518">
        <f>IF(YEAR('3 pr-2'!$AJ150)=2017,$V150,0)</f>
        <v>0</v>
      </c>
      <c r="Z150" s="518">
        <f>IF(YEAR('3 pr-2'!$AJ150)=2018,$V150,0)</f>
        <v>0</v>
      </c>
      <c r="AA150" s="518">
        <f>IF(YEAR('3 pr-2'!$AJ150)=2019,$V150,0)</f>
        <v>1</v>
      </c>
      <c r="AB150" s="518">
        <f>IF(YEAR('3 pr-2'!$AJ150)=2020,$V150,0)</f>
        <v>0</v>
      </c>
      <c r="AC150" s="518">
        <f>IF(YEAR('3 pr-2'!$AJ150)=2021,$V150,0)</f>
        <v>0</v>
      </c>
      <c r="AD150" s="518">
        <f>IF(YEAR('3 pr-2'!$AJ150)=2022,$V150,0)</f>
        <v>0</v>
      </c>
      <c r="AE150" s="518">
        <f>IF(YEAR('3 pr-2'!$AJ150)=2023,$V150,0)</f>
        <v>0</v>
      </c>
      <c r="AF150" s="523"/>
      <c r="AG150" s="881"/>
      <c r="AH150" s="518"/>
      <c r="AI150" s="518"/>
      <c r="AJ150" s="518"/>
      <c r="AK150" s="518"/>
      <c r="AL150" s="518"/>
      <c r="AM150" s="518"/>
      <c r="AN150" s="518"/>
      <c r="AO150" s="1337">
        <f t="shared" si="596"/>
        <v>0</v>
      </c>
      <c r="AP150" s="518"/>
      <c r="AQ150" s="1338"/>
      <c r="AR150" s="518"/>
      <c r="AS150" s="518">
        <f>IF(YEAR('3 pr-2'!$AJ150)=2017,$AP150,0)</f>
        <v>0</v>
      </c>
      <c r="AT150" s="518">
        <f>IF(YEAR('3 pr-2'!$AJ150)=2018,$AP150,0)</f>
        <v>0</v>
      </c>
      <c r="AU150" s="518">
        <f>IF(YEAR('3 pr-2'!$AJ150)=2019,$AP150,0)</f>
        <v>0</v>
      </c>
      <c r="AV150" s="518">
        <f>IF(YEAR('3 pr-2'!$AJ150)=2020,$AP150,0)</f>
        <v>0</v>
      </c>
      <c r="AW150" s="518">
        <f>IF(YEAR('3 pr-2'!$AJ150)=2021,$AP150,0)</f>
        <v>0</v>
      </c>
      <c r="AX150" s="518">
        <f>IF(YEAR('3 pr-2'!$AJ150)=2022,$AP150,0)</f>
        <v>0</v>
      </c>
      <c r="AY150" s="518">
        <f>IF(YEAR('3 pr-2'!$AJ150)=2023,$AP150,0)</f>
        <v>0</v>
      </c>
      <c r="AZ150" s="518"/>
      <c r="BA150" s="880"/>
      <c r="BB150" s="518"/>
      <c r="BC150" s="518"/>
      <c r="BD150" s="518"/>
      <c r="BE150" s="518"/>
      <c r="BF150" s="518"/>
      <c r="BG150" s="518"/>
      <c r="BH150" s="518"/>
      <c r="BI150" s="1337">
        <f t="shared" si="597"/>
        <v>0</v>
      </c>
      <c r="BJ150" s="518"/>
      <c r="BK150" s="1338"/>
      <c r="BL150" s="518"/>
      <c r="BM150" s="518">
        <f>IF('3 pr-2'!AJ150=2017,BJ150,0)</f>
        <v>0</v>
      </c>
      <c r="BN150" s="518">
        <f>IF('3 pr-2'!AJ150=2018,BJ150,0)</f>
        <v>0</v>
      </c>
      <c r="BO150" s="518">
        <f>IF('3 pr-2'!AJ150=2019,BJ150,0)</f>
        <v>0</v>
      </c>
      <c r="BP150" s="518">
        <f>IF('3 pr-2'!AJ150=2020,BJ150,0)</f>
        <v>0</v>
      </c>
      <c r="BQ150" s="518">
        <f>IF('3 pr-2'!AJ150=2021,BJ150,0)</f>
        <v>0</v>
      </c>
      <c r="BR150" s="518">
        <f>IF('3 pr-2'!AJ150=2022,BJ150,0)</f>
        <v>0</v>
      </c>
      <c r="BS150" s="518">
        <f>IF('3 pr-2'!AJ150=2023,BJ150,0)</f>
        <v>0</v>
      </c>
      <c r="BT150" s="523"/>
      <c r="BU150" s="881"/>
      <c r="BV150" s="518"/>
      <c r="BW150" s="518"/>
      <c r="BX150" s="518"/>
      <c r="BY150" s="518"/>
      <c r="BZ150" s="518"/>
      <c r="CA150" s="518"/>
      <c r="CB150" s="518"/>
      <c r="CC150" s="1337">
        <f t="shared" si="598"/>
        <v>0</v>
      </c>
      <c r="CD150" s="518"/>
      <c r="CE150" s="518"/>
      <c r="CF150" s="518"/>
      <c r="CG150" s="518">
        <f>IF(YEAR('3 pr-2'!$AJ150)=2017,$CD150,0)</f>
        <v>0</v>
      </c>
      <c r="CH150" s="518">
        <f>IF(YEAR('3 pr-2'!$AJ150)=2018,$CD150,0)</f>
        <v>0</v>
      </c>
      <c r="CI150" s="518">
        <f>IF(YEAR('3 pr-2'!$AJ150)=2019,$CD150,0)</f>
        <v>0</v>
      </c>
      <c r="CJ150" s="518">
        <f>IF(YEAR('3 pr-2'!$AJ150)=2020,$CD150,0)</f>
        <v>0</v>
      </c>
      <c r="CK150" s="518">
        <f>IF(YEAR('3 pr-2'!$AJ150)=2021,$CD150,0)</f>
        <v>0</v>
      </c>
      <c r="CL150" s="518">
        <f>IF(YEAR('3 pr-2'!$AJ150)=2022,$CD150,0)</f>
        <v>0</v>
      </c>
      <c r="CM150" s="518">
        <f>IF(YEAR('3 pr-2'!$AJ150)=2023,$CD150,0)</f>
        <v>0</v>
      </c>
      <c r="CN150" s="523"/>
      <c r="CO150" s="882"/>
      <c r="CP150" s="518"/>
      <c r="CQ150" s="518"/>
      <c r="CR150" s="518"/>
      <c r="CS150" s="518"/>
      <c r="CT150" s="518"/>
      <c r="CU150" s="518"/>
      <c r="CV150" s="518"/>
      <c r="CW150" s="1337">
        <f t="shared" si="599"/>
        <v>0</v>
      </c>
      <c r="CX150" s="524"/>
      <c r="CY150" s="504"/>
      <c r="CZ150" s="504"/>
      <c r="DA150" s="1332">
        <f>IF(YEAR('3 pr-2'!AJ150)=2017,CX150,0)</f>
        <v>0</v>
      </c>
      <c r="DB150" s="1332">
        <f>IF(YEAR('3 pr-2'!AJ150)=2018,CX150,0)</f>
        <v>0</v>
      </c>
      <c r="DC150" s="1332">
        <f>IF(YEAR('3 pr-2'!AJ150)=2019,CX150,0)</f>
        <v>0</v>
      </c>
      <c r="DD150" s="1332">
        <f>IF(YEAR('3 pr-2'!AJ150)=2020,CX150,0)</f>
        <v>0</v>
      </c>
      <c r="DE150" s="1332">
        <f>IF(YEAR('3 pr-2'!AJ150)=2021,CX150,0)</f>
        <v>0</v>
      </c>
      <c r="DF150" s="1332">
        <f>IF(YEAR('3 pr-2'!AJ150)=2022,CX150,0)</f>
        <v>0</v>
      </c>
      <c r="DG150" s="1332">
        <f>IF(YEAR('3 pr-2'!AJ150)=2023,CX150,0)</f>
        <v>0</v>
      </c>
    </row>
    <row r="151" spans="1:111" ht="61.5" thickTop="1" thickBot="1" x14ac:dyDescent="0.3">
      <c r="A151" s="518" t="str">
        <f>CONCATENATE('3 pr-2'!A151)</f>
        <v>2.1.3.1.3</v>
      </c>
      <c r="B151" s="518" t="str">
        <f>CONCATENATE('3 pr-2'!B151)</f>
        <v>R01-4407-270000-2313</v>
      </c>
      <c r="C151" s="1449" t="str">
        <f>CONCATENATE('ketv. 2lent'!B149)</f>
        <v>08.1.1-CPVA-R-407-11-0005</v>
      </c>
      <c r="D151" s="480" t="str">
        <f>CONCATENATE('3 pr-2'!D151)</f>
        <v>Socialinių paslaugų plėtra Alytaus mieste</v>
      </c>
      <c r="E151" s="480" t="str">
        <f>CONCATENATE('3 pr-2'!E151)</f>
        <v>Alytaus miesto savivaldybės administracija</v>
      </c>
      <c r="F151" s="480" t="str">
        <f>CONCATENATE('3 pr-2'!F151)</f>
        <v>Lietuvos Respublikos socialinės apsaugos ir darbo ministerija</v>
      </c>
      <c r="G151" s="480" t="str">
        <f>CONCATENATE('3 pr-2'!G151)</f>
        <v>Alytaus  miestas</v>
      </c>
      <c r="H151" s="518" t="str">
        <f>CONCATENATE('3 pr-2'!H151)</f>
        <v>08.1.2-CPVA-R-407</v>
      </c>
      <c r="I151" s="518" t="str">
        <f>CONCATENATE('3 pr-2'!I151)</f>
        <v>R</v>
      </c>
      <c r="J151" s="518" t="str">
        <f>CONCATENATE('3 pr-2'!J151)</f>
        <v>-</v>
      </c>
      <c r="K151" s="518" t="str">
        <f>CONCATENATE('3 pr-2'!K151)</f>
        <v>-</v>
      </c>
      <c r="L151" s="518" t="s">
        <v>552</v>
      </c>
      <c r="M151" s="881" t="s">
        <v>554</v>
      </c>
      <c r="N151" s="518"/>
      <c r="O151" s="518"/>
      <c r="P151" s="518"/>
      <c r="Q151" s="518"/>
      <c r="R151" s="518"/>
      <c r="S151" s="518"/>
      <c r="T151" s="518"/>
      <c r="U151" s="1335">
        <f t="shared" si="594"/>
        <v>0</v>
      </c>
      <c r="V151" s="518">
        <v>1</v>
      </c>
      <c r="W151" s="1336" t="str">
        <f>IF('ketv. 6 lent'!K150&gt;0,"1",0)</f>
        <v>1</v>
      </c>
      <c r="X151" s="518">
        <f t="shared" si="595"/>
        <v>0</v>
      </c>
      <c r="Y151" s="518">
        <f>IF(YEAR('3 pr-2'!$AJ151)=2017,$V151,0)</f>
        <v>0</v>
      </c>
      <c r="Z151" s="518">
        <f>IF(YEAR('3 pr-2'!$AJ151)=2018,$V151,0)</f>
        <v>0</v>
      </c>
      <c r="AA151" s="518">
        <f>IF(YEAR('3 pr-2'!$AJ151)=2019,$V151,0)</f>
        <v>1</v>
      </c>
      <c r="AB151" s="518">
        <f>IF(YEAR('3 pr-2'!$AJ151)=2020,$V151,0)</f>
        <v>0</v>
      </c>
      <c r="AC151" s="518">
        <f>IF(YEAR('3 pr-2'!$AJ151)=2021,$V151,0)</f>
        <v>0</v>
      </c>
      <c r="AD151" s="518">
        <f>IF(YEAR('3 pr-2'!$AJ151)=2022,$V151,0)</f>
        <v>0</v>
      </c>
      <c r="AE151" s="518">
        <f>IF(YEAR('3 pr-2'!$AJ151)=2023,$V151,0)</f>
        <v>0</v>
      </c>
      <c r="AF151" s="523"/>
      <c r="AG151" s="881"/>
      <c r="AH151" s="518"/>
      <c r="AI151" s="518"/>
      <c r="AJ151" s="518"/>
      <c r="AK151" s="518"/>
      <c r="AL151" s="518"/>
      <c r="AM151" s="518"/>
      <c r="AN151" s="518"/>
      <c r="AO151" s="1337">
        <f t="shared" si="596"/>
        <v>0</v>
      </c>
      <c r="AP151" s="518"/>
      <c r="AQ151" s="1338"/>
      <c r="AR151" s="518"/>
      <c r="AS151" s="518">
        <f>IF(YEAR('3 pr-2'!$AJ151)=2017,$AP151,0)</f>
        <v>0</v>
      </c>
      <c r="AT151" s="518">
        <f>IF(YEAR('3 pr-2'!$AJ151)=2018,$AP151,0)</f>
        <v>0</v>
      </c>
      <c r="AU151" s="518">
        <f>IF(YEAR('3 pr-2'!$AJ151)=2019,$AP151,0)</f>
        <v>0</v>
      </c>
      <c r="AV151" s="518">
        <f>IF(YEAR('3 pr-2'!$AJ151)=2020,$AP151,0)</f>
        <v>0</v>
      </c>
      <c r="AW151" s="518">
        <f>IF(YEAR('3 pr-2'!$AJ151)=2021,$AP151,0)</f>
        <v>0</v>
      </c>
      <c r="AX151" s="518">
        <f>IF(YEAR('3 pr-2'!$AJ151)=2022,$AP151,0)</f>
        <v>0</v>
      </c>
      <c r="AY151" s="518">
        <f>IF(YEAR('3 pr-2'!$AJ151)=2023,$AP151,0)</f>
        <v>0</v>
      </c>
      <c r="AZ151" s="518"/>
      <c r="BA151" s="880"/>
      <c r="BB151" s="518"/>
      <c r="BC151" s="518"/>
      <c r="BD151" s="518"/>
      <c r="BE151" s="518"/>
      <c r="BF151" s="518"/>
      <c r="BG151" s="518"/>
      <c r="BH151" s="518"/>
      <c r="BI151" s="1337">
        <f t="shared" si="597"/>
        <v>0</v>
      </c>
      <c r="BJ151" s="518"/>
      <c r="BK151" s="1338"/>
      <c r="BL151" s="518"/>
      <c r="BM151" s="518">
        <f>IF('3 pr-2'!AJ151=2017,BJ151,0)</f>
        <v>0</v>
      </c>
      <c r="BN151" s="518">
        <f>IF('3 pr-2'!AJ151=2018,BJ151,0)</f>
        <v>0</v>
      </c>
      <c r="BO151" s="518">
        <f>IF('3 pr-2'!AJ151=2019,BJ151,0)</f>
        <v>0</v>
      </c>
      <c r="BP151" s="518">
        <f>IF('3 pr-2'!AJ151=2020,BJ151,0)</f>
        <v>0</v>
      </c>
      <c r="BQ151" s="518">
        <f>IF('3 pr-2'!AJ151=2021,BJ151,0)</f>
        <v>0</v>
      </c>
      <c r="BR151" s="518">
        <f>IF('3 pr-2'!AJ151=2022,BJ151,0)</f>
        <v>0</v>
      </c>
      <c r="BS151" s="518">
        <f>IF('3 pr-2'!AJ151=2023,BJ151,0)</f>
        <v>0</v>
      </c>
      <c r="BT151" s="523"/>
      <c r="BU151" s="881"/>
      <c r="BV151" s="518"/>
      <c r="BW151" s="518"/>
      <c r="BX151" s="518"/>
      <c r="BY151" s="518"/>
      <c r="BZ151" s="518"/>
      <c r="CA151" s="518"/>
      <c r="CB151" s="518"/>
      <c r="CC151" s="1337">
        <f t="shared" si="598"/>
        <v>0</v>
      </c>
      <c r="CD151" s="518"/>
      <c r="CE151" s="518"/>
      <c r="CF151" s="518"/>
      <c r="CG151" s="518">
        <f>IF(YEAR('3 pr-2'!$AJ151)=2017,$CD151,0)</f>
        <v>0</v>
      </c>
      <c r="CH151" s="518">
        <f>IF(YEAR('3 pr-2'!$AJ151)=2018,$CD151,0)</f>
        <v>0</v>
      </c>
      <c r="CI151" s="518">
        <f>IF(YEAR('3 pr-2'!$AJ151)=2019,$CD151,0)</f>
        <v>0</v>
      </c>
      <c r="CJ151" s="518">
        <f>IF(YEAR('3 pr-2'!$AJ151)=2020,$CD151,0)</f>
        <v>0</v>
      </c>
      <c r="CK151" s="518">
        <f>IF(YEAR('3 pr-2'!$AJ151)=2021,$CD151,0)</f>
        <v>0</v>
      </c>
      <c r="CL151" s="518">
        <f>IF(YEAR('3 pr-2'!$AJ151)=2022,$CD151,0)</f>
        <v>0</v>
      </c>
      <c r="CM151" s="518">
        <f>IF(YEAR('3 pr-2'!$AJ151)=2023,$CD151,0)</f>
        <v>0</v>
      </c>
      <c r="CN151" s="523"/>
      <c r="CO151" s="882"/>
      <c r="CP151" s="518"/>
      <c r="CQ151" s="518"/>
      <c r="CR151" s="518"/>
      <c r="CS151" s="518"/>
      <c r="CT151" s="518"/>
      <c r="CU151" s="518"/>
      <c r="CV151" s="518"/>
      <c r="CW151" s="1337">
        <f t="shared" si="599"/>
        <v>0</v>
      </c>
      <c r="CX151" s="524"/>
      <c r="CY151" s="504"/>
      <c r="CZ151" s="504"/>
      <c r="DA151" s="1332">
        <f>IF(YEAR('3 pr-2'!AJ151)=2017,CX151,0)</f>
        <v>0</v>
      </c>
      <c r="DB151" s="1332">
        <f>IF(YEAR('3 pr-2'!AJ151)=2018,CX151,0)</f>
        <v>0</v>
      </c>
      <c r="DC151" s="1332">
        <f>IF(YEAR('3 pr-2'!AJ151)=2019,CX151,0)</f>
        <v>0</v>
      </c>
      <c r="DD151" s="1332">
        <f>IF(YEAR('3 pr-2'!AJ151)=2020,CX151,0)</f>
        <v>0</v>
      </c>
      <c r="DE151" s="1332">
        <f>IF(YEAR('3 pr-2'!AJ151)=2021,CX151,0)</f>
        <v>0</v>
      </c>
      <c r="DF151" s="1332">
        <f>IF(YEAR('3 pr-2'!AJ151)=2022,CX151,0)</f>
        <v>0</v>
      </c>
      <c r="DG151" s="1332">
        <f>IF(YEAR('3 pr-2'!AJ151)=2023,CX151,0)</f>
        <v>0</v>
      </c>
    </row>
    <row r="152" spans="1:111" ht="61.5" thickTop="1" thickBot="1" x14ac:dyDescent="0.3">
      <c r="A152" s="518" t="str">
        <f>CONCATENATE('3 pr-2'!A152)</f>
        <v>2.1.3.1.4</v>
      </c>
      <c r="B152" s="518" t="str">
        <f>CONCATENATE('3 pr-2'!B152)</f>
        <v>R01-4407-270000-2314</v>
      </c>
      <c r="C152" s="1449" t="str">
        <f>CONCATENATE('ketv. 2lent'!B150)</f>
        <v>08.1.1-CPVA-R-407-11-0001</v>
      </c>
      <c r="D152" s="480" t="str">
        <f>CONCATENATE('3 pr-2'!D152)</f>
        <v>Socialinių paslaugų infrastruktūros plėtra Druskininkų savivaldybėje</v>
      </c>
      <c r="E152" s="480" t="str">
        <f>CONCATENATE('3 pr-2'!E152)</f>
        <v>Druskininkų savivaldybės administracija</v>
      </c>
      <c r="F152" s="480" t="str">
        <f>CONCATENATE('3 pr-2'!F152)</f>
        <v>Lietuvos Respublikos socialinės apsaugos ir darbo ministerija</v>
      </c>
      <c r="G152" s="480" t="str">
        <f>CONCATENATE('3 pr-2'!G152)</f>
        <v>Druskininkų savivaldybė</v>
      </c>
      <c r="H152" s="518" t="str">
        <f>CONCATENATE('3 pr-2'!H152)</f>
        <v>08.1.2-CPVA-R-407</v>
      </c>
      <c r="I152" s="518" t="str">
        <f>CONCATENATE('3 pr-2'!I152)</f>
        <v>R</v>
      </c>
      <c r="J152" s="518" t="str">
        <f>CONCATENATE('3 pr-2'!J152)</f>
        <v>-</v>
      </c>
      <c r="K152" s="518" t="str">
        <f>CONCATENATE('3 pr-2'!K152)</f>
        <v>-</v>
      </c>
      <c r="L152" s="518" t="s">
        <v>552</v>
      </c>
      <c r="M152" s="881" t="s">
        <v>553</v>
      </c>
      <c r="N152" s="518"/>
      <c r="O152" s="518"/>
      <c r="P152" s="518"/>
      <c r="Q152" s="518"/>
      <c r="R152" s="518"/>
      <c r="S152" s="518"/>
      <c r="T152" s="518"/>
      <c r="U152" s="1335">
        <f t="shared" si="594"/>
        <v>0</v>
      </c>
      <c r="V152" s="518">
        <v>1</v>
      </c>
      <c r="W152" s="1336" t="str">
        <f>IF('ketv. 6 lent'!K151&gt;0,"1",0)</f>
        <v>1</v>
      </c>
      <c r="X152" s="518">
        <f t="shared" si="595"/>
        <v>0</v>
      </c>
      <c r="Y152" s="518">
        <f>IF(YEAR('3 pr-2'!$AJ152)=2017,$V152,0)</f>
        <v>0</v>
      </c>
      <c r="Z152" s="518">
        <f>IF(YEAR('3 pr-2'!$AJ152)=2018,$V152,0)</f>
        <v>0</v>
      </c>
      <c r="AA152" s="518">
        <f>IF(YEAR('3 pr-2'!$AJ152)=2019,$V152,0)</f>
        <v>1</v>
      </c>
      <c r="AB152" s="518">
        <f>IF(YEAR('3 pr-2'!$AJ152)=2020,$V152,0)</f>
        <v>0</v>
      </c>
      <c r="AC152" s="518">
        <f>IF(YEAR('3 pr-2'!$AJ152)=2021,$V152,0)</f>
        <v>0</v>
      </c>
      <c r="AD152" s="518">
        <f>IF(YEAR('3 pr-2'!$AJ152)=2022,$V152,0)</f>
        <v>0</v>
      </c>
      <c r="AE152" s="518">
        <f>IF(YEAR('3 pr-2'!$AJ152)=2023,$V152,0)</f>
        <v>0</v>
      </c>
      <c r="AF152" s="523"/>
      <c r="AG152" s="881"/>
      <c r="AH152" s="518"/>
      <c r="AI152" s="518"/>
      <c r="AJ152" s="518"/>
      <c r="AK152" s="518"/>
      <c r="AL152" s="518"/>
      <c r="AM152" s="518"/>
      <c r="AN152" s="518"/>
      <c r="AO152" s="1337">
        <f t="shared" si="596"/>
        <v>0</v>
      </c>
      <c r="AP152" s="518"/>
      <c r="AQ152" s="1338"/>
      <c r="AR152" s="518"/>
      <c r="AS152" s="518">
        <f>IF(YEAR('3 pr-2'!$AJ152)=2017,$AP152,0)</f>
        <v>0</v>
      </c>
      <c r="AT152" s="518">
        <f>IF(YEAR('3 pr-2'!$AJ152)=2018,$AP152,0)</f>
        <v>0</v>
      </c>
      <c r="AU152" s="518">
        <f>IF(YEAR('3 pr-2'!$AJ152)=2019,$AP152,0)</f>
        <v>0</v>
      </c>
      <c r="AV152" s="518">
        <f>IF(YEAR('3 pr-2'!$AJ152)=2020,$AP152,0)</f>
        <v>0</v>
      </c>
      <c r="AW152" s="518">
        <f>IF(YEAR('3 pr-2'!$AJ152)=2021,$AP152,0)</f>
        <v>0</v>
      </c>
      <c r="AX152" s="518">
        <f>IF(YEAR('3 pr-2'!$AJ152)=2022,$AP152,0)</f>
        <v>0</v>
      </c>
      <c r="AY152" s="518">
        <f>IF(YEAR('3 pr-2'!$AJ152)=2023,$AP152,0)</f>
        <v>0</v>
      </c>
      <c r="AZ152" s="518"/>
      <c r="BA152" s="880"/>
      <c r="BB152" s="518"/>
      <c r="BC152" s="518"/>
      <c r="BD152" s="518"/>
      <c r="BE152" s="518"/>
      <c r="BF152" s="518"/>
      <c r="BG152" s="518"/>
      <c r="BH152" s="518"/>
      <c r="BI152" s="1337">
        <f t="shared" si="597"/>
        <v>0</v>
      </c>
      <c r="BJ152" s="518"/>
      <c r="BK152" s="1338"/>
      <c r="BL152" s="518"/>
      <c r="BM152" s="518">
        <f>IF('3 pr-2'!AJ152=2017,BJ152,0)</f>
        <v>0</v>
      </c>
      <c r="BN152" s="518">
        <f>IF('3 pr-2'!AJ152=2018,BJ152,0)</f>
        <v>0</v>
      </c>
      <c r="BO152" s="518">
        <f>IF('3 pr-2'!AJ152=2019,BJ152,0)</f>
        <v>0</v>
      </c>
      <c r="BP152" s="518">
        <f>IF('3 pr-2'!AJ152=2020,BJ152,0)</f>
        <v>0</v>
      </c>
      <c r="BQ152" s="518">
        <f>IF('3 pr-2'!AJ152=2021,BJ152,0)</f>
        <v>0</v>
      </c>
      <c r="BR152" s="518">
        <f>IF('3 pr-2'!AJ152=2022,BJ152,0)</f>
        <v>0</v>
      </c>
      <c r="BS152" s="518">
        <f>IF('3 pr-2'!AJ152=2023,BJ152,0)</f>
        <v>0</v>
      </c>
      <c r="BT152" s="523"/>
      <c r="BU152" s="881"/>
      <c r="BV152" s="518"/>
      <c r="BW152" s="518"/>
      <c r="BX152" s="518"/>
      <c r="BY152" s="518"/>
      <c r="BZ152" s="518"/>
      <c r="CA152" s="518"/>
      <c r="CB152" s="518"/>
      <c r="CC152" s="1337">
        <f t="shared" si="598"/>
        <v>0</v>
      </c>
      <c r="CD152" s="518"/>
      <c r="CE152" s="518"/>
      <c r="CF152" s="518"/>
      <c r="CG152" s="518">
        <f>IF(YEAR('3 pr-2'!$AJ152)=2017,$CD152,0)</f>
        <v>0</v>
      </c>
      <c r="CH152" s="518">
        <f>IF(YEAR('3 pr-2'!$AJ152)=2018,$CD152,0)</f>
        <v>0</v>
      </c>
      <c r="CI152" s="518">
        <f>IF(YEAR('3 pr-2'!$AJ152)=2019,$CD152,0)</f>
        <v>0</v>
      </c>
      <c r="CJ152" s="518">
        <f>IF(YEAR('3 pr-2'!$AJ152)=2020,$CD152,0)</f>
        <v>0</v>
      </c>
      <c r="CK152" s="518">
        <f>IF(YEAR('3 pr-2'!$AJ152)=2021,$CD152,0)</f>
        <v>0</v>
      </c>
      <c r="CL152" s="518">
        <f>IF(YEAR('3 pr-2'!$AJ152)=2022,$CD152,0)</f>
        <v>0</v>
      </c>
      <c r="CM152" s="518">
        <f>IF(YEAR('3 pr-2'!$AJ152)=2023,$CD152,0)</f>
        <v>0</v>
      </c>
      <c r="CN152" s="523"/>
      <c r="CO152" s="882"/>
      <c r="CP152" s="518"/>
      <c r="CQ152" s="518"/>
      <c r="CR152" s="518"/>
      <c r="CS152" s="518"/>
      <c r="CT152" s="518"/>
      <c r="CU152" s="518"/>
      <c r="CV152" s="518"/>
      <c r="CW152" s="1337">
        <f t="shared" si="599"/>
        <v>0</v>
      </c>
      <c r="CX152" s="524"/>
      <c r="CY152" s="504"/>
      <c r="CZ152" s="504"/>
      <c r="DA152" s="1332">
        <f>IF(YEAR('3 pr-2'!AJ152)=2017,CX152,0)</f>
        <v>0</v>
      </c>
      <c r="DB152" s="1332">
        <f>IF(YEAR('3 pr-2'!AJ152)=2018,CX152,0)</f>
        <v>0</v>
      </c>
      <c r="DC152" s="1332">
        <f>IF(YEAR('3 pr-2'!AJ152)=2019,CX152,0)</f>
        <v>0</v>
      </c>
      <c r="DD152" s="1332">
        <f>IF(YEAR('3 pr-2'!AJ152)=2020,CX152,0)</f>
        <v>0</v>
      </c>
      <c r="DE152" s="1332">
        <f>IF(YEAR('3 pr-2'!AJ152)=2021,CX152,0)</f>
        <v>0</v>
      </c>
      <c r="DF152" s="1332">
        <f>IF(YEAR('3 pr-2'!AJ152)=2022,CX152,0)</f>
        <v>0</v>
      </c>
      <c r="DG152" s="1332">
        <f>IF(YEAR('3 pr-2'!AJ152)=2023,CX152,0)</f>
        <v>0</v>
      </c>
    </row>
    <row r="153" spans="1:111" ht="73.5" thickTop="1" thickBot="1" x14ac:dyDescent="0.3">
      <c r="A153" s="518" t="str">
        <f>CONCATENATE('3 pr-2'!A153)</f>
        <v>2.1.3.1.5</v>
      </c>
      <c r="B153" s="518" t="str">
        <f>CONCATENATE('3 pr-2'!B153)</f>
        <v>R01-4407-270000-2315</v>
      </c>
      <c r="C153" s="1449" t="str">
        <f>CONCATENATE('ketv. 2lent'!B151)</f>
        <v>08.1.1-CPVA-R-407-11-0003</v>
      </c>
      <c r="D153" s="480" t="str">
        <f>CONCATENATE('3 pr-2'!D153)</f>
        <v>Socialinių paslaugų infrastruktūros modernizavimas ir plėtra VšĮ Kapčiamiesčio globos namuose</v>
      </c>
      <c r="E153" s="480" t="str">
        <f>CONCATENATE('3 pr-2'!E153)</f>
        <v>VšĮ Kapčiamiesčio globos namai</v>
      </c>
      <c r="F153" s="480" t="str">
        <f>CONCATENATE('3 pr-2'!F153)</f>
        <v>Lietuvos Respublikos socialinės apsaugos ir darbo ministerija</v>
      </c>
      <c r="G153" s="480" t="str">
        <f>CONCATENATE('3 pr-2'!G153)</f>
        <v>Lazdijų rajono savivaldybė</v>
      </c>
      <c r="H153" s="518" t="str">
        <f>CONCATENATE('3 pr-2'!H153)</f>
        <v>08.1.2-CPVA-R-407</v>
      </c>
      <c r="I153" s="518" t="str">
        <f>CONCATENATE('3 pr-2'!I153)</f>
        <v>R</v>
      </c>
      <c r="J153" s="518" t="str">
        <f>CONCATENATE('3 pr-2'!J153)</f>
        <v>-</v>
      </c>
      <c r="K153" s="518" t="str">
        <f>CONCATENATE('3 pr-2'!K153)</f>
        <v>-</v>
      </c>
      <c r="L153" s="518" t="s">
        <v>552</v>
      </c>
      <c r="M153" s="881" t="s">
        <v>553</v>
      </c>
      <c r="N153" s="518"/>
      <c r="O153" s="518"/>
      <c r="P153" s="518"/>
      <c r="Q153" s="518"/>
      <c r="R153" s="518"/>
      <c r="S153" s="518"/>
      <c r="T153" s="518"/>
      <c r="U153" s="1335">
        <f t="shared" si="594"/>
        <v>0</v>
      </c>
      <c r="V153" s="518">
        <v>1</v>
      </c>
      <c r="W153" s="1336" t="str">
        <f>IF('ketv. 6 lent'!K152&gt;0,"1",0)</f>
        <v>1</v>
      </c>
      <c r="X153" s="518">
        <f t="shared" si="595"/>
        <v>0</v>
      </c>
      <c r="Y153" s="518">
        <f>IF(YEAR('3 pr-2'!$AJ153)=2017,$V153,0)</f>
        <v>0</v>
      </c>
      <c r="Z153" s="518">
        <f>IF(YEAR('3 pr-2'!$AJ153)=2018,$V153,0)</f>
        <v>0</v>
      </c>
      <c r="AA153" s="518">
        <f>IF(YEAR('3 pr-2'!$AJ153)=2019,$V153,0)</f>
        <v>1</v>
      </c>
      <c r="AB153" s="518">
        <f>IF(YEAR('3 pr-2'!$AJ153)=2020,$V153,0)</f>
        <v>0</v>
      </c>
      <c r="AC153" s="518">
        <f>IF(YEAR('3 pr-2'!$AJ153)=2021,$V153,0)</f>
        <v>0</v>
      </c>
      <c r="AD153" s="518">
        <f>IF(YEAR('3 pr-2'!$AJ153)=2022,$V153,0)</f>
        <v>0</v>
      </c>
      <c r="AE153" s="518">
        <f>IF(YEAR('3 pr-2'!$AJ153)=2023,$V153,0)</f>
        <v>0</v>
      </c>
      <c r="AF153" s="523"/>
      <c r="AG153" s="881"/>
      <c r="AH153" s="518"/>
      <c r="AI153" s="518"/>
      <c r="AJ153" s="518"/>
      <c r="AK153" s="518"/>
      <c r="AL153" s="518"/>
      <c r="AM153" s="518"/>
      <c r="AN153" s="518"/>
      <c r="AO153" s="1337">
        <f t="shared" si="596"/>
        <v>0</v>
      </c>
      <c r="AP153" s="518"/>
      <c r="AQ153" s="1338"/>
      <c r="AR153" s="518"/>
      <c r="AS153" s="518">
        <f>IF(YEAR('3 pr-2'!$AJ153)=2017,$AP153,0)</f>
        <v>0</v>
      </c>
      <c r="AT153" s="518">
        <f>IF(YEAR('3 pr-2'!$AJ153)=2018,$AP153,0)</f>
        <v>0</v>
      </c>
      <c r="AU153" s="518">
        <f>IF(YEAR('3 pr-2'!$AJ153)=2019,$AP153,0)</f>
        <v>0</v>
      </c>
      <c r="AV153" s="518">
        <f>IF(YEAR('3 pr-2'!$AJ153)=2020,$AP153,0)</f>
        <v>0</v>
      </c>
      <c r="AW153" s="518">
        <f>IF(YEAR('3 pr-2'!$AJ153)=2021,$AP153,0)</f>
        <v>0</v>
      </c>
      <c r="AX153" s="518">
        <f>IF(YEAR('3 pr-2'!$AJ153)=2022,$AP153,0)</f>
        <v>0</v>
      </c>
      <c r="AY153" s="518">
        <f>IF(YEAR('3 pr-2'!$AJ153)=2023,$AP153,0)</f>
        <v>0</v>
      </c>
      <c r="AZ153" s="518"/>
      <c r="BA153" s="880"/>
      <c r="BB153" s="518"/>
      <c r="BC153" s="518"/>
      <c r="BD153" s="518"/>
      <c r="BE153" s="518"/>
      <c r="BF153" s="518"/>
      <c r="BG153" s="518"/>
      <c r="BH153" s="518"/>
      <c r="BI153" s="1337">
        <f t="shared" si="597"/>
        <v>0</v>
      </c>
      <c r="BJ153" s="518"/>
      <c r="BK153" s="1338"/>
      <c r="BL153" s="518"/>
      <c r="BM153" s="518">
        <f>IF('3 pr-2'!AJ153=2017,BJ153,0)</f>
        <v>0</v>
      </c>
      <c r="BN153" s="518">
        <f>IF('3 pr-2'!AJ153=2018,BJ153,0)</f>
        <v>0</v>
      </c>
      <c r="BO153" s="518">
        <f>IF('3 pr-2'!AJ153=2019,BJ153,0)</f>
        <v>0</v>
      </c>
      <c r="BP153" s="518">
        <f>IF('3 pr-2'!AJ153=2020,BJ153,0)</f>
        <v>0</v>
      </c>
      <c r="BQ153" s="518">
        <f>IF('3 pr-2'!AJ153=2021,BJ153,0)</f>
        <v>0</v>
      </c>
      <c r="BR153" s="518">
        <f>IF('3 pr-2'!AJ153=2022,BJ153,0)</f>
        <v>0</v>
      </c>
      <c r="BS153" s="518">
        <f>IF('3 pr-2'!AJ153=2023,BJ153,0)</f>
        <v>0</v>
      </c>
      <c r="BT153" s="523"/>
      <c r="BU153" s="881"/>
      <c r="BV153" s="518"/>
      <c r="BW153" s="518"/>
      <c r="BX153" s="518"/>
      <c r="BY153" s="518"/>
      <c r="BZ153" s="518"/>
      <c r="CA153" s="518"/>
      <c r="CB153" s="518"/>
      <c r="CC153" s="1337">
        <f t="shared" si="598"/>
        <v>0</v>
      </c>
      <c r="CD153" s="518"/>
      <c r="CE153" s="518"/>
      <c r="CF153" s="518"/>
      <c r="CG153" s="518">
        <f>IF(YEAR('3 pr-2'!$AJ153)=2017,$CD153,0)</f>
        <v>0</v>
      </c>
      <c r="CH153" s="518">
        <f>IF(YEAR('3 pr-2'!$AJ153)=2018,$CD153,0)</f>
        <v>0</v>
      </c>
      <c r="CI153" s="518">
        <f>IF(YEAR('3 pr-2'!$AJ153)=2019,$CD153,0)</f>
        <v>0</v>
      </c>
      <c r="CJ153" s="518">
        <f>IF(YEAR('3 pr-2'!$AJ153)=2020,$CD153,0)</f>
        <v>0</v>
      </c>
      <c r="CK153" s="518">
        <f>IF(YEAR('3 pr-2'!$AJ153)=2021,$CD153,0)</f>
        <v>0</v>
      </c>
      <c r="CL153" s="518">
        <f>IF(YEAR('3 pr-2'!$AJ153)=2022,$CD153,0)</f>
        <v>0</v>
      </c>
      <c r="CM153" s="518">
        <f>IF(YEAR('3 pr-2'!$AJ153)=2023,$CD153,0)</f>
        <v>0</v>
      </c>
      <c r="CN153" s="523"/>
      <c r="CO153" s="882"/>
      <c r="CP153" s="518"/>
      <c r="CQ153" s="518"/>
      <c r="CR153" s="518"/>
      <c r="CS153" s="518"/>
      <c r="CT153" s="518"/>
      <c r="CU153" s="518"/>
      <c r="CV153" s="518"/>
      <c r="CW153" s="1337">
        <f t="shared" si="599"/>
        <v>0</v>
      </c>
      <c r="CX153" s="524"/>
      <c r="CY153" s="504"/>
      <c r="CZ153" s="504"/>
      <c r="DA153" s="1332">
        <f>IF(YEAR('3 pr-2'!AJ153)=2017,CX153,0)</f>
        <v>0</v>
      </c>
      <c r="DB153" s="1332">
        <f>IF(YEAR('3 pr-2'!AJ153)=2018,CX153,0)</f>
        <v>0</v>
      </c>
      <c r="DC153" s="1332">
        <f>IF(YEAR('3 pr-2'!AJ153)=2019,CX153,0)</f>
        <v>0</v>
      </c>
      <c r="DD153" s="1332">
        <f>IF(YEAR('3 pr-2'!AJ153)=2020,CX153,0)</f>
        <v>0</v>
      </c>
      <c r="DE153" s="1332">
        <f>IF(YEAR('3 pr-2'!AJ153)=2021,CX153,0)</f>
        <v>0</v>
      </c>
      <c r="DF153" s="1332">
        <f>IF(YEAR('3 pr-2'!AJ153)=2022,CX153,0)</f>
        <v>0</v>
      </c>
      <c r="DG153" s="1332">
        <f>IF(YEAR('3 pr-2'!AJ153)=2023,CX153,0)</f>
        <v>0</v>
      </c>
    </row>
    <row r="154" spans="1:111" ht="33" customHeight="1" thickBot="1" x14ac:dyDescent="0.3">
      <c r="A154" s="1364" t="str">
        <f>CONCATENATE('3 pr-2'!A154)</f>
        <v>2.1.3.2</v>
      </c>
      <c r="B154" s="1687" t="str">
        <f>CONCATENATE('3 pr-2'!B154)</f>
        <v>Priemonė:
Socialinio būsto fondo plėtra</v>
      </c>
      <c r="C154" s="1688"/>
      <c r="D154" s="1688"/>
      <c r="E154" s="1688"/>
      <c r="F154" s="1688"/>
      <c r="G154" s="1688"/>
      <c r="H154" s="1688"/>
      <c r="I154" s="1688"/>
      <c r="J154" s="1688"/>
      <c r="K154" s="1689"/>
      <c r="L154" s="1365" t="s">
        <v>555</v>
      </c>
      <c r="M154" s="884" t="s">
        <v>556</v>
      </c>
      <c r="N154" s="1332">
        <f>SUM(N155:N159)</f>
        <v>41</v>
      </c>
      <c r="O154" s="1332">
        <f t="shared" ref="O154:T154" si="600">SUM(O155:O159)</f>
        <v>0</v>
      </c>
      <c r="P154" s="1332">
        <f t="shared" si="600"/>
        <v>0</v>
      </c>
      <c r="Q154" s="1332">
        <f t="shared" si="600"/>
        <v>0</v>
      </c>
      <c r="R154" s="1332">
        <f t="shared" si="600"/>
        <v>0</v>
      </c>
      <c r="S154" s="1332">
        <f t="shared" si="600"/>
        <v>0</v>
      </c>
      <c r="T154" s="1332">
        <f t="shared" si="600"/>
        <v>0</v>
      </c>
      <c r="U154" s="1333">
        <f t="shared" si="594"/>
        <v>41</v>
      </c>
      <c r="V154" s="1303">
        <f>SUM(V155:V159)</f>
        <v>106</v>
      </c>
      <c r="W154" s="1366">
        <f>SUM(W155:W159)</f>
        <v>0</v>
      </c>
      <c r="X154" s="1367"/>
      <c r="Y154" s="1332">
        <f t="shared" ref="Y154:AE154" si="601">SUM(Y155:Y159)</f>
        <v>0</v>
      </c>
      <c r="Z154" s="1332">
        <f t="shared" si="601"/>
        <v>66</v>
      </c>
      <c r="AA154" s="1332">
        <f t="shared" si="601"/>
        <v>40</v>
      </c>
      <c r="AB154" s="1332">
        <f t="shared" si="601"/>
        <v>0</v>
      </c>
      <c r="AC154" s="1332">
        <f t="shared" si="601"/>
        <v>0</v>
      </c>
      <c r="AD154" s="1332">
        <f t="shared" si="601"/>
        <v>0</v>
      </c>
      <c r="AE154" s="1332">
        <f t="shared" si="601"/>
        <v>0</v>
      </c>
      <c r="AF154" s="1367"/>
      <c r="AG154" s="1331"/>
      <c r="AH154" s="1332">
        <f>SUM(AH155:AH159)</f>
        <v>0</v>
      </c>
      <c r="AI154" s="1332">
        <f t="shared" ref="AI154" si="602">SUM(AI155:AI159)</f>
        <v>0</v>
      </c>
      <c r="AJ154" s="1332">
        <f t="shared" ref="AJ154" si="603">SUM(AJ155:AJ159)</f>
        <v>0</v>
      </c>
      <c r="AK154" s="1332">
        <f t="shared" ref="AK154" si="604">SUM(AK155:AK159)</f>
        <v>0</v>
      </c>
      <c r="AL154" s="1332">
        <f t="shared" ref="AL154" si="605">SUM(AL155:AL159)</f>
        <v>0</v>
      </c>
      <c r="AM154" s="1332">
        <f t="shared" ref="AM154" si="606">SUM(AM155:AM159)</f>
        <v>0</v>
      </c>
      <c r="AN154" s="1332">
        <f t="shared" ref="AN154" si="607">SUM(AN155:AN159)</f>
        <v>0</v>
      </c>
      <c r="AO154" s="1303">
        <f t="shared" si="596"/>
        <v>0</v>
      </c>
      <c r="AP154" s="1303"/>
      <c r="AQ154" s="1332"/>
      <c r="AR154" s="1332"/>
      <c r="AS154" s="1332"/>
      <c r="AT154" s="1332"/>
      <c r="AU154" s="1332"/>
      <c r="AV154" s="1332"/>
      <c r="AW154" s="1332"/>
      <c r="AX154" s="1332"/>
      <c r="AY154" s="1332"/>
      <c r="AZ154" s="1303"/>
      <c r="BA154" s="1331"/>
      <c r="BB154" s="1332">
        <f>SUM(BB155:BB159)</f>
        <v>0</v>
      </c>
      <c r="BC154" s="1332">
        <f t="shared" ref="BC154" si="608">SUM(BC155:BC159)</f>
        <v>0</v>
      </c>
      <c r="BD154" s="1332">
        <f t="shared" ref="BD154" si="609">SUM(BD155:BD159)</f>
        <v>0</v>
      </c>
      <c r="BE154" s="1332">
        <f t="shared" ref="BE154" si="610">SUM(BE155:BE159)</f>
        <v>0</v>
      </c>
      <c r="BF154" s="1332">
        <f t="shared" ref="BF154" si="611">SUM(BF155:BF159)</f>
        <v>0</v>
      </c>
      <c r="BG154" s="1332">
        <f t="shared" ref="BG154" si="612">SUM(BG155:BG159)</f>
        <v>0</v>
      </c>
      <c r="BH154" s="1332">
        <f t="shared" ref="BH154" si="613">SUM(BH155:BH159)</f>
        <v>0</v>
      </c>
      <c r="BI154" s="1303">
        <f t="shared" si="597"/>
        <v>0</v>
      </c>
      <c r="BJ154" s="1303"/>
      <c r="BK154" s="1332"/>
      <c r="BL154" s="1332"/>
      <c r="BM154" s="1332"/>
      <c r="BN154" s="1332"/>
      <c r="BO154" s="1332"/>
      <c r="BP154" s="1332"/>
      <c r="BQ154" s="1332"/>
      <c r="BR154" s="1332"/>
      <c r="BS154" s="1332"/>
      <c r="BT154" s="1332"/>
      <c r="BU154" s="882"/>
      <c r="BV154" s="1332">
        <f>SUM(BV155:BV159)</f>
        <v>0</v>
      </c>
      <c r="BW154" s="1332">
        <f t="shared" ref="BW154" si="614">SUM(BW155:BW159)</f>
        <v>0</v>
      </c>
      <c r="BX154" s="1332">
        <f t="shared" ref="BX154" si="615">SUM(BX155:BX159)</f>
        <v>0</v>
      </c>
      <c r="BY154" s="1332">
        <f t="shared" ref="BY154" si="616">SUM(BY155:BY159)</f>
        <v>0</v>
      </c>
      <c r="BZ154" s="1332">
        <f t="shared" ref="BZ154" si="617">SUM(BZ155:BZ159)</f>
        <v>0</v>
      </c>
      <c r="CA154" s="1332">
        <f t="shared" ref="CA154" si="618">SUM(CA155:CA159)</f>
        <v>0</v>
      </c>
      <c r="CB154" s="1332">
        <f t="shared" ref="CB154" si="619">SUM(CB155:CB159)</f>
        <v>0</v>
      </c>
      <c r="CC154" s="1303">
        <f t="shared" si="598"/>
        <v>0</v>
      </c>
      <c r="CD154" s="1332"/>
      <c r="CE154" s="1332"/>
      <c r="CF154" s="1332"/>
      <c r="CG154" s="1332"/>
      <c r="CH154" s="1332"/>
      <c r="CI154" s="1332"/>
      <c r="CJ154" s="1332"/>
      <c r="CK154" s="1332"/>
      <c r="CL154" s="1332"/>
      <c r="CM154" s="1332"/>
      <c r="CN154" s="1332"/>
      <c r="CO154" s="882"/>
      <c r="CP154" s="1332">
        <f>SUM(CP155:CP159)</f>
        <v>0</v>
      </c>
      <c r="CQ154" s="1332">
        <f t="shared" ref="CQ154" si="620">SUM(CQ155:CQ159)</f>
        <v>0</v>
      </c>
      <c r="CR154" s="1332">
        <f t="shared" ref="CR154" si="621">SUM(CR155:CR159)</f>
        <v>0</v>
      </c>
      <c r="CS154" s="1332">
        <f t="shared" ref="CS154" si="622">SUM(CS155:CS159)</f>
        <v>0</v>
      </c>
      <c r="CT154" s="1332">
        <f t="shared" ref="CT154" si="623">SUM(CT155:CT159)</f>
        <v>0</v>
      </c>
      <c r="CU154" s="1332">
        <f t="shared" ref="CU154" si="624">SUM(CU155:CU159)</f>
        <v>0</v>
      </c>
      <c r="CV154" s="1332">
        <f t="shared" ref="CV154" si="625">SUM(CV155:CV159)</f>
        <v>0</v>
      </c>
      <c r="CW154" s="1303">
        <f t="shared" si="599"/>
        <v>0</v>
      </c>
      <c r="CX154" s="1332"/>
      <c r="CY154" s="1332"/>
      <c r="CZ154" s="1332"/>
      <c r="DA154" s="1332"/>
      <c r="DB154" s="1332"/>
      <c r="DC154" s="1332"/>
      <c r="DD154" s="1332"/>
      <c r="DE154" s="1332"/>
      <c r="DF154" s="1332"/>
      <c r="DG154" s="1332"/>
    </row>
    <row r="155" spans="1:111" ht="61.5" thickTop="1" thickBot="1" x14ac:dyDescent="0.3">
      <c r="A155" s="518" t="str">
        <f>CONCATENATE('3 pr-2'!A155)</f>
        <v>2.1.3.2.1</v>
      </c>
      <c r="B155" s="518" t="str">
        <f>CONCATENATE('3 pr-2'!B155)</f>
        <v>R01-4408-260000-2321</v>
      </c>
      <c r="C155" s="1449" t="str">
        <f>CONCATENATE('ketv. 2lent'!B153)</f>
        <v>08.1.2-CPVA-R-408-11-0001</v>
      </c>
      <c r="D155" s="480" t="str">
        <f>CONCATENATE('3 pr-2'!D155)</f>
        <v>Socialinio būsto plėtra Varėnos rajone</v>
      </c>
      <c r="E155" s="480" t="str">
        <f>CONCATENATE('3 pr-2'!E155)</f>
        <v>Varėnos rajono savivaldybės administracija</v>
      </c>
      <c r="F155" s="480" t="str">
        <f>CONCATENATE('3 pr-2'!F155)</f>
        <v>Lietuvos Respublikos socialinės apsaugos ir darbo ministerija</v>
      </c>
      <c r="G155" s="480" t="str">
        <f>CONCATENATE('3 pr-2'!G155)</f>
        <v>Varėnos rajono savivaldybė</v>
      </c>
      <c r="H155" s="518" t="str">
        <f>CONCATENATE('3 pr-2'!H155)</f>
        <v>08.1.1-CPVA·R-408</v>
      </c>
      <c r="I155" s="518" t="str">
        <f>CONCATENATE('3 pr-2'!I155)</f>
        <v>R</v>
      </c>
      <c r="J155" s="518" t="str">
        <f>CONCATENATE('3 pr-2'!J155)</f>
        <v>-</v>
      </c>
      <c r="K155" s="518" t="str">
        <f>CONCATENATE('3 pr-2'!K155)</f>
        <v>-</v>
      </c>
      <c r="L155" s="518" t="s">
        <v>555</v>
      </c>
      <c r="M155" s="881" t="s">
        <v>556</v>
      </c>
      <c r="N155" s="518">
        <v>18</v>
      </c>
      <c r="O155" s="518"/>
      <c r="P155" s="518"/>
      <c r="Q155" s="518"/>
      <c r="R155" s="518"/>
      <c r="S155" s="518"/>
      <c r="T155" s="518"/>
      <c r="U155" s="1335">
        <f t="shared" ref="U155:U159" si="626">SUM(N155:T155)</f>
        <v>18</v>
      </c>
      <c r="V155" s="518">
        <v>28</v>
      </c>
      <c r="W155" s="1336" t="str">
        <f>IF('ketv. 6 lent'!K154&gt;0,"28",0)</f>
        <v>28</v>
      </c>
      <c r="X155" s="518">
        <f>SUM(W155-V155)</f>
        <v>0</v>
      </c>
      <c r="Y155" s="518">
        <f>IF(YEAR('3 pr-2'!$AJ155)=2017,$V155,0)</f>
        <v>0</v>
      </c>
      <c r="Z155" s="518">
        <f>IF(YEAR('3 pr-2'!$AJ155)=2018,$V155,0)</f>
        <v>0</v>
      </c>
      <c r="AA155" s="518">
        <f>IF(YEAR('3 pr-2'!$AJ155)=2019,$V155,0)</f>
        <v>28</v>
      </c>
      <c r="AB155" s="518">
        <f>IF(YEAR('3 pr-2'!$AJ155)=2020,$V155,0)</f>
        <v>0</v>
      </c>
      <c r="AC155" s="518">
        <f>IF(YEAR('3 pr-2'!$AJ155)=2021,$V155,0)</f>
        <v>0</v>
      </c>
      <c r="AD155" s="518">
        <f>IF(YEAR('3 pr-2'!$AJ155)=2022,$V155,0)</f>
        <v>0</v>
      </c>
      <c r="AE155" s="518">
        <f>IF(YEAR('3 pr-2'!$AJ155)=2023,$V155,0)</f>
        <v>0</v>
      </c>
      <c r="AF155" s="523"/>
      <c r="AG155" s="881"/>
      <c r="AH155" s="518">
        <v>0</v>
      </c>
      <c r="AI155" s="518"/>
      <c r="AJ155" s="518"/>
      <c r="AK155" s="518"/>
      <c r="AL155" s="518"/>
      <c r="AM155" s="518"/>
      <c r="AN155" s="518"/>
      <c r="AO155" s="1337">
        <f t="shared" si="596"/>
        <v>0</v>
      </c>
      <c r="AP155" s="518"/>
      <c r="AQ155" s="1338"/>
      <c r="AR155" s="518"/>
      <c r="AS155" s="518">
        <f>IF(YEAR('3 pr-2'!$AJ155)=2017,$AP155,0)</f>
        <v>0</v>
      </c>
      <c r="AT155" s="518">
        <f>IF(YEAR('3 pr-2'!$AJ155)=2018,$AP155,0)</f>
        <v>0</v>
      </c>
      <c r="AU155" s="518">
        <f>IF(YEAR('3 pr-2'!$AJ155)=2019,$AP155,0)</f>
        <v>0</v>
      </c>
      <c r="AV155" s="518">
        <f>IF(YEAR('3 pr-2'!$AJ155)=2020,$AP155,0)</f>
        <v>0</v>
      </c>
      <c r="AW155" s="518">
        <f>IF(YEAR('3 pr-2'!$AJ155)=2021,$AP155,0)</f>
        <v>0</v>
      </c>
      <c r="AX155" s="518">
        <f>IF(YEAR('3 pr-2'!$AJ155)=2022,$AP155,0)</f>
        <v>0</v>
      </c>
      <c r="AY155" s="518">
        <f>IF(YEAR('3 pr-2'!$AJ155)=2023,$AP155,0)</f>
        <v>0</v>
      </c>
      <c r="AZ155" s="518"/>
      <c r="BA155" s="880"/>
      <c r="BB155" s="518"/>
      <c r="BC155" s="518"/>
      <c r="BD155" s="518"/>
      <c r="BE155" s="518"/>
      <c r="BF155" s="518"/>
      <c r="BG155" s="518"/>
      <c r="BH155" s="518"/>
      <c r="BI155" s="1337">
        <f t="shared" si="597"/>
        <v>0</v>
      </c>
      <c r="BJ155" s="518"/>
      <c r="BK155" s="1338"/>
      <c r="BL155" s="518"/>
      <c r="BM155" s="518">
        <f>IF(YEAR('3 pr-2'!$AJ155)=2017,$BJ155,0)</f>
        <v>0</v>
      </c>
      <c r="BN155" s="518">
        <f>IF(YEAR('3 pr-2'!$AJ155)=2018,$BJ155,0)</f>
        <v>0</v>
      </c>
      <c r="BO155" s="518">
        <f>IF(YEAR('3 pr-2'!$AJ155)=2019,$BJ155,0)</f>
        <v>0</v>
      </c>
      <c r="BP155" s="518">
        <f>IF(YEAR('3 pr-2'!$AJ155)=2020,$BJ155,0)</f>
        <v>0</v>
      </c>
      <c r="BQ155" s="518">
        <f>IF(YEAR('3 pr-2'!$AJ155)=2021,$BJ155,0)</f>
        <v>0</v>
      </c>
      <c r="BR155" s="518">
        <f>IF(YEAR('3 pr-2'!$AJ155)=2022,$BJ155,0)</f>
        <v>0</v>
      </c>
      <c r="BS155" s="518">
        <f>IF(YEAR('3 pr-2'!$AJ155)=2023,$BJ155,0)</f>
        <v>0</v>
      </c>
      <c r="BT155" s="523"/>
      <c r="BU155" s="881"/>
      <c r="BV155" s="518"/>
      <c r="BW155" s="518"/>
      <c r="BX155" s="518"/>
      <c r="BY155" s="518"/>
      <c r="BZ155" s="518"/>
      <c r="CA155" s="518"/>
      <c r="CB155" s="518"/>
      <c r="CC155" s="1337">
        <f t="shared" si="598"/>
        <v>0</v>
      </c>
      <c r="CD155" s="518"/>
      <c r="CE155" s="518"/>
      <c r="CF155" s="518"/>
      <c r="CG155" s="518">
        <f>IF(YEAR('3 pr-2'!$AJ155)=2017,$CD155,0)</f>
        <v>0</v>
      </c>
      <c r="CH155" s="518">
        <f>IF(YEAR('3 pr-2'!$AJ155)=2018,$CD155,0)</f>
        <v>0</v>
      </c>
      <c r="CI155" s="518">
        <f>IF(YEAR('3 pr-2'!$AJ155)=2019,$CD155,0)</f>
        <v>0</v>
      </c>
      <c r="CJ155" s="518">
        <f>IF(YEAR('3 pr-2'!$AJ155)=2020,$CD155,0)</f>
        <v>0</v>
      </c>
      <c r="CK155" s="518">
        <f>IF(YEAR('3 pr-2'!$AJ155)=2021,$CD155,0)</f>
        <v>0</v>
      </c>
      <c r="CL155" s="518">
        <f>IF(YEAR('3 pr-2'!$AJ155)=2022,$CD155,0)</f>
        <v>0</v>
      </c>
      <c r="CM155" s="518">
        <f>IF(YEAR('3 pr-2'!$AJ155)=2023,$CD155,0)</f>
        <v>0</v>
      </c>
      <c r="CN155" s="523"/>
      <c r="CO155" s="882"/>
      <c r="CP155" s="518"/>
      <c r="CQ155" s="518"/>
      <c r="CR155" s="518"/>
      <c r="CS155" s="518"/>
      <c r="CT155" s="518"/>
      <c r="CU155" s="518"/>
      <c r="CV155" s="518"/>
      <c r="CW155" s="1337">
        <f t="shared" si="599"/>
        <v>0</v>
      </c>
      <c r="CX155" s="524"/>
      <c r="CY155" s="504"/>
      <c r="CZ155" s="504"/>
      <c r="DA155" s="1332">
        <f>IF(YEAR('3 pr-2'!AJ155)=2017,CX155,0)</f>
        <v>0</v>
      </c>
      <c r="DB155" s="1332">
        <f>IF(YEAR('3 pr-2'!AJ155)=2018,CX155,0)</f>
        <v>0</v>
      </c>
      <c r="DC155" s="1332">
        <f>IF(YEAR('3 pr-2'!AJ155)=2019,CX155,0)</f>
        <v>0</v>
      </c>
      <c r="DD155" s="1332">
        <f>IF(YEAR('3 pr-2'!AJ155)=2020,CX155,0)</f>
        <v>0</v>
      </c>
      <c r="DE155" s="1332">
        <f>IF(YEAR('3 pr-2'!AJ155)=2021,CX155,0)</f>
        <v>0</v>
      </c>
      <c r="DF155" s="1332">
        <f>IF(YEAR('3 pr-2'!AJ155)=2022,CX155,0)</f>
        <v>0</v>
      </c>
      <c r="DG155" s="1332">
        <f>IF(YEAR('3 pr-2'!AJ155)=2023,CX155,0)</f>
        <v>0</v>
      </c>
    </row>
    <row r="156" spans="1:111" ht="61.5" thickTop="1" thickBot="1" x14ac:dyDescent="0.3">
      <c r="A156" s="518" t="str">
        <f>CONCATENATE('3 pr-2'!A156)</f>
        <v>2.1.3.2.2</v>
      </c>
      <c r="B156" s="518" t="str">
        <f>CONCATENATE('3 pr-2'!B156)</f>
        <v>R01-4408-250000-2322</v>
      </c>
      <c r="C156" s="1449" t="str">
        <f>CONCATENATE('ketv. 2lent'!B154)</f>
        <v>08.1.2-CPVA-R-408-11-0005</v>
      </c>
      <c r="D156" s="480" t="str">
        <f>CONCATENATE('3 pr-2'!D156)</f>
        <v>Būsto prieinamumo pažeidžiamoms gyventojų grupėms didinimas Alytaus rajone</v>
      </c>
      <c r="E156" s="480" t="str">
        <f>CONCATENATE('3 pr-2'!E156)</f>
        <v>Alytaus rajono savivaldybės administracija</v>
      </c>
      <c r="F156" s="480" t="str">
        <f>CONCATENATE('3 pr-2'!F156)</f>
        <v>Lietuvos Respublikos socialinės apsaugos ir darbo ministerija</v>
      </c>
      <c r="G156" s="480" t="str">
        <f>CONCATENATE('3 pr-2'!G156)</f>
        <v>Alytaus  rajono savivaldybė</v>
      </c>
      <c r="H156" s="518" t="str">
        <f>CONCATENATE('3 pr-2'!H156)</f>
        <v>08.1.1-CPVA·R-408</v>
      </c>
      <c r="I156" s="518" t="str">
        <f>CONCATENATE('3 pr-2'!I156)</f>
        <v>R</v>
      </c>
      <c r="J156" s="518" t="str">
        <f>CONCATENATE('3 pr-2'!J156)</f>
        <v>-</v>
      </c>
      <c r="K156" s="518" t="str">
        <f>CONCATENATE('3 pr-2'!K156)</f>
        <v>-</v>
      </c>
      <c r="L156" s="518" t="s">
        <v>555</v>
      </c>
      <c r="M156" s="881" t="s">
        <v>556</v>
      </c>
      <c r="N156" s="518">
        <v>0</v>
      </c>
      <c r="O156" s="518"/>
      <c r="P156" s="518"/>
      <c r="Q156" s="518"/>
      <c r="R156" s="518"/>
      <c r="S156" s="518"/>
      <c r="T156" s="518"/>
      <c r="U156" s="1335">
        <f t="shared" si="626"/>
        <v>0</v>
      </c>
      <c r="V156" s="518">
        <v>6</v>
      </c>
      <c r="W156" s="1336" t="str">
        <f>IF('ketv. 6 lent'!K155&gt;0,"6",0)</f>
        <v>6</v>
      </c>
      <c r="X156" s="518">
        <f>SUM(W156-V156)</f>
        <v>0</v>
      </c>
      <c r="Y156" s="518">
        <f>IF(YEAR('3 pr-2'!$AJ156)=2017,$V156,0)</f>
        <v>0</v>
      </c>
      <c r="Z156" s="518">
        <f>IF(YEAR('3 pr-2'!$AJ156)=2018,$V156,0)</f>
        <v>6</v>
      </c>
      <c r="AA156" s="518">
        <f>IF(YEAR('3 pr-2'!$AJ156)=2019,$V156,0)</f>
        <v>0</v>
      </c>
      <c r="AB156" s="518">
        <f>IF(YEAR('3 pr-2'!$AJ156)=2020,$V156,0)</f>
        <v>0</v>
      </c>
      <c r="AC156" s="518">
        <f>IF(YEAR('3 pr-2'!$AJ156)=2021,$V156,0)</f>
        <v>0</v>
      </c>
      <c r="AD156" s="518">
        <f>IF(YEAR('3 pr-2'!$AJ156)=2022,$V156,0)</f>
        <v>0</v>
      </c>
      <c r="AE156" s="518">
        <f>IF(YEAR('3 pr-2'!$AJ156)=2023,$V156,0)</f>
        <v>0</v>
      </c>
      <c r="AF156" s="523"/>
      <c r="AG156" s="881"/>
      <c r="AH156" s="518"/>
      <c r="AI156" s="518"/>
      <c r="AJ156" s="518"/>
      <c r="AK156" s="518"/>
      <c r="AL156" s="518"/>
      <c r="AM156" s="518"/>
      <c r="AN156" s="518"/>
      <c r="AO156" s="1337">
        <f t="shared" si="596"/>
        <v>0</v>
      </c>
      <c r="AP156" s="518"/>
      <c r="AQ156" s="1338"/>
      <c r="AR156" s="518"/>
      <c r="AS156" s="518">
        <f>IF(YEAR('3 pr-2'!$AJ156)=2017,$AP156,0)</f>
        <v>0</v>
      </c>
      <c r="AT156" s="518">
        <f>IF(YEAR('3 pr-2'!$AJ156)=2018,$AP156,0)</f>
        <v>0</v>
      </c>
      <c r="AU156" s="518">
        <f>IF(YEAR('3 pr-2'!$AJ156)=2019,$AP156,0)</f>
        <v>0</v>
      </c>
      <c r="AV156" s="518">
        <f>IF(YEAR('3 pr-2'!$AJ156)=2020,$AP156,0)</f>
        <v>0</v>
      </c>
      <c r="AW156" s="518">
        <f>IF(YEAR('3 pr-2'!$AJ156)=2021,$AP156,0)</f>
        <v>0</v>
      </c>
      <c r="AX156" s="518">
        <f>IF(YEAR('3 pr-2'!$AJ156)=2022,$AP156,0)</f>
        <v>0</v>
      </c>
      <c r="AY156" s="518">
        <f>IF(YEAR('3 pr-2'!$AJ156)=2023,$AP156,0)</f>
        <v>0</v>
      </c>
      <c r="AZ156" s="518"/>
      <c r="BA156" s="880"/>
      <c r="BB156" s="518"/>
      <c r="BC156" s="518"/>
      <c r="BD156" s="518"/>
      <c r="BE156" s="518"/>
      <c r="BF156" s="518"/>
      <c r="BG156" s="518"/>
      <c r="BH156" s="518"/>
      <c r="BI156" s="1337">
        <f t="shared" si="597"/>
        <v>0</v>
      </c>
      <c r="BJ156" s="518"/>
      <c r="BK156" s="1338"/>
      <c r="BL156" s="518"/>
      <c r="BM156" s="518">
        <f>IF(YEAR('3 pr-2'!$AJ156)=2017,$BJ156,0)</f>
        <v>0</v>
      </c>
      <c r="BN156" s="518">
        <f>IF(YEAR('3 pr-2'!$AJ156)=2018,$BJ156,0)</f>
        <v>0</v>
      </c>
      <c r="BO156" s="518">
        <f>IF(YEAR('3 pr-2'!$AJ156)=2019,$BJ156,0)</f>
        <v>0</v>
      </c>
      <c r="BP156" s="518">
        <f>IF(YEAR('3 pr-2'!$AJ156)=2020,$BJ156,0)</f>
        <v>0</v>
      </c>
      <c r="BQ156" s="518">
        <f>IF(YEAR('3 pr-2'!$AJ156)=2021,$BJ156,0)</f>
        <v>0</v>
      </c>
      <c r="BR156" s="518">
        <f>IF(YEAR('3 pr-2'!$AJ156)=2022,$BJ156,0)</f>
        <v>0</v>
      </c>
      <c r="BS156" s="518">
        <f>IF(YEAR('3 pr-2'!$AJ156)=2023,$BJ156,0)</f>
        <v>0</v>
      </c>
      <c r="BT156" s="523"/>
      <c r="BU156" s="881"/>
      <c r="BV156" s="518"/>
      <c r="BW156" s="518"/>
      <c r="BX156" s="518"/>
      <c r="BY156" s="518"/>
      <c r="BZ156" s="518"/>
      <c r="CA156" s="518"/>
      <c r="CB156" s="518"/>
      <c r="CC156" s="1337">
        <f t="shared" si="598"/>
        <v>0</v>
      </c>
      <c r="CD156" s="518"/>
      <c r="CE156" s="518"/>
      <c r="CF156" s="518"/>
      <c r="CG156" s="518">
        <f>IF(YEAR('3 pr-2'!$AJ156)=2017,$CD156,0)</f>
        <v>0</v>
      </c>
      <c r="CH156" s="518">
        <f>IF(YEAR('3 pr-2'!$AJ156)=2018,$CD156,0)</f>
        <v>0</v>
      </c>
      <c r="CI156" s="518">
        <f>IF(YEAR('3 pr-2'!$AJ156)=2019,$CD156,0)</f>
        <v>0</v>
      </c>
      <c r="CJ156" s="518">
        <f>IF(YEAR('3 pr-2'!$AJ156)=2020,$CD156,0)</f>
        <v>0</v>
      </c>
      <c r="CK156" s="518">
        <f>IF(YEAR('3 pr-2'!$AJ156)=2021,$CD156,0)</f>
        <v>0</v>
      </c>
      <c r="CL156" s="518">
        <f>IF(YEAR('3 pr-2'!$AJ156)=2022,$CD156,0)</f>
        <v>0</v>
      </c>
      <c r="CM156" s="518">
        <f>IF(YEAR('3 pr-2'!$AJ156)=2023,$CD156,0)</f>
        <v>0</v>
      </c>
      <c r="CN156" s="523"/>
      <c r="CO156" s="882"/>
      <c r="CP156" s="518"/>
      <c r="CQ156" s="518"/>
      <c r="CR156" s="518"/>
      <c r="CS156" s="518"/>
      <c r="CT156" s="518"/>
      <c r="CU156" s="518"/>
      <c r="CV156" s="518"/>
      <c r="CW156" s="1337">
        <f t="shared" si="599"/>
        <v>0</v>
      </c>
      <c r="CX156" s="524"/>
      <c r="CY156" s="504"/>
      <c r="CZ156" s="504"/>
      <c r="DA156" s="1332">
        <f>IF(YEAR('3 pr-2'!AJ156)=2017,CX156,0)</f>
        <v>0</v>
      </c>
      <c r="DB156" s="1332">
        <f>IF(YEAR('3 pr-2'!AJ156)=2018,CX156,0)</f>
        <v>0</v>
      </c>
      <c r="DC156" s="1332">
        <f>IF(YEAR('3 pr-2'!AJ156)=2019,CX156,0)</f>
        <v>0</v>
      </c>
      <c r="DD156" s="1332">
        <f>IF(YEAR('3 pr-2'!AJ156)=2020,CX156,0)</f>
        <v>0</v>
      </c>
      <c r="DE156" s="1332">
        <f>IF(YEAR('3 pr-2'!AJ156)=2021,CX156,0)</f>
        <v>0</v>
      </c>
      <c r="DF156" s="1332">
        <f>IF(YEAR('3 pr-2'!AJ156)=2022,CX156,0)</f>
        <v>0</v>
      </c>
      <c r="DG156" s="1332">
        <f>IF(YEAR('3 pr-2'!AJ156)=2023,CX156,0)</f>
        <v>0</v>
      </c>
    </row>
    <row r="157" spans="1:111" ht="61.5" thickTop="1" thickBot="1" x14ac:dyDescent="0.3">
      <c r="A157" s="518" t="str">
        <f>CONCATENATE('3 pr-2'!A157)</f>
        <v>2.1.3.1.3</v>
      </c>
      <c r="B157" s="518" t="str">
        <f>CONCATENATE('3 pr-2'!B157)</f>
        <v>R01-4408-260000-2323</v>
      </c>
      <c r="C157" s="1449" t="str">
        <f>CONCATENATE('ketv. 2lent'!B155)</f>
        <v>08.1.2-CPVA-R-408-11-0002</v>
      </c>
      <c r="D157" s="480" t="str">
        <f>CONCATENATE('3 pr-2'!D157)</f>
        <v>Socialinio būsto plėtra Alytaus mieste</v>
      </c>
      <c r="E157" s="480" t="str">
        <f>CONCATENATE('3 pr-2'!E157)</f>
        <v>Alytaus miesto savivaldybės administracija</v>
      </c>
      <c r="F157" s="480" t="str">
        <f>CONCATENATE('3 pr-2'!F157)</f>
        <v>Lietuvos Respublikos socialinės apsaugos ir darbo ministerija</v>
      </c>
      <c r="G157" s="480" t="str">
        <f>CONCATENATE('3 pr-2'!G157)</f>
        <v>Alytaus miestas</v>
      </c>
      <c r="H157" s="518" t="str">
        <f>CONCATENATE('3 pr-2'!H157)</f>
        <v>08.1.1-CPVA·R-408</v>
      </c>
      <c r="I157" s="518" t="str">
        <f>CONCATENATE('3 pr-2'!I157)</f>
        <v>R</v>
      </c>
      <c r="J157" s="518" t="str">
        <f>CONCATENATE('3 pr-2'!J157)</f>
        <v>-</v>
      </c>
      <c r="K157" s="518" t="str">
        <f>CONCATENATE('3 pr-2'!K157)</f>
        <v>-</v>
      </c>
      <c r="L157" s="518" t="s">
        <v>555</v>
      </c>
      <c r="M157" s="881" t="s">
        <v>556</v>
      </c>
      <c r="N157" s="518">
        <v>22</v>
      </c>
      <c r="O157" s="518"/>
      <c r="P157" s="518"/>
      <c r="Q157" s="518"/>
      <c r="R157" s="518"/>
      <c r="S157" s="518"/>
      <c r="T157" s="518"/>
      <c r="U157" s="1335">
        <f>SUM(N157:T157)</f>
        <v>22</v>
      </c>
      <c r="V157" s="518">
        <v>35</v>
      </c>
      <c r="W157" s="1336" t="str">
        <f>IF('ketv. 6 lent'!K156&gt;0,"35",0)</f>
        <v>35</v>
      </c>
      <c r="X157" s="518">
        <f>SUM(W157-V157)</f>
        <v>0</v>
      </c>
      <c r="Y157" s="518">
        <f>IF(YEAR('3 pr-2'!$AJ157)=2017,$V157,0)</f>
        <v>0</v>
      </c>
      <c r="Z157" s="518">
        <f>IF(YEAR('3 pr-2'!$AJ157)=2018,$V157,0)</f>
        <v>35</v>
      </c>
      <c r="AA157" s="518">
        <f>IF(YEAR('3 pr-2'!$AJ157)=2019,$V157,0)</f>
        <v>0</v>
      </c>
      <c r="AB157" s="518">
        <f>IF(YEAR('3 pr-2'!$AJ157)=2020,$V157,0)</f>
        <v>0</v>
      </c>
      <c r="AC157" s="518">
        <f>IF(YEAR('3 pr-2'!$AJ157)=2021,$V157,0)</f>
        <v>0</v>
      </c>
      <c r="AD157" s="518">
        <f>IF(YEAR('3 pr-2'!$AJ157)=2022,$V157,0)</f>
        <v>0</v>
      </c>
      <c r="AE157" s="518">
        <f>IF(YEAR('3 pr-2'!$AJ157)=2023,$V157,0)</f>
        <v>0</v>
      </c>
      <c r="AF157" s="523"/>
      <c r="AG157" s="881"/>
      <c r="AH157" s="518"/>
      <c r="AI157" s="518"/>
      <c r="AJ157" s="518"/>
      <c r="AK157" s="518"/>
      <c r="AL157" s="518"/>
      <c r="AM157" s="518"/>
      <c r="AN157" s="518"/>
      <c r="AO157" s="1337">
        <f>SUM(AH157:AN157)</f>
        <v>0</v>
      </c>
      <c r="AP157" s="518"/>
      <c r="AQ157" s="1338"/>
      <c r="AR157" s="518"/>
      <c r="AS157" s="518">
        <f>IF(YEAR('3 pr-2'!$AJ157)=2017,$AP157,0)</f>
        <v>0</v>
      </c>
      <c r="AT157" s="518">
        <f>IF(YEAR('3 pr-2'!$AJ157)=2018,$AP157,0)</f>
        <v>0</v>
      </c>
      <c r="AU157" s="518">
        <f>IF(YEAR('3 pr-2'!$AJ157)=2019,$AP157,0)</f>
        <v>0</v>
      </c>
      <c r="AV157" s="518">
        <f>IF(YEAR('3 pr-2'!$AJ157)=2020,$AP157,0)</f>
        <v>0</v>
      </c>
      <c r="AW157" s="518">
        <f>IF(YEAR('3 pr-2'!$AJ157)=2021,$AP157,0)</f>
        <v>0</v>
      </c>
      <c r="AX157" s="518">
        <f>IF(YEAR('3 pr-2'!$AJ157)=2022,$AP157,0)</f>
        <v>0</v>
      </c>
      <c r="AY157" s="518">
        <f>IF(YEAR('3 pr-2'!$AJ157)=2023,$AP157,0)</f>
        <v>0</v>
      </c>
      <c r="AZ157" s="518"/>
      <c r="BA157" s="880"/>
      <c r="BB157" s="518"/>
      <c r="BC157" s="518"/>
      <c r="BD157" s="518"/>
      <c r="BE157" s="518"/>
      <c r="BF157" s="518"/>
      <c r="BG157" s="518"/>
      <c r="BH157" s="518"/>
      <c r="BI157" s="1337">
        <f t="shared" si="597"/>
        <v>0</v>
      </c>
      <c r="BJ157" s="518"/>
      <c r="BK157" s="1338"/>
      <c r="BL157" s="518"/>
      <c r="BM157" s="518">
        <f>IF(YEAR('3 pr-2'!$AJ157)=2017,$BJ157,0)</f>
        <v>0</v>
      </c>
      <c r="BN157" s="518">
        <f>IF(YEAR('3 pr-2'!$AJ157)=2018,$BJ157,0)</f>
        <v>0</v>
      </c>
      <c r="BO157" s="518">
        <f>IF(YEAR('3 pr-2'!$AJ157)=2019,$BJ157,0)</f>
        <v>0</v>
      </c>
      <c r="BP157" s="518">
        <f>IF(YEAR('3 pr-2'!$AJ157)=2020,$BJ157,0)</f>
        <v>0</v>
      </c>
      <c r="BQ157" s="518">
        <f>IF(YEAR('3 pr-2'!$AJ157)=2021,$BJ157,0)</f>
        <v>0</v>
      </c>
      <c r="BR157" s="518">
        <f>IF(YEAR('3 pr-2'!$AJ157)=2022,$BJ157,0)</f>
        <v>0</v>
      </c>
      <c r="BS157" s="518">
        <f>IF(YEAR('3 pr-2'!$AJ157)=2023,$BJ157,0)</f>
        <v>0</v>
      </c>
      <c r="BT157" s="523"/>
      <c r="BU157" s="881"/>
      <c r="BV157" s="518"/>
      <c r="BW157" s="518"/>
      <c r="BX157" s="518"/>
      <c r="BY157" s="518"/>
      <c r="BZ157" s="518"/>
      <c r="CA157" s="518"/>
      <c r="CB157" s="518"/>
      <c r="CC157" s="1337">
        <f t="shared" si="598"/>
        <v>0</v>
      </c>
      <c r="CD157" s="518"/>
      <c r="CE157" s="518"/>
      <c r="CF157" s="518"/>
      <c r="CG157" s="518">
        <f>IF(YEAR('3 pr-2'!$AJ157)=2017,$CD157,0)</f>
        <v>0</v>
      </c>
      <c r="CH157" s="518">
        <f>IF(YEAR('3 pr-2'!$AJ157)=2018,$CD157,0)</f>
        <v>0</v>
      </c>
      <c r="CI157" s="518">
        <f>IF(YEAR('3 pr-2'!$AJ157)=2019,$CD157,0)</f>
        <v>0</v>
      </c>
      <c r="CJ157" s="518">
        <f>IF(YEAR('3 pr-2'!$AJ157)=2020,$CD157,0)</f>
        <v>0</v>
      </c>
      <c r="CK157" s="518">
        <f>IF(YEAR('3 pr-2'!$AJ157)=2021,$CD157,0)</f>
        <v>0</v>
      </c>
      <c r="CL157" s="518">
        <f>IF(YEAR('3 pr-2'!$AJ157)=2022,$CD157,0)</f>
        <v>0</v>
      </c>
      <c r="CM157" s="518">
        <f>IF(YEAR('3 pr-2'!$AJ157)=2023,$CD157,0)</f>
        <v>0</v>
      </c>
      <c r="CN157" s="523"/>
      <c r="CO157" s="882"/>
      <c r="CP157" s="518"/>
      <c r="CQ157" s="518"/>
      <c r="CR157" s="518"/>
      <c r="CS157" s="518"/>
      <c r="CT157" s="518"/>
      <c r="CU157" s="518"/>
      <c r="CV157" s="518"/>
      <c r="CW157" s="1337">
        <f t="shared" si="599"/>
        <v>0</v>
      </c>
      <c r="CX157" s="524"/>
      <c r="CY157" s="504"/>
      <c r="CZ157" s="504"/>
      <c r="DA157" s="1332">
        <f>IF(YEAR('3 pr-2'!AJ157)=2017,CX157,0)</f>
        <v>0</v>
      </c>
      <c r="DB157" s="1332">
        <f>IF(YEAR('3 pr-2'!AJ157)=2018,CX157,0)</f>
        <v>0</v>
      </c>
      <c r="DC157" s="1332">
        <f>IF(YEAR('3 pr-2'!AJ157)=2019,CX157,0)</f>
        <v>0</v>
      </c>
      <c r="DD157" s="1332">
        <f>IF(YEAR('3 pr-2'!AJ157)=2020,CX157,0)</f>
        <v>0</v>
      </c>
      <c r="DE157" s="1332">
        <f>IF(YEAR('3 pr-2'!AJ157)=2021,CX157,0)</f>
        <v>0</v>
      </c>
      <c r="DF157" s="1332">
        <f>IF(YEAR('3 pr-2'!AJ157)=2022,CX157,0)</f>
        <v>0</v>
      </c>
      <c r="DG157" s="1332">
        <f>IF(YEAR('3 pr-2'!AJ157)=2023,CX157,0)</f>
        <v>0</v>
      </c>
    </row>
    <row r="158" spans="1:111" ht="61.5" thickTop="1" thickBot="1" x14ac:dyDescent="0.3">
      <c r="A158" s="518" t="str">
        <f>CONCATENATE('3 pr-2'!A158)</f>
        <v>2.1.3.2.4</v>
      </c>
      <c r="B158" s="518" t="str">
        <f>CONCATENATE('3 pr-2'!B158)</f>
        <v>R01-4408-260000-2324</v>
      </c>
      <c r="C158" s="1449" t="str">
        <f>CONCATENATE('ketv. 2lent'!B156)</f>
        <v>08.1.2-CPVA-R-408-11-0003</v>
      </c>
      <c r="D158" s="480" t="str">
        <f>CONCATENATE('3 pr-2'!D158)</f>
        <v>Socialinio būsto fondo plėtra Druskininkų savivaldybėje</v>
      </c>
      <c r="E158" s="480" t="str">
        <f>CONCATENATE('3 pr-2'!E158)</f>
        <v>Druskininkų savivaldybės administracija</v>
      </c>
      <c r="F158" s="480" t="str">
        <f>CONCATENATE('3 pr-2'!F158)</f>
        <v>Lietuvos Respublikos socialinės apsaugos ir darbo ministerija</v>
      </c>
      <c r="G158" s="480" t="str">
        <f>CONCATENATE('3 pr-2'!G158)</f>
        <v>Druskininkų savivaldybė</v>
      </c>
      <c r="H158" s="518" t="str">
        <f>CONCATENATE('3 pr-2'!H158)</f>
        <v>08.1.1-CPVA·R-408</v>
      </c>
      <c r="I158" s="518" t="str">
        <f>CONCATENATE('3 pr-2'!I158)</f>
        <v>R</v>
      </c>
      <c r="J158" s="518" t="str">
        <f>CONCATENATE('3 pr-2'!J158)</f>
        <v>-</v>
      </c>
      <c r="K158" s="518" t="str">
        <f>CONCATENATE('3 pr-2'!K158)</f>
        <v>-</v>
      </c>
      <c r="L158" s="518" t="s">
        <v>555</v>
      </c>
      <c r="M158" s="881" t="s">
        <v>556</v>
      </c>
      <c r="N158" s="518">
        <v>1</v>
      </c>
      <c r="O158" s="518"/>
      <c r="P158" s="518"/>
      <c r="Q158" s="518"/>
      <c r="R158" s="518"/>
      <c r="S158" s="518"/>
      <c r="T158" s="518"/>
      <c r="U158" s="1335">
        <f t="shared" si="626"/>
        <v>1</v>
      </c>
      <c r="V158" s="518">
        <v>25</v>
      </c>
      <c r="W158" s="1336" t="str">
        <f>IF('ketv. 6 lent'!K157&gt;0,"25",0)</f>
        <v>25</v>
      </c>
      <c r="X158" s="518">
        <f>SUM(W158-V158)</f>
        <v>0</v>
      </c>
      <c r="Y158" s="518">
        <f>IF(YEAR('3 pr-2'!$AJ158)=2017,$V158,0)</f>
        <v>0</v>
      </c>
      <c r="Z158" s="518">
        <f>IF(YEAR('3 pr-2'!$AJ158)=2018,$V158,0)</f>
        <v>25</v>
      </c>
      <c r="AA158" s="518">
        <f>IF(YEAR('3 pr-2'!$AJ158)=2019,$V158,0)</f>
        <v>0</v>
      </c>
      <c r="AB158" s="518">
        <f>IF(YEAR('3 pr-2'!$AJ158)=2020,$V158,0)</f>
        <v>0</v>
      </c>
      <c r="AC158" s="518">
        <f>IF(YEAR('3 pr-2'!$AJ158)=2021,$V158,0)</f>
        <v>0</v>
      </c>
      <c r="AD158" s="518">
        <f>IF(YEAR('3 pr-2'!$AJ158)=2022,$V158,0)</f>
        <v>0</v>
      </c>
      <c r="AE158" s="518">
        <f>IF(YEAR('3 pr-2'!$AJ158)=2023,$V158,0)</f>
        <v>0</v>
      </c>
      <c r="AF158" s="523"/>
      <c r="AG158" s="881"/>
      <c r="AH158" s="518"/>
      <c r="AI158" s="518"/>
      <c r="AJ158" s="518"/>
      <c r="AK158" s="518"/>
      <c r="AL158" s="518"/>
      <c r="AM158" s="518"/>
      <c r="AN158" s="518"/>
      <c r="AO158" s="1337">
        <f t="shared" si="596"/>
        <v>0</v>
      </c>
      <c r="AP158" s="518"/>
      <c r="AQ158" s="1338"/>
      <c r="AR158" s="518"/>
      <c r="AS158" s="518">
        <f>IF(YEAR('3 pr-2'!$AJ158)=2017,$AP158,0)</f>
        <v>0</v>
      </c>
      <c r="AT158" s="518">
        <f>IF(YEAR('3 pr-2'!$AJ158)=2018,$AP158,0)</f>
        <v>0</v>
      </c>
      <c r="AU158" s="518">
        <f>IF(YEAR('3 pr-2'!$AJ158)=2019,$AP158,0)</f>
        <v>0</v>
      </c>
      <c r="AV158" s="518">
        <f>IF(YEAR('3 pr-2'!$AJ158)=2020,$AP158,0)</f>
        <v>0</v>
      </c>
      <c r="AW158" s="518">
        <f>IF(YEAR('3 pr-2'!$AJ158)=2021,$AP158,0)</f>
        <v>0</v>
      </c>
      <c r="AX158" s="518">
        <f>IF(YEAR('3 pr-2'!$AJ158)=2022,$AP158,0)</f>
        <v>0</v>
      </c>
      <c r="AY158" s="518">
        <f>IF(YEAR('3 pr-2'!$AJ158)=2023,$AP158,0)</f>
        <v>0</v>
      </c>
      <c r="AZ158" s="518"/>
      <c r="BA158" s="880"/>
      <c r="BB158" s="518"/>
      <c r="BC158" s="518"/>
      <c r="BD158" s="518"/>
      <c r="BE158" s="518"/>
      <c r="BF158" s="518"/>
      <c r="BG158" s="518"/>
      <c r="BH158" s="518"/>
      <c r="BI158" s="1337">
        <f t="shared" si="597"/>
        <v>0</v>
      </c>
      <c r="BJ158" s="518"/>
      <c r="BK158" s="1338"/>
      <c r="BL158" s="518"/>
      <c r="BM158" s="518">
        <f>IF(YEAR('3 pr-2'!$AJ158)=2017,$BJ158,0)</f>
        <v>0</v>
      </c>
      <c r="BN158" s="518">
        <f>IF(YEAR('3 pr-2'!$AJ158)=2018,$BJ158,0)</f>
        <v>0</v>
      </c>
      <c r="BO158" s="518">
        <f>IF(YEAR('3 pr-2'!$AJ158)=2019,$BJ158,0)</f>
        <v>0</v>
      </c>
      <c r="BP158" s="518">
        <f>IF(YEAR('3 pr-2'!$AJ158)=2020,$BJ158,0)</f>
        <v>0</v>
      </c>
      <c r="BQ158" s="518">
        <f>IF(YEAR('3 pr-2'!$AJ158)=2021,$BJ158,0)</f>
        <v>0</v>
      </c>
      <c r="BR158" s="518">
        <f>IF(YEAR('3 pr-2'!$AJ158)=2022,$BJ158,0)</f>
        <v>0</v>
      </c>
      <c r="BS158" s="518">
        <f>IF(YEAR('3 pr-2'!$AJ158)=2023,$BJ158,0)</f>
        <v>0</v>
      </c>
      <c r="BT158" s="523"/>
      <c r="BU158" s="881"/>
      <c r="BV158" s="518"/>
      <c r="BW158" s="518"/>
      <c r="BX158" s="518"/>
      <c r="BY158" s="518"/>
      <c r="BZ158" s="518"/>
      <c r="CA158" s="518"/>
      <c r="CB158" s="518"/>
      <c r="CC158" s="1337">
        <f t="shared" si="598"/>
        <v>0</v>
      </c>
      <c r="CD158" s="518"/>
      <c r="CE158" s="518"/>
      <c r="CF158" s="518"/>
      <c r="CG158" s="518">
        <f>IF(YEAR('3 pr-2'!$AJ158)=2017,$CD158,0)</f>
        <v>0</v>
      </c>
      <c r="CH158" s="518">
        <f>IF(YEAR('3 pr-2'!$AJ158)=2018,$CD158,0)</f>
        <v>0</v>
      </c>
      <c r="CI158" s="518">
        <f>IF(YEAR('3 pr-2'!$AJ158)=2019,$CD158,0)</f>
        <v>0</v>
      </c>
      <c r="CJ158" s="518">
        <f>IF(YEAR('3 pr-2'!$AJ158)=2020,$CD158,0)</f>
        <v>0</v>
      </c>
      <c r="CK158" s="518">
        <f>IF(YEAR('3 pr-2'!$AJ158)=2021,$CD158,0)</f>
        <v>0</v>
      </c>
      <c r="CL158" s="518">
        <f>IF(YEAR('3 pr-2'!$AJ158)=2022,$CD158,0)</f>
        <v>0</v>
      </c>
      <c r="CM158" s="518">
        <f>IF(YEAR('3 pr-2'!$AJ158)=2023,$CD158,0)</f>
        <v>0</v>
      </c>
      <c r="CN158" s="523"/>
      <c r="CO158" s="882"/>
      <c r="CP158" s="518"/>
      <c r="CQ158" s="518"/>
      <c r="CR158" s="518"/>
      <c r="CS158" s="518"/>
      <c r="CT158" s="518"/>
      <c r="CU158" s="518"/>
      <c r="CV158" s="518"/>
      <c r="CW158" s="1337">
        <f t="shared" si="599"/>
        <v>0</v>
      </c>
      <c r="CX158" s="524"/>
      <c r="CY158" s="504"/>
      <c r="CZ158" s="504"/>
      <c r="DA158" s="1332">
        <f>IF(YEAR('3 pr-2'!AJ158)=2017,CX158,0)</f>
        <v>0</v>
      </c>
      <c r="DB158" s="1332">
        <f>IF(YEAR('3 pr-2'!AJ158)=2018,CX158,0)</f>
        <v>0</v>
      </c>
      <c r="DC158" s="1332">
        <f>IF(YEAR('3 pr-2'!AJ158)=2019,CX158,0)</f>
        <v>0</v>
      </c>
      <c r="DD158" s="1332">
        <f>IF(YEAR('3 pr-2'!AJ158)=2020,CX158,0)</f>
        <v>0</v>
      </c>
      <c r="DE158" s="1332">
        <f>IF(YEAR('3 pr-2'!AJ158)=2021,CX158,0)</f>
        <v>0</v>
      </c>
      <c r="DF158" s="1332">
        <f>IF(YEAR('3 pr-2'!AJ158)=2022,CX158,0)</f>
        <v>0</v>
      </c>
      <c r="DG158" s="1332">
        <f>IF(YEAR('3 pr-2'!AJ158)=2023,CX158,0)</f>
        <v>0</v>
      </c>
    </row>
    <row r="159" spans="1:111" ht="61.5" thickTop="1" thickBot="1" x14ac:dyDescent="0.3">
      <c r="A159" s="518" t="str">
        <f>CONCATENATE('3 pr-2'!A159)</f>
        <v>2.1.3.2.5</v>
      </c>
      <c r="B159" s="518" t="str">
        <f>CONCATENATE('3 pr-2'!B159)</f>
        <v>R01-4408-252600-2325</v>
      </c>
      <c r="C159" s="1449" t="str">
        <f>CONCATENATE('ketv. 2lent'!B157)</f>
        <v>08.1.2-CPVA-R-408-11-0004</v>
      </c>
      <c r="D159" s="480" t="str">
        <f>CONCATENATE('3 pr-2'!D159)</f>
        <v>Socialinio būsto fondo plėtra Lazdijų rajono savivaldybėje</v>
      </c>
      <c r="E159" s="480" t="str">
        <f>CONCATENATE('3 pr-2'!E159)</f>
        <v>Lazdijų rajono savivaldybės administracija</v>
      </c>
      <c r="F159" s="480" t="str">
        <f>CONCATENATE('3 pr-2'!F159)</f>
        <v>Lietuvos Respublikos socialinės apsaugos ir darbo ministerija</v>
      </c>
      <c r="G159" s="480" t="str">
        <f>CONCATENATE('3 pr-2'!G159)</f>
        <v>Lazdijų rajono savivaldybė</v>
      </c>
      <c r="H159" s="518" t="str">
        <f>CONCATENATE('3 pr-2'!H159)</f>
        <v>08.1.1-CPVA·R-408</v>
      </c>
      <c r="I159" s="518" t="str">
        <f>CONCATENATE('3 pr-2'!I159)</f>
        <v>R</v>
      </c>
      <c r="J159" s="518" t="str">
        <f>CONCATENATE('3 pr-2'!J159)</f>
        <v>-</v>
      </c>
      <c r="K159" s="518" t="str">
        <f>CONCATENATE('3 pr-2'!K159)</f>
        <v>-</v>
      </c>
      <c r="L159" s="518" t="s">
        <v>555</v>
      </c>
      <c r="M159" s="881" t="s">
        <v>556</v>
      </c>
      <c r="N159" s="518">
        <v>0</v>
      </c>
      <c r="O159" s="518"/>
      <c r="P159" s="518"/>
      <c r="Q159" s="518"/>
      <c r="R159" s="518"/>
      <c r="S159" s="518"/>
      <c r="T159" s="518"/>
      <c r="U159" s="1335">
        <f t="shared" si="626"/>
        <v>0</v>
      </c>
      <c r="V159" s="518">
        <v>12</v>
      </c>
      <c r="W159" s="1336" t="str">
        <f>IF('ketv. 6 lent'!K158&gt;0,"12",0)</f>
        <v>12</v>
      </c>
      <c r="X159" s="518">
        <f>SUM(W159-V159)</f>
        <v>0</v>
      </c>
      <c r="Y159" s="518">
        <f>IF(YEAR('3 pr-2'!$AJ159)=2017,$V159,0)</f>
        <v>0</v>
      </c>
      <c r="Z159" s="518">
        <f>IF(YEAR('3 pr-2'!$AJ159)=2018,$V159,0)</f>
        <v>0</v>
      </c>
      <c r="AA159" s="518">
        <f>IF(YEAR('3 pr-2'!$AJ159)=2019,$V159,0)</f>
        <v>12</v>
      </c>
      <c r="AB159" s="518">
        <f>IF(YEAR('3 pr-2'!$AJ159)=2020,$V159,0)</f>
        <v>0</v>
      </c>
      <c r="AC159" s="518">
        <f>IF(YEAR('3 pr-2'!$AJ159)=2021,$V159,0)</f>
        <v>0</v>
      </c>
      <c r="AD159" s="518">
        <f>IF(YEAR('3 pr-2'!$AJ159)=2022,$V159,0)</f>
        <v>0</v>
      </c>
      <c r="AE159" s="518">
        <f>IF(YEAR('3 pr-2'!$AJ159)=2023,$V159,0)</f>
        <v>0</v>
      </c>
      <c r="AF159" s="523"/>
      <c r="AG159" s="881"/>
      <c r="AH159" s="518"/>
      <c r="AI159" s="518"/>
      <c r="AJ159" s="518"/>
      <c r="AK159" s="518"/>
      <c r="AL159" s="518"/>
      <c r="AM159" s="518"/>
      <c r="AN159" s="518"/>
      <c r="AO159" s="1337">
        <f t="shared" si="596"/>
        <v>0</v>
      </c>
      <c r="AP159" s="518"/>
      <c r="AQ159" s="1338"/>
      <c r="AR159" s="518"/>
      <c r="AS159" s="518">
        <f>IF(YEAR('3 pr-2'!$AJ159)=2017,$AP159,0)</f>
        <v>0</v>
      </c>
      <c r="AT159" s="518">
        <f>IF(YEAR('3 pr-2'!$AJ159)=2018,$AP159,0)</f>
        <v>0</v>
      </c>
      <c r="AU159" s="518">
        <f>IF(YEAR('3 pr-2'!$AJ159)=2019,$AP159,0)</f>
        <v>0</v>
      </c>
      <c r="AV159" s="518">
        <f>IF(YEAR('3 pr-2'!$AJ159)=2020,$AP159,0)</f>
        <v>0</v>
      </c>
      <c r="AW159" s="518">
        <f>IF(YEAR('3 pr-2'!$AJ159)=2021,$AP159,0)</f>
        <v>0</v>
      </c>
      <c r="AX159" s="518">
        <f>IF(YEAR('3 pr-2'!$AJ159)=2022,$AP159,0)</f>
        <v>0</v>
      </c>
      <c r="AY159" s="518">
        <f>IF(YEAR('3 pr-2'!$AJ159)=2023,$AP159,0)</f>
        <v>0</v>
      </c>
      <c r="AZ159" s="518"/>
      <c r="BA159" s="880"/>
      <c r="BB159" s="518"/>
      <c r="BC159" s="518"/>
      <c r="BD159" s="518"/>
      <c r="BE159" s="518"/>
      <c r="BF159" s="518"/>
      <c r="BG159" s="518"/>
      <c r="BH159" s="518"/>
      <c r="BI159" s="1337">
        <f t="shared" si="597"/>
        <v>0</v>
      </c>
      <c r="BJ159" s="518"/>
      <c r="BK159" s="1338"/>
      <c r="BL159" s="518"/>
      <c r="BM159" s="518">
        <f>IF(YEAR('3 pr-2'!$AJ159)=2017,$BJ159,0)</f>
        <v>0</v>
      </c>
      <c r="BN159" s="518">
        <f>IF(YEAR('3 pr-2'!$AJ159)=2018,$BJ159,0)</f>
        <v>0</v>
      </c>
      <c r="BO159" s="518">
        <f>IF(YEAR('3 pr-2'!$AJ159)=2019,$BJ159,0)</f>
        <v>0</v>
      </c>
      <c r="BP159" s="518">
        <f>IF(YEAR('3 pr-2'!$AJ159)=2020,$BJ159,0)</f>
        <v>0</v>
      </c>
      <c r="BQ159" s="518">
        <f>IF(YEAR('3 pr-2'!$AJ159)=2021,$BJ159,0)</f>
        <v>0</v>
      </c>
      <c r="BR159" s="518">
        <f>IF(YEAR('3 pr-2'!$AJ159)=2022,$BJ159,0)</f>
        <v>0</v>
      </c>
      <c r="BS159" s="518">
        <f>IF(YEAR('3 pr-2'!$AJ159)=2023,$BJ159,0)</f>
        <v>0</v>
      </c>
      <c r="BT159" s="523"/>
      <c r="BU159" s="881"/>
      <c r="BV159" s="518"/>
      <c r="BW159" s="518"/>
      <c r="BX159" s="518"/>
      <c r="BY159" s="518"/>
      <c r="BZ159" s="518"/>
      <c r="CA159" s="518"/>
      <c r="CB159" s="518"/>
      <c r="CC159" s="1337">
        <f t="shared" si="598"/>
        <v>0</v>
      </c>
      <c r="CD159" s="518"/>
      <c r="CE159" s="518"/>
      <c r="CF159" s="518"/>
      <c r="CG159" s="518">
        <f>IF(YEAR('3 pr-2'!$AJ159)=2017,$CD159,0)</f>
        <v>0</v>
      </c>
      <c r="CH159" s="518">
        <f>IF(YEAR('3 pr-2'!$AJ159)=2018,$CD159,0)</f>
        <v>0</v>
      </c>
      <c r="CI159" s="518">
        <f>IF(YEAR('3 pr-2'!$AJ159)=2019,$CD159,0)</f>
        <v>0</v>
      </c>
      <c r="CJ159" s="518">
        <f>IF(YEAR('3 pr-2'!$AJ159)=2020,$CD159,0)</f>
        <v>0</v>
      </c>
      <c r="CK159" s="518">
        <f>IF(YEAR('3 pr-2'!$AJ159)=2021,$CD159,0)</f>
        <v>0</v>
      </c>
      <c r="CL159" s="518">
        <f>IF(YEAR('3 pr-2'!$AJ159)=2022,$CD159,0)</f>
        <v>0</v>
      </c>
      <c r="CM159" s="518">
        <f>IF(YEAR('3 pr-2'!$AJ159)=2023,$CD159,0)</f>
        <v>0</v>
      </c>
      <c r="CN159" s="523"/>
      <c r="CO159" s="882"/>
      <c r="CP159" s="518"/>
      <c r="CQ159" s="518"/>
      <c r="CR159" s="518"/>
      <c r="CS159" s="518"/>
      <c r="CT159" s="518"/>
      <c r="CU159" s="518"/>
      <c r="CV159" s="518"/>
      <c r="CW159" s="1337">
        <f t="shared" si="599"/>
        <v>0</v>
      </c>
      <c r="CX159" s="524"/>
      <c r="CY159" s="504"/>
      <c r="CZ159" s="504"/>
      <c r="DA159" s="1332">
        <f>IF(YEAR('3 pr-2'!AJ159)=2017,CX159,0)</f>
        <v>0</v>
      </c>
      <c r="DB159" s="1332">
        <f>IF(YEAR('3 pr-2'!AJ159)=2018,CX159,0)</f>
        <v>0</v>
      </c>
      <c r="DC159" s="1332">
        <f>IF(YEAR('3 pr-2'!AJ159)=2019,CX159,0)</f>
        <v>0</v>
      </c>
      <c r="DD159" s="1332">
        <f>IF(YEAR('3 pr-2'!AJ159)=2020,CX159,0)</f>
        <v>0</v>
      </c>
      <c r="DE159" s="1332">
        <f>IF(YEAR('3 pr-2'!AJ159)=2021,CX159,0)</f>
        <v>0</v>
      </c>
      <c r="DF159" s="1332">
        <f>IF(YEAR('3 pr-2'!AJ159)=2022,CX159,0)</f>
        <v>0</v>
      </c>
      <c r="DG159" s="1332">
        <f>IF(YEAR('3 pr-2'!AJ159)=2023,CX159,0)</f>
        <v>0</v>
      </c>
    </row>
    <row r="160" spans="1:111" ht="47.25" customHeight="1" thickBot="1" x14ac:dyDescent="0.3">
      <c r="A160" s="1363" t="str">
        <f>CONCATENATE('3 pr-2'!A160)</f>
        <v>2.1.4.</v>
      </c>
      <c r="B160" s="1687" t="str">
        <f>CONCATENATE('3 pr-2'!B160)</f>
        <v>Uždavinys:
Visuomenei teikiamų paslaugų kokybės, didinant jų atitikimo visuomenės poreikiams pagerinimas</v>
      </c>
      <c r="C160" s="1688"/>
      <c r="D160" s="1688"/>
      <c r="E160" s="1688"/>
      <c r="F160" s="1688"/>
      <c r="G160" s="1688"/>
      <c r="H160" s="1688"/>
      <c r="I160" s="1688"/>
      <c r="J160" s="1688"/>
      <c r="K160" s="1689"/>
      <c r="L160" s="1332" t="s">
        <v>66</v>
      </c>
      <c r="M160" s="1160" t="s">
        <v>66</v>
      </c>
      <c r="N160" s="1334"/>
      <c r="O160" s="1334"/>
      <c r="P160" s="1334"/>
      <c r="Q160" s="1334"/>
      <c r="R160" s="1334"/>
      <c r="S160" s="1334"/>
      <c r="T160" s="1334"/>
      <c r="U160" s="1356"/>
      <c r="V160" s="1332" t="s">
        <v>66</v>
      </c>
      <c r="W160" s="1334"/>
      <c r="X160" s="1334"/>
      <c r="Y160" s="1334" t="s">
        <v>66</v>
      </c>
      <c r="Z160" s="1334" t="s">
        <v>66</v>
      </c>
      <c r="AA160" s="1334" t="s">
        <v>66</v>
      </c>
      <c r="AB160" s="1334" t="s">
        <v>66</v>
      </c>
      <c r="AC160" s="1334" t="s">
        <v>66</v>
      </c>
      <c r="AD160" s="1334" t="s">
        <v>66</v>
      </c>
      <c r="AE160" s="1334" t="s">
        <v>66</v>
      </c>
      <c r="AF160" s="1334" t="s">
        <v>66</v>
      </c>
      <c r="AG160" s="1160" t="s">
        <v>66</v>
      </c>
      <c r="AH160" s="1334"/>
      <c r="AI160" s="1334"/>
      <c r="AJ160" s="1334"/>
      <c r="AK160" s="1334"/>
      <c r="AL160" s="1334"/>
      <c r="AM160" s="1334"/>
      <c r="AN160" s="1334"/>
      <c r="AO160" s="1334"/>
      <c r="AP160" s="1334" t="s">
        <v>66</v>
      </c>
      <c r="AQ160" s="1334"/>
      <c r="AR160" s="1334"/>
      <c r="AS160" s="1334" t="s">
        <v>66</v>
      </c>
      <c r="AT160" s="1334" t="s">
        <v>66</v>
      </c>
      <c r="AU160" s="1334" t="s">
        <v>66</v>
      </c>
      <c r="AV160" s="1334" t="s">
        <v>66</v>
      </c>
      <c r="AW160" s="1334" t="s">
        <v>66</v>
      </c>
      <c r="AX160" s="1334" t="s">
        <v>66</v>
      </c>
      <c r="AY160" s="1334" t="s">
        <v>66</v>
      </c>
      <c r="AZ160" s="1334" t="s">
        <v>66</v>
      </c>
      <c r="BA160" s="1160" t="s">
        <v>66</v>
      </c>
      <c r="BB160" s="1334"/>
      <c r="BC160" s="1334"/>
      <c r="BD160" s="1334"/>
      <c r="BE160" s="1334"/>
      <c r="BF160" s="1334"/>
      <c r="BG160" s="1334"/>
      <c r="BH160" s="1334"/>
      <c r="BI160" s="1334"/>
      <c r="BJ160" s="1334" t="s">
        <v>66</v>
      </c>
      <c r="BK160" s="1334"/>
      <c r="BL160" s="1334"/>
      <c r="BM160" s="1334" t="s">
        <v>66</v>
      </c>
      <c r="BN160" s="1334" t="s">
        <v>66</v>
      </c>
      <c r="BO160" s="1334" t="s">
        <v>66</v>
      </c>
      <c r="BP160" s="1334" t="s">
        <v>66</v>
      </c>
      <c r="BQ160" s="1334" t="s">
        <v>66</v>
      </c>
      <c r="BR160" s="1334" t="s">
        <v>66</v>
      </c>
      <c r="BS160" s="1334" t="s">
        <v>66</v>
      </c>
      <c r="BT160" s="1334" t="s">
        <v>66</v>
      </c>
      <c r="BU160" s="1160" t="s">
        <v>66</v>
      </c>
      <c r="BV160" s="1334"/>
      <c r="BW160" s="1334"/>
      <c r="BX160" s="1334"/>
      <c r="BY160" s="1334"/>
      <c r="BZ160" s="1334"/>
      <c r="CA160" s="1334"/>
      <c r="CB160" s="1334"/>
      <c r="CC160" s="1334"/>
      <c r="CD160" s="1334" t="s">
        <v>66</v>
      </c>
      <c r="CE160" s="1334"/>
      <c r="CF160" s="1334"/>
      <c r="CG160" s="1334" t="s">
        <v>66</v>
      </c>
      <c r="CH160" s="1334" t="s">
        <v>66</v>
      </c>
      <c r="CI160" s="1334" t="s">
        <v>66</v>
      </c>
      <c r="CJ160" s="1334" t="s">
        <v>66</v>
      </c>
      <c r="CK160" s="1334" t="s">
        <v>66</v>
      </c>
      <c r="CL160" s="1334" t="s">
        <v>66</v>
      </c>
      <c r="CM160" s="1334" t="s">
        <v>66</v>
      </c>
      <c r="CN160" s="1334" t="s">
        <v>66</v>
      </c>
      <c r="CO160" s="882" t="s">
        <v>66</v>
      </c>
      <c r="CP160" s="1334"/>
      <c r="CQ160" s="1334"/>
      <c r="CR160" s="1334"/>
      <c r="CS160" s="1334"/>
      <c r="CT160" s="1334"/>
      <c r="CU160" s="1334"/>
      <c r="CV160" s="1334"/>
      <c r="CW160" s="1334"/>
      <c r="CX160" s="1334" t="s">
        <v>66</v>
      </c>
      <c r="CY160" s="1357"/>
      <c r="CZ160" s="1357"/>
      <c r="DA160" s="478"/>
      <c r="DB160" s="1259"/>
      <c r="DC160" s="1259"/>
      <c r="DD160" s="1259"/>
      <c r="DE160" s="1259"/>
      <c r="DF160" s="1259"/>
      <c r="DG160" s="1259"/>
    </row>
    <row r="161" spans="1:111" ht="106.5" customHeight="1" thickBot="1" x14ac:dyDescent="0.3">
      <c r="A161" s="1364" t="str">
        <f>CONCATENATE('3 pr-2'!A161)</f>
        <v>2.1.4.1</v>
      </c>
      <c r="B161" s="1687" t="str">
        <f>CONCATENATE('3 pr-2'!B161)</f>
        <v>Priemonė:
Paslaugų teikimo ir asmenų aptarnavimo kokybės gerinimas savivaldybėse</v>
      </c>
      <c r="C161" s="1688"/>
      <c r="D161" s="1688"/>
      <c r="E161" s="1688"/>
      <c r="F161" s="1688"/>
      <c r="G161" s="1688"/>
      <c r="H161" s="1688"/>
      <c r="I161" s="1688"/>
      <c r="J161" s="1688"/>
      <c r="K161" s="1689"/>
      <c r="L161" s="1365" t="s">
        <v>557</v>
      </c>
      <c r="M161" s="884" t="s">
        <v>558</v>
      </c>
      <c r="N161" s="1332">
        <f>SUM(N162:N166)</f>
        <v>0</v>
      </c>
      <c r="O161" s="1332">
        <f t="shared" ref="O161:T161" si="627">SUM(O162:O166)</f>
        <v>0</v>
      </c>
      <c r="P161" s="1332">
        <f t="shared" si="627"/>
        <v>0</v>
      </c>
      <c r="Q161" s="1332">
        <f t="shared" si="627"/>
        <v>0</v>
      </c>
      <c r="R161" s="1332">
        <f t="shared" si="627"/>
        <v>0</v>
      </c>
      <c r="S161" s="1332">
        <f t="shared" si="627"/>
        <v>0</v>
      </c>
      <c r="T161" s="1332">
        <f t="shared" si="627"/>
        <v>0</v>
      </c>
      <c r="U161" s="1333">
        <f t="shared" ref="U161:U166" si="628">SUM(N161:T161)</f>
        <v>0</v>
      </c>
      <c r="V161" s="1303">
        <f>SUM(V162:V167)</f>
        <v>83</v>
      </c>
      <c r="W161" s="1366"/>
      <c r="X161" s="1367"/>
      <c r="Y161" s="1332">
        <f t="shared" ref="Y161:AE161" si="629">SUM(Y162:Y167)</f>
        <v>0</v>
      </c>
      <c r="Z161" s="1332">
        <f t="shared" si="629"/>
        <v>0</v>
      </c>
      <c r="AA161" s="1332">
        <f t="shared" si="629"/>
        <v>39</v>
      </c>
      <c r="AB161" s="1332">
        <f t="shared" si="629"/>
        <v>42</v>
      </c>
      <c r="AC161" s="1332">
        <f t="shared" si="629"/>
        <v>2</v>
      </c>
      <c r="AD161" s="1332">
        <f t="shared" si="629"/>
        <v>0</v>
      </c>
      <c r="AE161" s="1332">
        <f t="shared" si="629"/>
        <v>0</v>
      </c>
      <c r="AF161" s="1367" t="s">
        <v>559</v>
      </c>
      <c r="AG161" s="1331" t="s">
        <v>560</v>
      </c>
      <c r="AH161" s="1332">
        <f>SUM(AH162:AH166)</f>
        <v>0</v>
      </c>
      <c r="AI161" s="1332">
        <f t="shared" ref="AI161" si="630">SUM(AI162:AI166)</f>
        <v>0</v>
      </c>
      <c r="AJ161" s="1332">
        <f t="shared" ref="AJ161" si="631">SUM(AJ162:AJ166)</f>
        <v>0</v>
      </c>
      <c r="AK161" s="1332">
        <f t="shared" ref="AK161" si="632">SUM(AK162:AK166)</f>
        <v>0</v>
      </c>
      <c r="AL161" s="1332">
        <f t="shared" ref="AL161" si="633">SUM(AL162:AL166)</f>
        <v>0</v>
      </c>
      <c r="AM161" s="1332">
        <f t="shared" ref="AM161" si="634">SUM(AM162:AM166)</f>
        <v>0</v>
      </c>
      <c r="AN161" s="1332">
        <f t="shared" ref="AN161" si="635">SUM(AN162:AN166)</f>
        <v>0</v>
      </c>
      <c r="AO161" s="1303">
        <f t="shared" ref="AO161:AO166" si="636">SUM(AH161:AN161)</f>
        <v>0</v>
      </c>
      <c r="AP161" s="1303">
        <f t="shared" ref="AP161:AY161" si="637">SUM(AP162:AP167)</f>
        <v>405</v>
      </c>
      <c r="AQ161" s="1332"/>
      <c r="AR161" s="1332"/>
      <c r="AS161" s="1332">
        <f t="shared" si="637"/>
        <v>0</v>
      </c>
      <c r="AT161" s="1332">
        <f t="shared" si="637"/>
        <v>0</v>
      </c>
      <c r="AU161" s="1332">
        <f t="shared" si="637"/>
        <v>178</v>
      </c>
      <c r="AV161" s="1332">
        <f t="shared" si="637"/>
        <v>207</v>
      </c>
      <c r="AW161" s="1332">
        <f t="shared" si="637"/>
        <v>20</v>
      </c>
      <c r="AX161" s="1332">
        <f t="shared" si="637"/>
        <v>0</v>
      </c>
      <c r="AY161" s="1332">
        <f t="shared" si="637"/>
        <v>0</v>
      </c>
      <c r="AZ161" s="1303" t="s">
        <v>561</v>
      </c>
      <c r="BA161" s="1331" t="s">
        <v>562</v>
      </c>
      <c r="BB161" s="1332">
        <f>SUM(BB162:BB166)</f>
        <v>0</v>
      </c>
      <c r="BC161" s="1332">
        <f t="shared" ref="BC161" si="638">SUM(BC162:BC166)</f>
        <v>0</v>
      </c>
      <c r="BD161" s="1332">
        <f t="shared" ref="BD161" si="639">SUM(BD162:BD166)</f>
        <v>0</v>
      </c>
      <c r="BE161" s="1332">
        <f t="shared" ref="BE161" si="640">SUM(BE162:BE166)</f>
        <v>0</v>
      </c>
      <c r="BF161" s="1332">
        <f t="shared" ref="BF161" si="641">SUM(BF162:BF166)</f>
        <v>0</v>
      </c>
      <c r="BG161" s="1332">
        <f t="shared" ref="BG161" si="642">SUM(BG162:BG166)</f>
        <v>0</v>
      </c>
      <c r="BH161" s="1332">
        <f t="shared" ref="BH161" si="643">SUM(BH162:BH166)</f>
        <v>0</v>
      </c>
      <c r="BI161" s="1303">
        <f t="shared" ref="BI161:BI166" si="644">SUM(BB161:BH161)</f>
        <v>0</v>
      </c>
      <c r="BJ161" s="1303">
        <f>SUM(BJ162:BJ167)</f>
        <v>3</v>
      </c>
      <c r="BK161" s="1332"/>
      <c r="BL161" s="1332"/>
      <c r="BM161" s="1332">
        <f t="shared" ref="BM161:BS161" si="645">SUM(BM162:BM167)</f>
        <v>0</v>
      </c>
      <c r="BN161" s="1332">
        <f t="shared" si="645"/>
        <v>0</v>
      </c>
      <c r="BO161" s="1332">
        <f t="shared" si="645"/>
        <v>2</v>
      </c>
      <c r="BP161" s="1332">
        <f t="shared" si="645"/>
        <v>0</v>
      </c>
      <c r="BQ161" s="1332">
        <f t="shared" si="645"/>
        <v>1</v>
      </c>
      <c r="BR161" s="1332">
        <f t="shared" si="645"/>
        <v>0</v>
      </c>
      <c r="BS161" s="1332">
        <f t="shared" si="645"/>
        <v>0</v>
      </c>
      <c r="BT161" s="1332"/>
      <c r="BU161" s="882"/>
      <c r="BV161" s="1332">
        <f>SUM(BV162:BV166)</f>
        <v>0</v>
      </c>
      <c r="BW161" s="1332">
        <f t="shared" ref="BW161" si="646">SUM(BW162:BW166)</f>
        <v>0</v>
      </c>
      <c r="BX161" s="1332">
        <f t="shared" ref="BX161" si="647">SUM(BX162:BX166)</f>
        <v>0</v>
      </c>
      <c r="BY161" s="1332">
        <f t="shared" ref="BY161" si="648">SUM(BY162:BY166)</f>
        <v>0</v>
      </c>
      <c r="BZ161" s="1332">
        <f t="shared" ref="BZ161" si="649">SUM(BZ162:BZ166)</f>
        <v>0</v>
      </c>
      <c r="CA161" s="1332">
        <f t="shared" ref="CA161" si="650">SUM(CA162:CA166)</f>
        <v>0</v>
      </c>
      <c r="CB161" s="1332">
        <f t="shared" ref="CB161" si="651">SUM(CB162:CB166)</f>
        <v>0</v>
      </c>
      <c r="CC161" s="1303">
        <f t="shared" ref="CC161:CC166" si="652">SUM(BV161:CB161)</f>
        <v>0</v>
      </c>
      <c r="CD161" s="1332"/>
      <c r="CE161" s="1332"/>
      <c r="CF161" s="1332"/>
      <c r="CG161" s="1332"/>
      <c r="CH161" s="1332"/>
      <c r="CI161" s="1332"/>
      <c r="CJ161" s="1332"/>
      <c r="CK161" s="1332"/>
      <c r="CL161" s="1332"/>
      <c r="CM161" s="1332"/>
      <c r="CN161" s="1332"/>
      <c r="CO161" s="882"/>
      <c r="CP161" s="1332">
        <f>SUM(CP162:CP166)</f>
        <v>0</v>
      </c>
      <c r="CQ161" s="1332">
        <f t="shared" ref="CQ161" si="653">SUM(CQ162:CQ166)</f>
        <v>0</v>
      </c>
      <c r="CR161" s="1332">
        <f t="shared" ref="CR161" si="654">SUM(CR162:CR166)</f>
        <v>0</v>
      </c>
      <c r="CS161" s="1332">
        <f t="shared" ref="CS161" si="655">SUM(CS162:CS166)</f>
        <v>0</v>
      </c>
      <c r="CT161" s="1332">
        <f t="shared" ref="CT161" si="656">SUM(CT162:CT166)</f>
        <v>0</v>
      </c>
      <c r="CU161" s="1332">
        <f t="shared" ref="CU161" si="657">SUM(CU162:CU166)</f>
        <v>0</v>
      </c>
      <c r="CV161" s="1332">
        <f t="shared" ref="CV161" si="658">SUM(CV162:CV166)</f>
        <v>0</v>
      </c>
      <c r="CW161" s="1303">
        <f t="shared" ref="CW161:CW166" si="659">SUM(CP161:CV161)</f>
        <v>0</v>
      </c>
      <c r="CX161" s="1332"/>
      <c r="CY161" s="1332"/>
      <c r="CZ161" s="1332"/>
      <c r="DA161" s="1332"/>
      <c r="DB161" s="1332"/>
      <c r="DC161" s="1332"/>
      <c r="DD161" s="1332"/>
      <c r="DE161" s="1332"/>
      <c r="DF161" s="1332"/>
      <c r="DG161" s="1332"/>
    </row>
    <row r="162" spans="1:111" ht="85.5" thickTop="1" thickBot="1" x14ac:dyDescent="0.3">
      <c r="A162" s="518" t="str">
        <f>CONCATENATE('3 pr-2'!A162)</f>
        <v>2.1.4.1.1</v>
      </c>
      <c r="B162" s="518" t="str">
        <f>CONCATENATE('3 pr-2'!B162)</f>
        <v>R01-9920-490000-2411</v>
      </c>
      <c r="C162" s="1449" t="str">
        <f>CONCATENATE('ketv. 2lent'!B160)</f>
        <v>10.1.3-ESFA-R-920-11-0001</v>
      </c>
      <c r="D162" s="480" t="str">
        <f>CONCATENATE('3 pr-2'!D162)</f>
        <v>Paslaugų teikimo ir asmenų aptarnavimo kokybės gerinimas Varėnos rajono savivaldybėje</v>
      </c>
      <c r="E162" s="480" t="str">
        <f>CONCATENATE('3 pr-2'!E162)</f>
        <v>Varėnos rajono savivaldybės administracija</v>
      </c>
      <c r="F162" s="480" t="str">
        <f>CONCATENATE('3 pr-2'!F162)</f>
        <v>Lietuvos Respublikos vidaus reikalų ministerija</v>
      </c>
      <c r="G162" s="480" t="str">
        <f>CONCATENATE('3 pr-2'!G162)</f>
        <v>Varėnos miestas</v>
      </c>
      <c r="H162" s="518" t="str">
        <f>CONCATENATE('3 pr-2'!H162)</f>
        <v>10.1.3-ESFA-R-920</v>
      </c>
      <c r="I162" s="518" t="str">
        <f>CONCATENATE('3 pr-2'!I162)</f>
        <v>R</v>
      </c>
      <c r="J162" s="518" t="str">
        <f>CONCATENATE('3 pr-2'!J162)</f>
        <v>-</v>
      </c>
      <c r="K162" s="518" t="str">
        <f>CONCATENATE('3 pr-2'!K162)</f>
        <v>-</v>
      </c>
      <c r="L162" s="518" t="s">
        <v>557</v>
      </c>
      <c r="M162" s="881" t="s">
        <v>558</v>
      </c>
      <c r="N162" s="518"/>
      <c r="O162" s="518"/>
      <c r="P162" s="518"/>
      <c r="Q162" s="518"/>
      <c r="R162" s="518"/>
      <c r="S162" s="518"/>
      <c r="T162" s="518"/>
      <c r="U162" s="1335">
        <f t="shared" si="628"/>
        <v>0</v>
      </c>
      <c r="V162" s="518">
        <v>1</v>
      </c>
      <c r="W162" s="1336">
        <v>2</v>
      </c>
      <c r="X162" s="518">
        <f>SUM(V162-W162)</f>
        <v>-1</v>
      </c>
      <c r="Y162" s="518">
        <f>IF(YEAR('3 pr-2'!$AJ162)=2017,$V162,0)</f>
        <v>0</v>
      </c>
      <c r="Z162" s="518">
        <f>IF(YEAR('3 pr-2'!$AJ162)=2018,$V162,0)</f>
        <v>0</v>
      </c>
      <c r="AA162" s="518">
        <f>IF(YEAR('3 pr-2'!$AJ162)=2019,$V162,0)</f>
        <v>1</v>
      </c>
      <c r="AB162" s="518">
        <f>IF(YEAR('3 pr-2'!$AJ162)=2020,$V162,0)</f>
        <v>0</v>
      </c>
      <c r="AC162" s="518">
        <f>IF(YEAR('3 pr-2'!$AJ162)=2021,$V162,0)</f>
        <v>0</v>
      </c>
      <c r="AD162" s="518">
        <f>IF(YEAR('3 pr-2'!$AJ162)=2022,$V162,0)</f>
        <v>0</v>
      </c>
      <c r="AE162" s="518">
        <f>IF(YEAR('3 pr-2'!$AJ162)=2023,$V162,0)</f>
        <v>0</v>
      </c>
      <c r="AF162" s="523" t="s">
        <v>559</v>
      </c>
      <c r="AG162" s="881" t="s">
        <v>560</v>
      </c>
      <c r="AH162" s="518"/>
      <c r="AI162" s="518"/>
      <c r="AJ162" s="518"/>
      <c r="AK162" s="518"/>
      <c r="AL162" s="518"/>
      <c r="AM162" s="518"/>
      <c r="AN162" s="518"/>
      <c r="AO162" s="1337">
        <f t="shared" si="636"/>
        <v>0</v>
      </c>
      <c r="AP162" s="518">
        <v>38</v>
      </c>
      <c r="AQ162" s="1338"/>
      <c r="AR162" s="518"/>
      <c r="AS162" s="518">
        <f>IF(YEAR('3 pr-2'!$AJ162)=2017,$AP162,0)</f>
        <v>0</v>
      </c>
      <c r="AT162" s="518">
        <f>IF(YEAR('3 pr-2'!$AJ162)=2018,$AP162,0)</f>
        <v>0</v>
      </c>
      <c r="AU162" s="518">
        <f>IF(YEAR('3 pr-2'!$AJ162)=2019,$AP162,0)</f>
        <v>38</v>
      </c>
      <c r="AV162" s="518">
        <f>IF(YEAR('3 pr-2'!$AJ162)=2020,$AP162,0)</f>
        <v>0</v>
      </c>
      <c r="AW162" s="518">
        <f>IF(YEAR('3 pr-2'!$AJ162)=2021,$AP162,0)</f>
        <v>0</v>
      </c>
      <c r="AX162" s="518">
        <f>IF(YEAR('3 pr-2'!$AJ162)=2022,$AP162,0)</f>
        <v>0</v>
      </c>
      <c r="AY162" s="518">
        <f>IF(YEAR('3 pr-2'!$AJ162)=2023,$AP162,0)</f>
        <v>0</v>
      </c>
      <c r="AZ162" s="518" t="s">
        <v>561</v>
      </c>
      <c r="BA162" s="880" t="s">
        <v>562</v>
      </c>
      <c r="BB162" s="518"/>
      <c r="BC162" s="518"/>
      <c r="BD162" s="518"/>
      <c r="BE162" s="518"/>
      <c r="BF162" s="518"/>
      <c r="BG162" s="518"/>
      <c r="BH162" s="518"/>
      <c r="BI162" s="1337">
        <f t="shared" si="644"/>
        <v>0</v>
      </c>
      <c r="BJ162" s="518">
        <v>1</v>
      </c>
      <c r="BK162" s="1338"/>
      <c r="BL162" s="518"/>
      <c r="BM162" s="518">
        <f>IF(YEAR('3 pr-2'!$AJ162)=2017,$BJ162,0)</f>
        <v>0</v>
      </c>
      <c r="BN162" s="518">
        <f>IF(YEAR('3 pr-2'!$AJ162)=2018,$BJ162,0)</f>
        <v>0</v>
      </c>
      <c r="BO162" s="518">
        <f>IF(YEAR('3 pr-2'!$AJ162)=2019,$BJ162,0)</f>
        <v>1</v>
      </c>
      <c r="BP162" s="518">
        <f>IF(YEAR('3 pr-2'!$AJ162)=2020,$BJ162,0)</f>
        <v>0</v>
      </c>
      <c r="BQ162" s="518">
        <f>IF(YEAR('3 pr-2'!$AJ162)=2021,$BJ162,0)</f>
        <v>0</v>
      </c>
      <c r="BR162" s="518">
        <f>IF(YEAR('3 pr-2'!$AJ162)=2022,$BJ162,0)</f>
        <v>0</v>
      </c>
      <c r="BS162" s="518">
        <f>IF(YEAR('3 pr-2'!$AJ162)=2023,$BJ162,0)</f>
        <v>0</v>
      </c>
      <c r="BT162" s="523"/>
      <c r="BU162" s="881"/>
      <c r="BV162" s="518"/>
      <c r="BW162" s="518"/>
      <c r="BX162" s="518"/>
      <c r="BY162" s="518"/>
      <c r="BZ162" s="518"/>
      <c r="CA162" s="518"/>
      <c r="CB162" s="518"/>
      <c r="CC162" s="1337">
        <f t="shared" si="652"/>
        <v>0</v>
      </c>
      <c r="CD162" s="518"/>
      <c r="CE162" s="518"/>
      <c r="CF162" s="518"/>
      <c r="CG162" s="518">
        <f>IF(YEAR('3 pr-2'!$AJ162)=2017,$CD162,0)</f>
        <v>0</v>
      </c>
      <c r="CH162" s="518">
        <f>IF(YEAR('3 pr-2'!$AJ162)=2018,$CD162,0)</f>
        <v>0</v>
      </c>
      <c r="CI162" s="518">
        <f>IF(YEAR('3 pr-2'!$AJ162)=2019,$CD162,0)</f>
        <v>0</v>
      </c>
      <c r="CJ162" s="518">
        <f>IF(YEAR('3 pr-2'!$AJ162)=2020,$CD162,0)</f>
        <v>0</v>
      </c>
      <c r="CK162" s="518">
        <f>IF(YEAR('3 pr-2'!$AJ162)=2021,$CD162,0)</f>
        <v>0</v>
      </c>
      <c r="CL162" s="518">
        <f>IF(YEAR('3 pr-2'!$AJ162)=2022,$CD162,0)</f>
        <v>0</v>
      </c>
      <c r="CM162" s="518">
        <f>IF(YEAR('3 pr-2'!$AJ162)=2023,$CD162,0)</f>
        <v>0</v>
      </c>
      <c r="CN162" s="523"/>
      <c r="CO162" s="882"/>
      <c r="CP162" s="518"/>
      <c r="CQ162" s="518"/>
      <c r="CR162" s="518"/>
      <c r="CS162" s="518"/>
      <c r="CT162" s="518"/>
      <c r="CU162" s="518"/>
      <c r="CV162" s="518"/>
      <c r="CW162" s="1337">
        <f t="shared" si="659"/>
        <v>0</v>
      </c>
      <c r="CX162" s="524"/>
      <c r="CY162" s="504"/>
      <c r="CZ162" s="504"/>
      <c r="DA162" s="1332">
        <f>IF(YEAR('3 pr-2'!AJ162)=2017,CX162,0)</f>
        <v>0</v>
      </c>
      <c r="DB162" s="1332">
        <f>IF(YEAR('3 pr-2'!AJ162)=2018,CX162,0)</f>
        <v>0</v>
      </c>
      <c r="DC162" s="1332">
        <f>IF(YEAR('3 pr-2'!AJ162)=2019,CX162,0)</f>
        <v>0</v>
      </c>
      <c r="DD162" s="1332">
        <f>IF(YEAR('3 pr-2'!AJ162)=2020,CX162,0)</f>
        <v>0</v>
      </c>
      <c r="DE162" s="1332">
        <f>IF(YEAR('3 pr-2'!AJ162)=2021,CX162,0)</f>
        <v>0</v>
      </c>
      <c r="DF162" s="1332">
        <f>IF(YEAR('3 pr-2'!AJ162)=2022,CX162,0)</f>
        <v>0</v>
      </c>
      <c r="DG162" s="1332">
        <f>IF(YEAR('3 pr-2'!AJ162)=2023,CX162,0)</f>
        <v>0</v>
      </c>
    </row>
    <row r="163" spans="1:111" ht="85.5" thickTop="1" thickBot="1" x14ac:dyDescent="0.3">
      <c r="A163" s="518" t="str">
        <f>CONCATENATE('3 pr-2'!A163)</f>
        <v>2.1.4.1.2</v>
      </c>
      <c r="B163" s="518" t="str">
        <f>CONCATENATE('3 pr-2'!B163)</f>
        <v>R01-9920-490000-2412</v>
      </c>
      <c r="C163" s="1449" t="str">
        <f>CONCATENATE('ketv. 2lent'!B161)</f>
        <v/>
      </c>
      <c r="D163" s="480" t="str">
        <f>CONCATENATE('3 pr-2'!D163)</f>
        <v>Paslaugų ir asmenų aptarnavimo kokybės gerinimas Alytaus rajono savivaldybėje</v>
      </c>
      <c r="E163" s="480" t="str">
        <f>CONCATENATE('3 pr-2'!E163)</f>
        <v>Alytaus rajono savivaldybės administracija</v>
      </c>
      <c r="F163" s="480" t="str">
        <f>CONCATENATE('3 pr-2'!F163)</f>
        <v>Lietuvos Respublikos vidaus reikalų ministerija</v>
      </c>
      <c r="G163" s="480" t="str">
        <f>CONCATENATE('3 pr-2'!G163)</f>
        <v>Alytaus  rajono savivaldybė</v>
      </c>
      <c r="H163" s="518" t="str">
        <f>CONCATENATE('3 pr-2'!H163)</f>
        <v>10.1.3-ESFA-R-920</v>
      </c>
      <c r="I163" s="518" t="str">
        <f>CONCATENATE('3 pr-2'!I163)</f>
        <v>R</v>
      </c>
      <c r="J163" s="518" t="str">
        <f>CONCATENATE('3 pr-2'!J163)</f>
        <v>-</v>
      </c>
      <c r="K163" s="518" t="str">
        <f>CONCATENATE('3 pr-2'!K163)</f>
        <v>-</v>
      </c>
      <c r="L163" s="518" t="s">
        <v>557</v>
      </c>
      <c r="M163" s="881" t="s">
        <v>563</v>
      </c>
      <c r="N163" s="518"/>
      <c r="O163" s="518"/>
      <c r="P163" s="518"/>
      <c r="Q163" s="518"/>
      <c r="R163" s="518"/>
      <c r="S163" s="518"/>
      <c r="T163" s="518"/>
      <c r="U163" s="1335">
        <f t="shared" si="628"/>
        <v>0</v>
      </c>
      <c r="V163" s="518">
        <v>2</v>
      </c>
      <c r="W163" s="1336">
        <f>IF('ketv. 6 lent'!K162&gt;0,"taip",0)</f>
        <v>0</v>
      </c>
      <c r="X163" s="518"/>
      <c r="Y163" s="518">
        <f>IF(YEAR('3 pr-2'!$AJ163)=2017,$V163,0)</f>
        <v>0</v>
      </c>
      <c r="Z163" s="518">
        <f>IF(YEAR('3 pr-2'!$AJ163)=2018,$V163,0)</f>
        <v>0</v>
      </c>
      <c r="AA163" s="518">
        <f>IF(YEAR('3 pr-2'!$AJ163)=2019,$V163,0)</f>
        <v>0</v>
      </c>
      <c r="AB163" s="518">
        <f>IF(YEAR('3 pr-2'!$AJ163)=2020,$V163,0)</f>
        <v>0</v>
      </c>
      <c r="AC163" s="518">
        <f>IF(YEAR('3 pr-2'!$AJ163)=2021,$V163,0)</f>
        <v>2</v>
      </c>
      <c r="AD163" s="518">
        <f>IF(YEAR('3 pr-2'!$AJ163)=2022,$V163,0)</f>
        <v>0</v>
      </c>
      <c r="AE163" s="518">
        <f>IF(YEAR('3 pr-2'!$AJ163)=2023,$V163,0)</f>
        <v>0</v>
      </c>
      <c r="AF163" s="523" t="s">
        <v>559</v>
      </c>
      <c r="AG163" s="881" t="s">
        <v>560</v>
      </c>
      <c r="AH163" s="518"/>
      <c r="AI163" s="518"/>
      <c r="AJ163" s="518"/>
      <c r="AK163" s="518"/>
      <c r="AL163" s="518"/>
      <c r="AM163" s="518"/>
      <c r="AN163" s="518"/>
      <c r="AO163" s="1337">
        <f t="shared" si="636"/>
        <v>0</v>
      </c>
      <c r="AP163" s="518">
        <v>20</v>
      </c>
      <c r="AQ163" s="1338"/>
      <c r="AR163" s="518"/>
      <c r="AS163" s="518">
        <f>IF(YEAR('3 pr-2'!$AJ163)=2017,$AP163,0)</f>
        <v>0</v>
      </c>
      <c r="AT163" s="518">
        <f>IF(YEAR('3 pr-2'!$AJ163)=2018,$AP163,0)</f>
        <v>0</v>
      </c>
      <c r="AU163" s="518">
        <f>IF(YEAR('3 pr-2'!$AJ163)=2019,$AP163,0)</f>
        <v>0</v>
      </c>
      <c r="AV163" s="518">
        <f>IF(YEAR('3 pr-2'!$AJ163)=2020,$AP163,0)</f>
        <v>0</v>
      </c>
      <c r="AW163" s="518">
        <f>IF(YEAR('3 pr-2'!$AJ163)=2021,$AP163,0)</f>
        <v>20</v>
      </c>
      <c r="AX163" s="518">
        <f>IF(YEAR('3 pr-2'!$AJ163)=2022,$AP163,0)</f>
        <v>0</v>
      </c>
      <c r="AY163" s="518">
        <f>IF(YEAR('3 pr-2'!$AJ163)=2023,$AP163,0)</f>
        <v>0</v>
      </c>
      <c r="AZ163" s="518" t="s">
        <v>561</v>
      </c>
      <c r="BA163" s="894" t="s">
        <v>562</v>
      </c>
      <c r="BB163" s="518"/>
      <c r="BC163" s="518"/>
      <c r="BD163" s="518"/>
      <c r="BE163" s="518"/>
      <c r="BF163" s="518"/>
      <c r="BG163" s="518"/>
      <c r="BH163" s="518"/>
      <c r="BI163" s="1337">
        <f t="shared" ref="BI163" si="660">SUM(BB163:BH163)</f>
        <v>0</v>
      </c>
      <c r="BJ163" s="518">
        <v>1</v>
      </c>
      <c r="BK163" s="1338"/>
      <c r="BL163" s="518"/>
      <c r="BM163" s="518">
        <f>IF(YEAR('3 pr-2'!$AJ163)=2017,$BJ163,0)</f>
        <v>0</v>
      </c>
      <c r="BN163" s="518">
        <f>IF(YEAR('3 pr-2'!$AJ163)=2018,$BJ163,0)</f>
        <v>0</v>
      </c>
      <c r="BO163" s="518">
        <f>IF(YEAR('3 pr-2'!$AJ163)=2019,$BJ163,0)</f>
        <v>0</v>
      </c>
      <c r="BP163" s="518">
        <f>IF(YEAR('3 pr-2'!$AJ163)=2020,$BJ163,0)</f>
        <v>0</v>
      </c>
      <c r="BQ163" s="518">
        <f>IF(YEAR('3 pr-2'!$AJ163)=2021,$BJ163,0)</f>
        <v>1</v>
      </c>
      <c r="BR163" s="518">
        <f>IF(YEAR('3 pr-2'!$AJ163)=2022,$BJ163,0)</f>
        <v>0</v>
      </c>
      <c r="BS163" s="518">
        <f>IF(YEAR('3 pr-2'!$AJ163)=2023,$BJ163,0)</f>
        <v>0</v>
      </c>
      <c r="BT163" s="523"/>
      <c r="BU163" s="881"/>
      <c r="BV163" s="518"/>
      <c r="BW163" s="518"/>
      <c r="BX163" s="518"/>
      <c r="BY163" s="518"/>
      <c r="BZ163" s="518"/>
      <c r="CA163" s="518"/>
      <c r="CB163" s="518"/>
      <c r="CC163" s="1337">
        <f t="shared" si="652"/>
        <v>0</v>
      </c>
      <c r="CD163" s="518"/>
      <c r="CE163" s="518"/>
      <c r="CF163" s="518"/>
      <c r="CG163" s="518">
        <f>IF(YEAR('3 pr-2'!$AJ163)=2017,$CD163,0)</f>
        <v>0</v>
      </c>
      <c r="CH163" s="518">
        <f>IF(YEAR('3 pr-2'!$AJ163)=2018,$CD163,0)</f>
        <v>0</v>
      </c>
      <c r="CI163" s="518">
        <f>IF(YEAR('3 pr-2'!$AJ163)=2019,$CD163,0)</f>
        <v>0</v>
      </c>
      <c r="CJ163" s="518">
        <f>IF(YEAR('3 pr-2'!$AJ163)=2020,$CD163,0)</f>
        <v>0</v>
      </c>
      <c r="CK163" s="518">
        <f>IF(YEAR('3 pr-2'!$AJ163)=2021,$CD163,0)</f>
        <v>0</v>
      </c>
      <c r="CL163" s="518">
        <f>IF(YEAR('3 pr-2'!$AJ163)=2022,$CD163,0)</f>
        <v>0</v>
      </c>
      <c r="CM163" s="518">
        <f>IF(YEAR('3 pr-2'!$AJ163)=2023,$CD163,0)</f>
        <v>0</v>
      </c>
      <c r="CN163" s="523"/>
      <c r="CO163" s="882"/>
      <c r="CP163" s="518"/>
      <c r="CQ163" s="518"/>
      <c r="CR163" s="518"/>
      <c r="CS163" s="518"/>
      <c r="CT163" s="518"/>
      <c r="CU163" s="518"/>
      <c r="CV163" s="518"/>
      <c r="CW163" s="1337">
        <f t="shared" si="659"/>
        <v>0</v>
      </c>
      <c r="CX163" s="524"/>
      <c r="CY163" s="504"/>
      <c r="CZ163" s="504"/>
      <c r="DA163" s="1332">
        <f>IF(YEAR('3 pr-2'!AJ163)=2017,CX163,0)</f>
        <v>0</v>
      </c>
      <c r="DB163" s="1332">
        <f>IF(YEAR('3 pr-2'!AJ163)=2018,CX163,0)</f>
        <v>0</v>
      </c>
      <c r="DC163" s="1332">
        <f>IF(YEAR('3 pr-2'!AJ163)=2019,CX163,0)</f>
        <v>0</v>
      </c>
      <c r="DD163" s="1332">
        <f>IF(YEAR('3 pr-2'!AJ163)=2020,CX163,0)</f>
        <v>0</v>
      </c>
      <c r="DE163" s="1332">
        <f>IF(YEAR('3 pr-2'!AJ163)=2021,CX163,0)</f>
        <v>0</v>
      </c>
      <c r="DF163" s="1332">
        <f>IF(YEAR('3 pr-2'!AJ163)=2022,CX163,0)</f>
        <v>0</v>
      </c>
      <c r="DG163" s="1332">
        <f>IF(YEAR('3 pr-2'!AJ163)=2023,CX163,0)</f>
        <v>0</v>
      </c>
    </row>
    <row r="164" spans="1:111" ht="85.5" thickTop="1" thickBot="1" x14ac:dyDescent="0.3">
      <c r="A164" s="518" t="str">
        <f>CONCATENATE('3 pr-2'!A164)</f>
        <v>2.1.4.1.3</v>
      </c>
      <c r="B164" s="518" t="str">
        <f>CONCATENATE('3 pr-2'!B164)</f>
        <v>R01-9920-490000-2413</v>
      </c>
      <c r="C164" s="1449" t="str">
        <f>CONCATENATE('ketv. 2lent'!B162)</f>
        <v>10.1.3-ESFA-R-920-11-0003</v>
      </c>
      <c r="D164" s="480" t="str">
        <f>CONCATENATE('3 pr-2'!D164)</f>
        <v>Lazdijų rajono savivaldybės administracijos ir jos viešojo valdymo institucijų teikiamų paslaugų procesų tobulinimas</v>
      </c>
      <c r="E164" s="480" t="str">
        <f>CONCATENATE('3 pr-2'!E164)</f>
        <v>Lazdijų rajono savivaldybės administracija</v>
      </c>
      <c r="F164" s="480" t="str">
        <f>CONCATENATE('3 pr-2'!F164)</f>
        <v>Lietuvos Respublikos vidaus reikalų ministerija</v>
      </c>
      <c r="G164" s="480" t="str">
        <f>CONCATENATE('3 pr-2'!G164)</f>
        <v>Lazdijų rajono savivaldybė</v>
      </c>
      <c r="H164" s="518" t="str">
        <f>CONCATENATE('3 pr-2'!H164)</f>
        <v>10.1.3-ESFA-R-920</v>
      </c>
      <c r="I164" s="518" t="str">
        <f>CONCATENATE('3 pr-2'!I164)</f>
        <v>R</v>
      </c>
      <c r="J164" s="518" t="str">
        <f>CONCATENATE('3 pr-2'!J164)</f>
        <v>-</v>
      </c>
      <c r="K164" s="518" t="str">
        <f>CONCATENATE('3 pr-2'!K164)</f>
        <v>-</v>
      </c>
      <c r="L164" s="518" t="s">
        <v>557</v>
      </c>
      <c r="M164" s="881" t="s">
        <v>558</v>
      </c>
      <c r="N164" s="518"/>
      <c r="O164" s="518"/>
      <c r="P164" s="518"/>
      <c r="Q164" s="518"/>
      <c r="R164" s="518"/>
      <c r="S164" s="518"/>
      <c r="T164" s="518"/>
      <c r="U164" s="1335">
        <f t="shared" si="628"/>
        <v>0</v>
      </c>
      <c r="V164" s="518">
        <v>2</v>
      </c>
      <c r="W164" s="1336">
        <f>IF('ketv. 6 lent'!K163&gt;0,"taip",0)</f>
        <v>0</v>
      </c>
      <c r="X164" s="518"/>
      <c r="Y164" s="518">
        <f>IF(YEAR('3 pr-2'!$AJ164)=2017,$V164,0)</f>
        <v>0</v>
      </c>
      <c r="Z164" s="518">
        <f>IF(YEAR('3 pr-2'!$AJ164)=2018,$V164,0)</f>
        <v>0</v>
      </c>
      <c r="AA164" s="518">
        <f>IF(YEAR('3 pr-2'!$AJ164)=2019,$V164,0)</f>
        <v>0</v>
      </c>
      <c r="AB164" s="518">
        <f>IF(YEAR('3 pr-2'!$AJ164)=2020,$V164,0)</f>
        <v>2</v>
      </c>
      <c r="AC164" s="518">
        <f>IF(YEAR('3 pr-2'!$AJ164)=2021,$V164,0)</f>
        <v>0</v>
      </c>
      <c r="AD164" s="518">
        <f>IF(YEAR('3 pr-2'!$AJ164)=2022,$V164,0)</f>
        <v>0</v>
      </c>
      <c r="AE164" s="518">
        <f>IF(YEAR('3 pr-2'!$AJ164)=2023,$V164,0)</f>
        <v>0</v>
      </c>
      <c r="AF164" s="523" t="s">
        <v>559</v>
      </c>
      <c r="AG164" s="881" t="s">
        <v>560</v>
      </c>
      <c r="AH164" s="518"/>
      <c r="AI164" s="518"/>
      <c r="AJ164" s="518"/>
      <c r="AK164" s="518"/>
      <c r="AL164" s="518"/>
      <c r="AM164" s="518"/>
      <c r="AN164" s="518"/>
      <c r="AO164" s="1337">
        <f t="shared" si="636"/>
        <v>0</v>
      </c>
      <c r="AP164" s="518">
        <v>60</v>
      </c>
      <c r="AQ164" s="1338"/>
      <c r="AR164" s="518"/>
      <c r="AS164" s="518">
        <f>IF(YEAR('3 pr-2'!$AJ164)=2017,$AP164,0)</f>
        <v>0</v>
      </c>
      <c r="AT164" s="518">
        <f>IF(YEAR('3 pr-2'!$AJ164)=2018,$AP164,0)</f>
        <v>0</v>
      </c>
      <c r="AU164" s="518">
        <f>IF(YEAR('3 pr-2'!$AJ164)=2019,$AP164,0)</f>
        <v>0</v>
      </c>
      <c r="AV164" s="518">
        <f>IF(YEAR('3 pr-2'!$AJ164)=2020,$AP164,0)</f>
        <v>60</v>
      </c>
      <c r="AW164" s="518">
        <f>IF(YEAR('3 pr-2'!$AJ164)=2021,$AP164,0)</f>
        <v>0</v>
      </c>
      <c r="AX164" s="518">
        <f>IF(YEAR('3 pr-2'!$AJ164)=2022,$AP164,0)</f>
        <v>0</v>
      </c>
      <c r="AY164" s="518">
        <f>IF(YEAR('3 pr-2'!$AJ164)=2023,$AP164,0)</f>
        <v>0</v>
      </c>
      <c r="AZ164" s="518"/>
      <c r="BA164" s="880"/>
      <c r="BB164" s="518"/>
      <c r="BC164" s="518"/>
      <c r="BD164" s="518"/>
      <c r="BE164" s="518"/>
      <c r="BF164" s="518"/>
      <c r="BG164" s="518"/>
      <c r="BH164" s="518"/>
      <c r="BI164" s="1337">
        <f t="shared" si="644"/>
        <v>0</v>
      </c>
      <c r="BJ164" s="518"/>
      <c r="BK164" s="1338"/>
      <c r="BL164" s="518"/>
      <c r="BM164" s="518">
        <f>IF(YEAR('3 pr-2'!$AJ164)=2017,$BJ164,0)</f>
        <v>0</v>
      </c>
      <c r="BN164" s="518">
        <f>IF(YEAR('3 pr-2'!$AJ164)=2018,$BJ164,0)</f>
        <v>0</v>
      </c>
      <c r="BO164" s="518">
        <f>IF(YEAR('3 pr-2'!$AJ164)=2019,$BJ164,0)</f>
        <v>0</v>
      </c>
      <c r="BP164" s="518">
        <f>IF(YEAR('3 pr-2'!$AJ164)=2020,$BJ164,0)</f>
        <v>0</v>
      </c>
      <c r="BQ164" s="518">
        <f>IF(YEAR('3 pr-2'!$AJ164)=2021,$BJ164,0)</f>
        <v>0</v>
      </c>
      <c r="BR164" s="518">
        <f>IF(YEAR('3 pr-2'!$AJ164)=2022,$BJ164,0)</f>
        <v>0</v>
      </c>
      <c r="BS164" s="518">
        <f>IF(YEAR('3 pr-2'!$AJ164)=2023,$BJ164,0)</f>
        <v>0</v>
      </c>
      <c r="BT164" s="523"/>
      <c r="BU164" s="881"/>
      <c r="BV164" s="518"/>
      <c r="BW164" s="518"/>
      <c r="BX164" s="518"/>
      <c r="BY164" s="518"/>
      <c r="BZ164" s="518"/>
      <c r="CA164" s="518"/>
      <c r="CB164" s="518"/>
      <c r="CC164" s="1337">
        <f t="shared" si="652"/>
        <v>0</v>
      </c>
      <c r="CD164" s="518"/>
      <c r="CE164" s="518"/>
      <c r="CF164" s="518"/>
      <c r="CG164" s="518">
        <f>IF(YEAR('3 pr-2'!$AJ164)=2017,$CD164,0)</f>
        <v>0</v>
      </c>
      <c r="CH164" s="518">
        <f>IF(YEAR('3 pr-2'!$AJ164)=2018,$CD164,0)</f>
        <v>0</v>
      </c>
      <c r="CI164" s="518">
        <f>IF(YEAR('3 pr-2'!$AJ164)=2019,$CD164,0)</f>
        <v>0</v>
      </c>
      <c r="CJ164" s="518">
        <f>IF(YEAR('3 pr-2'!$AJ164)=2020,$CD164,0)</f>
        <v>0</v>
      </c>
      <c r="CK164" s="518">
        <f>IF(YEAR('3 pr-2'!$AJ164)=2021,$CD164,0)</f>
        <v>0</v>
      </c>
      <c r="CL164" s="518">
        <f>IF(YEAR('3 pr-2'!$AJ164)=2022,$CD164,0)</f>
        <v>0</v>
      </c>
      <c r="CM164" s="518">
        <f>IF(YEAR('3 pr-2'!$AJ164)=2023,$CD164,0)</f>
        <v>0</v>
      </c>
      <c r="CN164" s="523"/>
      <c r="CO164" s="882"/>
      <c r="CP164" s="518"/>
      <c r="CQ164" s="518"/>
      <c r="CR164" s="518"/>
      <c r="CS164" s="518"/>
      <c r="CT164" s="518"/>
      <c r="CU164" s="518"/>
      <c r="CV164" s="518"/>
      <c r="CW164" s="1337">
        <f t="shared" si="659"/>
        <v>0</v>
      </c>
      <c r="CX164" s="524"/>
      <c r="CY164" s="504"/>
      <c r="CZ164" s="504"/>
      <c r="DA164" s="1332">
        <f>IF(YEAR('3 pr-2'!AJ164)=2017,CX164,0)</f>
        <v>0</v>
      </c>
      <c r="DB164" s="1332">
        <f>IF(YEAR('3 pr-2'!AJ164)=2018,CX164,0)</f>
        <v>0</v>
      </c>
      <c r="DC164" s="1332">
        <f>IF(YEAR('3 pr-2'!AJ164)=2019,CX164,0)</f>
        <v>0</v>
      </c>
      <c r="DD164" s="1332">
        <f>IF(YEAR('3 pr-2'!AJ164)=2020,CX164,0)</f>
        <v>0</v>
      </c>
      <c r="DE164" s="1332">
        <f>IF(YEAR('3 pr-2'!AJ164)=2021,CX164,0)</f>
        <v>0</v>
      </c>
      <c r="DF164" s="1332">
        <f>IF(YEAR('3 pr-2'!AJ164)=2022,CX164,0)</f>
        <v>0</v>
      </c>
      <c r="DG164" s="1332">
        <f>IF(YEAR('3 pr-2'!AJ164)=2023,CX164,0)</f>
        <v>0</v>
      </c>
    </row>
    <row r="165" spans="1:111" ht="109.5" thickTop="1" thickBot="1" x14ac:dyDescent="0.3">
      <c r="A165" s="518" t="str">
        <f>CONCATENATE('3 pr-2'!A165)</f>
        <v>2.1.4.1.4</v>
      </c>
      <c r="B165" s="518" t="str">
        <f>CONCATENATE('3 pr-2'!B165)</f>
        <v>R01-9920-490000-2414</v>
      </c>
      <c r="C165" s="1449" t="str">
        <f>CONCATENATE('ketv. 2lent'!B163)</f>
        <v/>
      </c>
      <c r="D165" s="480" t="str">
        <f>CONCATENATE('3 pr-2'!D165)</f>
        <v>Teikiamų paslaugų procesų tobulinimas ir asmenų aptarnavimo kokybės gerinimas Alytaus miesto savivaldybės administracijoje ir jai pavaldžiose įstaigose. I etapas</v>
      </c>
      <c r="E165" s="480" t="str">
        <f>CONCATENATE('3 pr-2'!E165)</f>
        <v>Alytaus miesto savivaldybės administracija</v>
      </c>
      <c r="F165" s="480" t="str">
        <f>CONCATENATE('3 pr-2'!F165)</f>
        <v>Lietuvos Respublikos vidaus reikalų ministerija</v>
      </c>
      <c r="G165" s="480" t="str">
        <f>CONCATENATE('3 pr-2'!G165)</f>
        <v>Alytaus miestas</v>
      </c>
      <c r="H165" s="518" t="str">
        <f>CONCATENATE('3 pr-2'!H165)</f>
        <v>10.1.3-ESFA-R-920</v>
      </c>
      <c r="I165" s="518" t="str">
        <f>CONCATENATE('3 pr-2'!I165)</f>
        <v>R</v>
      </c>
      <c r="J165" s="518" t="str">
        <f>CONCATENATE('3 pr-2'!J165)</f>
        <v>-</v>
      </c>
      <c r="K165" s="518" t="str">
        <f>CONCATENATE('3 pr-2'!K165)</f>
        <v>-</v>
      </c>
      <c r="L165" s="518" t="s">
        <v>557</v>
      </c>
      <c r="M165" s="881" t="s">
        <v>558</v>
      </c>
      <c r="N165" s="518"/>
      <c r="O165" s="518"/>
      <c r="P165" s="518"/>
      <c r="Q165" s="518"/>
      <c r="R165" s="518"/>
      <c r="S165" s="518"/>
      <c r="T165" s="518"/>
      <c r="U165" s="1335">
        <f t="shared" si="628"/>
        <v>0</v>
      </c>
      <c r="V165" s="518">
        <v>38</v>
      </c>
      <c r="W165" s="1336">
        <f>IF('ketv. 6 lent'!K164&gt;0,"taip",0)</f>
        <v>0</v>
      </c>
      <c r="X165" s="518"/>
      <c r="Y165" s="518">
        <f>IF(YEAR('3 pr-2'!$AJ165)=2017,$V165,0)</f>
        <v>0</v>
      </c>
      <c r="Z165" s="518">
        <f>IF(YEAR('3 pr-2'!$AJ165)=2018,$V165,0)</f>
        <v>0</v>
      </c>
      <c r="AA165" s="518">
        <f>IF(YEAR('3 pr-2'!$AJ165)=2019,$V165,0)</f>
        <v>38</v>
      </c>
      <c r="AB165" s="518">
        <f>IF(YEAR('3 pr-2'!$AJ165)=2020,$V165,0)</f>
        <v>0</v>
      </c>
      <c r="AC165" s="518">
        <f>IF(YEAR('3 pr-2'!$AJ165)=2021,$V165,0)</f>
        <v>0</v>
      </c>
      <c r="AD165" s="518">
        <f>IF(YEAR('3 pr-2'!$AJ165)=2022,$V165,0)</f>
        <v>0</v>
      </c>
      <c r="AE165" s="518">
        <f>IF(YEAR('3 pr-2'!$AJ165)=2023,$V165,0)</f>
        <v>0</v>
      </c>
      <c r="AF165" s="523" t="s">
        <v>559</v>
      </c>
      <c r="AG165" s="881" t="s">
        <v>560</v>
      </c>
      <c r="AH165" s="518"/>
      <c r="AI165" s="518"/>
      <c r="AJ165" s="518"/>
      <c r="AK165" s="518"/>
      <c r="AL165" s="518"/>
      <c r="AM165" s="518"/>
      <c r="AN165" s="518"/>
      <c r="AO165" s="1337">
        <f t="shared" si="636"/>
        <v>0</v>
      </c>
      <c r="AP165" s="518">
        <v>140</v>
      </c>
      <c r="AQ165" s="1338"/>
      <c r="AR165" s="518"/>
      <c r="AS165" s="518">
        <f>IF(YEAR('3 pr-2'!$AJ165)=2017,$AP165,0)</f>
        <v>0</v>
      </c>
      <c r="AT165" s="518">
        <f>IF(YEAR('3 pr-2'!$AJ165)=2018,$AP165,0)</f>
        <v>0</v>
      </c>
      <c r="AU165" s="518">
        <f>IF(YEAR('3 pr-2'!$AJ165)=2019,$AP165,0)</f>
        <v>140</v>
      </c>
      <c r="AV165" s="518">
        <f>IF(YEAR('3 pr-2'!$AJ165)=2020,$AP165,0)</f>
        <v>0</v>
      </c>
      <c r="AW165" s="518">
        <f>IF(YEAR('3 pr-2'!$AJ165)=2021,$AP165,0)</f>
        <v>0</v>
      </c>
      <c r="AX165" s="518">
        <f>IF(YEAR('3 pr-2'!$AJ165)=2022,$AP165,0)</f>
        <v>0</v>
      </c>
      <c r="AY165" s="518">
        <f>IF(YEAR('3 pr-2'!$AJ165)=2023,$AP165,0)</f>
        <v>0</v>
      </c>
      <c r="AZ165" s="518" t="s">
        <v>833</v>
      </c>
      <c r="BA165" s="894" t="s">
        <v>562</v>
      </c>
      <c r="BB165" s="518"/>
      <c r="BC165" s="518"/>
      <c r="BD165" s="518"/>
      <c r="BE165" s="518"/>
      <c r="BF165" s="518"/>
      <c r="BG165" s="518"/>
      <c r="BH165" s="518"/>
      <c r="BI165" s="1337">
        <f t="shared" si="644"/>
        <v>0</v>
      </c>
      <c r="BJ165" s="518">
        <v>1</v>
      </c>
      <c r="BK165" s="1338"/>
      <c r="BL165" s="518"/>
      <c r="BM165" s="518">
        <f>IF(YEAR('3 pr-2'!$AJ165)=2017,$BJ165,0)</f>
        <v>0</v>
      </c>
      <c r="BN165" s="518">
        <f>IF(YEAR('3 pr-2'!$AJ165)=2018,$BJ165,0)</f>
        <v>0</v>
      </c>
      <c r="BO165" s="518">
        <f>IF(YEAR('3 pr-2'!$AJ165)=2019,$BJ165,0)</f>
        <v>1</v>
      </c>
      <c r="BP165" s="518">
        <f>IF(YEAR('3 pr-2'!$AJ165)=2020,$BJ165,0)</f>
        <v>0</v>
      </c>
      <c r="BQ165" s="518">
        <f>IF(YEAR('3 pr-2'!$AJ165)=2021,$BJ165,0)</f>
        <v>0</v>
      </c>
      <c r="BR165" s="518">
        <f>IF(YEAR('3 pr-2'!$AJ165)=2022,$BJ165,0)</f>
        <v>0</v>
      </c>
      <c r="BS165" s="518">
        <f>IF(YEAR('3 pr-2'!$AJ165)=2023,$BJ165,0)</f>
        <v>0</v>
      </c>
      <c r="BT165" s="523"/>
      <c r="BU165" s="881"/>
      <c r="BV165" s="518"/>
      <c r="BW165" s="518"/>
      <c r="BX165" s="518"/>
      <c r="BY165" s="518"/>
      <c r="BZ165" s="518"/>
      <c r="CA165" s="518"/>
      <c r="CB165" s="518"/>
      <c r="CC165" s="1337">
        <f t="shared" si="652"/>
        <v>0</v>
      </c>
      <c r="CD165" s="518"/>
      <c r="CE165" s="518"/>
      <c r="CF165" s="518"/>
      <c r="CG165" s="518">
        <f>IF(YEAR('3 pr-2'!$AJ165)=2017,$CD165,0)</f>
        <v>0</v>
      </c>
      <c r="CH165" s="518">
        <f>IF(YEAR('3 pr-2'!$AJ165)=2018,$CD165,0)</f>
        <v>0</v>
      </c>
      <c r="CI165" s="518">
        <f>IF(YEAR('3 pr-2'!$AJ165)=2019,$CD165,0)</f>
        <v>0</v>
      </c>
      <c r="CJ165" s="518">
        <f>IF(YEAR('3 pr-2'!$AJ165)=2020,$CD165,0)</f>
        <v>0</v>
      </c>
      <c r="CK165" s="518">
        <f>IF(YEAR('3 pr-2'!$AJ165)=2021,$CD165,0)</f>
        <v>0</v>
      </c>
      <c r="CL165" s="518">
        <f>IF(YEAR('3 pr-2'!$AJ165)=2022,$CD165,0)</f>
        <v>0</v>
      </c>
      <c r="CM165" s="518">
        <f>IF(YEAR('3 pr-2'!$AJ165)=2023,$CD165,0)</f>
        <v>0</v>
      </c>
      <c r="CN165" s="523"/>
      <c r="CO165" s="882"/>
      <c r="CP165" s="518"/>
      <c r="CQ165" s="518"/>
      <c r="CR165" s="518"/>
      <c r="CS165" s="518"/>
      <c r="CT165" s="518"/>
      <c r="CU165" s="518"/>
      <c r="CV165" s="518"/>
      <c r="CW165" s="1337">
        <f t="shared" si="659"/>
        <v>0</v>
      </c>
      <c r="CX165" s="524"/>
      <c r="CY165" s="504"/>
      <c r="CZ165" s="504"/>
      <c r="DA165" s="1332">
        <f>IF(YEAR('3 pr-2'!AJ165)=2017,CX165,0)</f>
        <v>0</v>
      </c>
      <c r="DB165" s="1332">
        <f>IF(YEAR('3 pr-2'!AJ165)=2018,CX165,0)</f>
        <v>0</v>
      </c>
      <c r="DC165" s="1332">
        <f>IF(YEAR('3 pr-2'!AJ165)=2019,CX165,0)</f>
        <v>0</v>
      </c>
      <c r="DD165" s="1332">
        <f>IF(YEAR('3 pr-2'!AJ165)=2020,CX165,0)</f>
        <v>0</v>
      </c>
      <c r="DE165" s="1332">
        <f>IF(YEAR('3 pr-2'!AJ165)=2021,CX165,0)</f>
        <v>0</v>
      </c>
      <c r="DF165" s="1332">
        <f>IF(YEAR('3 pr-2'!AJ165)=2022,CX165,0)</f>
        <v>0</v>
      </c>
      <c r="DG165" s="1332">
        <f>IF(YEAR('3 pr-2'!AJ165)=2023,CX165,0)</f>
        <v>0</v>
      </c>
    </row>
    <row r="166" spans="1:111" ht="85.5" thickTop="1" thickBot="1" x14ac:dyDescent="0.3">
      <c r="A166" s="518" t="str">
        <f>CONCATENATE('3 pr-2'!A166)</f>
        <v>2.1.4.1.5</v>
      </c>
      <c r="B166" s="518" t="str">
        <f>CONCATENATE('3 pr-2'!B166)</f>
        <v>R01-9920-490000-2415</v>
      </c>
      <c r="C166" s="1449" t="str">
        <f>CONCATENATE('ketv. 2lent'!B164)</f>
        <v/>
      </c>
      <c r="D166" s="480" t="str">
        <f>CONCATENATE('3 pr-2'!D166)</f>
        <v>Paslaugų teikimo ir asmenų aptarnavimo kokybės gerinimas Druskininkų savivaldybėje</v>
      </c>
      <c r="E166" s="480" t="str">
        <f>CONCATENATE('3 pr-2'!E166)</f>
        <v>Druskininkų savivaldybės administracija</v>
      </c>
      <c r="F166" s="480" t="str">
        <f>CONCATENATE('3 pr-2'!F166)</f>
        <v>Lietuvos Respublikos vidaus reikalų ministerija</v>
      </c>
      <c r="G166" s="480" t="str">
        <f>CONCATENATE('3 pr-2'!G166)</f>
        <v>Druskininkų savivaldybė</v>
      </c>
      <c r="H166" s="518" t="str">
        <f>CONCATENATE('3 pr-2'!H166)</f>
        <v>10.1.3-ESFA-R-920</v>
      </c>
      <c r="I166" s="518" t="str">
        <f>CONCATENATE('3 pr-2'!I166)</f>
        <v>R</v>
      </c>
      <c r="J166" s="518" t="str">
        <f>CONCATENATE('3 pr-2'!J166)</f>
        <v>-</v>
      </c>
      <c r="K166" s="518" t="str">
        <f>CONCATENATE('3 pr-2'!K166)</f>
        <v>-</v>
      </c>
      <c r="L166" s="518" t="s">
        <v>557</v>
      </c>
      <c r="M166" s="881" t="s">
        <v>558</v>
      </c>
      <c r="N166" s="518"/>
      <c r="O166" s="518"/>
      <c r="P166" s="518"/>
      <c r="Q166" s="518"/>
      <c r="R166" s="518"/>
      <c r="S166" s="518"/>
      <c r="T166" s="518"/>
      <c r="U166" s="1335">
        <f t="shared" si="628"/>
        <v>0</v>
      </c>
      <c r="V166" s="518">
        <v>2</v>
      </c>
      <c r="W166" s="1336">
        <f>IF('ketv. 6 lent'!K165&gt;0,"taip",0)</f>
        <v>0</v>
      </c>
      <c r="X166" s="518"/>
      <c r="Y166" s="518">
        <f>IF(YEAR('3 pr-2'!$AJ166)=2017,$V166,0)</f>
        <v>0</v>
      </c>
      <c r="Z166" s="518">
        <f>IF(YEAR('3 pr-2'!$AJ166)=2018,$V166,0)</f>
        <v>0</v>
      </c>
      <c r="AA166" s="518">
        <f>IF(YEAR('3 pr-2'!$AJ166)=2019,$V166,0)</f>
        <v>0</v>
      </c>
      <c r="AB166" s="518">
        <f>IF(YEAR('3 pr-2'!$AJ166)=2020,$V166,0)</f>
        <v>2</v>
      </c>
      <c r="AC166" s="518">
        <f>IF(YEAR('3 pr-2'!$AJ166)=2021,$V166,0)</f>
        <v>0</v>
      </c>
      <c r="AD166" s="518">
        <f>IF(YEAR('3 pr-2'!$AJ166)=2022,$V166,0)</f>
        <v>0</v>
      </c>
      <c r="AE166" s="518">
        <f>IF(YEAR('3 pr-2'!$AJ166)=2023,$V166,0)</f>
        <v>0</v>
      </c>
      <c r="AF166" s="523" t="s">
        <v>559</v>
      </c>
      <c r="AG166" s="881" t="s">
        <v>560</v>
      </c>
      <c r="AH166" s="518"/>
      <c r="AI166" s="518"/>
      <c r="AJ166" s="518"/>
      <c r="AK166" s="518"/>
      <c r="AL166" s="518"/>
      <c r="AM166" s="518"/>
      <c r="AN166" s="518"/>
      <c r="AO166" s="1337">
        <f t="shared" si="636"/>
        <v>0</v>
      </c>
      <c r="AP166" s="518">
        <v>15</v>
      </c>
      <c r="AQ166" s="1338"/>
      <c r="AR166" s="518"/>
      <c r="AS166" s="518">
        <f>IF(YEAR('3 pr-2'!$AJ166)=2017,$AP166,0)</f>
        <v>0</v>
      </c>
      <c r="AT166" s="518">
        <f>IF(YEAR('3 pr-2'!$AJ166)=2018,$AP166,0)</f>
        <v>0</v>
      </c>
      <c r="AU166" s="518">
        <f>IF(YEAR('3 pr-2'!$AJ166)=2019,$AP166,0)</f>
        <v>0</v>
      </c>
      <c r="AV166" s="518">
        <f>IF(YEAR('3 pr-2'!$AJ166)=2020,$AP166,0)</f>
        <v>15</v>
      </c>
      <c r="AW166" s="518">
        <f>IF(YEAR('3 pr-2'!$AJ166)=2021,$AP166,0)</f>
        <v>0</v>
      </c>
      <c r="AX166" s="518">
        <f>IF(YEAR('3 pr-2'!$AJ166)=2022,$AP166,0)</f>
        <v>0</v>
      </c>
      <c r="AY166" s="518">
        <f>IF(YEAR('3 pr-2'!$AJ166)=2023,$AP166,0)</f>
        <v>0</v>
      </c>
      <c r="AZ166" s="518"/>
      <c r="BA166" s="880"/>
      <c r="BB166" s="518"/>
      <c r="BC166" s="518"/>
      <c r="BD166" s="518"/>
      <c r="BE166" s="518"/>
      <c r="BF166" s="518"/>
      <c r="BG166" s="518"/>
      <c r="BH166" s="518"/>
      <c r="BI166" s="1337">
        <f t="shared" si="644"/>
        <v>0</v>
      </c>
      <c r="BJ166" s="518"/>
      <c r="BK166" s="1338"/>
      <c r="BL166" s="518"/>
      <c r="BM166" s="518">
        <f>IF(YEAR('3 pr-2'!$AJ166)=2017,$BJ166,0)</f>
        <v>0</v>
      </c>
      <c r="BN166" s="518">
        <f>IF(YEAR('3 pr-2'!$AJ166)=2018,$BJ166,0)</f>
        <v>0</v>
      </c>
      <c r="BO166" s="518">
        <f>IF(YEAR('3 pr-2'!$AJ166)=2019,$BJ166,0)</f>
        <v>0</v>
      </c>
      <c r="BP166" s="518">
        <f>IF(YEAR('3 pr-2'!$AJ166)=2020,$BJ166,0)</f>
        <v>0</v>
      </c>
      <c r="BQ166" s="518">
        <f>IF(YEAR('3 pr-2'!$AJ166)=2021,$BJ166,0)</f>
        <v>0</v>
      </c>
      <c r="BR166" s="518">
        <f>IF(YEAR('3 pr-2'!$AJ166)=2022,$BJ166,0)</f>
        <v>0</v>
      </c>
      <c r="BS166" s="518">
        <f>IF(YEAR('3 pr-2'!$AJ166)=2023,$BJ166,0)</f>
        <v>0</v>
      </c>
      <c r="BT166" s="523"/>
      <c r="BU166" s="881"/>
      <c r="BV166" s="518"/>
      <c r="BW166" s="518"/>
      <c r="BX166" s="518"/>
      <c r="BY166" s="518"/>
      <c r="BZ166" s="518"/>
      <c r="CA166" s="518"/>
      <c r="CB166" s="518"/>
      <c r="CC166" s="1337">
        <f t="shared" si="652"/>
        <v>0</v>
      </c>
      <c r="CD166" s="518"/>
      <c r="CE166" s="518"/>
      <c r="CF166" s="518"/>
      <c r="CG166" s="518">
        <f>IF(YEAR('3 pr-2'!$AJ166)=2017,$CD166,0)</f>
        <v>0</v>
      </c>
      <c r="CH166" s="518">
        <f>IF(YEAR('3 pr-2'!$AJ166)=2018,$CD166,0)</f>
        <v>0</v>
      </c>
      <c r="CI166" s="518">
        <f>IF(YEAR('3 pr-2'!$AJ166)=2019,$CD166,0)</f>
        <v>0</v>
      </c>
      <c r="CJ166" s="518">
        <f>IF(YEAR('3 pr-2'!$AJ166)=2020,$CD166,0)</f>
        <v>0</v>
      </c>
      <c r="CK166" s="518">
        <f>IF(YEAR('3 pr-2'!$AJ166)=2021,$CD166,0)</f>
        <v>0</v>
      </c>
      <c r="CL166" s="518">
        <f>IF(YEAR('3 pr-2'!$AJ166)=2022,$CD166,0)</f>
        <v>0</v>
      </c>
      <c r="CM166" s="518">
        <f>IF(YEAR('3 pr-2'!$AJ166)=2023,$CD166,0)</f>
        <v>0</v>
      </c>
      <c r="CN166" s="523"/>
      <c r="CO166" s="882"/>
      <c r="CP166" s="518"/>
      <c r="CQ166" s="518"/>
      <c r="CR166" s="518"/>
      <c r="CS166" s="518"/>
      <c r="CT166" s="518"/>
      <c r="CU166" s="518"/>
      <c r="CV166" s="518"/>
      <c r="CW166" s="1337">
        <f t="shared" si="659"/>
        <v>0</v>
      </c>
      <c r="CX166" s="524"/>
      <c r="CY166" s="504"/>
      <c r="CZ166" s="504"/>
      <c r="DA166" s="1332">
        <f>IF(YEAR('3 pr-2'!AJ166)=2017,CX166,0)</f>
        <v>0</v>
      </c>
      <c r="DB166" s="1332">
        <f>IF(YEAR('3 pr-2'!AJ166)=2018,CX166,0)</f>
        <v>0</v>
      </c>
      <c r="DC166" s="1332">
        <f>IF(YEAR('3 pr-2'!AJ166)=2019,CX166,0)</f>
        <v>0</v>
      </c>
      <c r="DD166" s="1332">
        <f>IF(YEAR('3 pr-2'!AJ166)=2020,CX166,0)</f>
        <v>0</v>
      </c>
      <c r="DE166" s="1332">
        <f>IF(YEAR('3 pr-2'!AJ166)=2021,CX166,0)</f>
        <v>0</v>
      </c>
      <c r="DF166" s="1332">
        <f>IF(YEAR('3 pr-2'!AJ166)=2022,CX166,0)</f>
        <v>0</v>
      </c>
      <c r="DG166" s="1332">
        <f>IF(YEAR('3 pr-2'!AJ166)=2023,CX166,0)</f>
        <v>0</v>
      </c>
    </row>
    <row r="167" spans="1:111" ht="109.5" thickTop="1" thickBot="1" x14ac:dyDescent="0.3">
      <c r="A167" s="518" t="str">
        <f>CONCATENATE('3 pr-2'!A167)</f>
        <v>2.1.4.1.6</v>
      </c>
      <c r="B167" s="518" t="str">
        <f>CONCATENATE('3 pr-2'!B167)</f>
        <v>R01-9920-490000-2416</v>
      </c>
      <c r="C167" s="1449" t="str">
        <f>CONCATENATE('ketv. 2lent'!B166)</f>
        <v/>
      </c>
      <c r="D167" s="480" t="str">
        <f>CONCATENATE('3 pr-2'!D167)</f>
        <v>Teikiamų paslaugų procesų tobulinimas ir asmenų aptarnavimo kokybės gerinimas Alytaus miesto savivaldybės administracijoje ir jai pavaldžiose įstaigose. II etapas</v>
      </c>
      <c r="E167" s="480" t="str">
        <f>CONCATENATE('3 pr-2'!E167)</f>
        <v>Alytaus miesto savivaldybės administracija</v>
      </c>
      <c r="F167" s="480" t="str">
        <f>CONCATENATE('3 pr-2'!F167)</f>
        <v>Lietuvos Respublikos vidaus reikalų ministerija</v>
      </c>
      <c r="G167" s="480" t="str">
        <f>CONCATENATE('3 pr-2'!G167)</f>
        <v>Alytaus miestas</v>
      </c>
      <c r="H167" s="518" t="str">
        <f>CONCATENATE('3 pr-2'!H167)</f>
        <v>10.1.3-ESFA-R-920</v>
      </c>
      <c r="I167" s="518" t="str">
        <f>CONCATENATE('3 pr-2'!I167)</f>
        <v>R</v>
      </c>
      <c r="J167" s="518" t="str">
        <f>CONCATENATE('3 pr-2'!J167)</f>
        <v>-</v>
      </c>
      <c r="K167" s="518" t="str">
        <f>CONCATENATE('3 pr-2'!K167)</f>
        <v>-</v>
      </c>
      <c r="L167" s="518" t="s">
        <v>557</v>
      </c>
      <c r="M167" s="881" t="s">
        <v>558</v>
      </c>
      <c r="N167" s="518"/>
      <c r="O167" s="518"/>
      <c r="P167" s="518"/>
      <c r="Q167" s="518"/>
      <c r="R167" s="518"/>
      <c r="S167" s="518"/>
      <c r="T167" s="518"/>
      <c r="U167" s="1335">
        <f t="shared" ref="U167" si="661">SUM(N167:T167)</f>
        <v>0</v>
      </c>
      <c r="V167" s="518">
        <v>38</v>
      </c>
      <c r="W167" s="1336">
        <f>IF('ketv. 6 lent'!K166&gt;0,"taip",0)</f>
        <v>0</v>
      </c>
      <c r="X167" s="518"/>
      <c r="Y167" s="518">
        <f>IF(YEAR('3 pr-2'!$AJ167)=2017,$V167,0)</f>
        <v>0</v>
      </c>
      <c r="Z167" s="518">
        <f>IF(YEAR('3 pr-2'!$AJ167)=2018,$V167,0)</f>
        <v>0</v>
      </c>
      <c r="AA167" s="518">
        <f>IF(YEAR('3 pr-2'!$AJ167)=2019,$V167,0)</f>
        <v>0</v>
      </c>
      <c r="AB167" s="518">
        <f>IF(YEAR('3 pr-2'!$AJ167)=2020,$V167,0)</f>
        <v>38</v>
      </c>
      <c r="AC167" s="518">
        <f>IF(YEAR('3 pr-2'!$AJ167)=2021,$V167,0)</f>
        <v>0</v>
      </c>
      <c r="AD167" s="518">
        <f>IF(YEAR('3 pr-2'!$AJ167)=2022,$V167,0)</f>
        <v>0</v>
      </c>
      <c r="AE167" s="518">
        <f>IF(YEAR('3 pr-2'!$AJ167)=2023,$V167,0)</f>
        <v>0</v>
      </c>
      <c r="AF167" s="523" t="s">
        <v>559</v>
      </c>
      <c r="AG167" s="881" t="s">
        <v>560</v>
      </c>
      <c r="AH167" s="518"/>
      <c r="AI167" s="518"/>
      <c r="AJ167" s="518"/>
      <c r="AK167" s="518"/>
      <c r="AL167" s="518"/>
      <c r="AM167" s="518"/>
      <c r="AN167" s="518"/>
      <c r="AO167" s="1337">
        <f t="shared" ref="AO167" si="662">SUM(AH167:AN167)</f>
        <v>0</v>
      </c>
      <c r="AP167" s="518">
        <v>132</v>
      </c>
      <c r="AQ167" s="1338"/>
      <c r="AR167" s="518"/>
      <c r="AS167" s="518">
        <f>IF(YEAR('3 pr-2'!$AJ167)=2017,$AP167,0)</f>
        <v>0</v>
      </c>
      <c r="AT167" s="518">
        <f>IF(YEAR('3 pr-2'!$AJ167)=2018,$AP167,0)</f>
        <v>0</v>
      </c>
      <c r="AU167" s="518">
        <f>IF(YEAR('3 pr-2'!$AJ167)=2019,$AP167,0)</f>
        <v>0</v>
      </c>
      <c r="AV167" s="518">
        <f>IF(YEAR('3 pr-2'!$AJ167)=2020,$AP167,0)</f>
        <v>132</v>
      </c>
      <c r="AW167" s="518">
        <f>IF(YEAR('3 pr-2'!$AJ167)=2021,$AP167,0)</f>
        <v>0</v>
      </c>
      <c r="AX167" s="518">
        <f>IF(YEAR('3 pr-2'!$AJ167)=2022,$AP167,0)</f>
        <v>0</v>
      </c>
      <c r="AY167" s="518">
        <f>IF(YEAR('3 pr-2'!$AJ167)=2023,$AP167,0)</f>
        <v>0</v>
      </c>
      <c r="AZ167" s="518"/>
      <c r="BA167" s="880"/>
      <c r="BB167" s="518"/>
      <c r="BC167" s="518"/>
      <c r="BD167" s="518"/>
      <c r="BE167" s="518"/>
      <c r="BF167" s="518"/>
      <c r="BG167" s="518"/>
      <c r="BH167" s="518"/>
      <c r="BI167" s="1337">
        <f t="shared" ref="BI167" si="663">SUM(BB167:BH167)</f>
        <v>0</v>
      </c>
      <c r="BJ167" s="518"/>
      <c r="BK167" s="1338"/>
      <c r="BL167" s="518"/>
      <c r="BM167" s="518">
        <f>IF(YEAR('3 pr-2'!$AJ167)=2017,$BJ167,0)</f>
        <v>0</v>
      </c>
      <c r="BN167" s="518">
        <f>IF(YEAR('3 pr-2'!$AJ167)=2018,$BJ167,0)</f>
        <v>0</v>
      </c>
      <c r="BO167" s="518">
        <f>IF(YEAR('3 pr-2'!$AJ167)=2019,$BJ167,0)</f>
        <v>0</v>
      </c>
      <c r="BP167" s="518">
        <f>IF(YEAR('3 pr-2'!$AJ167)=2020,$BJ167,0)</f>
        <v>0</v>
      </c>
      <c r="BQ167" s="518">
        <f>IF(YEAR('3 pr-2'!$AJ167)=2021,$BJ167,0)</f>
        <v>0</v>
      </c>
      <c r="BR167" s="518">
        <f>IF(YEAR('3 pr-2'!$AJ167)=2022,$BJ167,0)</f>
        <v>0</v>
      </c>
      <c r="BS167" s="518">
        <f>IF(YEAR('3 pr-2'!$AJ167)=2023,$BJ167,0)</f>
        <v>0</v>
      </c>
      <c r="BT167" s="523"/>
      <c r="BU167" s="881"/>
      <c r="BV167" s="518"/>
      <c r="BW167" s="518"/>
      <c r="BX167" s="518"/>
      <c r="BY167" s="518"/>
      <c r="BZ167" s="518"/>
      <c r="CA167" s="518"/>
      <c r="CB167" s="518"/>
      <c r="CC167" s="1337">
        <f t="shared" ref="CC167" si="664">SUM(BV167:CB167)</f>
        <v>0</v>
      </c>
      <c r="CD167" s="518"/>
      <c r="CE167" s="518"/>
      <c r="CF167" s="518"/>
      <c r="CG167" s="518">
        <f>IF(YEAR('3 pr-2'!$AJ167)=2017,$CD167,0)</f>
        <v>0</v>
      </c>
      <c r="CH167" s="518">
        <f>IF(YEAR('3 pr-2'!$AJ167)=2018,$CD167,0)</f>
        <v>0</v>
      </c>
      <c r="CI167" s="518">
        <f>IF(YEAR('3 pr-2'!$AJ167)=2019,$CD167,0)</f>
        <v>0</v>
      </c>
      <c r="CJ167" s="518">
        <f>IF(YEAR('3 pr-2'!$AJ167)=2020,$CD167,0)</f>
        <v>0</v>
      </c>
      <c r="CK167" s="518">
        <f>IF(YEAR('3 pr-2'!$AJ167)=2021,$CD167,0)</f>
        <v>0</v>
      </c>
      <c r="CL167" s="518">
        <f>IF(YEAR('3 pr-2'!$AJ167)=2022,$CD167,0)</f>
        <v>0</v>
      </c>
      <c r="CM167" s="518">
        <f>IF(YEAR('3 pr-2'!$AJ167)=2023,$CD167,0)</f>
        <v>0</v>
      </c>
      <c r="CN167" s="523"/>
      <c r="CO167" s="882"/>
      <c r="CP167" s="518"/>
      <c r="CQ167" s="518"/>
      <c r="CR167" s="518"/>
      <c r="CS167" s="518"/>
      <c r="CT167" s="518"/>
      <c r="CU167" s="518"/>
      <c r="CV167" s="518"/>
      <c r="CW167" s="1337">
        <f t="shared" ref="CW167" si="665">SUM(CP167:CV167)</f>
        <v>0</v>
      </c>
      <c r="CX167" s="524"/>
      <c r="CY167" s="504"/>
      <c r="CZ167" s="504"/>
      <c r="DA167" s="1332">
        <f>IF(YEAR('3 pr-2'!AJ167)=2017,CX167,0)</f>
        <v>0</v>
      </c>
      <c r="DB167" s="1332">
        <f>IF(YEAR('3 pr-2'!AJ167)=2018,CX167,0)</f>
        <v>0</v>
      </c>
      <c r="DC167" s="1332">
        <f>IF(YEAR('3 pr-2'!AJ167)=2019,CX167,0)</f>
        <v>0</v>
      </c>
      <c r="DD167" s="1332">
        <f>IF(YEAR('3 pr-2'!AJ167)=2020,CX167,0)</f>
        <v>0</v>
      </c>
      <c r="DE167" s="1332">
        <f>IF(YEAR('3 pr-2'!AJ167)=2021,CX167,0)</f>
        <v>0</v>
      </c>
      <c r="DF167" s="1332">
        <f>IF(YEAR('3 pr-2'!AJ167)=2022,CX167,0)</f>
        <v>0</v>
      </c>
      <c r="DG167" s="1332">
        <f>IF(YEAR('3 pr-2'!AJ167)=2023,CX167,0)</f>
        <v>0</v>
      </c>
    </row>
    <row r="168" spans="1:111" ht="51" customHeight="1" thickBot="1" x14ac:dyDescent="0.3">
      <c r="A168" s="844" t="str">
        <f>CONCATENATE('3 pr-2'!A168)</f>
        <v>3.1.</v>
      </c>
      <c r="B168" s="1687" t="str">
        <f>CONCATENATE('3 pr-2'!B168)</f>
        <v>Tikslas: 
DARNIAI TVARKYTI IR VYSTYTI REGIONO TERITORIJĄ</v>
      </c>
      <c r="C168" s="1688"/>
      <c r="D168" s="1688"/>
      <c r="E168" s="1688"/>
      <c r="F168" s="1688"/>
      <c r="G168" s="1688"/>
      <c r="H168" s="1688"/>
      <c r="I168" s="1688"/>
      <c r="J168" s="1688"/>
      <c r="K168" s="1689"/>
      <c r="L168" s="1332" t="s">
        <v>66</v>
      </c>
      <c r="M168" s="1160" t="s">
        <v>66</v>
      </c>
      <c r="N168" s="1334"/>
      <c r="O168" s="1334"/>
      <c r="P168" s="1334"/>
      <c r="Q168" s="1334"/>
      <c r="R168" s="1334"/>
      <c r="S168" s="1334"/>
      <c r="T168" s="1334"/>
      <c r="U168" s="1356"/>
      <c r="V168" s="1332" t="s">
        <v>66</v>
      </c>
      <c r="W168" s="1334"/>
      <c r="X168" s="1334"/>
      <c r="Y168" s="1334" t="s">
        <v>66</v>
      </c>
      <c r="Z168" s="1334" t="s">
        <v>66</v>
      </c>
      <c r="AA168" s="1334" t="s">
        <v>66</v>
      </c>
      <c r="AB168" s="1334" t="s">
        <v>66</v>
      </c>
      <c r="AC168" s="1334" t="s">
        <v>66</v>
      </c>
      <c r="AD168" s="1334" t="s">
        <v>66</v>
      </c>
      <c r="AE168" s="1334" t="s">
        <v>66</v>
      </c>
      <c r="AF168" s="1334" t="s">
        <v>66</v>
      </c>
      <c r="AG168" s="1160" t="s">
        <v>66</v>
      </c>
      <c r="AH168" s="1334"/>
      <c r="AI168" s="1334"/>
      <c r="AJ168" s="1334"/>
      <c r="AK168" s="1334"/>
      <c r="AL168" s="1334"/>
      <c r="AM168" s="1334"/>
      <c r="AN168" s="1334"/>
      <c r="AO168" s="1334"/>
      <c r="AP168" s="1334" t="s">
        <v>66</v>
      </c>
      <c r="AQ168" s="1334"/>
      <c r="AR168" s="1334"/>
      <c r="AS168" s="1334" t="s">
        <v>66</v>
      </c>
      <c r="AT168" s="1334" t="s">
        <v>66</v>
      </c>
      <c r="AU168" s="1334" t="s">
        <v>66</v>
      </c>
      <c r="AV168" s="1334" t="s">
        <v>66</v>
      </c>
      <c r="AW168" s="1334" t="s">
        <v>66</v>
      </c>
      <c r="AX168" s="1334" t="s">
        <v>66</v>
      </c>
      <c r="AY168" s="1334" t="s">
        <v>66</v>
      </c>
      <c r="AZ168" s="1334" t="s">
        <v>66</v>
      </c>
      <c r="BA168" s="1160" t="s">
        <v>66</v>
      </c>
      <c r="BB168" s="1334"/>
      <c r="BC168" s="1334"/>
      <c r="BD168" s="1334"/>
      <c r="BE168" s="1334"/>
      <c r="BF168" s="1334"/>
      <c r="BG168" s="1334"/>
      <c r="BH168" s="1334"/>
      <c r="BI168" s="1334"/>
      <c r="BJ168" s="1334" t="s">
        <v>66</v>
      </c>
      <c r="BK168" s="1334"/>
      <c r="BL168" s="1334"/>
      <c r="BM168" s="1334" t="s">
        <v>66</v>
      </c>
      <c r="BN168" s="1334" t="s">
        <v>66</v>
      </c>
      <c r="BO168" s="1334" t="s">
        <v>66</v>
      </c>
      <c r="BP168" s="1334" t="s">
        <v>66</v>
      </c>
      <c r="BQ168" s="1334" t="s">
        <v>66</v>
      </c>
      <c r="BR168" s="1334" t="s">
        <v>66</v>
      </c>
      <c r="BS168" s="1334" t="s">
        <v>66</v>
      </c>
      <c r="BT168" s="1334" t="s">
        <v>66</v>
      </c>
      <c r="BU168" s="1160" t="s">
        <v>66</v>
      </c>
      <c r="BV168" s="1334"/>
      <c r="BW168" s="1334"/>
      <c r="BX168" s="1334"/>
      <c r="BY168" s="1334"/>
      <c r="BZ168" s="1334"/>
      <c r="CA168" s="1334"/>
      <c r="CB168" s="1334"/>
      <c r="CC168" s="1334"/>
      <c r="CD168" s="1334" t="s">
        <v>66</v>
      </c>
      <c r="CE168" s="1334"/>
      <c r="CF168" s="1334"/>
      <c r="CG168" s="1334" t="s">
        <v>66</v>
      </c>
      <c r="CH168" s="1334" t="s">
        <v>66</v>
      </c>
      <c r="CI168" s="1334" t="s">
        <v>66</v>
      </c>
      <c r="CJ168" s="1334" t="s">
        <v>66</v>
      </c>
      <c r="CK168" s="1334" t="s">
        <v>66</v>
      </c>
      <c r="CL168" s="1334" t="s">
        <v>66</v>
      </c>
      <c r="CM168" s="1334" t="s">
        <v>66</v>
      </c>
      <c r="CN168" s="1334" t="s">
        <v>66</v>
      </c>
      <c r="CO168" s="882" t="s">
        <v>66</v>
      </c>
      <c r="CP168" s="1334"/>
      <c r="CQ168" s="1334"/>
      <c r="CR168" s="1334"/>
      <c r="CS168" s="1334"/>
      <c r="CT168" s="1334"/>
      <c r="CU168" s="1334"/>
      <c r="CV168" s="1334"/>
      <c r="CW168" s="1334"/>
      <c r="CX168" s="1334" t="s">
        <v>66</v>
      </c>
      <c r="CY168" s="1334"/>
      <c r="CZ168" s="1334"/>
      <c r="DA168" s="1287"/>
      <c r="DB168" s="1287"/>
      <c r="DC168" s="1287"/>
      <c r="DD168" s="1287"/>
      <c r="DE168" s="1287"/>
      <c r="DF168" s="1287"/>
      <c r="DG168" s="1287"/>
    </row>
    <row r="169" spans="1:111" ht="47.25" customHeight="1" thickBot="1" x14ac:dyDescent="0.3">
      <c r="A169" s="1363" t="str">
        <f>CONCATENATE('3 pr-2'!A169)</f>
        <v>3.1.1.</v>
      </c>
      <c r="B169" s="1687" t="str">
        <f>CONCATENATE('3 pr-2'!B169)</f>
        <v>Uždavinys:
Sumažinti sąvartynuose šalinamų komunalinių atliekų kiekį</v>
      </c>
      <c r="C169" s="1688"/>
      <c r="D169" s="1688"/>
      <c r="E169" s="1688"/>
      <c r="F169" s="1688"/>
      <c r="G169" s="1688"/>
      <c r="H169" s="1688"/>
      <c r="I169" s="1688"/>
      <c r="J169" s="1688"/>
      <c r="K169" s="1689"/>
      <c r="L169" s="1332" t="s">
        <v>66</v>
      </c>
      <c r="M169" s="1360" t="s">
        <v>66</v>
      </c>
      <c r="N169" s="1359"/>
      <c r="O169" s="1359"/>
      <c r="P169" s="1359"/>
      <c r="Q169" s="1359"/>
      <c r="R169" s="1359"/>
      <c r="S169" s="1359"/>
      <c r="T169" s="1359"/>
      <c r="U169" s="1357"/>
      <c r="V169" s="1361" t="s">
        <v>66</v>
      </c>
      <c r="W169" s="1359"/>
      <c r="X169" s="1359"/>
      <c r="Y169" s="1359" t="s">
        <v>66</v>
      </c>
      <c r="Z169" s="1359" t="s">
        <v>66</v>
      </c>
      <c r="AA169" s="1359" t="s">
        <v>66</v>
      </c>
      <c r="AB169" s="1359" t="s">
        <v>66</v>
      </c>
      <c r="AC169" s="1359" t="s">
        <v>66</v>
      </c>
      <c r="AD169" s="1359" t="s">
        <v>66</v>
      </c>
      <c r="AE169" s="1359" t="s">
        <v>66</v>
      </c>
      <c r="AF169" s="1359" t="s">
        <v>66</v>
      </c>
      <c r="AG169" s="1360" t="s">
        <v>66</v>
      </c>
      <c r="AH169" s="1359"/>
      <c r="AI169" s="1359"/>
      <c r="AJ169" s="1359"/>
      <c r="AK169" s="1359"/>
      <c r="AL169" s="1359"/>
      <c r="AM169" s="1359"/>
      <c r="AN169" s="1359"/>
      <c r="AO169" s="1359"/>
      <c r="AP169" s="1359" t="s">
        <v>66</v>
      </c>
      <c r="AQ169" s="1359"/>
      <c r="AR169" s="1359"/>
      <c r="AS169" s="1359" t="s">
        <v>66</v>
      </c>
      <c r="AT169" s="1359" t="s">
        <v>66</v>
      </c>
      <c r="AU169" s="1359" t="s">
        <v>66</v>
      </c>
      <c r="AV169" s="1359" t="s">
        <v>66</v>
      </c>
      <c r="AW169" s="1359" t="s">
        <v>66</v>
      </c>
      <c r="AX169" s="1359" t="s">
        <v>66</v>
      </c>
      <c r="AY169" s="1359" t="s">
        <v>66</v>
      </c>
      <c r="AZ169" s="1359" t="s">
        <v>66</v>
      </c>
      <c r="BA169" s="1360" t="s">
        <v>66</v>
      </c>
      <c r="BB169" s="1359"/>
      <c r="BC169" s="1359"/>
      <c r="BD169" s="1359"/>
      <c r="BE169" s="1359"/>
      <c r="BF169" s="1359"/>
      <c r="BG169" s="1359"/>
      <c r="BH169" s="1359"/>
      <c r="BI169" s="1359"/>
      <c r="BJ169" s="1359" t="s">
        <v>66</v>
      </c>
      <c r="BK169" s="1359"/>
      <c r="BL169" s="1359"/>
      <c r="BM169" s="1359" t="s">
        <v>66</v>
      </c>
      <c r="BN169" s="1359" t="s">
        <v>66</v>
      </c>
      <c r="BO169" s="1359" t="s">
        <v>66</v>
      </c>
      <c r="BP169" s="1359" t="s">
        <v>66</v>
      </c>
      <c r="BQ169" s="1359" t="s">
        <v>66</v>
      </c>
      <c r="BR169" s="1359" t="s">
        <v>66</v>
      </c>
      <c r="BS169" s="1359" t="s">
        <v>66</v>
      </c>
      <c r="BT169" s="1359" t="s">
        <v>66</v>
      </c>
      <c r="BU169" s="1360" t="s">
        <v>66</v>
      </c>
      <c r="BV169" s="1359"/>
      <c r="BW169" s="1359"/>
      <c r="BX169" s="1359"/>
      <c r="BY169" s="1359"/>
      <c r="BZ169" s="1359"/>
      <c r="CA169" s="1359"/>
      <c r="CB169" s="1359"/>
      <c r="CC169" s="1359"/>
      <c r="CD169" s="1359" t="s">
        <v>66</v>
      </c>
      <c r="CE169" s="1359"/>
      <c r="CF169" s="1359"/>
      <c r="CG169" s="1359" t="s">
        <v>66</v>
      </c>
      <c r="CH169" s="1359" t="s">
        <v>66</v>
      </c>
      <c r="CI169" s="1359" t="s">
        <v>66</v>
      </c>
      <c r="CJ169" s="1359" t="s">
        <v>66</v>
      </c>
      <c r="CK169" s="1359" t="s">
        <v>66</v>
      </c>
      <c r="CL169" s="1359" t="s">
        <v>66</v>
      </c>
      <c r="CM169" s="1359" t="s">
        <v>66</v>
      </c>
      <c r="CN169" s="1359" t="s">
        <v>66</v>
      </c>
      <c r="CO169" s="1362" t="s">
        <v>66</v>
      </c>
      <c r="CP169" s="1359"/>
      <c r="CQ169" s="1359"/>
      <c r="CR169" s="1359"/>
      <c r="CS169" s="1359"/>
      <c r="CT169" s="1359"/>
      <c r="CU169" s="1359"/>
      <c r="CV169" s="1359"/>
      <c r="CW169" s="1359"/>
      <c r="CX169" s="1359" t="s">
        <v>66</v>
      </c>
      <c r="CY169" s="1357"/>
      <c r="CZ169" s="1357"/>
      <c r="DA169" s="478"/>
      <c r="DB169" s="1259"/>
      <c r="DC169" s="1259"/>
      <c r="DD169" s="1259"/>
      <c r="DE169" s="1259"/>
      <c r="DF169" s="1259"/>
      <c r="DG169" s="1259"/>
    </row>
    <row r="170" spans="1:111" ht="43.5" customHeight="1" thickBot="1" x14ac:dyDescent="0.3">
      <c r="A170" s="1364" t="str">
        <f>CONCATENATE('3 pr-2'!A170)</f>
        <v>3.1.1.1</v>
      </c>
      <c r="B170" s="1687" t="str">
        <f>CONCATENATE('3 pr-2'!B170)</f>
        <v>Priemonė:
Komunalinių atliekų tvarkymo infrastruktūros plėtra</v>
      </c>
      <c r="C170" s="1688" t="str">
        <f>CONCATENATE('ketv. 2lent'!B168)</f>
        <v/>
      </c>
      <c r="D170" s="1688" t="s">
        <v>1464</v>
      </c>
      <c r="E170" s="1688"/>
      <c r="F170" s="1688"/>
      <c r="G170" s="1688"/>
      <c r="H170" s="1688"/>
      <c r="I170" s="1688"/>
      <c r="J170" s="1688"/>
      <c r="K170" s="1689"/>
      <c r="L170" s="1365" t="s">
        <v>564</v>
      </c>
      <c r="M170" s="884" t="s">
        <v>565</v>
      </c>
      <c r="N170" s="1332">
        <f>SUM(N171)</f>
        <v>0</v>
      </c>
      <c r="O170" s="1332">
        <f t="shared" ref="O170:T170" si="666">SUM(O171)</f>
        <v>0</v>
      </c>
      <c r="P170" s="1332">
        <f t="shared" si="666"/>
        <v>0</v>
      </c>
      <c r="Q170" s="1332">
        <f t="shared" si="666"/>
        <v>0</v>
      </c>
      <c r="R170" s="1332">
        <f t="shared" si="666"/>
        <v>0</v>
      </c>
      <c r="S170" s="1332">
        <f t="shared" si="666"/>
        <v>0</v>
      </c>
      <c r="T170" s="1332">
        <f t="shared" si="666"/>
        <v>0</v>
      </c>
      <c r="U170" s="1333">
        <f t="shared" ref="U170:U171" si="667">SUM(N170:T170)</f>
        <v>0</v>
      </c>
      <c r="V170" s="1303">
        <f>SUM(V171)</f>
        <v>7187.76</v>
      </c>
      <c r="W170" s="1366"/>
      <c r="X170" s="1367"/>
      <c r="Y170" s="1332">
        <f t="shared" ref="Y170:AE170" si="668">SUM(Y171)</f>
        <v>0</v>
      </c>
      <c r="Z170" s="1332">
        <f t="shared" si="668"/>
        <v>0</v>
      </c>
      <c r="AA170" s="1332">
        <f t="shared" si="668"/>
        <v>7187.76</v>
      </c>
      <c r="AB170" s="1332">
        <f t="shared" si="668"/>
        <v>0</v>
      </c>
      <c r="AC170" s="1332">
        <f t="shared" si="668"/>
        <v>0</v>
      </c>
      <c r="AD170" s="1332">
        <f t="shared" si="668"/>
        <v>0</v>
      </c>
      <c r="AE170" s="1332">
        <f t="shared" si="668"/>
        <v>0</v>
      </c>
      <c r="AF170" s="1367"/>
      <c r="AG170" s="1331"/>
      <c r="AH170" s="1332">
        <f>SUM(AH171)</f>
        <v>0</v>
      </c>
      <c r="AI170" s="1332">
        <f t="shared" ref="AI170" si="669">SUM(AI171)</f>
        <v>0</v>
      </c>
      <c r="AJ170" s="1332">
        <f t="shared" ref="AJ170" si="670">SUM(AJ171)</f>
        <v>0</v>
      </c>
      <c r="AK170" s="1332">
        <f t="shared" ref="AK170" si="671">SUM(AK171)</f>
        <v>0</v>
      </c>
      <c r="AL170" s="1332">
        <f t="shared" ref="AL170" si="672">SUM(AL171)</f>
        <v>0</v>
      </c>
      <c r="AM170" s="1332">
        <f t="shared" ref="AM170" si="673">SUM(AM171)</f>
        <v>0</v>
      </c>
      <c r="AN170" s="1332">
        <f t="shared" ref="AN170" si="674">SUM(AN171)</f>
        <v>0</v>
      </c>
      <c r="AO170" s="1303">
        <f t="shared" ref="AO170:AO171" si="675">SUM(AH170:AN170)</f>
        <v>0</v>
      </c>
      <c r="AP170" s="1303"/>
      <c r="AQ170" s="1332"/>
      <c r="AR170" s="1332"/>
      <c r="AS170" s="1332"/>
      <c r="AT170" s="1332"/>
      <c r="AU170" s="1332"/>
      <c r="AV170" s="1332"/>
      <c r="AW170" s="1332"/>
      <c r="AX170" s="1332"/>
      <c r="AY170" s="1332"/>
      <c r="AZ170" s="1303"/>
      <c r="BA170" s="1331"/>
      <c r="BB170" s="1332">
        <f>SUM(BB171)</f>
        <v>0</v>
      </c>
      <c r="BC170" s="1332">
        <f t="shared" ref="BC170" si="676">SUM(BC171)</f>
        <v>0</v>
      </c>
      <c r="BD170" s="1332">
        <f t="shared" ref="BD170" si="677">SUM(BD171)</f>
        <v>0</v>
      </c>
      <c r="BE170" s="1332">
        <f t="shared" ref="BE170" si="678">SUM(BE171)</f>
        <v>0</v>
      </c>
      <c r="BF170" s="1332">
        <f t="shared" ref="BF170" si="679">SUM(BF171)</f>
        <v>0</v>
      </c>
      <c r="BG170" s="1332">
        <f t="shared" ref="BG170" si="680">SUM(BG171)</f>
        <v>0</v>
      </c>
      <c r="BH170" s="1332">
        <f t="shared" ref="BH170" si="681">SUM(BH171)</f>
        <v>0</v>
      </c>
      <c r="BI170" s="1303">
        <f t="shared" ref="BI170:BI171" si="682">SUM(BB170:BH170)</f>
        <v>0</v>
      </c>
      <c r="BJ170" s="1303"/>
      <c r="BK170" s="1332"/>
      <c r="BL170" s="1332"/>
      <c r="BM170" s="1332"/>
      <c r="BN170" s="1332"/>
      <c r="BO170" s="1332"/>
      <c r="BP170" s="1332"/>
      <c r="BQ170" s="1332"/>
      <c r="BR170" s="1332"/>
      <c r="BS170" s="1332"/>
      <c r="BT170" s="1332"/>
      <c r="BU170" s="882"/>
      <c r="BV170" s="1332">
        <f>SUM(BV171)</f>
        <v>0</v>
      </c>
      <c r="BW170" s="1332">
        <f t="shared" ref="BW170" si="683">SUM(BW171)</f>
        <v>0</v>
      </c>
      <c r="BX170" s="1332">
        <f t="shared" ref="BX170" si="684">SUM(BX171)</f>
        <v>0</v>
      </c>
      <c r="BY170" s="1332">
        <f t="shared" ref="BY170" si="685">SUM(BY171)</f>
        <v>0</v>
      </c>
      <c r="BZ170" s="1332">
        <f t="shared" ref="BZ170" si="686">SUM(BZ171)</f>
        <v>0</v>
      </c>
      <c r="CA170" s="1332">
        <f t="shared" ref="CA170" si="687">SUM(CA171)</f>
        <v>0</v>
      </c>
      <c r="CB170" s="1332">
        <f t="shared" ref="CB170" si="688">SUM(CB171)</f>
        <v>0</v>
      </c>
      <c r="CC170" s="1303">
        <f t="shared" ref="CC170:CC171" si="689">SUM(BV170:CB170)</f>
        <v>0</v>
      </c>
      <c r="CD170" s="1332"/>
      <c r="CE170" s="1332"/>
      <c r="CF170" s="1332"/>
      <c r="CG170" s="1332"/>
      <c r="CH170" s="1332"/>
      <c r="CI170" s="1332"/>
      <c r="CJ170" s="1332"/>
      <c r="CK170" s="1332"/>
      <c r="CL170" s="1332"/>
      <c r="CM170" s="1332"/>
      <c r="CN170" s="1332"/>
      <c r="CO170" s="882"/>
      <c r="CP170" s="1332">
        <f>SUM(CP171)</f>
        <v>0</v>
      </c>
      <c r="CQ170" s="1332">
        <f t="shared" ref="CQ170" si="690">SUM(CQ171)</f>
        <v>0</v>
      </c>
      <c r="CR170" s="1332">
        <f t="shared" ref="CR170" si="691">SUM(CR171)</f>
        <v>0</v>
      </c>
      <c r="CS170" s="1332">
        <f t="shared" ref="CS170" si="692">SUM(CS171)</f>
        <v>0</v>
      </c>
      <c r="CT170" s="1332">
        <f t="shared" ref="CT170" si="693">SUM(CT171)</f>
        <v>0</v>
      </c>
      <c r="CU170" s="1332">
        <f t="shared" ref="CU170" si="694">SUM(CU171)</f>
        <v>0</v>
      </c>
      <c r="CV170" s="1332">
        <f t="shared" ref="CV170" si="695">SUM(CV171)</f>
        <v>0</v>
      </c>
      <c r="CW170" s="1303">
        <f t="shared" ref="CW170:CW171" si="696">SUM(CP170:CV170)</f>
        <v>0</v>
      </c>
      <c r="CX170" s="1332"/>
      <c r="CY170" s="1332"/>
      <c r="CZ170" s="1332"/>
      <c r="DA170" s="1332"/>
      <c r="DB170" s="1332"/>
      <c r="DC170" s="1332"/>
      <c r="DD170" s="1332"/>
      <c r="DE170" s="1332"/>
      <c r="DF170" s="1332"/>
      <c r="DG170" s="1332"/>
    </row>
    <row r="171" spans="1:111" ht="49.5" thickTop="1" thickBot="1" x14ac:dyDescent="0.3">
      <c r="A171" s="518" t="str">
        <f>CONCATENATE('3 pr-2'!A171)</f>
        <v>3.1.1.1.1</v>
      </c>
      <c r="B171" s="518" t="str">
        <f>CONCATENATE('3 pr-2'!B171)</f>
        <v>R01-0008-050000-3111</v>
      </c>
      <c r="C171" s="1449" t="str">
        <f>CONCATENATE('ketv. 2lent'!B169)</f>
        <v>05.2.1-APVA-R-008-11-0001</v>
      </c>
      <c r="D171" s="480" t="str">
        <f>CONCATENATE('3 pr-2'!D171)</f>
        <v>Komunalinių atliekų tvarkymo sistemos plėtra Alytaus regione</v>
      </c>
      <c r="E171" s="480" t="str">
        <f>CONCATENATE('3 pr-2'!E171)</f>
        <v>Alytaus regiono atliekų tvarkymo centras</v>
      </c>
      <c r="F171" s="480" t="str">
        <f>CONCATENATE('3 pr-2'!F171)</f>
        <v>Lietuvos Respublikos aplinkos ministerija</v>
      </c>
      <c r="G171" s="480" t="str">
        <f>CONCATENATE('3 pr-2'!G171)</f>
        <v>Alytaus atliekų tvarkymo regionas</v>
      </c>
      <c r="H171" s="518" t="str">
        <f>CONCATENATE('3 pr-2'!H171)</f>
        <v>05.2.1-APVA-R-008</v>
      </c>
      <c r="I171" s="518" t="str">
        <f>CONCATENATE('3 pr-2'!I171)</f>
        <v>R</v>
      </c>
      <c r="J171" s="518" t="str">
        <f>CONCATENATE('3 pr-2'!J171)</f>
        <v>-</v>
      </c>
      <c r="K171" s="518" t="str">
        <f>CONCATENATE('3 pr-2'!K171)</f>
        <v>-</v>
      </c>
      <c r="L171" s="518" t="s">
        <v>564</v>
      </c>
      <c r="M171" s="881" t="s">
        <v>565</v>
      </c>
      <c r="N171" s="518"/>
      <c r="O171" s="518"/>
      <c r="P171" s="518"/>
      <c r="Q171" s="518"/>
      <c r="R171" s="518"/>
      <c r="S171" s="518"/>
      <c r="T171" s="518"/>
      <c r="U171" s="1335">
        <f t="shared" si="667"/>
        <v>0</v>
      </c>
      <c r="V171" s="518">
        <v>7187.76</v>
      </c>
      <c r="W171" s="1336" t="str">
        <f>IF('ketv. 6 lent'!K170&gt;0,"7187,76",0)</f>
        <v>7187,76</v>
      </c>
      <c r="X171" s="518">
        <f>SUM(W171-V171)</f>
        <v>0</v>
      </c>
      <c r="Y171" s="518">
        <f>IF(YEAR('3 pr-2'!$AJ171)=2017,$V171,0)</f>
        <v>0</v>
      </c>
      <c r="Z171" s="518">
        <f>IF(YEAR('3 pr-2'!$AJ171)=2018,$V171,0)</f>
        <v>0</v>
      </c>
      <c r="AA171" s="518">
        <f>IF(YEAR('3 pr-2'!$AJ171)=2019,$V171,0)</f>
        <v>7187.76</v>
      </c>
      <c r="AB171" s="518">
        <f>IF(YEAR('3 pr-2'!$AJ171)=2020,$V171,0)</f>
        <v>0</v>
      </c>
      <c r="AC171" s="518">
        <f>IF(YEAR('3 pr-2'!$AJ171)=2021,$V171,0)</f>
        <v>0</v>
      </c>
      <c r="AD171" s="518">
        <f>IF(YEAR('3 pr-2'!$AJ171)=2022,$V171,0)</f>
        <v>0</v>
      </c>
      <c r="AE171" s="518">
        <f>IF(YEAR('3 pr-2'!$AJ171)=2023,$V171,0)</f>
        <v>0</v>
      </c>
      <c r="AF171" s="523"/>
      <c r="AG171" s="881"/>
      <c r="AH171" s="518"/>
      <c r="AI171" s="518"/>
      <c r="AJ171" s="518"/>
      <c r="AK171" s="518"/>
      <c r="AL171" s="518"/>
      <c r="AM171" s="518"/>
      <c r="AN171" s="518"/>
      <c r="AO171" s="1337">
        <f t="shared" si="675"/>
        <v>0</v>
      </c>
      <c r="AP171" s="518"/>
      <c r="AQ171" s="1338"/>
      <c r="AR171" s="518"/>
      <c r="AS171" s="518">
        <f>IF(YEAR('3 pr-2'!$AJ171)=2017,$AP171,0)</f>
        <v>0</v>
      </c>
      <c r="AT171" s="518">
        <f>IF(YEAR('3 pr-2'!$AJ171)=2018,$AP171,0)</f>
        <v>0</v>
      </c>
      <c r="AU171" s="518">
        <f>IF(YEAR('3 pr-2'!$AJ171)=2019,$AP171,0)</f>
        <v>0</v>
      </c>
      <c r="AV171" s="518">
        <f>IF(YEAR('3 pr-2'!$AJ171)=2020,$AP171,0)</f>
        <v>0</v>
      </c>
      <c r="AW171" s="518">
        <f>IF(YEAR('3 pr-2'!$AJ171)=2021,$AP171,0)</f>
        <v>0</v>
      </c>
      <c r="AX171" s="518">
        <f>IF(YEAR('3 pr-2'!$AJ171)=2022,$AP171,0)</f>
        <v>0</v>
      </c>
      <c r="AY171" s="518">
        <f>IF(YEAR('3 pr-2'!$AJ171)=2023,$AP171,0)</f>
        <v>0</v>
      </c>
      <c r="AZ171" s="518"/>
      <c r="BA171" s="880"/>
      <c r="BB171" s="518"/>
      <c r="BC171" s="518"/>
      <c r="BD171" s="518"/>
      <c r="BE171" s="518"/>
      <c r="BF171" s="518"/>
      <c r="BG171" s="518"/>
      <c r="BH171" s="518"/>
      <c r="BI171" s="1337">
        <f t="shared" si="682"/>
        <v>0</v>
      </c>
      <c r="BJ171" s="518"/>
      <c r="BK171" s="1338"/>
      <c r="BL171" s="518"/>
      <c r="BM171" s="518">
        <f>IF(YEAR('3 pr-2'!$AJ171)=2017,$BJ171,0)</f>
        <v>0</v>
      </c>
      <c r="BN171" s="518">
        <f>IF(YEAR('3 pr-2'!$AJ171)=2018,$BJ171,0)</f>
        <v>0</v>
      </c>
      <c r="BO171" s="518">
        <f>IF(YEAR('3 pr-2'!$AJ171)=2019,$BJ171,0)</f>
        <v>0</v>
      </c>
      <c r="BP171" s="518">
        <f>IF(YEAR('3 pr-2'!$AJ171)=2020,$BJ171,0)</f>
        <v>0</v>
      </c>
      <c r="BQ171" s="518">
        <f>IF(YEAR('3 pr-2'!$AJ171)=2021,$BJ171,0)</f>
        <v>0</v>
      </c>
      <c r="BR171" s="518">
        <f>IF(YEAR('3 pr-2'!$AJ171)=2022,$BJ171,0)</f>
        <v>0</v>
      </c>
      <c r="BS171" s="518">
        <f>IF(YEAR('3 pr-2'!$AJ171)=2023,$BJ171,0)</f>
        <v>0</v>
      </c>
      <c r="BT171" s="523"/>
      <c r="BU171" s="881"/>
      <c r="BV171" s="518"/>
      <c r="BW171" s="518"/>
      <c r="BX171" s="518"/>
      <c r="BY171" s="518"/>
      <c r="BZ171" s="518"/>
      <c r="CA171" s="518"/>
      <c r="CB171" s="518"/>
      <c r="CC171" s="1337">
        <f t="shared" si="689"/>
        <v>0</v>
      </c>
      <c r="CD171" s="518"/>
      <c r="CE171" s="518"/>
      <c r="CF171" s="518"/>
      <c r="CG171" s="518">
        <f>IF(YEAR('3 pr-2'!$AJ171)=2017,$CD171,0)</f>
        <v>0</v>
      </c>
      <c r="CH171" s="518">
        <f>IF(YEAR('3 pr-2'!$AJ171)=2018,$CD171,0)</f>
        <v>0</v>
      </c>
      <c r="CI171" s="518">
        <f>IF(YEAR('3 pr-2'!$AJ171)=2019,$CD171,0)</f>
        <v>0</v>
      </c>
      <c r="CJ171" s="518">
        <f>IF(YEAR('3 pr-2'!$AJ171)=2020,$CD171,0)</f>
        <v>0</v>
      </c>
      <c r="CK171" s="518">
        <f>IF(YEAR('3 pr-2'!$AJ171)=2021,$CD171,0)</f>
        <v>0</v>
      </c>
      <c r="CL171" s="518">
        <f>IF(YEAR('3 pr-2'!$AJ171)=2022,$CD171,0)</f>
        <v>0</v>
      </c>
      <c r="CM171" s="518">
        <f>IF(YEAR('3 pr-2'!$AJ171)=2023,$CD171,0)</f>
        <v>0</v>
      </c>
      <c r="CN171" s="523"/>
      <c r="CO171" s="882"/>
      <c r="CP171" s="518"/>
      <c r="CQ171" s="518"/>
      <c r="CR171" s="518"/>
      <c r="CS171" s="518"/>
      <c r="CT171" s="518"/>
      <c r="CU171" s="518"/>
      <c r="CV171" s="518"/>
      <c r="CW171" s="1337">
        <f t="shared" si="696"/>
        <v>0</v>
      </c>
      <c r="CX171" s="524"/>
      <c r="CY171" s="504"/>
      <c r="CZ171" s="504"/>
      <c r="DA171" s="1332">
        <f>IF(YEAR('3 pr-2'!AJ171)=2017,CX171,0)</f>
        <v>0</v>
      </c>
      <c r="DB171" s="1332">
        <f>IF(YEAR('3 pr-2'!AJ171)=2018,CX171,0)</f>
        <v>0</v>
      </c>
      <c r="DC171" s="1332">
        <f>IF(YEAR('3 pr-2'!AJ171)=2019,CX171,0)</f>
        <v>0</v>
      </c>
      <c r="DD171" s="1332">
        <f>IF(YEAR('3 pr-2'!AJ171)=2020,CX171,0)</f>
        <v>0</v>
      </c>
      <c r="DE171" s="1332">
        <f>IF(YEAR('3 pr-2'!AJ171)=2021,CX171,0)</f>
        <v>0</v>
      </c>
      <c r="DF171" s="1332">
        <f>IF(YEAR('3 pr-2'!AJ171)=2022,CX171,0)</f>
        <v>0</v>
      </c>
      <c r="DG171" s="1332">
        <f>IF(YEAR('3 pr-2'!AJ171)=2023,CX171,0)</f>
        <v>0</v>
      </c>
    </row>
    <row r="172" spans="1:111" ht="45.75" customHeight="1" thickBot="1" x14ac:dyDescent="0.3">
      <c r="A172" s="1363" t="str">
        <f>CONCATENATE('3 pr-2'!A172)</f>
        <v>3.1.2.</v>
      </c>
      <c r="B172" s="1687" t="str">
        <f>CONCATENATE('3 pr-2'!B172)</f>
        <v>Uždavinys:
Kraštovaizdžio apsauga, planavimas ir tvarkymas</v>
      </c>
      <c r="C172" s="1688"/>
      <c r="D172" s="1688"/>
      <c r="E172" s="1688"/>
      <c r="F172" s="1688"/>
      <c r="G172" s="1688"/>
      <c r="H172" s="1688"/>
      <c r="I172" s="1688"/>
      <c r="J172" s="1688"/>
      <c r="K172" s="1689"/>
      <c r="L172" s="1332" t="s">
        <v>66</v>
      </c>
      <c r="M172" s="1160" t="s">
        <v>66</v>
      </c>
      <c r="N172" s="1334"/>
      <c r="O172" s="1334"/>
      <c r="P172" s="1334"/>
      <c r="Q172" s="1334"/>
      <c r="R172" s="1334"/>
      <c r="S172" s="1334"/>
      <c r="T172" s="1334"/>
      <c r="U172" s="1356"/>
      <c r="V172" s="1332" t="s">
        <v>66</v>
      </c>
      <c r="W172" s="1334"/>
      <c r="X172" s="1334"/>
      <c r="Y172" s="1334" t="s">
        <v>66</v>
      </c>
      <c r="Z172" s="1334" t="s">
        <v>66</v>
      </c>
      <c r="AA172" s="1334" t="s">
        <v>66</v>
      </c>
      <c r="AB172" s="1334" t="s">
        <v>66</v>
      </c>
      <c r="AC172" s="1334" t="s">
        <v>66</v>
      </c>
      <c r="AD172" s="1334" t="s">
        <v>66</v>
      </c>
      <c r="AE172" s="1334" t="s">
        <v>66</v>
      </c>
      <c r="AF172" s="1334" t="s">
        <v>66</v>
      </c>
      <c r="AG172" s="1160" t="s">
        <v>66</v>
      </c>
      <c r="AH172" s="1334"/>
      <c r="AI172" s="1334"/>
      <c r="AJ172" s="1334"/>
      <c r="AK172" s="1334"/>
      <c r="AL172" s="1334"/>
      <c r="AM172" s="1334"/>
      <c r="AN172" s="1334"/>
      <c r="AO172" s="1334"/>
      <c r="AP172" s="1334" t="s">
        <v>66</v>
      </c>
      <c r="AQ172" s="1334"/>
      <c r="AR172" s="1334"/>
      <c r="AS172" s="1334" t="s">
        <v>66</v>
      </c>
      <c r="AT172" s="1334" t="s">
        <v>66</v>
      </c>
      <c r="AU172" s="1334" t="s">
        <v>66</v>
      </c>
      <c r="AV172" s="1334" t="s">
        <v>66</v>
      </c>
      <c r="AW172" s="1334" t="s">
        <v>66</v>
      </c>
      <c r="AX172" s="1334" t="s">
        <v>66</v>
      </c>
      <c r="AY172" s="1334" t="s">
        <v>66</v>
      </c>
      <c r="AZ172" s="1334" t="s">
        <v>66</v>
      </c>
      <c r="BA172" s="1160" t="s">
        <v>66</v>
      </c>
      <c r="BB172" s="1334"/>
      <c r="BC172" s="1334"/>
      <c r="BD172" s="1334"/>
      <c r="BE172" s="1334"/>
      <c r="BF172" s="1334"/>
      <c r="BG172" s="1334"/>
      <c r="BH172" s="1334"/>
      <c r="BI172" s="1334"/>
      <c r="BJ172" s="1334" t="s">
        <v>66</v>
      </c>
      <c r="BK172" s="1334"/>
      <c r="BL172" s="1334"/>
      <c r="BM172" s="1334" t="s">
        <v>66</v>
      </c>
      <c r="BN172" s="1334" t="s">
        <v>66</v>
      </c>
      <c r="BO172" s="1334" t="s">
        <v>66</v>
      </c>
      <c r="BP172" s="1334" t="s">
        <v>66</v>
      </c>
      <c r="BQ172" s="1334" t="s">
        <v>66</v>
      </c>
      <c r="BR172" s="1334" t="s">
        <v>66</v>
      </c>
      <c r="BS172" s="1334" t="s">
        <v>66</v>
      </c>
      <c r="BT172" s="1334" t="s">
        <v>66</v>
      </c>
      <c r="BU172" s="1160" t="s">
        <v>66</v>
      </c>
      <c r="BV172" s="1334"/>
      <c r="BW172" s="1334"/>
      <c r="BX172" s="1334"/>
      <c r="BY172" s="1334"/>
      <c r="BZ172" s="1334"/>
      <c r="CA172" s="1334"/>
      <c r="CB172" s="1334"/>
      <c r="CC172" s="1334"/>
      <c r="CD172" s="1334" t="s">
        <v>66</v>
      </c>
      <c r="CE172" s="1334"/>
      <c r="CF172" s="1334"/>
      <c r="CG172" s="1334" t="s">
        <v>66</v>
      </c>
      <c r="CH172" s="1334" t="s">
        <v>66</v>
      </c>
      <c r="CI172" s="1334" t="s">
        <v>66</v>
      </c>
      <c r="CJ172" s="1334" t="s">
        <v>66</v>
      </c>
      <c r="CK172" s="1334" t="s">
        <v>66</v>
      </c>
      <c r="CL172" s="1334" t="s">
        <v>66</v>
      </c>
      <c r="CM172" s="1334" t="s">
        <v>66</v>
      </c>
      <c r="CN172" s="1334" t="s">
        <v>66</v>
      </c>
      <c r="CO172" s="882" t="s">
        <v>66</v>
      </c>
      <c r="CP172" s="1334"/>
      <c r="CQ172" s="1334"/>
      <c r="CR172" s="1334"/>
      <c r="CS172" s="1334"/>
      <c r="CT172" s="1334"/>
      <c r="CU172" s="1334"/>
      <c r="CV172" s="1334"/>
      <c r="CW172" s="1334"/>
      <c r="CX172" s="1334" t="s">
        <v>66</v>
      </c>
      <c r="CY172" s="1357"/>
      <c r="CZ172" s="1357"/>
      <c r="DA172" s="478"/>
      <c r="DB172" s="1259"/>
      <c r="DC172" s="1259"/>
      <c r="DD172" s="1259"/>
      <c r="DE172" s="1259"/>
      <c r="DF172" s="1259"/>
      <c r="DG172" s="1259"/>
    </row>
    <row r="173" spans="1:111" ht="63.75" thickBot="1" x14ac:dyDescent="0.3">
      <c r="A173" s="1364" t="str">
        <f>CONCATENATE('3 pr-2'!A173)</f>
        <v>3.1.2.1</v>
      </c>
      <c r="B173" s="1687" t="str">
        <f>CONCATENATE('3 pr-2'!B173)</f>
        <v>Priemonė:
Kraštovaizdžio apsauga/plėtra</v>
      </c>
      <c r="C173" s="1688"/>
      <c r="D173" s="1688"/>
      <c r="E173" s="1688"/>
      <c r="F173" s="1688"/>
      <c r="G173" s="1688"/>
      <c r="H173" s="1688"/>
      <c r="I173" s="1688"/>
      <c r="J173" s="1688"/>
      <c r="K173" s="1689"/>
      <c r="L173" s="506" t="s">
        <v>566</v>
      </c>
      <c r="M173" s="1501" t="s">
        <v>567</v>
      </c>
      <c r="N173" s="1496">
        <f>SUM(N174:N181)</f>
        <v>0</v>
      </c>
      <c r="O173" s="1496">
        <f t="shared" ref="O173:T173" si="697">SUM(O174:O181)</f>
        <v>0</v>
      </c>
      <c r="P173" s="1496">
        <f t="shared" si="697"/>
        <v>0</v>
      </c>
      <c r="Q173" s="1496">
        <f t="shared" si="697"/>
        <v>0</v>
      </c>
      <c r="R173" s="1496">
        <f t="shared" si="697"/>
        <v>0</v>
      </c>
      <c r="S173" s="1496">
        <f t="shared" si="697"/>
        <v>0</v>
      </c>
      <c r="T173" s="1496">
        <f t="shared" si="697"/>
        <v>0</v>
      </c>
      <c r="U173" s="1499">
        <f t="shared" ref="U173:U181" si="698">SUM(N173:T173)</f>
        <v>0</v>
      </c>
      <c r="V173" s="1496">
        <f>SUM(V174:V182)</f>
        <v>44.491500000000002</v>
      </c>
      <c r="W173" s="1366"/>
      <c r="X173" s="1367"/>
      <c r="Y173" s="1332">
        <f t="shared" ref="Y173:AE173" si="699">SUM(Y174:Y182)</f>
        <v>0</v>
      </c>
      <c r="Z173" s="1332">
        <f t="shared" si="699"/>
        <v>4.8900000000000006</v>
      </c>
      <c r="AA173" s="1332">
        <f t="shared" si="699"/>
        <v>37.601500000000001</v>
      </c>
      <c r="AB173" s="1332">
        <f t="shared" si="699"/>
        <v>0</v>
      </c>
      <c r="AC173" s="1332">
        <f t="shared" si="699"/>
        <v>0</v>
      </c>
      <c r="AD173" s="1332">
        <f t="shared" si="699"/>
        <v>0</v>
      </c>
      <c r="AE173" s="1332">
        <f t="shared" si="699"/>
        <v>2</v>
      </c>
      <c r="AF173" s="1494" t="s">
        <v>575</v>
      </c>
      <c r="AG173" s="1495" t="s">
        <v>576</v>
      </c>
      <c r="AH173" s="1496">
        <f>SUM(AH174:AH181)</f>
        <v>0</v>
      </c>
      <c r="AI173" s="1496">
        <f t="shared" ref="AI173" si="700">SUM(AI174:AI181)</f>
        <v>0</v>
      </c>
      <c r="AJ173" s="1496">
        <f t="shared" ref="AJ173" si="701">SUM(AJ174:AJ181)</f>
        <v>0</v>
      </c>
      <c r="AK173" s="1496">
        <f t="shared" ref="AK173" si="702">SUM(AK174:AK181)</f>
        <v>0</v>
      </c>
      <c r="AL173" s="1496">
        <f t="shared" ref="AL173" si="703">SUM(AL174:AL181)</f>
        <v>0</v>
      </c>
      <c r="AM173" s="1496">
        <f t="shared" ref="AM173" si="704">SUM(AM174:AM181)</f>
        <v>0</v>
      </c>
      <c r="AN173" s="1496">
        <f t="shared" ref="AN173" si="705">SUM(AN174:AN181)</f>
        <v>0</v>
      </c>
      <c r="AO173" s="497">
        <f t="shared" ref="AO173:AO181" si="706">SUM(AH173:AN173)</f>
        <v>0</v>
      </c>
      <c r="AP173" s="1496">
        <f>SUM(AP174:AP182)</f>
        <v>2</v>
      </c>
      <c r="AQ173" s="1496"/>
      <c r="AR173" s="1496"/>
      <c r="AS173" s="1496">
        <f t="shared" ref="AS173:AY173" si="707">SUM(AS174:AS182)</f>
        <v>0</v>
      </c>
      <c r="AT173" s="1496">
        <f t="shared" si="707"/>
        <v>1</v>
      </c>
      <c r="AU173" s="1496">
        <f t="shared" si="707"/>
        <v>0</v>
      </c>
      <c r="AV173" s="1496">
        <f t="shared" si="707"/>
        <v>0</v>
      </c>
      <c r="AW173" s="1496">
        <f t="shared" si="707"/>
        <v>1</v>
      </c>
      <c r="AX173" s="1496">
        <f t="shared" si="707"/>
        <v>0</v>
      </c>
      <c r="AY173" s="1496">
        <f t="shared" si="707"/>
        <v>0</v>
      </c>
      <c r="AZ173" s="497" t="s">
        <v>568</v>
      </c>
      <c r="BA173" s="1495" t="s">
        <v>569</v>
      </c>
      <c r="BB173" s="1496">
        <f>SUM(BB174:BB181)</f>
        <v>0</v>
      </c>
      <c r="BC173" s="1496">
        <f t="shared" ref="BC173" si="708">SUM(BC174:BC181)</f>
        <v>0</v>
      </c>
      <c r="BD173" s="1496">
        <f t="shared" ref="BD173" si="709">SUM(BD174:BD181)</f>
        <v>0</v>
      </c>
      <c r="BE173" s="1496">
        <f t="shared" ref="BE173" si="710">SUM(BE174:BE181)</f>
        <v>0</v>
      </c>
      <c r="BF173" s="1496">
        <f t="shared" ref="BF173" si="711">SUM(BF174:BF181)</f>
        <v>0</v>
      </c>
      <c r="BG173" s="1496">
        <f t="shared" ref="BG173" si="712">SUM(BG174:BG181)</f>
        <v>0</v>
      </c>
      <c r="BH173" s="1496">
        <f t="shared" ref="BH173" si="713">SUM(BH174:BH181)</f>
        <v>0</v>
      </c>
      <c r="BI173" s="497">
        <f t="shared" ref="BI173:BI181" si="714">SUM(BB173:BH173)</f>
        <v>0</v>
      </c>
      <c r="BJ173" s="1496">
        <f>SUM(BJ174:BJ182)</f>
        <v>62</v>
      </c>
      <c r="BK173" s="1496"/>
      <c r="BL173" s="1496"/>
      <c r="BM173" s="1496">
        <f t="shared" ref="BM173:BS173" si="715">SUM(BM174:BM182)</f>
        <v>0</v>
      </c>
      <c r="BN173" s="1496">
        <f t="shared" si="715"/>
        <v>23</v>
      </c>
      <c r="BO173" s="1496">
        <f t="shared" si="715"/>
        <v>31</v>
      </c>
      <c r="BP173" s="1496">
        <f t="shared" si="715"/>
        <v>0</v>
      </c>
      <c r="BQ173" s="1496">
        <f t="shared" si="715"/>
        <v>8</v>
      </c>
      <c r="BR173" s="1496">
        <f t="shared" si="715"/>
        <v>0</v>
      </c>
      <c r="BS173" s="1496">
        <f t="shared" si="715"/>
        <v>0</v>
      </c>
      <c r="BT173" s="1496" t="s">
        <v>570</v>
      </c>
      <c r="BU173" s="1497" t="s">
        <v>571</v>
      </c>
      <c r="BV173" s="1496">
        <f>SUM(BV174:BV181)</f>
        <v>0</v>
      </c>
      <c r="BW173" s="1496">
        <f t="shared" ref="BW173" si="716">SUM(BW174:BW181)</f>
        <v>0</v>
      </c>
      <c r="BX173" s="1496">
        <f t="shared" ref="BX173" si="717">SUM(BX174:BX181)</f>
        <v>0</v>
      </c>
      <c r="BY173" s="1496">
        <f t="shared" ref="BY173" si="718">SUM(BY174:BY181)</f>
        <v>0</v>
      </c>
      <c r="BZ173" s="1496">
        <f t="shared" ref="BZ173" si="719">SUM(BZ174:BZ181)</f>
        <v>0</v>
      </c>
      <c r="CA173" s="1496">
        <f t="shared" ref="CA173" si="720">SUM(CA174:CA181)</f>
        <v>0</v>
      </c>
      <c r="CB173" s="1496">
        <f t="shared" ref="CB173" si="721">SUM(CB174:CB181)</f>
        <v>0</v>
      </c>
      <c r="CC173" s="497">
        <f t="shared" ref="CC173:CC181" si="722">SUM(BV173:CB173)</f>
        <v>0</v>
      </c>
      <c r="CD173" s="1496">
        <f>SUM(CD174:CD182)</f>
        <v>3</v>
      </c>
      <c r="CE173" s="1496"/>
      <c r="CF173" s="1496"/>
      <c r="CG173" s="1496">
        <f t="shared" ref="CG173:CM173" si="723">SUM(CG174:CG182)</f>
        <v>0</v>
      </c>
      <c r="CH173" s="1496">
        <f t="shared" si="723"/>
        <v>0</v>
      </c>
      <c r="CI173" s="1496">
        <f t="shared" si="723"/>
        <v>3</v>
      </c>
      <c r="CJ173" s="1496">
        <f t="shared" si="723"/>
        <v>0</v>
      </c>
      <c r="CK173" s="1496">
        <f t="shared" si="723"/>
        <v>0</v>
      </c>
      <c r="CL173" s="1496">
        <f t="shared" si="723"/>
        <v>0</v>
      </c>
      <c r="CM173" s="1496">
        <f t="shared" si="723"/>
        <v>0</v>
      </c>
      <c r="CN173" s="1496" t="s">
        <v>572</v>
      </c>
      <c r="CO173" s="1497" t="s">
        <v>573</v>
      </c>
      <c r="CP173" s="1496">
        <f>SUM(CP174:CP181)</f>
        <v>0</v>
      </c>
      <c r="CQ173" s="1496">
        <f t="shared" ref="CQ173" si="724">SUM(CQ174:CQ181)</f>
        <v>0</v>
      </c>
      <c r="CR173" s="1496">
        <f t="shared" ref="CR173" si="725">SUM(CR174:CR181)</f>
        <v>0</v>
      </c>
      <c r="CS173" s="1496">
        <f t="shared" ref="CS173" si="726">SUM(CS174:CS181)</f>
        <v>0</v>
      </c>
      <c r="CT173" s="1496">
        <f t="shared" ref="CT173" si="727">SUM(CT174:CT181)</f>
        <v>0</v>
      </c>
      <c r="CU173" s="1496">
        <f t="shared" ref="CU173" si="728">SUM(CU174:CU181)</f>
        <v>0</v>
      </c>
      <c r="CV173" s="1496">
        <f t="shared" ref="CV173" si="729">SUM(CV174:CV181)</f>
        <v>0</v>
      </c>
      <c r="CW173" s="497">
        <f t="shared" ref="CW173:CW181" si="730">SUM(CP173:CV173)</f>
        <v>0</v>
      </c>
      <c r="CX173" s="1512">
        <f>SUM(CX174:CX182)</f>
        <v>4</v>
      </c>
      <c r="CY173" s="1496"/>
      <c r="CZ173" s="1496"/>
      <c r="DA173" s="1496">
        <f t="shared" ref="DA173:DG173" si="731">SUM(DA174:DA182)</f>
        <v>0</v>
      </c>
      <c r="DB173" s="1496">
        <f t="shared" si="731"/>
        <v>0</v>
      </c>
      <c r="DC173" s="1496">
        <f t="shared" si="731"/>
        <v>2</v>
      </c>
      <c r="DD173" s="1496">
        <f t="shared" si="731"/>
        <v>1</v>
      </c>
      <c r="DE173" s="1496">
        <f t="shared" si="731"/>
        <v>0</v>
      </c>
      <c r="DF173" s="1496">
        <f t="shared" si="731"/>
        <v>0</v>
      </c>
      <c r="DG173" s="1496">
        <f t="shared" si="731"/>
        <v>1</v>
      </c>
    </row>
    <row r="174" spans="1:111" ht="49.5" thickTop="1" thickBot="1" x14ac:dyDescent="0.3">
      <c r="A174" s="518" t="str">
        <f>CONCATENATE('3 pr-2'!A174)</f>
        <v>3.1.2.1.1</v>
      </c>
      <c r="B174" s="518" t="str">
        <f>CONCATENATE('3 pr-2'!B174)</f>
        <v>R01-0019-380000-3211</v>
      </c>
      <c r="C174" s="1449" t="str">
        <f>CONCATENATE('ketv. 2lent'!B172)</f>
        <v>05.5.1-APVA-R-019-11-0002</v>
      </c>
      <c r="D174" s="480" t="str">
        <f>CONCATENATE('3 pr-2'!D174)</f>
        <v>Kraštovaizdžio formavimas ir tvarkymas Varėnos r. savivaldybėje (I etapas)</v>
      </c>
      <c r="E174" s="480" t="str">
        <f>CONCATENATE('3 pr-2'!E174)</f>
        <v>Varėnos rajono savivaldybės administracija</v>
      </c>
      <c r="F174" s="480" t="str">
        <f>CONCATENATE('3 pr-2'!F174)</f>
        <v>Lietuvos Respublikos aplinkos ministerija</v>
      </c>
      <c r="G174" s="480" t="str">
        <f>CONCATENATE('3 pr-2'!G174)</f>
        <v>Varėnos  rajono savivaldybė</v>
      </c>
      <c r="H174" s="518" t="str">
        <f>CONCATENATE('3 pr-2'!H174)</f>
        <v>05.5.1-APVA-R-019</v>
      </c>
      <c r="I174" s="518" t="str">
        <f>CONCATENATE('3 pr-2'!I174)</f>
        <v>R</v>
      </c>
      <c r="J174" s="518" t="str">
        <f>CONCATENATE('3 pr-2'!J174)</f>
        <v>-</v>
      </c>
      <c r="K174" s="518" t="str">
        <f>CONCATENATE('3 pr-2'!K174)</f>
        <v>-</v>
      </c>
      <c r="L174" s="518" t="s">
        <v>566</v>
      </c>
      <c r="M174" s="881" t="s">
        <v>567</v>
      </c>
      <c r="N174" s="518"/>
      <c r="O174" s="518"/>
      <c r="P174" s="518"/>
      <c r="Q174" s="518"/>
      <c r="R174" s="518"/>
      <c r="S174" s="518"/>
      <c r="T174" s="518"/>
      <c r="U174" s="1335">
        <f t="shared" si="698"/>
        <v>0</v>
      </c>
      <c r="V174" s="518">
        <v>3.43</v>
      </c>
      <c r="W174" s="1336" t="str">
        <f>IF('ketv. 6 lent'!K173&gt;0,"3,43",0)</f>
        <v>3,43</v>
      </c>
      <c r="X174" s="518">
        <f>SUM(W174-V174)</f>
        <v>0</v>
      </c>
      <c r="Y174" s="518">
        <f>IF(YEAR('3 pr-2'!$AJ174)=2017,$V174,0)</f>
        <v>0</v>
      </c>
      <c r="Z174" s="518">
        <f>IF(YEAR('3 pr-2'!$AJ174)=2018,$V174,0)</f>
        <v>0</v>
      </c>
      <c r="AA174" s="518">
        <f>IF(YEAR('3 pr-2'!$AJ174)=2019,$V174,0)</f>
        <v>3.43</v>
      </c>
      <c r="AB174" s="518">
        <f>IF(YEAR('3 pr-2'!$AJ174)=2020,$V174,0)</f>
        <v>0</v>
      </c>
      <c r="AC174" s="518">
        <f>IF(YEAR('3 pr-2'!$AJ174)=2021,$V174,0)</f>
        <v>0</v>
      </c>
      <c r="AD174" s="518">
        <f>IF(YEAR('3 pr-2'!$AJ174)=2022,$V174,0)</f>
        <v>0</v>
      </c>
      <c r="AE174" s="518">
        <f>IF(YEAR('3 pr-2'!$AJ174)=2023,$V174,0)</f>
        <v>0</v>
      </c>
      <c r="AF174" s="523"/>
      <c r="AG174" s="881"/>
      <c r="AH174" s="518"/>
      <c r="AI174" s="518"/>
      <c r="AJ174" s="518"/>
      <c r="AK174" s="518"/>
      <c r="AL174" s="518"/>
      <c r="AM174" s="518"/>
      <c r="AN174" s="518"/>
      <c r="AO174" s="1337">
        <f t="shared" si="706"/>
        <v>0</v>
      </c>
      <c r="AP174" s="518"/>
      <c r="AQ174" s="1338"/>
      <c r="AR174" s="518"/>
      <c r="AS174" s="518">
        <f>IF(YEAR('3 pr-2'!$AJ174)=2017,$AP174,0)</f>
        <v>0</v>
      </c>
      <c r="AT174" s="518">
        <f>IF(YEAR('3 pr-2'!$AJ174)=2018,$AP174,0)</f>
        <v>0</v>
      </c>
      <c r="AU174" s="518">
        <f>IF(YEAR('3 pr-2'!$AJ174)=2019,$AP174,0)</f>
        <v>0</v>
      </c>
      <c r="AV174" s="518">
        <f>IF(YEAR('3 pr-2'!$AJ174)=2020,$AP174,0)</f>
        <v>0</v>
      </c>
      <c r="AW174" s="518">
        <f>IF(YEAR('3 pr-2'!$AJ174)=2021,$AP174,0)</f>
        <v>0</v>
      </c>
      <c r="AX174" s="518">
        <f>IF(YEAR('3 pr-2'!$AJ174)=2022,$AP174,0)</f>
        <v>0</v>
      </c>
      <c r="AY174" s="518">
        <f>IF(YEAR('3 pr-2'!$AJ174)=2023,$AP174,0)</f>
        <v>0</v>
      </c>
      <c r="AZ174" s="518" t="s">
        <v>568</v>
      </c>
      <c r="BA174" s="880" t="s">
        <v>569</v>
      </c>
      <c r="BB174" s="518"/>
      <c r="BC174" s="518"/>
      <c r="BD174" s="518"/>
      <c r="BE174" s="518"/>
      <c r="BF174" s="518"/>
      <c r="BG174" s="518"/>
      <c r="BH174" s="518"/>
      <c r="BI174" s="1337">
        <f t="shared" si="714"/>
        <v>0</v>
      </c>
      <c r="BJ174" s="518">
        <v>14</v>
      </c>
      <c r="BK174" s="1338">
        <v>14</v>
      </c>
      <c r="BL174" s="518">
        <f>SUM(BK174-BJ174)</f>
        <v>0</v>
      </c>
      <c r="BM174" s="518">
        <f>IF(YEAR('3 pr-2'!$AJ174)=2017,$BJ174,0)</f>
        <v>0</v>
      </c>
      <c r="BN174" s="518">
        <f>IF(YEAR('3 pr-2'!$AJ174)=2018,$BJ174,0)</f>
        <v>0</v>
      </c>
      <c r="BO174" s="518">
        <f>IF(YEAR('3 pr-2'!$AJ174)=2019,$BJ174,0)</f>
        <v>14</v>
      </c>
      <c r="BP174" s="518">
        <f>IF(YEAR('3 pr-2'!$AJ174)=2020,$BJ174,0)</f>
        <v>0</v>
      </c>
      <c r="BQ174" s="518">
        <f>IF(YEAR('3 pr-2'!$AJ174)=2021,$BJ174,0)</f>
        <v>0</v>
      </c>
      <c r="BR174" s="518">
        <f>IF(YEAR('3 pr-2'!$AJ174)=2022,$BJ174,0)</f>
        <v>0</v>
      </c>
      <c r="BS174" s="518">
        <f>IF(YEAR('3 pr-2'!$AJ174)=2023,$BJ174,0)</f>
        <v>0</v>
      </c>
      <c r="BT174" s="523" t="s">
        <v>570</v>
      </c>
      <c r="BU174" s="881" t="s">
        <v>571</v>
      </c>
      <c r="BV174" s="518"/>
      <c r="BW174" s="518"/>
      <c r="BX174" s="518"/>
      <c r="BY174" s="518"/>
      <c r="BZ174" s="518"/>
      <c r="CA174" s="518"/>
      <c r="CB174" s="518"/>
      <c r="CC174" s="1337">
        <f t="shared" si="722"/>
        <v>0</v>
      </c>
      <c r="CD174" s="518">
        <v>3</v>
      </c>
      <c r="CE174" s="518">
        <v>3</v>
      </c>
      <c r="CF174" s="518">
        <f>SUM(CE174-CD174)</f>
        <v>0</v>
      </c>
      <c r="CG174" s="518">
        <f>IF(YEAR('3 pr-2'!$AJ174)=2017,$CD174,0)</f>
        <v>0</v>
      </c>
      <c r="CH174" s="518">
        <f>IF(YEAR('3 pr-2'!$AJ174)=2018,$CD174,0)</f>
        <v>0</v>
      </c>
      <c r="CI174" s="518">
        <f>IF(YEAR('3 pr-2'!$AJ174)=2019,$CD174,0)</f>
        <v>3</v>
      </c>
      <c r="CJ174" s="518">
        <f>IF(YEAR('3 pr-2'!$AJ174)=2020,$CD174,0)</f>
        <v>0</v>
      </c>
      <c r="CK174" s="518">
        <f>IF(YEAR('3 pr-2'!$AJ174)=2021,$CD174,0)</f>
        <v>0</v>
      </c>
      <c r="CL174" s="518">
        <f>IF(YEAR('3 pr-2'!$AJ174)=2022,$CD174,0)</f>
        <v>0</v>
      </c>
      <c r="CM174" s="518">
        <f>IF(YEAR('3 pr-2'!$AJ174)=2023,$CD174,0)</f>
        <v>0</v>
      </c>
      <c r="CN174" s="523"/>
      <c r="CO174" s="882"/>
      <c r="CP174" s="518"/>
      <c r="CQ174" s="518"/>
      <c r="CR174" s="518"/>
      <c r="CS174" s="518"/>
      <c r="CT174" s="518"/>
      <c r="CU174" s="518"/>
      <c r="CV174" s="518"/>
      <c r="CW174" s="1337">
        <f t="shared" si="730"/>
        <v>0</v>
      </c>
      <c r="CX174" s="524"/>
      <c r="CY174" s="504"/>
      <c r="CZ174" s="504"/>
      <c r="DA174" s="1332">
        <f>IF(YEAR('3 pr-2'!AJ174)=2017,CX174,0)</f>
        <v>0</v>
      </c>
      <c r="DB174" s="1332">
        <f>IF(YEAR('3 pr-2'!AJ174)=2018,CX174,0)</f>
        <v>0</v>
      </c>
      <c r="DC174" s="1332">
        <f>IF(YEAR('3 pr-2'!AJ174)=2019,CX174,0)</f>
        <v>0</v>
      </c>
      <c r="DD174" s="1332">
        <f>IF(YEAR('3 pr-2'!AJ174)=2020,CX174,0)</f>
        <v>0</v>
      </c>
      <c r="DE174" s="1332">
        <f>IF(YEAR('3 pr-2'!AJ174)=2021,CX174,0)</f>
        <v>0</v>
      </c>
      <c r="DF174" s="1332">
        <f>IF(YEAR('3 pr-2'!AJ174)=2022,CX174,0)</f>
        <v>0</v>
      </c>
      <c r="DG174" s="1332">
        <f>IF(YEAR('3 pr-2'!AJ174)=2023,CX174,0)</f>
        <v>0</v>
      </c>
    </row>
    <row r="175" spans="1:111" ht="49.5" thickTop="1" thickBot="1" x14ac:dyDescent="0.3">
      <c r="A175" s="518" t="str">
        <f>CONCATENATE('3 pr-2'!A175)</f>
        <v>3.1.2.1.2</v>
      </c>
      <c r="B175" s="518" t="str">
        <f>CONCATENATE('3 pr-2'!B175)</f>
        <v>R01-0019-380000-3212</v>
      </c>
      <c r="C175" s="1449" t="str">
        <f>CONCATENATE('ketv. 2lent'!B173)</f>
        <v/>
      </c>
      <c r="D175" s="480" t="str">
        <f>CONCATENATE('3 pr-2'!D175)</f>
        <v>Kraštovaizdžio formavimas ir tvarkymas Varėnos r. savivaldybėje (II etapas)</v>
      </c>
      <c r="E175" s="480" t="str">
        <f>CONCATENATE('3 pr-2'!E175)</f>
        <v>Varėnos rajono savivaldybės administracija</v>
      </c>
      <c r="F175" s="480" t="str">
        <f>CONCATENATE('3 pr-2'!F175)</f>
        <v>Lietuvos Respublikos aplinkos ministerija</v>
      </c>
      <c r="G175" s="480" t="str">
        <f>CONCATENATE('3 pr-2'!G175)</f>
        <v>Varėnos  rajono savivaldybė</v>
      </c>
      <c r="H175" s="518" t="str">
        <f>CONCATENATE('3 pr-2'!H175)</f>
        <v>05.5.1-APVA-R-019</v>
      </c>
      <c r="I175" s="518" t="str">
        <f>CONCATENATE('3 pr-2'!I175)</f>
        <v>R</v>
      </c>
      <c r="J175" s="518" t="str">
        <f>CONCATENATE('3 pr-2'!J175)</f>
        <v>-</v>
      </c>
      <c r="K175" s="518" t="str">
        <f>CONCATENATE('3 pr-2'!K175)</f>
        <v>-</v>
      </c>
      <c r="L175" s="518" t="s">
        <v>566</v>
      </c>
      <c r="M175" s="881" t="s">
        <v>567</v>
      </c>
      <c r="N175" s="518"/>
      <c r="O175" s="518"/>
      <c r="P175" s="518"/>
      <c r="Q175" s="518"/>
      <c r="R175" s="518"/>
      <c r="S175" s="518"/>
      <c r="T175" s="518"/>
      <c r="U175" s="1335">
        <f t="shared" si="698"/>
        <v>0</v>
      </c>
      <c r="V175" s="518">
        <v>2</v>
      </c>
      <c r="W175" s="1336">
        <f>IF('ketv. 6 lent'!K174&gt;0,"taip",0)</f>
        <v>0</v>
      </c>
      <c r="X175" s="518"/>
      <c r="Y175" s="518">
        <f>IF(YEAR('3 pr-2'!$AJ175)=2017,$V175,0)</f>
        <v>0</v>
      </c>
      <c r="Z175" s="518">
        <f>IF(YEAR('3 pr-2'!$AJ175)=2018,$V175,0)</f>
        <v>0</v>
      </c>
      <c r="AA175" s="518">
        <f>IF(YEAR('3 pr-2'!$AJ175)=2019,$V175,0)</f>
        <v>0</v>
      </c>
      <c r="AB175" s="518">
        <f>IF(YEAR('3 pr-2'!$AJ175)=2020,$V175,0)</f>
        <v>0</v>
      </c>
      <c r="AC175" s="518">
        <f>IF(YEAR('3 pr-2'!$AJ175)=2021,$V175,0)</f>
        <v>0</v>
      </c>
      <c r="AD175" s="518">
        <f>IF(YEAR('3 pr-2'!$AJ175)=2022,$V175,0)</f>
        <v>0</v>
      </c>
      <c r="AE175" s="518">
        <f>IF(YEAR('3 pr-2'!$AJ175)=2023,$V175,0)</f>
        <v>2</v>
      </c>
      <c r="AF175" s="523"/>
      <c r="AG175" s="881"/>
      <c r="AH175" s="518"/>
      <c r="AI175" s="518"/>
      <c r="AJ175" s="518"/>
      <c r="AK175" s="518"/>
      <c r="AL175" s="518"/>
      <c r="AM175" s="518"/>
      <c r="AN175" s="518"/>
      <c r="AO175" s="1337">
        <f t="shared" si="706"/>
        <v>0</v>
      </c>
      <c r="AP175" s="518"/>
      <c r="AQ175" s="1338"/>
      <c r="AR175" s="518"/>
      <c r="AS175" s="518">
        <f>IF(YEAR('3 pr-2'!$AJ175)=2017,$AP175,0)</f>
        <v>0</v>
      </c>
      <c r="AT175" s="518">
        <f>IF(YEAR('3 pr-2'!$AJ175)=2018,$AP175,0)</f>
        <v>0</v>
      </c>
      <c r="AU175" s="518">
        <f>IF(YEAR('3 pr-2'!$AJ175)=2019,$AP175,0)</f>
        <v>0</v>
      </c>
      <c r="AV175" s="518">
        <f>IF(YEAR('3 pr-2'!$AJ175)=2020,$AP175,0)</f>
        <v>0</v>
      </c>
      <c r="AW175" s="518">
        <f>IF(YEAR('3 pr-2'!$AJ175)=2021,$AP175,0)</f>
        <v>0</v>
      </c>
      <c r="AX175" s="518">
        <f>IF(YEAR('3 pr-2'!$AJ175)=2022,$AP175,0)</f>
        <v>0</v>
      </c>
      <c r="AY175" s="518">
        <f>IF(YEAR('3 pr-2'!$AJ175)=2023,$AP175,0)</f>
        <v>0</v>
      </c>
      <c r="AZ175" s="518"/>
      <c r="BA175" s="880"/>
      <c r="BB175" s="518"/>
      <c r="BC175" s="518"/>
      <c r="BD175" s="518"/>
      <c r="BE175" s="518"/>
      <c r="BF175" s="518"/>
      <c r="BG175" s="518"/>
      <c r="BH175" s="518"/>
      <c r="BI175" s="1337">
        <f t="shared" si="714"/>
        <v>0</v>
      </c>
      <c r="BJ175" s="518"/>
      <c r="BK175" s="1338"/>
      <c r="BL175" s="518"/>
      <c r="BM175" s="518">
        <f>IF(YEAR('3 pr-2'!$AJ175)=2017,$BJ175,0)</f>
        <v>0</v>
      </c>
      <c r="BN175" s="518">
        <f>IF(YEAR('3 pr-2'!$AJ175)=2018,$BJ175,0)</f>
        <v>0</v>
      </c>
      <c r="BO175" s="518">
        <f>IF(YEAR('3 pr-2'!$AJ175)=2019,$BJ175,0)</f>
        <v>0</v>
      </c>
      <c r="BP175" s="518">
        <f>IF(YEAR('3 pr-2'!$AJ175)=2020,$BJ175,0)</f>
        <v>0</v>
      </c>
      <c r="BQ175" s="518">
        <f>IF(YEAR('3 pr-2'!$AJ175)=2021,$BJ175,0)</f>
        <v>0</v>
      </c>
      <c r="BR175" s="518">
        <f>IF(YEAR('3 pr-2'!$AJ175)=2022,$BJ175,0)</f>
        <v>0</v>
      </c>
      <c r="BS175" s="518">
        <f>IF(YEAR('3 pr-2'!$AJ175)=2023,$BJ175,0)</f>
        <v>0</v>
      </c>
      <c r="BT175" s="523"/>
      <c r="BU175" s="881"/>
      <c r="BV175" s="518"/>
      <c r="BW175" s="518"/>
      <c r="BX175" s="518"/>
      <c r="BY175" s="518"/>
      <c r="BZ175" s="518"/>
      <c r="CA175" s="518"/>
      <c r="CB175" s="518"/>
      <c r="CC175" s="1337">
        <f t="shared" si="722"/>
        <v>0</v>
      </c>
      <c r="CD175" s="518"/>
      <c r="CE175" s="518"/>
      <c r="CF175" s="518"/>
      <c r="CG175" s="518">
        <f>IF(YEAR('3 pr-2'!$AJ175)=2017,$CD175,0)</f>
        <v>0</v>
      </c>
      <c r="CH175" s="518">
        <f>IF(YEAR('3 pr-2'!$AJ175)=2018,$CD175,0)</f>
        <v>0</v>
      </c>
      <c r="CI175" s="518">
        <f>IF(YEAR('3 pr-2'!$AJ175)=2019,$CD175,0)</f>
        <v>0</v>
      </c>
      <c r="CJ175" s="518">
        <f>IF(YEAR('3 pr-2'!$AJ175)=2020,$CD175,0)</f>
        <v>0</v>
      </c>
      <c r="CK175" s="518">
        <f>IF(YEAR('3 pr-2'!$AJ175)=2021,$CD175,0)</f>
        <v>0</v>
      </c>
      <c r="CL175" s="518">
        <f>IF(YEAR('3 pr-2'!$AJ175)=2022,$CD175,0)</f>
        <v>0</v>
      </c>
      <c r="CM175" s="518">
        <f>IF(YEAR('3 pr-2'!$AJ175)=2023,$CD175,0)</f>
        <v>0</v>
      </c>
      <c r="CN175" s="523" t="s">
        <v>572</v>
      </c>
      <c r="CO175" s="882" t="s">
        <v>573</v>
      </c>
      <c r="CP175" s="518"/>
      <c r="CQ175" s="518"/>
      <c r="CR175" s="518"/>
      <c r="CS175" s="518"/>
      <c r="CT175" s="518"/>
      <c r="CU175" s="518"/>
      <c r="CV175" s="518"/>
      <c r="CW175" s="1337">
        <f t="shared" si="730"/>
        <v>0</v>
      </c>
      <c r="CX175" s="524">
        <v>1</v>
      </c>
      <c r="CY175" s="504"/>
      <c r="CZ175" s="504"/>
      <c r="DA175" s="1332">
        <f>IF(YEAR('3 pr-2'!AJ175)=2017,CX175,0)</f>
        <v>0</v>
      </c>
      <c r="DB175" s="1332">
        <f>IF(YEAR('3 pr-2'!AJ175)=2018,CX175,0)</f>
        <v>0</v>
      </c>
      <c r="DC175" s="1332">
        <f>IF(YEAR('3 pr-2'!AJ175)=2019,CX175,0)</f>
        <v>0</v>
      </c>
      <c r="DD175" s="1332">
        <f>IF(YEAR('3 pr-2'!AJ175)=2020,CX175,0)</f>
        <v>0</v>
      </c>
      <c r="DE175" s="1332">
        <f>IF(YEAR('3 pr-2'!AJ175)=2021,CX175,0)</f>
        <v>0</v>
      </c>
      <c r="DF175" s="1332">
        <f>IF(YEAR('3 pr-2'!AJ175)=2022,CX175,0)</f>
        <v>0</v>
      </c>
      <c r="DG175" s="1332">
        <f>IF(YEAR('3 pr-2'!AJ175)=2023,CX175,0)</f>
        <v>1</v>
      </c>
    </row>
    <row r="176" spans="1:111" ht="49.5" thickTop="1" thickBot="1" x14ac:dyDescent="0.3">
      <c r="A176" s="518" t="str">
        <f>CONCATENATE('3 pr-2'!A176)</f>
        <v>3.1.2.1.3</v>
      </c>
      <c r="B176" s="518" t="str">
        <f>CONCATENATE('3 pr-2'!B176)</f>
        <v>R01-0019-380000-3213</v>
      </c>
      <c r="C176" s="1449" t="str">
        <f>CONCATENATE('ketv. 2lent'!B174)</f>
        <v>05.5.1-APVA-R-019-11-0001</v>
      </c>
      <c r="D176" s="480" t="str">
        <f>CONCATENATE('3 pr-2'!D176)</f>
        <v>Bešeimininkių apleistų pastatų ir įrenginių tvarkymas Alytaus rajono savivaldybėje</v>
      </c>
      <c r="E176" s="480" t="str">
        <f>CONCATENATE('3 pr-2'!E176)</f>
        <v>Alytaus rajono savivaldybės administracija</v>
      </c>
      <c r="F176" s="480" t="str">
        <f>CONCATENATE('3 pr-2'!F176)</f>
        <v>Lietuvos Respublikos aplinkos ministerija</v>
      </c>
      <c r="G176" s="480" t="str">
        <f>CONCATENATE('3 pr-2'!G176)</f>
        <v>Alytaus rajonas</v>
      </c>
      <c r="H176" s="518" t="str">
        <f>CONCATENATE('3 pr-2'!H176)</f>
        <v>05.5.1-APVA-R-019</v>
      </c>
      <c r="I176" s="518" t="str">
        <f>CONCATENATE('3 pr-2'!I176)</f>
        <v>R</v>
      </c>
      <c r="J176" s="518" t="str">
        <f>CONCATENATE('3 pr-2'!J176)</f>
        <v/>
      </c>
      <c r="K176" s="518" t="str">
        <f>CONCATENATE('3 pr-2'!K176)</f>
        <v/>
      </c>
      <c r="L176" s="518" t="s">
        <v>566</v>
      </c>
      <c r="M176" s="881" t="s">
        <v>567</v>
      </c>
      <c r="N176" s="518"/>
      <c r="O176" s="518"/>
      <c r="P176" s="518"/>
      <c r="Q176" s="518"/>
      <c r="R176" s="518"/>
      <c r="S176" s="518"/>
      <c r="T176" s="518"/>
      <c r="U176" s="1335">
        <f t="shared" si="698"/>
        <v>0</v>
      </c>
      <c r="V176" s="518">
        <v>3.6</v>
      </c>
      <c r="W176" s="1336" t="str">
        <f>IF('ketv. 6 lent'!K175&gt;0,"3,6",0)</f>
        <v>3,6</v>
      </c>
      <c r="X176" s="518">
        <f>SUM(W176-V176)</f>
        <v>0</v>
      </c>
      <c r="Y176" s="518">
        <f>IF(YEAR('3 pr-2'!$AJ176)=2017,$V176,0)</f>
        <v>0</v>
      </c>
      <c r="Z176" s="518">
        <f>IF(YEAR('3 pr-2'!$AJ176)=2018,$V176,0)</f>
        <v>3.6</v>
      </c>
      <c r="AA176" s="518">
        <f>IF(YEAR('3 pr-2'!$AJ176)=2019,$V176,0)</f>
        <v>0</v>
      </c>
      <c r="AB176" s="518">
        <f>IF(YEAR('3 pr-2'!$AJ176)=2020,$V176,0)</f>
        <v>0</v>
      </c>
      <c r="AC176" s="518">
        <f>IF(YEAR('3 pr-2'!$AJ176)=2021,$V176,0)</f>
        <v>0</v>
      </c>
      <c r="AD176" s="518">
        <f>IF(YEAR('3 pr-2'!$AJ176)=2022,$V176,0)</f>
        <v>0</v>
      </c>
      <c r="AE176" s="518">
        <f>IF(YEAR('3 pr-2'!$AJ176)=2023,$V176,0)</f>
        <v>0</v>
      </c>
      <c r="AF176" s="523"/>
      <c r="AG176" s="881"/>
      <c r="AH176" s="518"/>
      <c r="AI176" s="518"/>
      <c r="AJ176" s="518"/>
      <c r="AK176" s="518"/>
      <c r="AL176" s="518"/>
      <c r="AM176" s="518"/>
      <c r="AN176" s="518"/>
      <c r="AO176" s="1337">
        <f t="shared" si="706"/>
        <v>0</v>
      </c>
      <c r="AP176" s="518"/>
      <c r="AQ176" s="1338"/>
      <c r="AR176" s="518"/>
      <c r="AS176" s="518">
        <f>IF(YEAR('3 pr-2'!$AJ176)=2017,$AP176,0)</f>
        <v>0</v>
      </c>
      <c r="AT176" s="518">
        <f>IF(YEAR('3 pr-2'!$AJ176)=2018,$AP176,0)</f>
        <v>0</v>
      </c>
      <c r="AU176" s="518">
        <f>IF(YEAR('3 pr-2'!$AJ176)=2019,$AP176,0)</f>
        <v>0</v>
      </c>
      <c r="AV176" s="518">
        <f>IF(YEAR('3 pr-2'!$AJ176)=2020,$AP176,0)</f>
        <v>0</v>
      </c>
      <c r="AW176" s="518">
        <f>IF(YEAR('3 pr-2'!$AJ176)=2021,$AP176,0)</f>
        <v>0</v>
      </c>
      <c r="AX176" s="518">
        <f>IF(YEAR('3 pr-2'!$AJ176)=2022,$AP176,0)</f>
        <v>0</v>
      </c>
      <c r="AY176" s="518">
        <f>IF(YEAR('3 pr-2'!$AJ176)=2023,$AP176,0)</f>
        <v>0</v>
      </c>
      <c r="AZ176" s="518" t="s">
        <v>568</v>
      </c>
      <c r="BA176" s="880" t="s">
        <v>574</v>
      </c>
      <c r="BB176" s="518"/>
      <c r="BC176" s="518"/>
      <c r="BD176" s="518"/>
      <c r="BE176" s="518"/>
      <c r="BF176" s="518"/>
      <c r="BG176" s="518"/>
      <c r="BH176" s="518"/>
      <c r="BI176" s="1337">
        <f t="shared" si="714"/>
        <v>0</v>
      </c>
      <c r="BJ176" s="518">
        <v>11</v>
      </c>
      <c r="BK176" s="1338">
        <v>11</v>
      </c>
      <c r="BL176" s="518">
        <f>SUM(BK176-BJ176)</f>
        <v>0</v>
      </c>
      <c r="BM176" s="518">
        <f>IF(YEAR('3 pr-2'!$AJ176)=2017,$BJ176,0)</f>
        <v>0</v>
      </c>
      <c r="BN176" s="518">
        <f>IF(YEAR('3 pr-2'!$AJ176)=2018,$BJ176,0)</f>
        <v>11</v>
      </c>
      <c r="BO176" s="518">
        <f>IF(YEAR('3 pr-2'!$AJ176)=2019,$BJ176,0)</f>
        <v>0</v>
      </c>
      <c r="BP176" s="518">
        <f>IF(YEAR('3 pr-2'!$AJ176)=2020,$BJ176,0)</f>
        <v>0</v>
      </c>
      <c r="BQ176" s="518">
        <f>IF(YEAR('3 pr-2'!$AJ176)=2021,$BJ176,0)</f>
        <v>0</v>
      </c>
      <c r="BR176" s="518">
        <f>IF(YEAR('3 pr-2'!$AJ176)=2022,$BJ176,0)</f>
        <v>0</v>
      </c>
      <c r="BS176" s="518">
        <f>IF(YEAR('3 pr-2'!$AJ176)=2023,$BJ176,0)</f>
        <v>0</v>
      </c>
      <c r="BT176" s="523"/>
      <c r="BU176" s="881"/>
      <c r="BV176" s="518"/>
      <c r="BW176" s="518"/>
      <c r="BX176" s="518"/>
      <c r="BY176" s="518"/>
      <c r="BZ176" s="518"/>
      <c r="CA176" s="518"/>
      <c r="CB176" s="518"/>
      <c r="CC176" s="1337">
        <f t="shared" si="722"/>
        <v>0</v>
      </c>
      <c r="CD176" s="518"/>
      <c r="CE176" s="518"/>
      <c r="CF176" s="518"/>
      <c r="CG176" s="518">
        <f>IF(YEAR('3 pr-2'!$AJ176)=2017,$CD176,0)</f>
        <v>0</v>
      </c>
      <c r="CH176" s="518">
        <f>IF(YEAR('3 pr-2'!$AJ176)=2018,$CD176,0)</f>
        <v>0</v>
      </c>
      <c r="CI176" s="518">
        <f>IF(YEAR('3 pr-2'!$AJ176)=2019,$CD176,0)</f>
        <v>0</v>
      </c>
      <c r="CJ176" s="518">
        <f>IF(YEAR('3 pr-2'!$AJ176)=2020,$CD176,0)</f>
        <v>0</v>
      </c>
      <c r="CK176" s="518">
        <f>IF(YEAR('3 pr-2'!$AJ176)=2021,$CD176,0)</f>
        <v>0</v>
      </c>
      <c r="CL176" s="518">
        <f>IF(YEAR('3 pr-2'!$AJ176)=2022,$CD176,0)</f>
        <v>0</v>
      </c>
      <c r="CM176" s="518">
        <f>IF(YEAR('3 pr-2'!$AJ176)=2023,$CD176,0)</f>
        <v>0</v>
      </c>
      <c r="CN176" s="523"/>
      <c r="CO176" s="882"/>
      <c r="CP176" s="518"/>
      <c r="CQ176" s="518"/>
      <c r="CR176" s="518"/>
      <c r="CS176" s="518"/>
      <c r="CT176" s="518"/>
      <c r="CU176" s="518"/>
      <c r="CV176" s="518"/>
      <c r="CW176" s="1337">
        <f t="shared" si="730"/>
        <v>0</v>
      </c>
      <c r="CX176" s="524"/>
      <c r="CY176" s="504"/>
      <c r="CZ176" s="504"/>
      <c r="DA176" s="1332">
        <f>IF(YEAR('3 pr-2'!AJ176)=2017,CX176,0)</f>
        <v>0</v>
      </c>
      <c r="DB176" s="1332">
        <f>IF(YEAR('3 pr-2'!AJ176)=2018,CX176,0)</f>
        <v>0</v>
      </c>
      <c r="DC176" s="1332">
        <f>IF(YEAR('3 pr-2'!AJ176)=2019,CX176,0)</f>
        <v>0</v>
      </c>
      <c r="DD176" s="1332">
        <f>IF(YEAR('3 pr-2'!AJ176)=2020,CX176,0)</f>
        <v>0</v>
      </c>
      <c r="DE176" s="1332">
        <f>IF(YEAR('3 pr-2'!AJ176)=2021,CX176,0)</f>
        <v>0</v>
      </c>
      <c r="DF176" s="1332">
        <f>IF(YEAR('3 pr-2'!AJ176)=2022,CX176,0)</f>
        <v>0</v>
      </c>
      <c r="DG176" s="1332">
        <f>IF(YEAR('3 pr-2'!AJ176)=2023,CX176,0)</f>
        <v>0</v>
      </c>
    </row>
    <row r="177" spans="1:111" ht="73.5" thickTop="1" thickBot="1" x14ac:dyDescent="0.3">
      <c r="A177" s="518" t="str">
        <f>CONCATENATE('3 pr-2'!A177)</f>
        <v>3.1.2.1.4</v>
      </c>
      <c r="B177" s="518" t="str">
        <f>CONCATENATE('3 pr-2'!B177)</f>
        <v>R01-0019-380000-3214</v>
      </c>
      <c r="C177" s="1449" t="str">
        <f>CONCATENATE('ketv. 2lent'!B175)</f>
        <v>05.5.1-APVA-R-019-11-0004</v>
      </c>
      <c r="D177" s="480" t="str">
        <f>CONCATENATE('3 pr-2'!D177)</f>
        <v>Alytaus miesto bendrojo plano korektūra zonuojant kraštovaizdžio struktūrą, nustatant reglamentus ir principus</v>
      </c>
      <c r="E177" s="480" t="str">
        <f>CONCATENATE('3 pr-2'!E177)</f>
        <v>Alytaus miesto savivaldybės administracija</v>
      </c>
      <c r="F177" s="480" t="str">
        <f>CONCATENATE('3 pr-2'!F177)</f>
        <v>Lietuvos Respublikos aplinkos ministerija</v>
      </c>
      <c r="G177" s="480" t="str">
        <f>CONCATENATE('3 pr-2'!G177)</f>
        <v>Alytaus miestas</v>
      </c>
      <c r="H177" s="518" t="str">
        <f>CONCATENATE('3 pr-2'!H177)</f>
        <v>05.5.1-APVA-R-019</v>
      </c>
      <c r="I177" s="518" t="str">
        <f>CONCATENATE('3 pr-2'!I177)</f>
        <v>R</v>
      </c>
      <c r="J177" s="518" t="str">
        <f>CONCATENATE('3 pr-2'!J177)</f>
        <v/>
      </c>
      <c r="K177" s="518" t="str">
        <f>CONCATENATE('3 pr-2'!K177)</f>
        <v>-</v>
      </c>
      <c r="L177" s="518"/>
      <c r="M177" s="881"/>
      <c r="N177" s="518"/>
      <c r="O177" s="518"/>
      <c r="P177" s="518"/>
      <c r="Q177" s="518"/>
      <c r="R177" s="518"/>
      <c r="S177" s="518"/>
      <c r="T177" s="518"/>
      <c r="U177" s="1335">
        <f t="shared" si="698"/>
        <v>0</v>
      </c>
      <c r="V177" s="518"/>
      <c r="W177" s="1336" t="str">
        <f>IF('ketv. 6 lent'!K176&gt;0,"taip",0)</f>
        <v>taip</v>
      </c>
      <c r="X177" s="518"/>
      <c r="Y177" s="518">
        <f>IF(YEAR('3 pr-2'!$AJ177)=2017,$V177,0)</f>
        <v>0</v>
      </c>
      <c r="Z177" s="518">
        <f>IF(YEAR('3 pr-2'!$AJ177)=2018,$V177,0)</f>
        <v>0</v>
      </c>
      <c r="AA177" s="518">
        <f>IF(YEAR('3 pr-2'!$AJ177)=2019,$V177,0)</f>
        <v>0</v>
      </c>
      <c r="AB177" s="518">
        <f>IF(YEAR('3 pr-2'!$AJ177)=2020,$V177,0)</f>
        <v>0</v>
      </c>
      <c r="AC177" s="518">
        <f>IF(YEAR('3 pr-2'!$AJ177)=2021,$V177,0)</f>
        <v>0</v>
      </c>
      <c r="AD177" s="518">
        <f>IF(YEAR('3 pr-2'!$AJ177)=2022,$V177,0)</f>
        <v>0</v>
      </c>
      <c r="AE177" s="518">
        <f>IF(YEAR('3 pr-2'!$AJ177)=2023,$V177,0)</f>
        <v>0</v>
      </c>
      <c r="AF177" s="523" t="s">
        <v>575</v>
      </c>
      <c r="AG177" s="881" t="s">
        <v>576</v>
      </c>
      <c r="AH177" s="518"/>
      <c r="AI177" s="518"/>
      <c r="AJ177" s="518"/>
      <c r="AK177" s="518"/>
      <c r="AL177" s="518"/>
      <c r="AM177" s="518"/>
      <c r="AN177" s="518"/>
      <c r="AO177" s="1337">
        <f t="shared" si="706"/>
        <v>0</v>
      </c>
      <c r="AP177" s="518">
        <v>1</v>
      </c>
      <c r="AQ177" s="1338">
        <v>1</v>
      </c>
      <c r="AR177" s="518">
        <f>SUM(AQ177-AP177)</f>
        <v>0</v>
      </c>
      <c r="AS177" s="518">
        <f>IF(YEAR('3 pr-2'!$AJ177)=2017,$AP177,0)</f>
        <v>0</v>
      </c>
      <c r="AT177" s="518">
        <f>IF(YEAR('3 pr-2'!$AJ177)=2018,$AP177,0)</f>
        <v>1</v>
      </c>
      <c r="AU177" s="518">
        <f>IF(YEAR('3 pr-2'!$AJ177)=2019,$AP177,0)</f>
        <v>0</v>
      </c>
      <c r="AV177" s="518">
        <f>IF(YEAR('3 pr-2'!$AJ177)=2020,$AP177,0)</f>
        <v>0</v>
      </c>
      <c r="AW177" s="518">
        <f>IF(YEAR('3 pr-2'!$AJ177)=2021,$AP177,0)</f>
        <v>0</v>
      </c>
      <c r="AX177" s="518">
        <f>IF(YEAR('3 pr-2'!$AJ177)=2022,$AP177,0)</f>
        <v>0</v>
      </c>
      <c r="AY177" s="518">
        <f>IF(YEAR('3 pr-2'!$AJ177)=2023,$AP177,0)</f>
        <v>0</v>
      </c>
      <c r="AZ177" s="518"/>
      <c r="BA177" s="880"/>
      <c r="BB177" s="518"/>
      <c r="BC177" s="518"/>
      <c r="BD177" s="518"/>
      <c r="BE177" s="518"/>
      <c r="BF177" s="518"/>
      <c r="BG177" s="518"/>
      <c r="BH177" s="518"/>
      <c r="BI177" s="1337">
        <f t="shared" si="714"/>
        <v>0</v>
      </c>
      <c r="BJ177" s="518"/>
      <c r="BK177" s="1338"/>
      <c r="BL177" s="518"/>
      <c r="BM177" s="518">
        <f>IF(YEAR('3 pr-2'!$AJ177)=2017,$BJ177,0)</f>
        <v>0</v>
      </c>
      <c r="BN177" s="518">
        <f>IF(YEAR('3 pr-2'!$AJ177)=2018,$BJ177,0)</f>
        <v>0</v>
      </c>
      <c r="BO177" s="518">
        <f>IF(YEAR('3 pr-2'!$AJ177)=2019,$BJ177,0)</f>
        <v>0</v>
      </c>
      <c r="BP177" s="518">
        <f>IF(YEAR('3 pr-2'!$AJ177)=2020,$BJ177,0)</f>
        <v>0</v>
      </c>
      <c r="BQ177" s="518">
        <f>IF(YEAR('3 pr-2'!$AJ177)=2021,$BJ177,0)</f>
        <v>0</v>
      </c>
      <c r="BR177" s="518">
        <f>IF(YEAR('3 pr-2'!$AJ177)=2022,$BJ177,0)</f>
        <v>0</v>
      </c>
      <c r="BS177" s="518">
        <f>IF(YEAR('3 pr-2'!$AJ177)=2023,$BJ177,0)</f>
        <v>0</v>
      </c>
      <c r="BT177" s="523"/>
      <c r="BU177" s="881"/>
      <c r="BV177" s="518"/>
      <c r="BW177" s="518"/>
      <c r="BX177" s="518"/>
      <c r="BY177" s="518"/>
      <c r="BZ177" s="518"/>
      <c r="CA177" s="518"/>
      <c r="CB177" s="518"/>
      <c r="CC177" s="1337">
        <f t="shared" si="722"/>
        <v>0</v>
      </c>
      <c r="CD177" s="518"/>
      <c r="CE177" s="518"/>
      <c r="CF177" s="518"/>
      <c r="CG177" s="518">
        <f>IF(YEAR('3 pr-2'!$AJ177)=2017,$CD177,0)</f>
        <v>0</v>
      </c>
      <c r="CH177" s="518">
        <f>IF(YEAR('3 pr-2'!$AJ177)=2018,$CD177,0)</f>
        <v>0</v>
      </c>
      <c r="CI177" s="518">
        <f>IF(YEAR('3 pr-2'!$AJ177)=2019,$CD177,0)</f>
        <v>0</v>
      </c>
      <c r="CJ177" s="518">
        <f>IF(YEAR('3 pr-2'!$AJ177)=2020,$CD177,0)</f>
        <v>0</v>
      </c>
      <c r="CK177" s="518">
        <f>IF(YEAR('3 pr-2'!$AJ177)=2021,$CD177,0)</f>
        <v>0</v>
      </c>
      <c r="CL177" s="518">
        <f>IF(YEAR('3 pr-2'!$AJ177)=2022,$CD177,0)</f>
        <v>0</v>
      </c>
      <c r="CM177" s="518">
        <f>IF(YEAR('3 pr-2'!$AJ177)=2023,$CD177,0)</f>
        <v>0</v>
      </c>
      <c r="CN177" s="523"/>
      <c r="CO177" s="882"/>
      <c r="CP177" s="518"/>
      <c r="CQ177" s="518"/>
      <c r="CR177" s="518"/>
      <c r="CS177" s="518"/>
      <c r="CT177" s="518"/>
      <c r="CU177" s="518"/>
      <c r="CV177" s="518"/>
      <c r="CW177" s="1337">
        <f t="shared" si="730"/>
        <v>0</v>
      </c>
      <c r="CX177" s="524"/>
      <c r="CY177" s="504"/>
      <c r="CZ177" s="504"/>
      <c r="DA177" s="1332">
        <f>IF(YEAR('3 pr-2'!AJ177)=2017,CX177,0)</f>
        <v>0</v>
      </c>
      <c r="DB177" s="1332">
        <f>IF(YEAR('3 pr-2'!AJ177)=2018,CX177,0)</f>
        <v>0</v>
      </c>
      <c r="DC177" s="1332">
        <f>IF(YEAR('3 pr-2'!AJ177)=2019,CX177,0)</f>
        <v>0</v>
      </c>
      <c r="DD177" s="1332">
        <f>IF(YEAR('3 pr-2'!AJ177)=2020,CX177,0)</f>
        <v>0</v>
      </c>
      <c r="DE177" s="1332">
        <f>IF(YEAR('3 pr-2'!AJ177)=2021,CX177,0)</f>
        <v>0</v>
      </c>
      <c r="DF177" s="1332">
        <f>IF(YEAR('3 pr-2'!AJ177)=2022,CX177,0)</f>
        <v>0</v>
      </c>
      <c r="DG177" s="1332">
        <f>IF(YEAR('3 pr-2'!AJ177)=2023,CX177,0)</f>
        <v>0</v>
      </c>
    </row>
    <row r="178" spans="1:111" ht="49.5" thickTop="1" thickBot="1" x14ac:dyDescent="0.3">
      <c r="A178" s="518" t="str">
        <f>CONCATENATE('3 pr-2'!A178)</f>
        <v>3.1.2.1.5</v>
      </c>
      <c r="B178" s="518" t="str">
        <f>CONCATENATE('3 pr-2'!B178)</f>
        <v>R01-0019-380000-3215</v>
      </c>
      <c r="C178" s="1449" t="str">
        <f>CONCATENATE('ketv. 2lent'!B176)</f>
        <v>05.5.1-APVA-R-019-11-0005</v>
      </c>
      <c r="D178" s="480" t="str">
        <f>CONCATENATE('3 pr-2'!D178)</f>
        <v>Bešeimininkių apleistų pastatų Druskininkų savivaldybės teritorijoje likvidavimas</v>
      </c>
      <c r="E178" s="480" t="str">
        <f>CONCATENATE('3 pr-2'!E178)</f>
        <v>Druskininkų savivaldybės administracija</v>
      </c>
      <c r="F178" s="480" t="str">
        <f>CONCATENATE('3 pr-2'!F178)</f>
        <v>Lietuvos Respublikos aplinkos ministerija</v>
      </c>
      <c r="G178" s="480" t="str">
        <f>CONCATENATE('3 pr-2'!G178)</f>
        <v>Druskininkų savivaldybė</v>
      </c>
      <c r="H178" s="518" t="str">
        <f>CONCATENATE('3 pr-2'!H178)</f>
        <v>05.5.1-APVA-R-019</v>
      </c>
      <c r="I178" s="518" t="str">
        <f>CONCATENATE('3 pr-2'!I178)</f>
        <v>R</v>
      </c>
      <c r="J178" s="518" t="str">
        <f>CONCATENATE('3 pr-2'!J178)</f>
        <v>-</v>
      </c>
      <c r="K178" s="518" t="str">
        <f>CONCATENATE('3 pr-2'!K178)</f>
        <v>-</v>
      </c>
      <c r="L178" s="518" t="s">
        <v>566</v>
      </c>
      <c r="M178" s="881" t="s">
        <v>567</v>
      </c>
      <c r="N178" s="518"/>
      <c r="O178" s="518"/>
      <c r="P178" s="518"/>
      <c r="Q178" s="518"/>
      <c r="R178" s="518"/>
      <c r="S178" s="518"/>
      <c r="T178" s="518"/>
      <c r="U178" s="1335">
        <f t="shared" si="698"/>
        <v>0</v>
      </c>
      <c r="V178" s="518">
        <v>1.29</v>
      </c>
      <c r="W178" s="1336" t="str">
        <f>IF('ketv. 6 lent'!K177&gt;0,"1,29",0)</f>
        <v>1,29</v>
      </c>
      <c r="X178" s="518">
        <f>SUM(W178-V178)</f>
        <v>0</v>
      </c>
      <c r="Y178" s="518">
        <f>IF(YEAR('3 pr-2'!$AJ178)=2017,$V178,0)</f>
        <v>0</v>
      </c>
      <c r="Z178" s="518">
        <f>IF(YEAR('3 pr-2'!$AJ178)=2018,$V178,0)</f>
        <v>1.29</v>
      </c>
      <c r="AA178" s="518">
        <f>IF(YEAR('3 pr-2'!$AJ178)=2019,$V178,0)</f>
        <v>0</v>
      </c>
      <c r="AB178" s="518">
        <f>IF(YEAR('3 pr-2'!$AJ178)=2020,$V178,0)</f>
        <v>0</v>
      </c>
      <c r="AC178" s="518">
        <f>IF(YEAR('3 pr-2'!$AJ178)=2021,$V178,0)</f>
        <v>0</v>
      </c>
      <c r="AD178" s="518">
        <f>IF(YEAR('3 pr-2'!$AJ178)=2022,$V178,0)</f>
        <v>0</v>
      </c>
      <c r="AE178" s="518">
        <f>IF(YEAR('3 pr-2'!$AJ178)=2023,$V178,0)</f>
        <v>0</v>
      </c>
      <c r="AF178" s="523"/>
      <c r="AG178" s="881"/>
      <c r="AH178" s="518"/>
      <c r="AI178" s="518"/>
      <c r="AJ178" s="518"/>
      <c r="AK178" s="518"/>
      <c r="AL178" s="518"/>
      <c r="AM178" s="518"/>
      <c r="AN178" s="518"/>
      <c r="AO178" s="1337">
        <f t="shared" si="706"/>
        <v>0</v>
      </c>
      <c r="AP178" s="518"/>
      <c r="AQ178" s="1338"/>
      <c r="AR178" s="518"/>
      <c r="AS178" s="518">
        <f>IF(YEAR('3 pr-2'!$AJ178)=2017,$AP178,0)</f>
        <v>0</v>
      </c>
      <c r="AT178" s="518">
        <f>IF(YEAR('3 pr-2'!$AJ178)=2018,$AP178,0)</f>
        <v>0</v>
      </c>
      <c r="AU178" s="518">
        <f>IF(YEAR('3 pr-2'!$AJ178)=2019,$AP178,0)</f>
        <v>0</v>
      </c>
      <c r="AV178" s="518">
        <f>IF(YEAR('3 pr-2'!$AJ178)=2020,$AP178,0)</f>
        <v>0</v>
      </c>
      <c r="AW178" s="518">
        <f>IF(YEAR('3 pr-2'!$AJ178)=2021,$AP178,0)</f>
        <v>0</v>
      </c>
      <c r="AX178" s="518">
        <f>IF(YEAR('3 pr-2'!$AJ178)=2022,$AP178,0)</f>
        <v>0</v>
      </c>
      <c r="AY178" s="518">
        <f>IF(YEAR('3 pr-2'!$AJ178)=2023,$AP178,0)</f>
        <v>0</v>
      </c>
      <c r="AZ178" s="518" t="s">
        <v>568</v>
      </c>
      <c r="BA178" s="880" t="s">
        <v>574</v>
      </c>
      <c r="BB178" s="518"/>
      <c r="BC178" s="518"/>
      <c r="BD178" s="518"/>
      <c r="BE178" s="518"/>
      <c r="BF178" s="518"/>
      <c r="BG178" s="518"/>
      <c r="BH178" s="518"/>
      <c r="BI178" s="1337">
        <f t="shared" si="714"/>
        <v>0</v>
      </c>
      <c r="BJ178" s="518">
        <v>12</v>
      </c>
      <c r="BK178" s="1338">
        <v>12</v>
      </c>
      <c r="BL178" s="518">
        <f>SUM(BK178-BJ178)</f>
        <v>0</v>
      </c>
      <c r="BM178" s="518">
        <f>IF(YEAR('3 pr-2'!$AJ178)=2017,$BJ178,0)</f>
        <v>0</v>
      </c>
      <c r="BN178" s="518">
        <f>IF(YEAR('3 pr-2'!$AJ178)=2018,$BJ178,0)</f>
        <v>12</v>
      </c>
      <c r="BO178" s="518">
        <f>IF(YEAR('3 pr-2'!$AJ178)=2019,$BJ178,0)</f>
        <v>0</v>
      </c>
      <c r="BP178" s="518">
        <f>IF(YEAR('3 pr-2'!$AJ178)=2020,$BJ178,0)</f>
        <v>0</v>
      </c>
      <c r="BQ178" s="518">
        <f>IF(YEAR('3 pr-2'!$AJ178)=2021,$BJ178,0)</f>
        <v>0</v>
      </c>
      <c r="BR178" s="518">
        <f>IF(YEAR('3 pr-2'!$AJ178)=2022,$BJ178,0)</f>
        <v>0</v>
      </c>
      <c r="BS178" s="518">
        <f>IF(YEAR('3 pr-2'!$AJ178)=2023,$BJ178,0)</f>
        <v>0</v>
      </c>
      <c r="BT178" s="523"/>
      <c r="BU178" s="881"/>
      <c r="BV178" s="518"/>
      <c r="BW178" s="518"/>
      <c r="BX178" s="518"/>
      <c r="BY178" s="518"/>
      <c r="BZ178" s="518"/>
      <c r="CA178" s="518"/>
      <c r="CB178" s="518"/>
      <c r="CC178" s="1337">
        <f t="shared" si="722"/>
        <v>0</v>
      </c>
      <c r="CD178" s="518"/>
      <c r="CE178" s="518"/>
      <c r="CF178" s="518"/>
      <c r="CG178" s="518">
        <f>IF(YEAR('3 pr-2'!$AJ178)=2017,$CD178,0)</f>
        <v>0</v>
      </c>
      <c r="CH178" s="518">
        <f>IF(YEAR('3 pr-2'!$AJ178)=2018,$CD178,0)</f>
        <v>0</v>
      </c>
      <c r="CI178" s="518">
        <f>IF(YEAR('3 pr-2'!$AJ178)=2019,$CD178,0)</f>
        <v>0</v>
      </c>
      <c r="CJ178" s="518">
        <f>IF(YEAR('3 pr-2'!$AJ178)=2020,$CD178,0)</f>
        <v>0</v>
      </c>
      <c r="CK178" s="518">
        <f>IF(YEAR('3 pr-2'!$AJ178)=2021,$CD178,0)</f>
        <v>0</v>
      </c>
      <c r="CL178" s="518">
        <f>IF(YEAR('3 pr-2'!$AJ178)=2022,$CD178,0)</f>
        <v>0</v>
      </c>
      <c r="CM178" s="518">
        <f>IF(YEAR('3 pr-2'!$AJ178)=2023,$CD178,0)</f>
        <v>0</v>
      </c>
      <c r="CN178" s="523"/>
      <c r="CO178" s="882"/>
      <c r="CP178" s="518"/>
      <c r="CQ178" s="518"/>
      <c r="CR178" s="518"/>
      <c r="CS178" s="518"/>
      <c r="CT178" s="518"/>
      <c r="CU178" s="518"/>
      <c r="CV178" s="518"/>
      <c r="CW178" s="1337">
        <f t="shared" si="730"/>
        <v>0</v>
      </c>
      <c r="CX178" s="524"/>
      <c r="CY178" s="504"/>
      <c r="CZ178" s="504"/>
      <c r="DA178" s="1332">
        <f>IF(YEAR('3 pr-2'!AJ178)=2017,CX178,0)</f>
        <v>0</v>
      </c>
      <c r="DB178" s="1332">
        <f>IF(YEAR('3 pr-2'!AJ178)=2018,CX178,0)</f>
        <v>0</v>
      </c>
      <c r="DC178" s="1332">
        <f>IF(YEAR('3 pr-2'!AJ178)=2019,CX178,0)</f>
        <v>0</v>
      </c>
      <c r="DD178" s="1332">
        <f>IF(YEAR('3 pr-2'!AJ178)=2020,CX178,0)</f>
        <v>0</v>
      </c>
      <c r="DE178" s="1332">
        <f>IF(YEAR('3 pr-2'!AJ178)=2021,CX178,0)</f>
        <v>0</v>
      </c>
      <c r="DF178" s="1332">
        <f>IF(YEAR('3 pr-2'!AJ178)=2022,CX178,0)</f>
        <v>0</v>
      </c>
      <c r="DG178" s="1332">
        <f>IF(YEAR('3 pr-2'!AJ178)=2023,CX178,0)</f>
        <v>0</v>
      </c>
    </row>
    <row r="179" spans="1:111" ht="54" thickTop="1" thickBot="1" x14ac:dyDescent="0.3">
      <c r="A179" s="518" t="str">
        <f>CONCATENATE('3 pr-2'!A179)</f>
        <v>3.1.2.1.6</v>
      </c>
      <c r="B179" s="518" t="str">
        <f>CONCATENATE('3 pr-2'!B179)</f>
        <v>R01-0019-380000-3216</v>
      </c>
      <c r="C179" s="1449" t="str">
        <f>CONCATENATE('ketv. 2lent'!B177)</f>
        <v>05.5.1-APVA-R-019-11-0003</v>
      </c>
      <c r="D179" s="480" t="str">
        <f>CONCATENATE('3 pr-2'!D179)</f>
        <v>Kraštovaizdžio formavimas Lazdijų rajono savivaldybėje</v>
      </c>
      <c r="E179" s="480" t="str">
        <f>CONCATENATE('3 pr-2'!E179)</f>
        <v>Lazdijų rajono savivaldybės administracija</v>
      </c>
      <c r="F179" s="480" t="str">
        <f>CONCATENATE('3 pr-2'!F179)</f>
        <v>Lietuvos Respublikos aplinkos ministerija</v>
      </c>
      <c r="G179" s="480" t="str">
        <f>CONCATENATE('3 pr-2'!G179)</f>
        <v>Lazdijų rajono savivaldybė</v>
      </c>
      <c r="H179" s="518" t="str">
        <f>CONCATENATE('3 pr-2'!H179)</f>
        <v>05.5.1-APVA-R-019</v>
      </c>
      <c r="I179" s="518" t="str">
        <f>CONCATENATE('3 pr-2'!I179)</f>
        <v>R</v>
      </c>
      <c r="J179" s="518" t="str">
        <f>CONCATENATE('3 pr-2'!J179)</f>
        <v>-</v>
      </c>
      <c r="K179" s="518" t="str">
        <f>CONCATENATE('3 pr-2'!K179)</f>
        <v>-</v>
      </c>
      <c r="L179" s="518" t="s">
        <v>566</v>
      </c>
      <c r="M179" s="881" t="s">
        <v>577</v>
      </c>
      <c r="N179" s="518"/>
      <c r="O179" s="518"/>
      <c r="P179" s="518"/>
      <c r="Q179" s="518"/>
      <c r="R179" s="518"/>
      <c r="S179" s="518"/>
      <c r="T179" s="518"/>
      <c r="U179" s="1335">
        <f t="shared" si="698"/>
        <v>0</v>
      </c>
      <c r="V179" s="518">
        <v>30.78</v>
      </c>
      <c r="W179" s="1336" t="str">
        <f>IF('ketv. 6 lent'!K178&gt;0,"30,78",0)</f>
        <v>30,78</v>
      </c>
      <c r="X179" s="518">
        <f>SUM(W179-V179)</f>
        <v>0</v>
      </c>
      <c r="Y179" s="518">
        <f>IF(YEAR('3 pr-2'!$AJ179)=2017,$V179,0)</f>
        <v>0</v>
      </c>
      <c r="Z179" s="518">
        <f>IF(YEAR('3 pr-2'!$AJ179)=2018,$V179,0)</f>
        <v>0</v>
      </c>
      <c r="AA179" s="518">
        <f>IF(YEAR('3 pr-2'!$AJ179)=2019,$V179,0)</f>
        <v>30.78</v>
      </c>
      <c r="AB179" s="518">
        <f>IF(YEAR('3 pr-2'!$AJ179)=2020,$V179,0)</f>
        <v>0</v>
      </c>
      <c r="AC179" s="518">
        <f>IF(YEAR('3 pr-2'!$AJ179)=2021,$V179,0)</f>
        <v>0</v>
      </c>
      <c r="AD179" s="518">
        <f>IF(YEAR('3 pr-2'!$AJ179)=2022,$V179,0)</f>
        <v>0</v>
      </c>
      <c r="AE179" s="518">
        <f>IF(YEAR('3 pr-2'!$AJ179)=2023,$V179,0)</f>
        <v>0</v>
      </c>
      <c r="AF179" s="523"/>
      <c r="AG179" s="881"/>
      <c r="AH179" s="518"/>
      <c r="AI179" s="518"/>
      <c r="AJ179" s="518"/>
      <c r="AK179" s="518"/>
      <c r="AL179" s="518"/>
      <c r="AM179" s="518"/>
      <c r="AN179" s="518"/>
      <c r="AO179" s="1337">
        <f t="shared" si="706"/>
        <v>0</v>
      </c>
      <c r="AP179" s="518"/>
      <c r="AQ179" s="1338"/>
      <c r="AR179" s="518"/>
      <c r="AS179" s="518">
        <f>IF(YEAR('3 pr-2'!$AJ179)=2017,$AP179,0)</f>
        <v>0</v>
      </c>
      <c r="AT179" s="518">
        <f>IF(YEAR('3 pr-2'!$AJ179)=2018,$AP179,0)</f>
        <v>0</v>
      </c>
      <c r="AU179" s="518">
        <f>IF(YEAR('3 pr-2'!$AJ179)=2019,$AP179,0)</f>
        <v>0</v>
      </c>
      <c r="AV179" s="518">
        <f>IF(YEAR('3 pr-2'!$AJ179)=2020,$AP179,0)</f>
        <v>0</v>
      </c>
      <c r="AW179" s="518">
        <f>IF(YEAR('3 pr-2'!$AJ179)=2021,$AP179,0)</f>
        <v>0</v>
      </c>
      <c r="AX179" s="518">
        <f>IF(YEAR('3 pr-2'!$AJ179)=2022,$AP179,0)</f>
        <v>0</v>
      </c>
      <c r="AY179" s="518">
        <f>IF(YEAR('3 pr-2'!$AJ179)=2023,$AP179,0)</f>
        <v>0</v>
      </c>
      <c r="AZ179" s="518" t="s">
        <v>568</v>
      </c>
      <c r="BA179" s="880" t="s">
        <v>578</v>
      </c>
      <c r="BB179" s="518"/>
      <c r="BC179" s="518"/>
      <c r="BD179" s="518"/>
      <c r="BE179" s="518"/>
      <c r="BF179" s="518"/>
      <c r="BG179" s="518"/>
      <c r="BH179" s="518"/>
      <c r="BI179" s="1337">
        <f t="shared" si="714"/>
        <v>0</v>
      </c>
      <c r="BJ179" s="518">
        <v>12</v>
      </c>
      <c r="BK179" s="1338">
        <v>12</v>
      </c>
      <c r="BL179" s="518">
        <f>SUM(BK179-BJ179)</f>
        <v>0</v>
      </c>
      <c r="BM179" s="518">
        <f>IF(YEAR('3 pr-2'!$AJ179)=2017,$BJ179,0)</f>
        <v>0</v>
      </c>
      <c r="BN179" s="518">
        <f>IF(YEAR('3 pr-2'!$AJ179)=2018,$BJ179,0)</f>
        <v>0</v>
      </c>
      <c r="BO179" s="518">
        <f>IF(YEAR('3 pr-2'!$AJ179)=2019,$BJ179,0)</f>
        <v>12</v>
      </c>
      <c r="BP179" s="518">
        <f>IF(YEAR('3 pr-2'!$AJ179)=2020,$BJ179,0)</f>
        <v>0</v>
      </c>
      <c r="BQ179" s="518">
        <f>IF(YEAR('3 pr-2'!$AJ179)=2021,$BJ179,0)</f>
        <v>0</v>
      </c>
      <c r="BR179" s="518">
        <f>IF(YEAR('3 pr-2'!$AJ179)=2022,$BJ179,0)</f>
        <v>0</v>
      </c>
      <c r="BS179" s="518">
        <f>IF(YEAR('3 pr-2'!$AJ179)=2023,$BJ179,0)</f>
        <v>0</v>
      </c>
      <c r="BT179" s="523"/>
      <c r="BU179" s="881"/>
      <c r="BV179" s="518"/>
      <c r="BW179" s="518"/>
      <c r="BX179" s="518"/>
      <c r="BY179" s="518"/>
      <c r="BZ179" s="518"/>
      <c r="CA179" s="518"/>
      <c r="CB179" s="518"/>
      <c r="CC179" s="1337">
        <f t="shared" si="722"/>
        <v>0</v>
      </c>
      <c r="CD179" s="518"/>
      <c r="CE179" s="518"/>
      <c r="CF179" s="518"/>
      <c r="CG179" s="518">
        <f>IF(YEAR('3 pr-2'!$AJ179)=2017,$CD179,0)</f>
        <v>0</v>
      </c>
      <c r="CH179" s="518">
        <f>IF(YEAR('3 pr-2'!$AJ179)=2018,$CD179,0)</f>
        <v>0</v>
      </c>
      <c r="CI179" s="518">
        <f>IF(YEAR('3 pr-2'!$AJ179)=2019,$CD179,0)</f>
        <v>0</v>
      </c>
      <c r="CJ179" s="518">
        <f>IF(YEAR('3 pr-2'!$AJ179)=2020,$CD179,0)</f>
        <v>0</v>
      </c>
      <c r="CK179" s="518">
        <f>IF(YEAR('3 pr-2'!$AJ179)=2021,$CD179,0)</f>
        <v>0</v>
      </c>
      <c r="CL179" s="518">
        <f>IF(YEAR('3 pr-2'!$AJ179)=2022,$CD179,0)</f>
        <v>0</v>
      </c>
      <c r="CM179" s="518">
        <f>IF(YEAR('3 pr-2'!$AJ179)=2023,$CD179,0)</f>
        <v>0</v>
      </c>
      <c r="CN179" s="523" t="s">
        <v>572</v>
      </c>
      <c r="CO179" s="882" t="s">
        <v>573</v>
      </c>
      <c r="CP179" s="518"/>
      <c r="CQ179" s="518"/>
      <c r="CR179" s="518"/>
      <c r="CS179" s="518"/>
      <c r="CT179" s="518"/>
      <c r="CU179" s="518"/>
      <c r="CV179" s="518"/>
      <c r="CW179" s="1337">
        <f t="shared" si="730"/>
        <v>0</v>
      </c>
      <c r="CX179" s="524">
        <v>2</v>
      </c>
      <c r="CY179" s="504">
        <v>2</v>
      </c>
      <c r="CZ179" s="504">
        <f>SUM(CY179-CX179)</f>
        <v>0</v>
      </c>
      <c r="DA179" s="1332">
        <f>IF(YEAR('3 pr-2'!AJ179)=2017,CX179,0)</f>
        <v>0</v>
      </c>
      <c r="DB179" s="1332">
        <f>IF(YEAR('3 pr-2'!AJ179)=2018,CX179,0)</f>
        <v>0</v>
      </c>
      <c r="DC179" s="1332">
        <f>IF(YEAR('3 pr-2'!AJ179)=2019,CX179,0)</f>
        <v>2</v>
      </c>
      <c r="DD179" s="1332">
        <f>IF(YEAR('3 pr-2'!AJ179)=2020,CX179,0)</f>
        <v>0</v>
      </c>
      <c r="DE179" s="1332">
        <f>IF(YEAR('3 pr-2'!AJ179)=2021,CX179,0)</f>
        <v>0</v>
      </c>
      <c r="DF179" s="1332">
        <f>IF(YEAR('3 pr-2'!AJ179)=2022,CX179,0)</f>
        <v>0</v>
      </c>
      <c r="DG179" s="1332">
        <f>IF(YEAR('3 pr-2'!AJ179)=2023,CX179,0)</f>
        <v>0</v>
      </c>
    </row>
    <row r="180" spans="1:111" ht="54" thickTop="1" thickBot="1" x14ac:dyDescent="0.3">
      <c r="A180" s="518" t="str">
        <f>CONCATENATE('3 pr-2'!A180)</f>
        <v>3.1.2.1.7</v>
      </c>
      <c r="B180" s="518" t="str">
        <f>CONCATENATE('3 pr-2'!B180)</f>
        <v>R01-019-283800-3217</v>
      </c>
      <c r="C180" s="1449" t="str">
        <f>CONCATENATE('ketv. 2lent'!B178)</f>
        <v/>
      </c>
      <c r="D180" s="480" t="str">
        <f>CONCATENATE('3 pr-2'!D180)</f>
        <v>Kraštovaizdžio formavimas Lazdijų rajono savivaldybėje (II etapas)</v>
      </c>
      <c r="E180" s="480" t="str">
        <f>CONCATENATE('3 pr-2'!E180)</f>
        <v>Lazdijų rajono savivaldybės administracija</v>
      </c>
      <c r="F180" s="480" t="str">
        <f>CONCATENATE('3 pr-2'!F180)</f>
        <v>Lietuvos Respublikos aplinkos ministerija</v>
      </c>
      <c r="G180" s="480" t="str">
        <f>CONCATENATE('3 pr-2'!G180)</f>
        <v>Lazdijų rajono savivaldybė</v>
      </c>
      <c r="H180" s="518" t="str">
        <f>CONCATENATE('3 pr-2'!H180)</f>
        <v>05.5.1-APVA-R-019</v>
      </c>
      <c r="I180" s="518" t="str">
        <f>CONCATENATE('3 pr-2'!I180)</f>
        <v>R</v>
      </c>
      <c r="J180" s="518" t="str">
        <f>CONCATENATE('3 pr-2'!J180)</f>
        <v>-</v>
      </c>
      <c r="K180" s="518" t="str">
        <f>CONCATENATE('3 pr-2'!K180)</f>
        <v>-</v>
      </c>
      <c r="L180" s="518"/>
      <c r="M180" s="881"/>
      <c r="N180" s="518"/>
      <c r="O180" s="518"/>
      <c r="P180" s="518"/>
      <c r="Q180" s="518"/>
      <c r="R180" s="518"/>
      <c r="S180" s="518"/>
      <c r="T180" s="518"/>
      <c r="U180" s="1335">
        <f t="shared" si="698"/>
        <v>0</v>
      </c>
      <c r="V180" s="518"/>
      <c r="W180" s="1336">
        <f>IF('ketv. 6 lent'!K179&gt;0,"taip",0)</f>
        <v>0</v>
      </c>
      <c r="X180" s="518"/>
      <c r="Y180" s="518">
        <f>IF(YEAR('3 pr-2'!$AJ180)=2017,$V180,0)</f>
        <v>0</v>
      </c>
      <c r="Z180" s="518">
        <f>IF(YEAR('3 pr-2'!$AJ180)=2018,$V180,0)</f>
        <v>0</v>
      </c>
      <c r="AA180" s="518">
        <f>IF(YEAR('3 pr-2'!$AJ180)=2019,$V180,0)</f>
        <v>0</v>
      </c>
      <c r="AB180" s="518">
        <f>IF(YEAR('3 pr-2'!$AJ180)=2020,$V180,0)</f>
        <v>0</v>
      </c>
      <c r="AC180" s="518">
        <f>IF(YEAR('3 pr-2'!$AJ180)=2021,$V180,0)</f>
        <v>0</v>
      </c>
      <c r="AD180" s="518">
        <f>IF(YEAR('3 pr-2'!$AJ180)=2022,$V180,0)</f>
        <v>0</v>
      </c>
      <c r="AE180" s="518">
        <f>IF(YEAR('3 pr-2'!$AJ180)=2023,$V180,0)</f>
        <v>0</v>
      </c>
      <c r="AF180" s="523" t="s">
        <v>575</v>
      </c>
      <c r="AG180" s="1204" t="s">
        <v>579</v>
      </c>
      <c r="AH180" s="518"/>
      <c r="AI180" s="518"/>
      <c r="AJ180" s="518"/>
      <c r="AK180" s="518"/>
      <c r="AL180" s="518"/>
      <c r="AM180" s="518"/>
      <c r="AN180" s="518"/>
      <c r="AO180" s="1337">
        <f t="shared" si="706"/>
        <v>0</v>
      </c>
      <c r="AP180" s="518">
        <v>1</v>
      </c>
      <c r="AQ180" s="1338"/>
      <c r="AR180" s="518"/>
      <c r="AS180" s="518">
        <f>IF(YEAR('3 pr-2'!$AJ180)=2017,$AP180,0)</f>
        <v>0</v>
      </c>
      <c r="AT180" s="518">
        <f>IF(YEAR('3 pr-2'!$AJ180)=2018,$AP180,0)</f>
        <v>0</v>
      </c>
      <c r="AU180" s="518">
        <f>IF(YEAR('3 pr-2'!$AJ180)=2019,$AP180,0)</f>
        <v>0</v>
      </c>
      <c r="AV180" s="518">
        <f>IF(YEAR('3 pr-2'!$AJ180)=2020,$AP180,0)</f>
        <v>0</v>
      </c>
      <c r="AW180" s="518">
        <f>IF(YEAR('3 pr-2'!$AJ180)=2021,$AP180,0)</f>
        <v>1</v>
      </c>
      <c r="AX180" s="518">
        <f>IF(YEAR('3 pr-2'!$AJ180)=2022,$AP180,0)</f>
        <v>0</v>
      </c>
      <c r="AY180" s="518">
        <f>IF(YEAR('3 pr-2'!$AJ180)=2023,$AP180,0)</f>
        <v>0</v>
      </c>
      <c r="AZ180" s="518" t="s">
        <v>568</v>
      </c>
      <c r="BA180" s="894" t="s">
        <v>578</v>
      </c>
      <c r="BB180" s="518"/>
      <c r="BC180" s="518"/>
      <c r="BD180" s="518"/>
      <c r="BE180" s="518"/>
      <c r="BF180" s="518"/>
      <c r="BG180" s="518"/>
      <c r="BH180" s="518"/>
      <c r="BI180" s="1337">
        <f t="shared" ref="BI180" si="732">SUM(BB180:BH180)</f>
        <v>0</v>
      </c>
      <c r="BJ180" s="518">
        <v>8</v>
      </c>
      <c r="BK180" s="1338"/>
      <c r="BL180" s="518"/>
      <c r="BM180" s="518">
        <f>IF(YEAR('3 pr-2'!$AJ180)=2017,$BJ180,0)</f>
        <v>0</v>
      </c>
      <c r="BN180" s="518">
        <f>IF(YEAR('3 pr-2'!$AJ180)=2018,$BJ180,0)</f>
        <v>0</v>
      </c>
      <c r="BO180" s="518">
        <f>IF(YEAR('3 pr-2'!$AJ180)=2019,$BJ180,0)</f>
        <v>0</v>
      </c>
      <c r="BP180" s="518">
        <f>IF(YEAR('3 pr-2'!$AJ180)=2020,$BJ180,0)</f>
        <v>0</v>
      </c>
      <c r="BQ180" s="518">
        <f>IF(YEAR('3 pr-2'!$AJ180)=2021,$BJ180,0)</f>
        <v>8</v>
      </c>
      <c r="BR180" s="518">
        <f>IF(YEAR('3 pr-2'!$AJ180)=2022,$BJ180,0)</f>
        <v>0</v>
      </c>
      <c r="BS180" s="518">
        <f>IF(YEAR('3 pr-2'!$AJ180)=2023,$BJ180,0)</f>
        <v>0</v>
      </c>
      <c r="BT180" s="523"/>
      <c r="BU180" s="1204"/>
      <c r="BV180" s="518"/>
      <c r="BW180" s="518"/>
      <c r="BX180" s="518"/>
      <c r="BY180" s="518"/>
      <c r="BZ180" s="518"/>
      <c r="CA180" s="518"/>
      <c r="CB180" s="518"/>
      <c r="CC180" s="1337">
        <f t="shared" si="722"/>
        <v>0</v>
      </c>
      <c r="CD180" s="518"/>
      <c r="CE180" s="518"/>
      <c r="CF180" s="518"/>
      <c r="CG180" s="518">
        <f>IF(YEAR('3 pr-2'!$AJ180)=2017,$CD180,0)</f>
        <v>0</v>
      </c>
      <c r="CH180" s="518">
        <f>IF(YEAR('3 pr-2'!$AJ180)=2018,$CD180,0)</f>
        <v>0</v>
      </c>
      <c r="CI180" s="518">
        <f>IF(YEAR('3 pr-2'!$AJ180)=2019,$CD180,0)</f>
        <v>0</v>
      </c>
      <c r="CJ180" s="518">
        <f>IF(YEAR('3 pr-2'!$AJ180)=2020,$CD180,0)</f>
        <v>0</v>
      </c>
      <c r="CK180" s="518">
        <f>IF(YEAR('3 pr-2'!$AJ180)=2021,$CD180,0)</f>
        <v>0</v>
      </c>
      <c r="CL180" s="518">
        <f>IF(YEAR('3 pr-2'!$AJ180)=2022,$CD180,0)</f>
        <v>0</v>
      </c>
      <c r="CM180" s="518">
        <f>IF(YEAR('3 pr-2'!$AJ180)=2023,$CD180,0)</f>
        <v>0</v>
      </c>
      <c r="CN180" s="523"/>
      <c r="CO180" s="1549"/>
      <c r="CP180" s="518"/>
      <c r="CQ180" s="518"/>
      <c r="CR180" s="518"/>
      <c r="CS180" s="518"/>
      <c r="CT180" s="518"/>
      <c r="CU180" s="518"/>
      <c r="CV180" s="518"/>
      <c r="CW180" s="1337">
        <f t="shared" si="730"/>
        <v>0</v>
      </c>
      <c r="CX180" s="524"/>
      <c r="CY180" s="504"/>
      <c r="CZ180" s="504"/>
      <c r="DA180" s="1332">
        <f>IF(YEAR('3 pr-2'!AJ180)=2017,CX180,0)</f>
        <v>0</v>
      </c>
      <c r="DB180" s="1332">
        <f>IF(YEAR('3 pr-2'!AJ180)=2018,CX180,0)</f>
        <v>0</v>
      </c>
      <c r="DC180" s="1332">
        <f>IF(YEAR('3 pr-2'!AJ180)=2019,CX180,0)</f>
        <v>0</v>
      </c>
      <c r="DD180" s="1332">
        <f>IF(YEAR('3 pr-2'!AJ180)=2020,CX180,0)</f>
        <v>0</v>
      </c>
      <c r="DE180" s="1332">
        <f>IF(YEAR('3 pr-2'!AJ180)=2021,CX180,0)</f>
        <v>0</v>
      </c>
      <c r="DF180" s="1332">
        <f>IF(YEAR('3 pr-2'!AJ180)=2022,CX180,0)</f>
        <v>0</v>
      </c>
      <c r="DG180" s="1332">
        <f>IF(YEAR('3 pr-2'!AJ180)=2023,CX180,0)</f>
        <v>0</v>
      </c>
    </row>
    <row r="181" spans="1:111" ht="61.5" thickTop="1" thickBot="1" x14ac:dyDescent="0.3">
      <c r="A181" s="518" t="str">
        <f>CONCATENATE('3 pr-2'!A181)</f>
        <v>3.1.2.1.8</v>
      </c>
      <c r="B181" s="518" t="str">
        <f>CONCATENATE('3 pr-2'!B181)</f>
        <v>R01-0019-380000-3218</v>
      </c>
      <c r="C181" s="1449" t="str">
        <f>CONCATENATE('ketv. 2lent'!B179)</f>
        <v/>
      </c>
      <c r="D181" s="480" t="str">
        <f>CONCATENATE('3 pr-2'!D181)</f>
        <v>Bešeimininkių apleistų pastatų ir įrenginių tvarkymas Alytaus rajono savivaldybėje (II etapas)</v>
      </c>
      <c r="E181" s="480" t="str">
        <f>CONCATENATE('3 pr-2'!E181)</f>
        <v>Alytaus rajono savivaldybės administracija</v>
      </c>
      <c r="F181" s="480" t="str">
        <f>CONCATENATE('3 pr-2'!F181)</f>
        <v>Lietuvos Respublikos aplinkos ministerija</v>
      </c>
      <c r="G181" s="480" t="str">
        <f>CONCATENATE('3 pr-2'!G181)</f>
        <v>Alytaus rajono savivaldybė</v>
      </c>
      <c r="H181" s="518" t="str">
        <f>CONCATENATE('3 pr-2'!H181)</f>
        <v>05.5.1-APVA-R-019</v>
      </c>
      <c r="I181" s="518" t="str">
        <f>CONCATENATE('3 pr-2'!I181)</f>
        <v>R</v>
      </c>
      <c r="J181" s="518" t="str">
        <f>CONCATENATE('3 pr-2'!J181)</f>
        <v>-</v>
      </c>
      <c r="K181" s="518" t="str">
        <f>CONCATENATE('3 pr-2'!K181)</f>
        <v>-</v>
      </c>
      <c r="L181" s="518" t="s">
        <v>566</v>
      </c>
      <c r="M181" s="881" t="s">
        <v>567</v>
      </c>
      <c r="N181" s="518"/>
      <c r="O181" s="518"/>
      <c r="P181" s="518"/>
      <c r="Q181" s="518"/>
      <c r="R181" s="518"/>
      <c r="S181" s="518"/>
      <c r="T181" s="518"/>
      <c r="U181" s="1335">
        <f t="shared" si="698"/>
        <v>0</v>
      </c>
      <c r="V181" s="518">
        <v>3.3915000000000002</v>
      </c>
      <c r="W181" s="1336">
        <f>IF('ketv. 6 lent'!K180&gt;0,"taip",0)</f>
        <v>0</v>
      </c>
      <c r="X181" s="518"/>
      <c r="Y181" s="518">
        <f>IF(YEAR('3 pr-2'!$AJ181)=2017,$V181,0)</f>
        <v>0</v>
      </c>
      <c r="Z181" s="518">
        <f>IF(YEAR('3 pr-2'!$AJ181)=2018,$V181,0)</f>
        <v>0</v>
      </c>
      <c r="AA181" s="518">
        <f>IF(YEAR('3 pr-2'!$AJ181)=2019,$V181,0)</f>
        <v>3.3915000000000002</v>
      </c>
      <c r="AB181" s="518">
        <f>IF(YEAR('3 pr-2'!$AJ181)=2020,$V181,0)</f>
        <v>0</v>
      </c>
      <c r="AC181" s="518">
        <f>IF(YEAR('3 pr-2'!$AJ181)=2021,$V181,0)</f>
        <v>0</v>
      </c>
      <c r="AD181" s="518">
        <f>IF(YEAR('3 pr-2'!$AJ181)=2022,$V181,0)</f>
        <v>0</v>
      </c>
      <c r="AE181" s="518">
        <f>IF(YEAR('3 pr-2'!$AJ181)=2023,$V181,0)</f>
        <v>0</v>
      </c>
      <c r="AF181" s="523"/>
      <c r="AG181" s="1204"/>
      <c r="AH181" s="518"/>
      <c r="AI181" s="518"/>
      <c r="AJ181" s="518"/>
      <c r="AK181" s="518"/>
      <c r="AL181" s="518"/>
      <c r="AM181" s="518"/>
      <c r="AN181" s="518"/>
      <c r="AO181" s="1337">
        <f t="shared" si="706"/>
        <v>0</v>
      </c>
      <c r="AP181" s="518"/>
      <c r="AQ181" s="1338"/>
      <c r="AR181" s="518"/>
      <c r="AS181" s="518">
        <f>IF(YEAR('3 pr-2'!$AJ181)=2017,$AP181,0)</f>
        <v>0</v>
      </c>
      <c r="AT181" s="518">
        <f>IF(YEAR('3 pr-2'!$AJ181)=2018,$AP181,0)</f>
        <v>0</v>
      </c>
      <c r="AU181" s="518">
        <f>IF(YEAR('3 pr-2'!$AJ181)=2019,$AP181,0)</f>
        <v>0</v>
      </c>
      <c r="AV181" s="518">
        <f>IF(YEAR('3 pr-2'!$AJ181)=2020,$AP181,0)</f>
        <v>0</v>
      </c>
      <c r="AW181" s="518">
        <f>IF(YEAR('3 pr-2'!$AJ181)=2021,$AP181,0)</f>
        <v>0</v>
      </c>
      <c r="AX181" s="518">
        <f>IF(YEAR('3 pr-2'!$AJ181)=2022,$AP181,0)</f>
        <v>0</v>
      </c>
      <c r="AY181" s="518">
        <f>IF(YEAR('3 pr-2'!$AJ181)=2023,$AP181,0)</f>
        <v>0</v>
      </c>
      <c r="AZ181" s="518" t="s">
        <v>568</v>
      </c>
      <c r="BA181" s="894" t="s">
        <v>574</v>
      </c>
      <c r="BB181" s="518"/>
      <c r="BC181" s="518"/>
      <c r="BD181" s="518"/>
      <c r="BE181" s="518"/>
      <c r="BF181" s="518"/>
      <c r="BG181" s="518"/>
      <c r="BH181" s="518"/>
      <c r="BI181" s="1337">
        <f t="shared" si="714"/>
        <v>0</v>
      </c>
      <c r="BJ181" s="518">
        <v>5</v>
      </c>
      <c r="BK181" s="1338"/>
      <c r="BL181" s="518"/>
      <c r="BM181" s="518">
        <f>IF(YEAR('3 pr-2'!$AJ181)=2017,$BJ181,0)</f>
        <v>0</v>
      </c>
      <c r="BN181" s="518">
        <f>IF(YEAR('3 pr-2'!$AJ181)=2018,$BJ181,0)</f>
        <v>0</v>
      </c>
      <c r="BO181" s="518">
        <f>IF(YEAR('3 pr-2'!$AJ181)=2019,$BJ181,0)</f>
        <v>5</v>
      </c>
      <c r="BP181" s="518">
        <f>IF(YEAR('3 pr-2'!$AJ181)=2020,$BJ181,0)</f>
        <v>0</v>
      </c>
      <c r="BQ181" s="518">
        <f>IF(YEAR('3 pr-2'!$AJ181)=2021,$BJ181,0)</f>
        <v>0</v>
      </c>
      <c r="BR181" s="518">
        <f>IF(YEAR('3 pr-2'!$AJ181)=2022,$BJ181,0)</f>
        <v>0</v>
      </c>
      <c r="BS181" s="518">
        <f>IF(YEAR('3 pr-2'!$AJ181)=2023,$BJ181,0)</f>
        <v>0</v>
      </c>
      <c r="BT181" s="523"/>
      <c r="BU181" s="1204"/>
      <c r="BV181" s="518"/>
      <c r="BW181" s="518"/>
      <c r="BX181" s="518"/>
      <c r="BY181" s="518"/>
      <c r="BZ181" s="518"/>
      <c r="CA181" s="518"/>
      <c r="CB181" s="518"/>
      <c r="CC181" s="1337">
        <f t="shared" si="722"/>
        <v>0</v>
      </c>
      <c r="CD181" s="518"/>
      <c r="CE181" s="518"/>
      <c r="CF181" s="518"/>
      <c r="CG181" s="518">
        <f>IF(YEAR('3 pr-2'!$AJ181)=2017,$CD181,0)</f>
        <v>0</v>
      </c>
      <c r="CH181" s="518">
        <f>IF(YEAR('3 pr-2'!$AJ181)=2018,$CD181,0)</f>
        <v>0</v>
      </c>
      <c r="CI181" s="518">
        <f>IF(YEAR('3 pr-2'!$AJ181)=2019,$CD181,0)</f>
        <v>0</v>
      </c>
      <c r="CJ181" s="518">
        <f>IF(YEAR('3 pr-2'!$AJ181)=2020,$CD181,0)</f>
        <v>0</v>
      </c>
      <c r="CK181" s="518">
        <f>IF(YEAR('3 pr-2'!$AJ181)=2021,$CD181,0)</f>
        <v>0</v>
      </c>
      <c r="CL181" s="518">
        <f>IF(YEAR('3 pr-2'!$AJ181)=2022,$CD181,0)</f>
        <v>0</v>
      </c>
      <c r="CM181" s="518">
        <f>IF(YEAR('3 pr-2'!$AJ181)=2023,$CD181,0)</f>
        <v>0</v>
      </c>
      <c r="CN181" s="523"/>
      <c r="CO181" s="1549"/>
      <c r="CP181" s="518"/>
      <c r="CQ181" s="518"/>
      <c r="CR181" s="518"/>
      <c r="CS181" s="518"/>
      <c r="CT181" s="518"/>
      <c r="CU181" s="518"/>
      <c r="CV181" s="518"/>
      <c r="CW181" s="1337">
        <f t="shared" si="730"/>
        <v>0</v>
      </c>
      <c r="CX181" s="524"/>
      <c r="CY181" s="504"/>
      <c r="CZ181" s="504"/>
      <c r="DA181" s="1332">
        <f>IF(YEAR('3 pr-2'!AJ181)=2017,CX181,0)</f>
        <v>0</v>
      </c>
      <c r="DB181" s="1332">
        <f>IF(YEAR('3 pr-2'!AJ181)=2018,CX181,0)</f>
        <v>0</v>
      </c>
      <c r="DC181" s="1332">
        <f>IF(YEAR('3 pr-2'!AJ181)=2019,CX181,0)</f>
        <v>0</v>
      </c>
      <c r="DD181" s="1332">
        <f>IF(YEAR('3 pr-2'!AJ181)=2020,CX181,0)</f>
        <v>0</v>
      </c>
      <c r="DE181" s="1332">
        <f>IF(YEAR('3 pr-2'!AJ181)=2021,CX181,0)</f>
        <v>0</v>
      </c>
      <c r="DF181" s="1332">
        <f>IF(YEAR('3 pr-2'!AJ181)=2022,CX181,0)</f>
        <v>0</v>
      </c>
      <c r="DG181" s="1332">
        <f>IF(YEAR('3 pr-2'!AJ181)=2023,CX181,0)</f>
        <v>0</v>
      </c>
    </row>
    <row r="182" spans="1:111" ht="61.5" thickTop="1" thickBot="1" x14ac:dyDescent="0.3">
      <c r="A182" s="518" t="str">
        <f>CONCATENATE('3 pr-2'!A182)</f>
        <v>3.1.2.1.9</v>
      </c>
      <c r="B182" s="518" t="str">
        <f>CONCATENATE('3 pr-2'!B182)</f>
        <v>R01-0019-380000-3219</v>
      </c>
      <c r="C182" s="1449" t="str">
        <f>CONCATENATE('ketv. 2lent'!B180)</f>
        <v/>
      </c>
      <c r="D182" s="480" t="str">
        <f>CONCATENATE('3 pr-2'!D182)</f>
        <v>Etaloninio kraštovaizdžio formavimas Druskininkų savivaldybės pasienyje</v>
      </c>
      <c r="E182" s="480" t="str">
        <f>CONCATENATE('3 pr-2'!E182)</f>
        <v>Druskininkų savivaldybės administracija</v>
      </c>
      <c r="F182" s="480" t="str">
        <f>CONCATENATE('3 pr-2'!F182)</f>
        <v>Lietuvos Respublikos aplinkos ministerija</v>
      </c>
      <c r="G182" s="480" t="str">
        <f>CONCATENATE('3 pr-2'!G182)</f>
        <v>Druskininkų savivaldybė</v>
      </c>
      <c r="H182" s="518" t="str">
        <f>CONCATENATE('3 pr-2'!H182)</f>
        <v>05.5.1-APVA-R-019</v>
      </c>
      <c r="I182" s="518" t="str">
        <f>CONCATENATE('3 pr-2'!I182)</f>
        <v>R</v>
      </c>
      <c r="J182" s="518" t="str">
        <f>CONCATENATE('3 pr-2'!J182)</f>
        <v>-</v>
      </c>
      <c r="K182" s="518" t="str">
        <f>CONCATENATE('3 pr-2'!K182)</f>
        <v>-</v>
      </c>
      <c r="L182" s="518"/>
      <c r="M182" s="881"/>
      <c r="N182" s="518"/>
      <c r="O182" s="518"/>
      <c r="P182" s="518"/>
      <c r="Q182" s="518"/>
      <c r="R182" s="518"/>
      <c r="S182" s="518"/>
      <c r="T182" s="518"/>
      <c r="U182" s="1335">
        <f t="shared" ref="U182" si="733">SUM(N182:T182)</f>
        <v>0</v>
      </c>
      <c r="V182" s="518"/>
      <c r="W182" s="1336" t="str">
        <f>IF('ketv. 6 lent'!K181&gt;0,"taip",0)</f>
        <v>taip</v>
      </c>
      <c r="X182" s="518"/>
      <c r="Y182" s="518">
        <f>IF(YEAR('3 pr-2'!$AJ182)=2017,$V182,0)</f>
        <v>0</v>
      </c>
      <c r="Z182" s="518">
        <f>IF(YEAR('3 pr-2'!$AJ182)=2018,$V182,0)</f>
        <v>0</v>
      </c>
      <c r="AA182" s="518">
        <f>IF(YEAR('3 pr-2'!$AJ182)=2019,$V182,0)</f>
        <v>0</v>
      </c>
      <c r="AB182" s="518">
        <f>IF(YEAR('3 pr-2'!$AJ182)=2020,$V182,0)</f>
        <v>0</v>
      </c>
      <c r="AC182" s="518">
        <f>IF(YEAR('3 pr-2'!$AJ182)=2021,$V182,0)</f>
        <v>0</v>
      </c>
      <c r="AD182" s="518">
        <f>IF(YEAR('3 pr-2'!$AJ182)=2022,$V182,0)</f>
        <v>0</v>
      </c>
      <c r="AE182" s="518">
        <f>IF(YEAR('3 pr-2'!$AJ182)=2023,$V182,0)</f>
        <v>0</v>
      </c>
      <c r="AF182" s="523"/>
      <c r="AG182" s="1204"/>
      <c r="AH182" s="518"/>
      <c r="AI182" s="518"/>
      <c r="AJ182" s="518"/>
      <c r="AK182" s="518"/>
      <c r="AL182" s="518"/>
      <c r="AM182" s="518"/>
      <c r="AN182" s="518"/>
      <c r="AO182" s="1337">
        <f t="shared" ref="AO182" si="734">SUM(AH182:AN182)</f>
        <v>0</v>
      </c>
      <c r="AP182" s="518"/>
      <c r="AQ182" s="1338"/>
      <c r="AR182" s="518"/>
      <c r="AS182" s="518">
        <f>IF(YEAR('3 pr-2'!$AJ182)=2017,$AP182,0)</f>
        <v>0</v>
      </c>
      <c r="AT182" s="518">
        <f>IF(YEAR('3 pr-2'!$AJ182)=2018,$AP182,0)</f>
        <v>0</v>
      </c>
      <c r="AU182" s="518">
        <f>IF(YEAR('3 pr-2'!$AJ182)=2019,$AP182,0)</f>
        <v>0</v>
      </c>
      <c r="AV182" s="518">
        <f>IF(YEAR('3 pr-2'!$AJ182)=2020,$AP182,0)</f>
        <v>0</v>
      </c>
      <c r="AW182" s="518">
        <f>IF(YEAR('3 pr-2'!$AJ182)=2021,$AP182,0)</f>
        <v>0</v>
      </c>
      <c r="AX182" s="518">
        <f>IF(YEAR('3 pr-2'!$AJ182)=2022,$AP182,0)</f>
        <v>0</v>
      </c>
      <c r="AY182" s="518">
        <f>IF(YEAR('3 pr-2'!$AJ182)=2023,$AP182,0)</f>
        <v>0</v>
      </c>
      <c r="AZ182" s="518"/>
      <c r="BA182" s="894"/>
      <c r="BB182" s="518"/>
      <c r="BC182" s="518"/>
      <c r="BD182" s="518"/>
      <c r="BE182" s="518"/>
      <c r="BF182" s="518"/>
      <c r="BG182" s="518"/>
      <c r="BH182" s="518"/>
      <c r="BI182" s="1337">
        <f t="shared" ref="BI182" si="735">SUM(BB182:BH182)</f>
        <v>0</v>
      </c>
      <c r="BJ182" s="518"/>
      <c r="BK182" s="1338"/>
      <c r="BL182" s="518"/>
      <c r="BM182" s="518">
        <f>IF(YEAR('3 pr-2'!$AJ182)=2017,$BJ182,0)</f>
        <v>0</v>
      </c>
      <c r="BN182" s="518">
        <f>IF(YEAR('3 pr-2'!$AJ182)=2018,$BJ182,0)</f>
        <v>0</v>
      </c>
      <c r="BO182" s="518">
        <f>IF(YEAR('3 pr-2'!$AJ182)=2019,$BJ182,0)</f>
        <v>0</v>
      </c>
      <c r="BP182" s="518">
        <f>IF(YEAR('3 pr-2'!$AJ182)=2020,$BJ182,0)</f>
        <v>0</v>
      </c>
      <c r="BQ182" s="518">
        <f>IF(YEAR('3 pr-2'!$AJ182)=2021,$BJ182,0)</f>
        <v>0</v>
      </c>
      <c r="BR182" s="518">
        <f>IF(YEAR('3 pr-2'!$AJ182)=2022,$BJ182,0)</f>
        <v>0</v>
      </c>
      <c r="BS182" s="518">
        <f>IF(YEAR('3 pr-2'!$AJ182)=2023,$BJ182,0)</f>
        <v>0</v>
      </c>
      <c r="BT182" s="523"/>
      <c r="BU182" s="1204"/>
      <c r="BV182" s="518"/>
      <c r="BW182" s="518"/>
      <c r="BX182" s="518"/>
      <c r="BY182" s="518"/>
      <c r="BZ182" s="518"/>
      <c r="CA182" s="518"/>
      <c r="CB182" s="518"/>
      <c r="CC182" s="1337">
        <f t="shared" ref="CC182" si="736">SUM(BV182:CB182)</f>
        <v>0</v>
      </c>
      <c r="CD182" s="518"/>
      <c r="CE182" s="518"/>
      <c r="CF182" s="518"/>
      <c r="CG182" s="518">
        <f>IF(YEAR('3 pr-2'!$AJ182)=2017,$CD182,0)</f>
        <v>0</v>
      </c>
      <c r="CH182" s="518">
        <f>IF(YEAR('3 pr-2'!$AJ182)=2018,$CD182,0)</f>
        <v>0</v>
      </c>
      <c r="CI182" s="518">
        <f>IF(YEAR('3 pr-2'!$AJ182)=2019,$CD182,0)</f>
        <v>0</v>
      </c>
      <c r="CJ182" s="518">
        <f>IF(YEAR('3 pr-2'!$AJ182)=2020,$CD182,0)</f>
        <v>0</v>
      </c>
      <c r="CK182" s="518">
        <f>IF(YEAR('3 pr-2'!$AJ182)=2021,$CD182,0)</f>
        <v>0</v>
      </c>
      <c r="CL182" s="518">
        <f>IF(YEAR('3 pr-2'!$AJ182)=2022,$CD182,0)</f>
        <v>0</v>
      </c>
      <c r="CM182" s="518">
        <f>IF(YEAR('3 pr-2'!$AJ182)=2023,$CD182,0)</f>
        <v>0</v>
      </c>
      <c r="CN182" s="523" t="s">
        <v>572</v>
      </c>
      <c r="CO182" s="1549" t="s">
        <v>573</v>
      </c>
      <c r="CP182" s="518"/>
      <c r="CQ182" s="518"/>
      <c r="CR182" s="518"/>
      <c r="CS182" s="518"/>
      <c r="CT182" s="518"/>
      <c r="CU182" s="518"/>
      <c r="CV182" s="518"/>
      <c r="CW182" s="1337">
        <f t="shared" ref="CW182" si="737">SUM(CP182:CV182)</f>
        <v>0</v>
      </c>
      <c r="CX182" s="524">
        <v>1</v>
      </c>
      <c r="CY182" s="504"/>
      <c r="CZ182" s="504"/>
      <c r="DA182" s="1332">
        <f>IF(YEAR('3 pr-2'!AJ182)=2017,CX182,0)</f>
        <v>0</v>
      </c>
      <c r="DB182" s="1332">
        <f>IF(YEAR('3 pr-2'!AJ182)=2018,CX182,0)</f>
        <v>0</v>
      </c>
      <c r="DC182" s="1332">
        <f>IF(YEAR('3 pr-2'!AJ182)=2019,CX182,0)</f>
        <v>0</v>
      </c>
      <c r="DD182" s="1332">
        <f>IF(YEAR('3 pr-2'!AJ182)=2020,CX182,0)</f>
        <v>1</v>
      </c>
      <c r="DE182" s="1332">
        <f>IF(YEAR('3 pr-2'!AJ182)=2021,CX182,0)</f>
        <v>0</v>
      </c>
      <c r="DF182" s="1332">
        <f>IF(YEAR('3 pr-2'!AJ182)=2022,CX182,0)</f>
        <v>0</v>
      </c>
      <c r="DG182" s="1332">
        <f>IF(YEAR('3 pr-2'!AJ182)=2023,CX182,0)</f>
        <v>0</v>
      </c>
    </row>
    <row r="183" spans="1:111" x14ac:dyDescent="0.25">
      <c r="V183" s="153"/>
      <c r="W183" s="153"/>
      <c r="X183" s="153"/>
      <c r="Y183" s="153"/>
    </row>
    <row r="184" spans="1:111" x14ac:dyDescent="0.25">
      <c r="L184" s="549"/>
    </row>
    <row r="185" spans="1:111" x14ac:dyDescent="0.25">
      <c r="V185" s="154"/>
      <c r="W185" s="154"/>
      <c r="X185" s="154"/>
      <c r="Y185" s="154"/>
    </row>
  </sheetData>
  <autoFilter ref="A1:DG894"/>
  <mergeCells count="66">
    <mergeCell ref="B141:K141"/>
    <mergeCell ref="B147:K147"/>
    <mergeCell ref="B148:K148"/>
    <mergeCell ref="B154:K154"/>
    <mergeCell ref="B160:K160"/>
    <mergeCell ref="B79:K79"/>
    <mergeCell ref="B86:K86"/>
    <mergeCell ref="B92:K92"/>
    <mergeCell ref="B100:K100"/>
    <mergeCell ref="B101:K101"/>
    <mergeCell ref="B56:K56"/>
    <mergeCell ref="B62:K62"/>
    <mergeCell ref="B58:K58"/>
    <mergeCell ref="B67:K67"/>
    <mergeCell ref="B74:K74"/>
    <mergeCell ref="B73:K73"/>
    <mergeCell ref="B161:K161"/>
    <mergeCell ref="B168:K168"/>
    <mergeCell ref="B169:K169"/>
    <mergeCell ref="B172:K172"/>
    <mergeCell ref="B173:K173"/>
    <mergeCell ref="B170:K170"/>
    <mergeCell ref="B121:K121"/>
    <mergeCell ref="B114:K114"/>
    <mergeCell ref="B102:K102"/>
    <mergeCell ref="B108:K108"/>
    <mergeCell ref="B120:K120"/>
    <mergeCell ref="B135:K135"/>
    <mergeCell ref="BB4:BI4"/>
    <mergeCell ref="BV4:CC4"/>
    <mergeCell ref="B33:K33"/>
    <mergeCell ref="B39:K39"/>
    <mergeCell ref="B46:K46"/>
    <mergeCell ref="B50:K50"/>
    <mergeCell ref="B4:B5"/>
    <mergeCell ref="A6:CX6"/>
    <mergeCell ref="B7:K7"/>
    <mergeCell ref="B8:K8"/>
    <mergeCell ref="B9:K9"/>
    <mergeCell ref="E4:E5"/>
    <mergeCell ref="D4:D5"/>
    <mergeCell ref="A4:A5"/>
    <mergeCell ref="AF4:AF5"/>
    <mergeCell ref="DA5:DG5"/>
    <mergeCell ref="CG5:CM5"/>
    <mergeCell ref="BM5:BS5"/>
    <mergeCell ref="AS5:AY5"/>
    <mergeCell ref="K4:K5"/>
    <mergeCell ref="AP4:AP5"/>
    <mergeCell ref="AZ4:AZ5"/>
    <mergeCell ref="BJ4:BJ5"/>
    <mergeCell ref="BT4:BT5"/>
    <mergeCell ref="CD4:CD5"/>
    <mergeCell ref="CN4:CN5"/>
    <mergeCell ref="CX4:CX5"/>
    <mergeCell ref="CP4:CW4"/>
    <mergeCell ref="N4:U4"/>
    <mergeCell ref="AH4:AO4"/>
    <mergeCell ref="L4:L5"/>
    <mergeCell ref="F4:F5"/>
    <mergeCell ref="Y5:AE5"/>
    <mergeCell ref="V4:V5"/>
    <mergeCell ref="J4:J5"/>
    <mergeCell ref="I4:I5"/>
    <mergeCell ref="H4:H5"/>
    <mergeCell ref="G4:G5"/>
  </mergeCells>
  <pageMargins left="0.23622047244094491" right="0.23622047244094491" top="0.74803149606299213" bottom="0.55118110236220474" header="0.31496062992125984" footer="0.31496062992125984"/>
  <pageSetup paperSize="8" scale="76" fitToHeight="0" orientation="landscape" r:id="rId1"/>
  <headerFooter>
    <oddHeader>&amp;C&amp;"Times New Roman,Paprastas"&amp;12Alytaus regiono 2014 – 2020 metų plėtros planas</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3"/>
  <sheetViews>
    <sheetView showGridLines="0" showRuler="0" zoomScaleNormal="100" workbookViewId="0">
      <pane ySplit="1650" topLeftCell="A13" activePane="bottomLeft"/>
      <selection sqref="A1:XFD1048576"/>
      <selection pane="bottomLeft" activeCell="A35" sqref="A35"/>
    </sheetView>
  </sheetViews>
  <sheetFormatPr defaultRowHeight="15.75" x14ac:dyDescent="0.25"/>
  <cols>
    <col min="1" max="1" width="9.140625" style="198"/>
    <col min="2" max="2" width="116.140625" style="198" customWidth="1"/>
    <col min="3" max="3" width="23.85546875" style="198" customWidth="1"/>
    <col min="4" max="4" width="10.28515625" style="241" bestFit="1" customWidth="1"/>
    <col min="5" max="6" width="9.140625" style="241"/>
    <col min="7" max="7" width="10.140625" style="241" customWidth="1"/>
    <col min="8" max="16384" width="9.140625" style="241"/>
  </cols>
  <sheetData>
    <row r="1" spans="1:3" ht="16.5" thickBot="1" x14ac:dyDescent="0.3">
      <c r="A1" s="843" t="s">
        <v>1671</v>
      </c>
    </row>
    <row r="2" spans="1:3" ht="51" thickBot="1" x14ac:dyDescent="0.3">
      <c r="A2" s="844" t="s">
        <v>393</v>
      </c>
      <c r="B2" s="199" t="s">
        <v>1677</v>
      </c>
      <c r="C2" s="845" t="s">
        <v>1678</v>
      </c>
    </row>
    <row r="3" spans="1:3" ht="16.5" thickBot="1" x14ac:dyDescent="0.3">
      <c r="A3" s="200" t="s">
        <v>477</v>
      </c>
      <c r="B3" s="201" t="s">
        <v>478</v>
      </c>
      <c r="C3" s="202">
        <f>SUM('3 pr-3'!V9)</f>
        <v>36</v>
      </c>
    </row>
    <row r="4" spans="1:3" ht="32.25" thickBot="1" x14ac:dyDescent="0.3">
      <c r="A4" s="200" t="s">
        <v>479</v>
      </c>
      <c r="B4" s="201" t="s">
        <v>480</v>
      </c>
      <c r="C4" s="202">
        <f>SUM('3 pr-3'!AP9)</f>
        <v>7557</v>
      </c>
    </row>
    <row r="5" spans="1:3" ht="16.5" thickBot="1" x14ac:dyDescent="0.3">
      <c r="A5" s="200" t="s">
        <v>481</v>
      </c>
      <c r="B5" s="201" t="s">
        <v>482</v>
      </c>
      <c r="C5" s="202">
        <f>SUM('3 pr-3'!BJ9)</f>
        <v>23</v>
      </c>
    </row>
    <row r="6" spans="1:3" ht="32.25" thickBot="1" x14ac:dyDescent="0.3">
      <c r="A6" s="1205" t="s">
        <v>1683</v>
      </c>
      <c r="B6" s="1206" t="s">
        <v>1684</v>
      </c>
      <c r="C6" s="203">
        <f>SUM('3 pr-3'!AP67)</f>
        <v>3500</v>
      </c>
    </row>
    <row r="7" spans="1:3" ht="16.5" thickBot="1" x14ac:dyDescent="0.3">
      <c r="A7" s="200" t="s">
        <v>529</v>
      </c>
      <c r="B7" s="201" t="s">
        <v>609</v>
      </c>
      <c r="C7" s="481">
        <f>SUM('3 pr-3'!V92)</f>
        <v>3.37</v>
      </c>
    </row>
    <row r="8" spans="1:3" ht="16.5" thickBot="1" x14ac:dyDescent="0.3">
      <c r="A8" s="200" t="s">
        <v>537</v>
      </c>
      <c r="B8" s="201" t="s">
        <v>538</v>
      </c>
      <c r="C8" s="202">
        <f>SUM('3 pr-3'!AP102+'3 pr-3'!AP108+'3 pr-3'!AP114)</f>
        <v>5893</v>
      </c>
    </row>
    <row r="9" spans="1:3" ht="16.5" thickBot="1" x14ac:dyDescent="0.3">
      <c r="A9" s="200" t="s">
        <v>543</v>
      </c>
      <c r="B9" s="201" t="s">
        <v>544</v>
      </c>
      <c r="C9" s="1464">
        <f>SUM('3 pr-3'!AP121)</f>
        <v>50671</v>
      </c>
    </row>
    <row r="10" spans="1:3" ht="16.5" thickBot="1" x14ac:dyDescent="0.3">
      <c r="A10" s="200" t="s">
        <v>489</v>
      </c>
      <c r="B10" s="201" t="s">
        <v>610</v>
      </c>
      <c r="C10" s="202">
        <f>SUM('3 pr-3'!V39+'3 pr-3'!V46)</f>
        <v>256364.91</v>
      </c>
    </row>
    <row r="11" spans="1:3" ht="16.5" thickBot="1" x14ac:dyDescent="0.3">
      <c r="A11" s="200" t="s">
        <v>491</v>
      </c>
      <c r="B11" s="201" t="s">
        <v>492</v>
      </c>
      <c r="C11" s="202">
        <f>SUM('3 pr-3'!AU39+'3 pr-3'!AP46)</f>
        <v>725.53</v>
      </c>
    </row>
    <row r="12" spans="1:3" ht="16.5" thickBot="1" x14ac:dyDescent="0.3">
      <c r="A12" s="200" t="s">
        <v>510</v>
      </c>
      <c r="B12" s="201" t="s">
        <v>511</v>
      </c>
      <c r="C12" s="202">
        <f>SUM('3 pr-3'!AP56)</f>
        <v>26</v>
      </c>
    </row>
    <row r="13" spans="1:3" ht="16.5" thickBot="1" x14ac:dyDescent="0.3">
      <c r="A13" s="200" t="s">
        <v>495</v>
      </c>
      <c r="B13" s="201" t="s">
        <v>611</v>
      </c>
      <c r="C13" s="202">
        <f>SUM('3 pr-3'!V50)</f>
        <v>900</v>
      </c>
    </row>
    <row r="14" spans="1:3" ht="32.25" thickBot="1" x14ac:dyDescent="0.3">
      <c r="A14" s="200" t="s">
        <v>503</v>
      </c>
      <c r="B14" s="201" t="s">
        <v>504</v>
      </c>
      <c r="C14" s="203">
        <f>SUM('3 pr-3'!AP50)</f>
        <v>41337</v>
      </c>
    </row>
    <row r="15" spans="1:3" ht="16.5" thickBot="1" x14ac:dyDescent="0.3">
      <c r="A15" s="200" t="s">
        <v>497</v>
      </c>
      <c r="B15" s="201" t="s">
        <v>612</v>
      </c>
      <c r="C15" s="202">
        <f>SUM('3 pr-3'!BJ50)</f>
        <v>1439</v>
      </c>
    </row>
    <row r="16" spans="1:3" ht="16.5" thickBot="1" x14ac:dyDescent="0.3">
      <c r="A16" s="200" t="s">
        <v>499</v>
      </c>
      <c r="B16" s="201" t="s">
        <v>507</v>
      </c>
      <c r="C16" s="202">
        <f>SUM('3 pr-3'!CD50)</f>
        <v>1449</v>
      </c>
    </row>
    <row r="17" spans="1:3" ht="16.5" thickBot="1" x14ac:dyDescent="0.3">
      <c r="A17" s="200" t="s">
        <v>575</v>
      </c>
      <c r="B17" s="201" t="s">
        <v>579</v>
      </c>
      <c r="C17" s="202">
        <f>SUM('3 pr-3'!AP173)</f>
        <v>2</v>
      </c>
    </row>
    <row r="18" spans="1:3" ht="16.5" thickBot="1" x14ac:dyDescent="0.3">
      <c r="A18" s="200" t="s">
        <v>568</v>
      </c>
      <c r="B18" s="201" t="s">
        <v>613</v>
      </c>
      <c r="C18" s="202">
        <f>SUM('3 pr-3'!BJ173)</f>
        <v>62</v>
      </c>
    </row>
    <row r="19" spans="1:3" ht="16.5" thickBot="1" x14ac:dyDescent="0.3">
      <c r="A19" s="200" t="s">
        <v>570</v>
      </c>
      <c r="B19" s="201" t="s">
        <v>571</v>
      </c>
      <c r="C19" s="202">
        <f>SUM('3 pr-3'!CD173)</f>
        <v>3</v>
      </c>
    </row>
    <row r="20" spans="1:3" ht="16.5" thickBot="1" x14ac:dyDescent="0.3">
      <c r="A20" s="200" t="s">
        <v>514</v>
      </c>
      <c r="B20" s="201" t="s">
        <v>614</v>
      </c>
      <c r="C20" s="202">
        <f>SUM('3 pr-3'!V62)</f>
        <v>5</v>
      </c>
    </row>
    <row r="21" spans="1:3" s="1532" customFormat="1" ht="16.5" thickBot="1" x14ac:dyDescent="0.3">
      <c r="A21" s="1529" t="s">
        <v>1767</v>
      </c>
      <c r="B21" s="1530" t="s">
        <v>847</v>
      </c>
      <c r="C21" s="1531">
        <f>SUM('3 pr-3'!AP79)</f>
        <v>2</v>
      </c>
    </row>
    <row r="22" spans="1:3" ht="16.5" thickBot="1" x14ac:dyDescent="0.3">
      <c r="A22" s="200" t="s">
        <v>533</v>
      </c>
      <c r="B22" s="201" t="s">
        <v>534</v>
      </c>
      <c r="C22" s="481">
        <f>SUM('3 pr-3'!BJ92)</f>
        <v>0.72</v>
      </c>
    </row>
    <row r="23" spans="1:3" ht="32.25" thickBot="1" x14ac:dyDescent="0.3">
      <c r="A23" s="201" t="s">
        <v>1485</v>
      </c>
      <c r="B23" s="201" t="s">
        <v>1486</v>
      </c>
      <c r="C23" s="203">
        <f>SUM('3 pr-3'!V141)</f>
        <v>180</v>
      </c>
    </row>
    <row r="24" spans="1:3" ht="16.5" thickBot="1" x14ac:dyDescent="0.3">
      <c r="A24" s="973" t="str">
        <f>CONCATENATE('3 pr-3'!AF135)</f>
        <v>P.N.671</v>
      </c>
      <c r="B24" s="973" t="str">
        <f>CONCATENATE('3 pr-3'!AG135)</f>
        <v>Modernizuoti savivaldybių visuomenės sveikatos biurai</v>
      </c>
      <c r="C24" s="202">
        <f>SUM('3 pr-3'!AP135)</f>
        <v>2</v>
      </c>
    </row>
    <row r="25" spans="1:3" ht="16.5" hidden="1" thickBot="1" x14ac:dyDescent="0.3">
      <c r="A25" s="200" t="s">
        <v>548</v>
      </c>
      <c r="B25" s="201" t="s">
        <v>549</v>
      </c>
      <c r="C25" s="202">
        <f>SUM('3 pr-3'!BJ135)</f>
        <v>0</v>
      </c>
    </row>
    <row r="26" spans="1:3" ht="16.5" thickBot="1" x14ac:dyDescent="0.3">
      <c r="A26" s="200" t="s">
        <v>541</v>
      </c>
      <c r="B26" s="201" t="s">
        <v>615</v>
      </c>
      <c r="C26" s="202">
        <f>SUM('3 pr-3'!V114)</f>
        <v>5</v>
      </c>
    </row>
    <row r="27" spans="1:3" ht="16.5" thickBot="1" x14ac:dyDescent="0.3">
      <c r="A27" s="200" t="s">
        <v>535</v>
      </c>
      <c r="B27" s="201" t="s">
        <v>616</v>
      </c>
      <c r="C27" s="202">
        <f>SUM('3 pr-3'!V102)</f>
        <v>8</v>
      </c>
    </row>
    <row r="28" spans="1:3" ht="16.5" thickBot="1" x14ac:dyDescent="0.3">
      <c r="A28" s="204" t="s">
        <v>539</v>
      </c>
      <c r="B28" s="205" t="s">
        <v>617</v>
      </c>
      <c r="C28" s="206">
        <f>SUM('3 pr-3'!V108)</f>
        <v>5</v>
      </c>
    </row>
    <row r="29" spans="1:3" ht="16.5" thickBot="1" x14ac:dyDescent="0.3">
      <c r="A29" s="208" t="s">
        <v>629</v>
      </c>
      <c r="B29" s="208" t="s">
        <v>630</v>
      </c>
      <c r="C29" s="846">
        <f>SUM('3 pr-3'!BJ114)</f>
        <v>16</v>
      </c>
    </row>
    <row r="30" spans="1:3" ht="16.5" thickBot="1" x14ac:dyDescent="0.3">
      <c r="A30" s="244" t="s">
        <v>512</v>
      </c>
      <c r="B30" s="207" t="s">
        <v>513</v>
      </c>
      <c r="C30" s="847">
        <f>SUM('3 pr-3'!V58)</f>
        <v>633</v>
      </c>
    </row>
    <row r="31" spans="1:3" ht="16.5" thickBot="1" x14ac:dyDescent="0.3">
      <c r="A31" s="200" t="s">
        <v>561</v>
      </c>
      <c r="B31" s="200" t="s">
        <v>562</v>
      </c>
      <c r="C31" s="202">
        <f>SUM('3 pr-3'!BJ161)</f>
        <v>3</v>
      </c>
    </row>
    <row r="32" spans="1:3" ht="16.5" thickBot="1" x14ac:dyDescent="0.3">
      <c r="A32" s="208" t="s">
        <v>524</v>
      </c>
      <c r="B32" s="208" t="s">
        <v>618</v>
      </c>
      <c r="C32" s="481">
        <f>SUM('3 pr-3'!V86)</f>
        <v>3.694</v>
      </c>
    </row>
    <row r="33" spans="1:7" ht="16.5" thickBot="1" x14ac:dyDescent="0.3">
      <c r="A33" s="208" t="s">
        <v>527</v>
      </c>
      <c r="B33" s="208" t="s">
        <v>598</v>
      </c>
      <c r="C33" s="481">
        <f>SUM('3 pr-3'!AP86)</f>
        <v>0.69</v>
      </c>
    </row>
    <row r="34" spans="1:7" ht="16.5" thickBot="1" x14ac:dyDescent="0.3">
      <c r="A34" s="208" t="s">
        <v>522</v>
      </c>
      <c r="B34" s="208" t="s">
        <v>619</v>
      </c>
      <c r="C34" s="1550">
        <f>SUM('3 pr-3'!V79)</f>
        <v>5</v>
      </c>
    </row>
    <row r="35" spans="1:7" ht="16.5" thickBot="1" x14ac:dyDescent="0.3">
      <c r="A35" s="208" t="str">
        <f>CONCATENATE('3 pr-3'!AZ79)</f>
        <v>P.S.324</v>
      </c>
      <c r="B35" s="208" t="str">
        <f>CONCATENATE('3 pr-3'!BA79)</f>
        <v>Įdiegtos intelektinės transporto sistemos</v>
      </c>
      <c r="C35" s="202" t="str">
        <f>CONCATENATE('3 pr-3'!BJ79)</f>
        <v>1</v>
      </c>
    </row>
    <row r="36" spans="1:7" ht="16.5" thickBot="1" x14ac:dyDescent="0.3">
      <c r="A36" s="208" t="s">
        <v>519</v>
      </c>
      <c r="B36" s="208" t="s">
        <v>620</v>
      </c>
      <c r="C36" s="202">
        <f>SUM('3 pr-3'!V74)</f>
        <v>6</v>
      </c>
    </row>
    <row r="37" spans="1:7" ht="16.5" thickBot="1" x14ac:dyDescent="0.3">
      <c r="A37" s="208" t="s">
        <v>508</v>
      </c>
      <c r="B37" s="208" t="s">
        <v>509</v>
      </c>
      <c r="C37" s="481">
        <f>SUM('3 pr-3'!V56)</f>
        <v>262.58999999999997</v>
      </c>
    </row>
    <row r="38" spans="1:7" ht="16.5" thickBot="1" x14ac:dyDescent="0.3">
      <c r="A38" s="200" t="s">
        <v>564</v>
      </c>
      <c r="B38" s="201" t="s">
        <v>621</v>
      </c>
      <c r="C38" s="202">
        <f>SUM('3 pr-3'!V170)</f>
        <v>7187.76</v>
      </c>
    </row>
    <row r="39" spans="1:7" ht="16.5" thickBot="1" x14ac:dyDescent="0.3">
      <c r="A39" s="200" t="s">
        <v>501</v>
      </c>
      <c r="B39" s="201" t="s">
        <v>622</v>
      </c>
      <c r="C39" s="481">
        <f>SUM('3 pr-3'!CX50)</f>
        <v>22.52</v>
      </c>
    </row>
    <row r="40" spans="1:7" ht="16.5" thickBot="1" x14ac:dyDescent="0.3">
      <c r="A40" s="200" t="s">
        <v>516</v>
      </c>
      <c r="B40" s="201" t="s">
        <v>517</v>
      </c>
      <c r="C40" s="202">
        <f>SUM('3 pr-3'!V67)</f>
        <v>5</v>
      </c>
      <c r="G40" s="1368"/>
    </row>
    <row r="41" spans="1:7" ht="16.5" thickBot="1" x14ac:dyDescent="0.3">
      <c r="A41" s="200" t="s">
        <v>572</v>
      </c>
      <c r="B41" s="201" t="s">
        <v>623</v>
      </c>
      <c r="C41" s="202">
        <f>SUM('3 pr-3'!CX173)</f>
        <v>4</v>
      </c>
    </row>
    <row r="42" spans="1:7" ht="16.5" thickBot="1" x14ac:dyDescent="0.3">
      <c r="A42" s="209" t="s">
        <v>531</v>
      </c>
      <c r="B42" s="210" t="s">
        <v>532</v>
      </c>
      <c r="C42" s="202">
        <f>SUM('3 pr-3'!AP92)</f>
        <v>12</v>
      </c>
    </row>
    <row r="43" spans="1:7" ht="16.5" thickBot="1" x14ac:dyDescent="0.3">
      <c r="A43" s="200" t="s">
        <v>552</v>
      </c>
      <c r="B43" s="201" t="s">
        <v>624</v>
      </c>
      <c r="C43" s="202">
        <f>SUM('3 pr-3'!V148)</f>
        <v>5</v>
      </c>
    </row>
    <row r="44" spans="1:7" ht="16.5" thickBot="1" x14ac:dyDescent="0.3">
      <c r="A44" s="200" t="s">
        <v>555</v>
      </c>
      <c r="B44" s="201" t="s">
        <v>556</v>
      </c>
      <c r="C44" s="202">
        <f>SUM('3 pr-3'!V154)</f>
        <v>106</v>
      </c>
    </row>
    <row r="45" spans="1:7" ht="32.25" thickBot="1" x14ac:dyDescent="0.3">
      <c r="A45" s="1463" t="s">
        <v>1741</v>
      </c>
      <c r="B45" s="1460" t="s">
        <v>1742</v>
      </c>
      <c r="C45" s="1471">
        <f>SUM('3 pr-3'!V121)</f>
        <v>17</v>
      </c>
    </row>
    <row r="46" spans="1:7" ht="19.5" thickBot="1" x14ac:dyDescent="0.3">
      <c r="A46" s="200" t="s">
        <v>409</v>
      </c>
      <c r="B46" s="201" t="s">
        <v>632</v>
      </c>
      <c r="C46" s="202">
        <f>SUM('3 pr-3'!V33)</f>
        <v>54456</v>
      </c>
    </row>
    <row r="47" spans="1:7" ht="32.25" thickBot="1" x14ac:dyDescent="0.3">
      <c r="A47" s="200" t="s">
        <v>410</v>
      </c>
      <c r="B47" s="201" t="s">
        <v>625</v>
      </c>
      <c r="C47" s="203">
        <f>SUM('3 pr-3'!AP33)</f>
        <v>200</v>
      </c>
    </row>
    <row r="48" spans="1:7" ht="23.25" customHeight="1" thickBot="1" x14ac:dyDescent="0.3">
      <c r="A48" s="200" t="str">
        <f>CONCATENATE('3 pr-3'!L135)</f>
        <v>P.S.372</v>
      </c>
      <c r="B48" s="200" t="str">
        <f>CONCATENATE('3 pr-3'!M135)</f>
        <v>Tikslinių grupių asmenys, kurie dalyvavo informavimo, švietimo ir mokymo renginiuose bei sveikatos raštingumą didinančiose veiklose</v>
      </c>
      <c r="C48" s="203">
        <f>SUM('3 pr-3'!V135)</f>
        <v>8937</v>
      </c>
    </row>
    <row r="49" spans="1:3" ht="16.5" thickBot="1" x14ac:dyDescent="0.3">
      <c r="A49" s="200" t="s">
        <v>837</v>
      </c>
      <c r="B49" s="201" t="s">
        <v>838</v>
      </c>
      <c r="C49" s="203">
        <f>SUM('3 pr-3'!CD114)</f>
        <v>140</v>
      </c>
    </row>
    <row r="50" spans="1:3" ht="32.25" thickBot="1" x14ac:dyDescent="0.3">
      <c r="A50" s="211" t="s">
        <v>557</v>
      </c>
      <c r="B50" s="210" t="s">
        <v>626</v>
      </c>
      <c r="C50" s="203">
        <f>SUM('3 pr-3'!V161)</f>
        <v>83</v>
      </c>
    </row>
    <row r="51" spans="1:3" ht="32.25" thickBot="1" x14ac:dyDescent="0.3">
      <c r="A51" s="200" t="s">
        <v>559</v>
      </c>
      <c r="B51" s="201" t="s">
        <v>627</v>
      </c>
      <c r="C51" s="203">
        <f>SUM('3 pr-3'!AP161)</f>
        <v>405</v>
      </c>
    </row>
    <row r="52" spans="1:3" ht="16.5" hidden="1" thickBot="1" x14ac:dyDescent="0.3">
      <c r="A52" s="200" t="s">
        <v>550</v>
      </c>
      <c r="B52" s="201" t="s">
        <v>551</v>
      </c>
      <c r="C52" s="203">
        <f>SUM('3 pr-3'!CD135)</f>
        <v>0</v>
      </c>
    </row>
    <row r="53" spans="1:3" ht="16.5" thickBot="1" x14ac:dyDescent="0.3">
      <c r="A53" s="200" t="s">
        <v>566</v>
      </c>
      <c r="B53" s="201" t="s">
        <v>608</v>
      </c>
      <c r="C53" s="203">
        <f>SUM('3 pr-3'!V173)</f>
        <v>44.491500000000002</v>
      </c>
    </row>
  </sheetData>
  <pageMargins left="0.25" right="0.25" top="0.75" bottom="0.75" header="0.3" footer="0.3"/>
  <pageSetup paperSize="9" scale="84" fitToHeight="0" orientation="landscape" r:id="rId1"/>
  <headerFooter>
    <oddHeader>&amp;C&amp;"Times New Roman,Paprastas"&amp;12Alytaus regiono 2014 – 2020 metų plėtros planas</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64"/>
  <sheetViews>
    <sheetView showGridLines="0" showRuler="0" topLeftCell="A13" zoomScaleNormal="100" workbookViewId="0">
      <selection activeCell="C29" sqref="C29:I29"/>
    </sheetView>
  </sheetViews>
  <sheetFormatPr defaultRowHeight="15" x14ac:dyDescent="0.25"/>
  <cols>
    <col min="1" max="1" width="23.140625" style="241" customWidth="1"/>
    <col min="2" max="2" width="35.5703125" style="1385" customWidth="1"/>
    <col min="3" max="3" width="11.28515625" style="241" bestFit="1" customWidth="1"/>
    <col min="4" max="4" width="11.85546875" style="241" bestFit="1" customWidth="1"/>
    <col min="5" max="6" width="13.140625" style="241" bestFit="1" customWidth="1"/>
    <col min="7" max="8" width="13" style="241" bestFit="1" customWidth="1"/>
    <col min="9" max="9" width="14.28515625" style="241" bestFit="1" customWidth="1"/>
    <col min="10" max="10" width="16.85546875" style="241" hidden="1" customWidth="1"/>
    <col min="11" max="11" width="15" style="241" hidden="1" customWidth="1"/>
    <col min="12" max="12" width="17.85546875" style="241" hidden="1" customWidth="1"/>
    <col min="13" max="13" width="10.140625" style="241" bestFit="1" customWidth="1"/>
    <col min="14" max="14" width="9.140625" style="241"/>
    <col min="15" max="15" width="10.140625" style="241" bestFit="1" customWidth="1"/>
    <col min="16" max="16384" width="9.140625" style="241"/>
  </cols>
  <sheetData>
    <row r="1" spans="1:15" ht="35.25" customHeight="1" thickBot="1" x14ac:dyDescent="0.3">
      <c r="A1" s="1700" t="s">
        <v>1672</v>
      </c>
      <c r="B1" s="1701"/>
      <c r="C1" s="1701"/>
      <c r="D1" s="1701"/>
      <c r="E1" s="1701"/>
      <c r="F1" s="1701"/>
      <c r="G1" s="1701"/>
      <c r="H1" s="1701"/>
      <c r="I1" s="1701"/>
    </row>
    <row r="2" spans="1:15" ht="17.25" customHeight="1" thickTop="1" thickBot="1" x14ac:dyDescent="0.35">
      <c r="A2" s="1707" t="s">
        <v>1675</v>
      </c>
      <c r="B2" s="1705" t="s">
        <v>1674</v>
      </c>
      <c r="C2" s="1702" t="s">
        <v>715</v>
      </c>
      <c r="D2" s="1703"/>
      <c r="E2" s="1703"/>
      <c r="F2" s="1703"/>
      <c r="G2" s="1703"/>
      <c r="H2" s="1703"/>
      <c r="I2" s="1704"/>
    </row>
    <row r="3" spans="1:15" ht="108" thickTop="1" thickBot="1" x14ac:dyDescent="0.3">
      <c r="A3" s="1708"/>
      <c r="B3" s="1706"/>
      <c r="C3" s="1369">
        <v>2015</v>
      </c>
      <c r="D3" s="1369">
        <v>2016</v>
      </c>
      <c r="E3" s="1369">
        <v>2017</v>
      </c>
      <c r="F3" s="1369">
        <v>2018</v>
      </c>
      <c r="G3" s="1369">
        <v>2019</v>
      </c>
      <c r="H3" s="1369">
        <v>2020</v>
      </c>
      <c r="I3" s="1370" t="s">
        <v>351</v>
      </c>
      <c r="J3" s="1370" t="s">
        <v>841</v>
      </c>
      <c r="K3" s="1370" t="s">
        <v>845</v>
      </c>
      <c r="L3" s="1370" t="s">
        <v>842</v>
      </c>
    </row>
    <row r="4" spans="1:15" ht="48" thickBot="1" x14ac:dyDescent="0.3">
      <c r="A4" s="244" t="s">
        <v>466</v>
      </c>
      <c r="B4" s="244" t="s">
        <v>257</v>
      </c>
      <c r="C4" s="239">
        <f>SUM('IV-1 su proj'!D31)</f>
        <v>0</v>
      </c>
      <c r="D4" s="239">
        <f>SUM('3 pr-2'!AK9)</f>
        <v>0</v>
      </c>
      <c r="E4" s="239">
        <f>SUM('3 pr-2'!AL9)</f>
        <v>0</v>
      </c>
      <c r="F4" s="239">
        <f>SUM('3 pr-2'!AM9)+'3 pr-2'!AR9</f>
        <v>2773893</v>
      </c>
      <c r="G4" s="239">
        <f>SUM('3 pr-2'!AN10:AN32)</f>
        <v>0</v>
      </c>
      <c r="H4" s="239">
        <f>SUM('3 pr-2'!AO10:AO32)</f>
        <v>0</v>
      </c>
      <c r="I4" s="242">
        <f t="shared" ref="I4" si="0">SUM(C4:H4)</f>
        <v>2773893</v>
      </c>
      <c r="J4" s="242">
        <v>2773894.25</v>
      </c>
      <c r="K4" s="242">
        <f t="shared" ref="K4:K9" si="1">SUM(J4-I4)</f>
        <v>1.25</v>
      </c>
      <c r="L4" s="242">
        <f>SUM(K4+'ketv. 6 lent'!AG8)</f>
        <v>137.10000000000582</v>
      </c>
      <c r="M4" s="1371"/>
      <c r="O4" s="1372"/>
    </row>
    <row r="5" spans="1:15" ht="32.25" thickBot="1" x14ac:dyDescent="0.3">
      <c r="A5" s="243" t="s">
        <v>146</v>
      </c>
      <c r="B5" s="243" t="s">
        <v>688</v>
      </c>
      <c r="C5" s="240">
        <f>SUM('IV-1 su proj'!D32)</f>
        <v>0</v>
      </c>
      <c r="D5" s="240">
        <f>SUM('3 pr-2'!AK33)</f>
        <v>0</v>
      </c>
      <c r="E5" s="240">
        <f>SUM('3 pr-2'!AL33)</f>
        <v>0</v>
      </c>
      <c r="F5" s="240">
        <f>SUM('3 pr-2'!AM33)</f>
        <v>2816453</v>
      </c>
      <c r="G5" s="240">
        <f>SUM('3 pr-2'!AN33)</f>
        <v>0</v>
      </c>
      <c r="H5" s="240">
        <f>SUM('3 pr-2'!AO33)</f>
        <v>0</v>
      </c>
      <c r="I5" s="203">
        <f t="shared" ref="I5:I11" si="2">SUM(C5:H5)</f>
        <v>2816453</v>
      </c>
      <c r="J5" s="203">
        <v>2816452</v>
      </c>
      <c r="K5" s="242">
        <f t="shared" si="1"/>
        <v>-1</v>
      </c>
      <c r="L5" s="242">
        <f>SUM(K5+'ketv. 6 lent'!AG32)</f>
        <v>-1</v>
      </c>
    </row>
    <row r="6" spans="1:15" ht="30" customHeight="1" thickBot="1" x14ac:dyDescent="0.3">
      <c r="A6" s="243" t="s">
        <v>145</v>
      </c>
      <c r="B6" s="243" t="s">
        <v>689</v>
      </c>
      <c r="C6" s="240">
        <f>SUM('IV-1 su proj'!D38)</f>
        <v>0</v>
      </c>
      <c r="D6" s="240">
        <f>SUM('3 pr-2'!AK39)</f>
        <v>1289392.2</v>
      </c>
      <c r="E6" s="240">
        <f>SUM('3 pr-2'!AL39)</f>
        <v>1359477.3399999999</v>
      </c>
      <c r="F6" s="240">
        <f>SUM('3 pr-2'!AM39)</f>
        <v>962726</v>
      </c>
      <c r="G6" s="240">
        <f>SUM('3 pr-2'!AN39)</f>
        <v>0</v>
      </c>
      <c r="H6" s="240">
        <f>SUM('3 pr-2'!AO39)</f>
        <v>0</v>
      </c>
      <c r="I6" s="203">
        <f t="shared" si="2"/>
        <v>3611595.54</v>
      </c>
      <c r="J6" s="203">
        <v>3697302</v>
      </c>
      <c r="K6" s="242">
        <f t="shared" si="1"/>
        <v>85706.459999999963</v>
      </c>
      <c r="L6" s="242">
        <f>SUM('3 pr-(5-6)'!K6+'ketv. 6 lent'!AG38)</f>
        <v>85706.459999999963</v>
      </c>
    </row>
    <row r="7" spans="1:15" ht="32.25" thickBot="1" x14ac:dyDescent="0.3">
      <c r="A7" s="243" t="s">
        <v>274</v>
      </c>
      <c r="B7" s="243" t="s">
        <v>690</v>
      </c>
      <c r="C7" s="240">
        <f>SUM('IV-1 su proj'!D47+'IV-1 su proj'!D48)</f>
        <v>0</v>
      </c>
      <c r="D7" s="240">
        <f>SUM('3 pr-2'!AK48:AK49)</f>
        <v>575484.89</v>
      </c>
      <c r="E7" s="240">
        <f>SUM('3 pr-2'!AL48:AL49)</f>
        <v>0</v>
      </c>
      <c r="F7" s="240">
        <f>SUM('3 pr-2'!AM48:AM49)</f>
        <v>0</v>
      </c>
      <c r="G7" s="240">
        <f>SUM('3 pr-2'!AN48:AN49)</f>
        <v>0</v>
      </c>
      <c r="H7" s="240">
        <f>SUM('3 pr-2'!AO48:AO49)</f>
        <v>0</v>
      </c>
      <c r="I7" s="203">
        <f t="shared" si="2"/>
        <v>575484.89</v>
      </c>
      <c r="J7" s="203">
        <f>SUM('IV-1 su proj'!AS47+'IV-1 su proj'!AS48)</f>
        <v>575484.89</v>
      </c>
      <c r="K7" s="242">
        <f t="shared" si="1"/>
        <v>0</v>
      </c>
      <c r="L7" s="242">
        <f>SUM(K7+'ketv. 6 lent'!AG47+'ketv. 6 lent'!AG48)</f>
        <v>0</v>
      </c>
    </row>
    <row r="8" spans="1:15" ht="32.25" thickBot="1" x14ac:dyDescent="0.3">
      <c r="A8" s="243" t="s">
        <v>179</v>
      </c>
      <c r="B8" s="243" t="s">
        <v>692</v>
      </c>
      <c r="C8" s="240">
        <f>SUM('IV-1 su proj'!D46)</f>
        <v>0</v>
      </c>
      <c r="D8" s="240">
        <f>SUM('3 pr-2'!AK47)</f>
        <v>1099672.68</v>
      </c>
      <c r="E8" s="240">
        <f>SUM('3 pr-2'!AL47)</f>
        <v>0</v>
      </c>
      <c r="F8" s="240">
        <f>SUM('3 pr-2'!AM47)</f>
        <v>0</v>
      </c>
      <c r="G8" s="240">
        <f>SUM('3 pr-2'!AN47)</f>
        <v>0</v>
      </c>
      <c r="H8" s="240">
        <f>SUM('3 pr-2'!AO47)</f>
        <v>0</v>
      </c>
      <c r="I8" s="203">
        <f t="shared" si="2"/>
        <v>1099672.68</v>
      </c>
      <c r="J8" s="203">
        <v>1099672.68</v>
      </c>
      <c r="K8" s="242">
        <f t="shared" si="1"/>
        <v>0</v>
      </c>
      <c r="L8" s="242">
        <f>SUM(K8+'ketv. 6 lent'!AG46)</f>
        <v>0</v>
      </c>
    </row>
    <row r="9" spans="1:15" ht="48" thickBot="1" x14ac:dyDescent="0.3">
      <c r="A9" s="243" t="s">
        <v>144</v>
      </c>
      <c r="B9" s="243" t="s">
        <v>693</v>
      </c>
      <c r="C9" s="240">
        <f>SUM('IV-1 su proj'!D49)</f>
        <v>0</v>
      </c>
      <c r="D9" s="240">
        <f>SUM('3 pr-2'!AK50)</f>
        <v>0</v>
      </c>
      <c r="E9" s="240">
        <f>SUM('3 pr-2'!AL50)</f>
        <v>8810673.5099999998</v>
      </c>
      <c r="F9" s="240">
        <f>SUM('3 pr-2'!AM50)</f>
        <v>0</v>
      </c>
      <c r="G9" s="240">
        <f>SUM('3 pr-2'!AN50)</f>
        <v>0</v>
      </c>
      <c r="H9" s="240">
        <f>SUM('3 pr-2'!AO50)</f>
        <v>0</v>
      </c>
      <c r="I9" s="203">
        <f t="shared" si="2"/>
        <v>8810673.5099999998</v>
      </c>
      <c r="J9" s="203">
        <v>7788067.5199999996</v>
      </c>
      <c r="K9" s="242">
        <f t="shared" si="1"/>
        <v>-1022605.9900000002</v>
      </c>
      <c r="L9" s="242">
        <f>SUM(K9+'ketv. 6 lent'!AG49)</f>
        <v>390893.91999999969</v>
      </c>
    </row>
    <row r="10" spans="1:15" ht="32.25" thickBot="1" x14ac:dyDescent="0.3">
      <c r="A10" s="243" t="s">
        <v>180</v>
      </c>
      <c r="B10" s="243" t="s">
        <v>694</v>
      </c>
      <c r="C10" s="240">
        <f>SUM('IV-1 su proj'!D55)</f>
        <v>0</v>
      </c>
      <c r="D10" s="240">
        <f>SUM('3 pr-2'!AK56)</f>
        <v>0</v>
      </c>
      <c r="E10" s="240">
        <f>SUM('3 pr-2'!AL56)-'3 pr-2'!AM57</f>
        <v>2387993.48</v>
      </c>
      <c r="F10" s="240">
        <f>SUM('3 pr-2'!AM56)</f>
        <v>1011500</v>
      </c>
      <c r="G10" s="240">
        <f>SUM('3 pr-2'!AN56)</f>
        <v>0</v>
      </c>
      <c r="H10" s="240">
        <f>SUM('3 pr-2'!AO56)</f>
        <v>0</v>
      </c>
      <c r="I10" s="203">
        <f t="shared" si="2"/>
        <v>3399493.48</v>
      </c>
      <c r="J10" s="203">
        <v>3399493.48</v>
      </c>
      <c r="K10" s="242">
        <f t="shared" ref="K10:K29" si="3">SUM(J10-I10)</f>
        <v>0</v>
      </c>
      <c r="L10" s="242">
        <f>SUM(K10+'ketv. 6 lent'!AG56)</f>
        <v>1011500</v>
      </c>
    </row>
    <row r="11" spans="1:15" ht="48" thickBot="1" x14ac:dyDescent="0.3">
      <c r="A11" s="243" t="s">
        <v>814</v>
      </c>
      <c r="B11" s="243" t="s">
        <v>695</v>
      </c>
      <c r="C11" s="240">
        <f>SUM('IV-1 su proj'!D57)</f>
        <v>0</v>
      </c>
      <c r="D11" s="240">
        <f>SUM('3 pr-2'!AK58)</f>
        <v>0</v>
      </c>
      <c r="E11" s="240">
        <f>SUM('3 pr-2'!AL58)</f>
        <v>421880</v>
      </c>
      <c r="F11" s="240">
        <f>SUM('3 pr-2'!AM58)</f>
        <v>0</v>
      </c>
      <c r="G11" s="240">
        <f>SUM('3 pr-2'!AN58)</f>
        <v>189540</v>
      </c>
      <c r="H11" s="240">
        <f>SUM('3 pr-2'!AO58)</f>
        <v>0</v>
      </c>
      <c r="I11" s="203">
        <f t="shared" si="2"/>
        <v>611420</v>
      </c>
      <c r="J11" s="203">
        <f>SUM('IV-1 su proj'!AS57)</f>
        <v>611420</v>
      </c>
      <c r="K11" s="242">
        <f t="shared" si="3"/>
        <v>0</v>
      </c>
      <c r="L11" s="242">
        <f>SUM('ketv. 6 lent'!AG57)</f>
        <v>-0.10000000000582077</v>
      </c>
    </row>
    <row r="12" spans="1:15" ht="32.25" thickBot="1" x14ac:dyDescent="0.3">
      <c r="A12" s="243" t="s">
        <v>143</v>
      </c>
      <c r="B12" s="243" t="s">
        <v>696</v>
      </c>
      <c r="C12" s="240">
        <f>SUM('IV-1 su proj'!D61)</f>
        <v>0</v>
      </c>
      <c r="D12" s="240">
        <f>SUM('3 pr-2'!AK62)</f>
        <v>0</v>
      </c>
      <c r="E12" s="240">
        <f>SUM('3 pr-2'!AL62)</f>
        <v>898622.7</v>
      </c>
      <c r="F12" s="240">
        <f>SUM('3 pr-2'!AM62)</f>
        <v>299541</v>
      </c>
      <c r="G12" s="240">
        <f>SUM('3 pr-2'!AN62)</f>
        <v>0</v>
      </c>
      <c r="H12" s="240">
        <f>SUM('3 pr-2'!AO62)</f>
        <v>0</v>
      </c>
      <c r="I12" s="203">
        <f t="shared" ref="I12:I14" si="4">SUM(C12:H12)</f>
        <v>1198163.7</v>
      </c>
      <c r="J12" s="203">
        <v>1198165.51</v>
      </c>
      <c r="K12" s="242">
        <f t="shared" si="3"/>
        <v>1.8100000000558794</v>
      </c>
      <c r="L12" s="242">
        <f>SUM(K12+'ketv. 6 lent'!AG61)</f>
        <v>1.8100000000558794</v>
      </c>
    </row>
    <row r="13" spans="1:15" ht="32.25" thickBot="1" x14ac:dyDescent="0.3">
      <c r="A13" s="243" t="s">
        <v>183</v>
      </c>
      <c r="B13" s="243" t="s">
        <v>697</v>
      </c>
      <c r="C13" s="240">
        <f>SUM('IV-1 su proj'!D66)</f>
        <v>0</v>
      </c>
      <c r="D13" s="240">
        <f>SUM('3 pr-2'!AK67)</f>
        <v>0</v>
      </c>
      <c r="E13" s="240">
        <f>SUM('3 pr-2'!AL67)</f>
        <v>0</v>
      </c>
      <c r="F13" s="240">
        <f>SUM('3 pr-2'!AM67)</f>
        <v>1030280</v>
      </c>
      <c r="G13" s="240">
        <f>SUM('3 pr-2'!AN67)</f>
        <v>0</v>
      </c>
      <c r="H13" s="240">
        <f>SUM('3 pr-2'!AO67)</f>
        <v>0</v>
      </c>
      <c r="I13" s="203">
        <f t="shared" si="4"/>
        <v>1030280</v>
      </c>
      <c r="J13" s="203">
        <v>1030281.61</v>
      </c>
      <c r="K13" s="242">
        <f t="shared" si="3"/>
        <v>1.6099999999860302</v>
      </c>
      <c r="L13" s="242">
        <f>SUM(K13+'ketv. 6 lent'!AG66)</f>
        <v>1.6099999999860302</v>
      </c>
    </row>
    <row r="14" spans="1:15" ht="48" thickBot="1" x14ac:dyDescent="0.3">
      <c r="A14" s="243" t="s">
        <v>699</v>
      </c>
      <c r="B14" s="243" t="s">
        <v>698</v>
      </c>
      <c r="C14" s="240">
        <f>SUM('IV-1 su proj'!D73)</f>
        <v>0</v>
      </c>
      <c r="D14" s="240">
        <f>SUM('3 pr-2'!AK74)</f>
        <v>0</v>
      </c>
      <c r="E14" s="240">
        <f>SUM('3 pr-2'!AL74)</f>
        <v>0</v>
      </c>
      <c r="F14" s="240">
        <f>SUM('3 pr-2'!AM74)</f>
        <v>640846</v>
      </c>
      <c r="G14" s="240">
        <f>SUM('3 pr-2'!AN74)</f>
        <v>622426</v>
      </c>
      <c r="H14" s="240">
        <f>SUM('3 pr-2'!AO74)</f>
        <v>0</v>
      </c>
      <c r="I14" s="203">
        <f t="shared" si="4"/>
        <v>1263272</v>
      </c>
      <c r="J14" s="203">
        <v>1263272</v>
      </c>
      <c r="K14" s="242">
        <f t="shared" si="3"/>
        <v>0</v>
      </c>
      <c r="L14" s="242">
        <f>SUM(K14+'ketv. 6 lent'!AG73)</f>
        <v>0</v>
      </c>
    </row>
    <row r="15" spans="1:15" ht="33.75" customHeight="1" thickBot="1" x14ac:dyDescent="0.3">
      <c r="A15" s="243" t="s">
        <v>1703</v>
      </c>
      <c r="B15" s="243" t="s">
        <v>700</v>
      </c>
      <c r="C15" s="240">
        <f>SUM('IV-1 su proj'!D79+'IV-1 su proj'!D81)</f>
        <v>0</v>
      </c>
      <c r="D15" s="240">
        <f>SUM('3 pr-2'!AK80+'3 pr-2'!AK82)</f>
        <v>0</v>
      </c>
      <c r="E15" s="240">
        <f>SUM('3 pr-2'!AL80+'3 pr-2'!AL82+'3 pr-2'!AL84+'3 pr-2'!AL85)</f>
        <v>0</v>
      </c>
      <c r="F15" s="240">
        <f>SUM('3 pr-2'!AM80+'3 pr-2'!AM82+'3 pr-2'!AM84+'3 pr-2'!AM85)</f>
        <v>0</v>
      </c>
      <c r="G15" s="240">
        <f>SUM('3 pr-2'!AN80+'3 pr-2'!AN82+'3 pr-2'!AN84+'3 pr-2'!AN85)</f>
        <v>1567660</v>
      </c>
      <c r="H15" s="240">
        <f>SUM('3 pr-2'!AO80+'3 pr-2'!AO82+'3 pr-2'!AO84+'3 pr-2'!AO85)</f>
        <v>0</v>
      </c>
      <c r="I15" s="203">
        <f t="shared" ref="I15:I16" si="5">SUM(C15:H15)</f>
        <v>1567660</v>
      </c>
      <c r="J15" s="203">
        <v>1567660</v>
      </c>
      <c r="K15" s="242">
        <f t="shared" si="3"/>
        <v>0</v>
      </c>
      <c r="L15" s="242">
        <f>SUM(K15+'ketv. 6 lent'!AG80+'ketv. 6 lent'!AG82)</f>
        <v>0</v>
      </c>
      <c r="M15" s="1371"/>
    </row>
    <row r="16" spans="1:15" ht="27" customHeight="1" thickBot="1" x14ac:dyDescent="0.3">
      <c r="A16" s="243" t="s">
        <v>276</v>
      </c>
      <c r="B16" s="243" t="s">
        <v>701</v>
      </c>
      <c r="C16" s="240">
        <f>SUM('IV-1 su proj'!D80+'IV-1 su proj'!D82)</f>
        <v>0</v>
      </c>
      <c r="D16" s="240">
        <f>SUM('3 pr-2'!AK81+'3 pr-2'!AK83)</f>
        <v>0</v>
      </c>
      <c r="E16" s="240">
        <f>SUM('3 pr-2'!AL81+'3 pr-2'!AL83)</f>
        <v>43042.3</v>
      </c>
      <c r="F16" s="240">
        <f>SUM('3 pr-2'!AM81+'3 pr-2'!AM83)</f>
        <v>0</v>
      </c>
      <c r="G16" s="240">
        <f>SUM('3 pr-2'!AN81+'3 pr-2'!AN83)</f>
        <v>0</v>
      </c>
      <c r="H16" s="240">
        <f>SUM('3 pr-2'!AO81+'3 pr-2'!AO83)</f>
        <v>0</v>
      </c>
      <c r="I16" s="203">
        <f t="shared" si="5"/>
        <v>43042.3</v>
      </c>
      <c r="J16" s="203">
        <f>SUM('ketv. 6 lent'!AE81+'ketv. 6 lent'!AE83)</f>
        <v>43042.3</v>
      </c>
      <c r="K16" s="242">
        <f t="shared" si="3"/>
        <v>0</v>
      </c>
      <c r="L16" s="242">
        <f>SUM(K16+'ketv. 6 lent'!AG81+'ketv. 6 lent'!AG83)</f>
        <v>0</v>
      </c>
    </row>
    <row r="17" spans="1:12" ht="32.25" thickBot="1" x14ac:dyDescent="0.3">
      <c r="A17" s="243" t="s">
        <v>148</v>
      </c>
      <c r="B17" s="243" t="s">
        <v>702</v>
      </c>
      <c r="C17" s="240">
        <f>SUM('IV-1 su proj'!D85)</f>
        <v>0</v>
      </c>
      <c r="D17" s="240">
        <f>SUM('3 pr-2'!AK86)</f>
        <v>0</v>
      </c>
      <c r="E17" s="240">
        <f>SUM('3 pr-2'!AL86)</f>
        <v>187120.56</v>
      </c>
      <c r="F17" s="240">
        <f>SUM('3 pr-2'!AM86)</f>
        <v>228603</v>
      </c>
      <c r="G17" s="240">
        <f>SUM('3 pr-2'!AN86)</f>
        <v>0</v>
      </c>
      <c r="H17" s="240">
        <f>SUM('3 pr-2'!AO86)</f>
        <v>0</v>
      </c>
      <c r="I17" s="203">
        <f t="shared" ref="I17" si="6">SUM(C17:H17)</f>
        <v>415723.56</v>
      </c>
      <c r="J17" s="203">
        <v>415732</v>
      </c>
      <c r="K17" s="242">
        <f t="shared" si="3"/>
        <v>8.4400000000023283</v>
      </c>
      <c r="L17" s="242">
        <f>SUM(K17+'ketv. 6 lent'!AG86)</f>
        <v>8.4400000000023283</v>
      </c>
    </row>
    <row r="18" spans="1:12" ht="25.5" customHeight="1" thickBot="1" x14ac:dyDescent="0.3">
      <c r="A18" s="243" t="s">
        <v>703</v>
      </c>
      <c r="B18" s="243" t="s">
        <v>843</v>
      </c>
      <c r="C18" s="240">
        <f>SUM('IV-1 su proj'!D91)</f>
        <v>0</v>
      </c>
      <c r="D18" s="240">
        <f>SUM('3 pr-2'!AK92)</f>
        <v>0</v>
      </c>
      <c r="E18" s="240">
        <f>SUM('3 pr-2'!AL92)</f>
        <v>1458082</v>
      </c>
      <c r="F18" s="240">
        <f>SUM('3 pr-2'!AM92)</f>
        <v>1481736</v>
      </c>
      <c r="G18" s="240">
        <f>SUM('3 pr-2'!AN92)</f>
        <v>112989</v>
      </c>
      <c r="H18" s="240">
        <f>SUM('3 pr-2'!AO92)</f>
        <v>0</v>
      </c>
      <c r="I18" s="203">
        <f t="shared" ref="I18" si="7">SUM(C18:H18)</f>
        <v>3052807</v>
      </c>
      <c r="J18" s="203">
        <v>3052809</v>
      </c>
      <c r="K18" s="242">
        <f t="shared" si="3"/>
        <v>2</v>
      </c>
      <c r="L18" s="242">
        <f>SUM(K18+'ketv. 6 lent'!AG92)</f>
        <v>2</v>
      </c>
    </row>
    <row r="19" spans="1:12" ht="32.25" thickBot="1" x14ac:dyDescent="0.3">
      <c r="A19" s="243" t="s">
        <v>706</v>
      </c>
      <c r="B19" s="243" t="s">
        <v>705</v>
      </c>
      <c r="C19" s="240">
        <f>SUM('IV-1 su proj'!D101)</f>
        <v>0</v>
      </c>
      <c r="D19" s="240">
        <f>SUM('3 pr-2'!AK102)</f>
        <v>0</v>
      </c>
      <c r="E19" s="240">
        <f>SUM('3 pr-2'!AL102)</f>
        <v>1142377</v>
      </c>
      <c r="F19" s="240">
        <f>SUM('3 pr-2'!AM102)</f>
        <v>0</v>
      </c>
      <c r="G19" s="240">
        <f>SUM('3 pr-2'!AN102)</f>
        <v>0</v>
      </c>
      <c r="H19" s="240">
        <f>SUM('3 pr-2'!AO102)</f>
        <v>0</v>
      </c>
      <c r="I19" s="203">
        <f t="shared" ref="I19" si="8">SUM(C19:H19)</f>
        <v>1142377</v>
      </c>
      <c r="J19" s="203">
        <v>1142378</v>
      </c>
      <c r="K19" s="242">
        <f t="shared" si="3"/>
        <v>1</v>
      </c>
      <c r="L19" s="242">
        <f>SUM(K19+'ketv. 6 lent'!AG102)</f>
        <v>1</v>
      </c>
    </row>
    <row r="20" spans="1:12" ht="32.25" thickBot="1" x14ac:dyDescent="0.3">
      <c r="A20" s="243" t="s">
        <v>139</v>
      </c>
      <c r="B20" s="243" t="s">
        <v>707</v>
      </c>
      <c r="C20" s="240">
        <f>SUM('IV-1 su proj'!D105)</f>
        <v>0</v>
      </c>
      <c r="D20" s="240">
        <f>SUM('3 pr-2'!AK108)</f>
        <v>0</v>
      </c>
      <c r="E20" s="240">
        <f>SUM('3 pr-2'!AL108)</f>
        <v>1486008</v>
      </c>
      <c r="F20" s="240">
        <f>SUM('3 pr-2'!AM108)</f>
        <v>0</v>
      </c>
      <c r="G20" s="240">
        <f>SUM('3 pr-2'!AN108)</f>
        <v>0</v>
      </c>
      <c r="H20" s="240">
        <f>SUM('3 pr-2'!AO108)</f>
        <v>0</v>
      </c>
      <c r="I20" s="203">
        <f t="shared" ref="I20" si="9">SUM(C20:H20)</f>
        <v>1486008</v>
      </c>
      <c r="J20" s="203">
        <v>1486009</v>
      </c>
      <c r="K20" s="242">
        <f t="shared" si="3"/>
        <v>1</v>
      </c>
      <c r="L20" s="242">
        <f>SUM(K20+'ketv. 6 lent'!AG108)</f>
        <v>2</v>
      </c>
    </row>
    <row r="21" spans="1:12" ht="32.25" thickBot="1" x14ac:dyDescent="0.3">
      <c r="A21" s="243" t="s">
        <v>140</v>
      </c>
      <c r="B21" s="243" t="s">
        <v>708</v>
      </c>
      <c r="C21" s="240">
        <f>SUM('IV-1 su proj'!D111)</f>
        <v>0</v>
      </c>
      <c r="D21" s="240">
        <f>SUM('3 pr-2'!AK114)</f>
        <v>0</v>
      </c>
      <c r="E21" s="240">
        <f>SUM('3 pr-2'!AL114)</f>
        <v>0</v>
      </c>
      <c r="F21" s="240">
        <f>SUM('3 pr-2'!AM114)</f>
        <v>1138588.2162162161</v>
      </c>
      <c r="G21" s="240">
        <f>SUM('3 pr-2'!AN114)</f>
        <v>0</v>
      </c>
      <c r="H21" s="240">
        <f>SUM('3 pr-2'!AO114)</f>
        <v>0</v>
      </c>
      <c r="I21" s="203">
        <f t="shared" ref="I21" si="10">SUM(C21:H21)</f>
        <v>1138588.2162162161</v>
      </c>
      <c r="J21" s="203">
        <v>1138588</v>
      </c>
      <c r="K21" s="242">
        <f t="shared" si="3"/>
        <v>-0.21621621609665453</v>
      </c>
      <c r="L21" s="242">
        <f>SUM(K21+'ketv. 6 lent'!AG114)</f>
        <v>-0.21621621609665453</v>
      </c>
    </row>
    <row r="22" spans="1:12" ht="48" thickBot="1" x14ac:dyDescent="0.3">
      <c r="A22" s="243" t="s">
        <v>153</v>
      </c>
      <c r="B22" s="243" t="s">
        <v>709</v>
      </c>
      <c r="C22" s="240">
        <v>0</v>
      </c>
      <c r="D22" s="240">
        <f>SUM('3 pr-2'!AK121)</f>
        <v>0</v>
      </c>
      <c r="E22" s="240">
        <f>SUM('3 pr-2'!AL121)</f>
        <v>0</v>
      </c>
      <c r="F22" s="240">
        <f>SUM('3 pr-2'!AM121)</f>
        <v>701375</v>
      </c>
      <c r="G22" s="240">
        <f>SUM('3 pr-2'!AN121)</f>
        <v>529479</v>
      </c>
      <c r="H22" s="240">
        <f>SUM('3 pr-2'!AO121)</f>
        <v>0</v>
      </c>
      <c r="I22" s="203">
        <f t="shared" ref="I22:I23" si="11">SUM(C22:H22)</f>
        <v>1230854</v>
      </c>
      <c r="J22" s="203">
        <v>2778000</v>
      </c>
      <c r="K22" s="242">
        <f t="shared" si="3"/>
        <v>1547146</v>
      </c>
      <c r="L22" s="242">
        <f>SUM(K22+'ketv. 6 lent'!AG121)</f>
        <v>1547146</v>
      </c>
    </row>
    <row r="23" spans="1:12" ht="63.75" thickBot="1" x14ac:dyDescent="0.3">
      <c r="A23" s="243" t="str">
        <f>CONCATENATE('3 pr-2'!H144)</f>
        <v>08.4.2-ESFA-R-615</v>
      </c>
      <c r="B23" s="243" t="s">
        <v>1499</v>
      </c>
      <c r="C23" s="240">
        <v>0</v>
      </c>
      <c r="D23" s="240">
        <f>SUM('3 pr-2'!AK141)</f>
        <v>0</v>
      </c>
      <c r="E23" s="240">
        <f>SUM('3 pr-2'!AL141)</f>
        <v>0</v>
      </c>
      <c r="F23" s="240">
        <f>SUM('3 pr-2'!AM141)</f>
        <v>55430.6</v>
      </c>
      <c r="G23" s="240">
        <f>SUM('3 pr-2'!AN141)</f>
        <v>0</v>
      </c>
      <c r="H23" s="240">
        <f>SUM('3 pr-2'!AO141)</f>
        <v>0</v>
      </c>
      <c r="I23" s="203">
        <f t="shared" si="11"/>
        <v>55430.6</v>
      </c>
      <c r="J23" s="203">
        <v>55431</v>
      </c>
      <c r="K23" s="242">
        <f t="shared" si="3"/>
        <v>0.40000000000145519</v>
      </c>
      <c r="L23" s="242">
        <f>SUM(K23+'ketv. 6 lent'!AG140)</f>
        <v>0.76000000001658918</v>
      </c>
    </row>
    <row r="24" spans="1:12" ht="32.25" thickBot="1" x14ac:dyDescent="0.3">
      <c r="A24" s="243" t="str">
        <f>CONCATENATE('3 pr-2'!H136)</f>
        <v>08.4.2-ESFA-R-630</v>
      </c>
      <c r="B24" s="243" t="s">
        <v>1475</v>
      </c>
      <c r="C24" s="240">
        <v>0</v>
      </c>
      <c r="D24" s="240">
        <f>SUM('3 pr-2'!AK135)</f>
        <v>0</v>
      </c>
      <c r="E24" s="240">
        <f>SUM('3 pr-2'!AL135)</f>
        <v>0</v>
      </c>
      <c r="F24" s="240">
        <f>SUM('3 pr-2'!AM135)</f>
        <v>845738</v>
      </c>
      <c r="G24" s="240">
        <f>SUM('3 pr-2'!AN135)</f>
        <v>0</v>
      </c>
      <c r="H24" s="240">
        <f>SUM('3 pr-2'!AO135)</f>
        <v>0</v>
      </c>
      <c r="I24" s="203">
        <f t="shared" ref="I24" si="12">SUM(C24:H24)</f>
        <v>845738</v>
      </c>
      <c r="J24" s="203">
        <v>845738</v>
      </c>
      <c r="K24" s="242">
        <f t="shared" si="3"/>
        <v>0</v>
      </c>
      <c r="L24" s="242">
        <f>SUM(K24+'ketv. 6 lent'!AG134)</f>
        <v>0</v>
      </c>
    </row>
    <row r="25" spans="1:12" ht="32.25" thickBot="1" x14ac:dyDescent="0.3">
      <c r="A25" s="243" t="s">
        <v>710</v>
      </c>
      <c r="B25" s="243" t="s">
        <v>269</v>
      </c>
      <c r="C25" s="240">
        <f>SUM('IV-1 su proj'!D147)</f>
        <v>0</v>
      </c>
      <c r="D25" s="240">
        <f>SUM('3 pr-2'!AK148)</f>
        <v>0</v>
      </c>
      <c r="E25" s="240">
        <f>SUM('3 pr-2'!AL148)</f>
        <v>885761</v>
      </c>
      <c r="F25" s="240">
        <f>SUM('3 pr-2'!AM148)</f>
        <v>0</v>
      </c>
      <c r="G25" s="240">
        <f>SUM('3 pr-2'!AN148)</f>
        <v>0</v>
      </c>
      <c r="H25" s="240">
        <f>SUM('3 pr-2'!AO148)</f>
        <v>0</v>
      </c>
      <c r="I25" s="203">
        <f t="shared" ref="I25" si="13">SUM(C25:H25)</f>
        <v>885761</v>
      </c>
      <c r="J25" s="203">
        <v>885762</v>
      </c>
      <c r="K25" s="242">
        <f t="shared" si="3"/>
        <v>1</v>
      </c>
      <c r="L25" s="242">
        <f>SUM(K25+'ketv. 6 lent'!AG147)</f>
        <v>1</v>
      </c>
    </row>
    <row r="26" spans="1:12" ht="26.25" customHeight="1" thickBot="1" x14ac:dyDescent="0.3">
      <c r="A26" s="243" t="s">
        <v>155</v>
      </c>
      <c r="B26" s="243" t="s">
        <v>711</v>
      </c>
      <c r="C26" s="240">
        <f>SUM('IV-1 su proj'!D153)</f>
        <v>0</v>
      </c>
      <c r="D26" s="240">
        <f>SUM('3 pr-2'!AK154)</f>
        <v>2520974</v>
      </c>
      <c r="E26" s="240">
        <f>SUM('3 pr-2'!AL154)</f>
        <v>0</v>
      </c>
      <c r="F26" s="240">
        <f>SUM('3 pr-2'!AM154)</f>
        <v>0</v>
      </c>
      <c r="G26" s="240">
        <f>SUM('3 pr-2'!AN154)</f>
        <v>0</v>
      </c>
      <c r="H26" s="240">
        <f>SUM('3 pr-2'!AO154)</f>
        <v>0</v>
      </c>
      <c r="I26" s="203">
        <f t="shared" ref="I26" si="14">SUM(C26:H26)</f>
        <v>2520974</v>
      </c>
      <c r="J26" s="203">
        <v>2520974</v>
      </c>
      <c r="K26" s="242">
        <f t="shared" si="3"/>
        <v>0</v>
      </c>
      <c r="L26" s="242">
        <f>SUM(K26+'ketv. 6 lent'!AG153)</f>
        <v>0.36000000001513399</v>
      </c>
    </row>
    <row r="27" spans="1:12" ht="48" thickBot="1" x14ac:dyDescent="0.3">
      <c r="A27" s="243" t="s">
        <v>1375</v>
      </c>
      <c r="B27" s="243" t="s">
        <v>712</v>
      </c>
      <c r="C27" s="240">
        <f>SUM('IV-1 su proj'!D160)</f>
        <v>0</v>
      </c>
      <c r="D27" s="240">
        <f>SUM('3 pr-2'!AK161)</f>
        <v>0</v>
      </c>
      <c r="E27" s="240">
        <f>SUM('3 pr-2'!AL162:AL167)</f>
        <v>146823.49</v>
      </c>
      <c r="F27" s="240">
        <f>SUM('3 pr-2'!AM162:AM167)</f>
        <v>655691</v>
      </c>
      <c r="G27" s="240">
        <f>SUM('3 pr-2'!AN162:AN167)</f>
        <v>170000</v>
      </c>
      <c r="H27" s="240">
        <f>SUM('3 pr-2'!AO162:AO167)</f>
        <v>0</v>
      </c>
      <c r="I27" s="203">
        <f t="shared" ref="I27" si="15">SUM(C27:H27)</f>
        <v>972514.49</v>
      </c>
      <c r="J27" s="203">
        <v>982761</v>
      </c>
      <c r="K27" s="242">
        <f t="shared" si="3"/>
        <v>10246.510000000009</v>
      </c>
      <c r="L27" s="242">
        <f>SUM(K27+'ketv. 6 lent'!AG160)</f>
        <v>10246.510000000009</v>
      </c>
    </row>
    <row r="28" spans="1:12" ht="32.25" thickBot="1" x14ac:dyDescent="0.3">
      <c r="A28" s="243" t="s">
        <v>194</v>
      </c>
      <c r="B28" s="243" t="s">
        <v>713</v>
      </c>
      <c r="C28" s="240">
        <f>SUM('IV-1 su proj'!D169)</f>
        <v>0</v>
      </c>
      <c r="D28" s="240">
        <f>SUM('3 pr-2'!AK170)</f>
        <v>0</v>
      </c>
      <c r="E28" s="240">
        <f>SUM('3 pr-2'!AL170)</f>
        <v>3352807.77</v>
      </c>
      <c r="F28" s="240">
        <f>SUM('3 pr-2'!AM170)</f>
        <v>0</v>
      </c>
      <c r="G28" s="240">
        <f>SUM('3 pr-2'!AN170)</f>
        <v>0</v>
      </c>
      <c r="H28" s="240">
        <f>SUM('3 pr-2'!AO170)</f>
        <v>0</v>
      </c>
      <c r="I28" s="203">
        <f t="shared" ref="I28" si="16">SUM(C28:H28)</f>
        <v>3352807.77</v>
      </c>
      <c r="J28" s="203">
        <v>3352807.77</v>
      </c>
      <c r="K28" s="242">
        <f t="shared" si="3"/>
        <v>0</v>
      </c>
      <c r="L28" s="242">
        <f>SUM(K28+'ketv. 6 lent'!AG169)</f>
        <v>0</v>
      </c>
    </row>
    <row r="29" spans="1:12" ht="30.75" customHeight="1" thickBot="1" x14ac:dyDescent="0.3">
      <c r="A29" s="243" t="s">
        <v>196</v>
      </c>
      <c r="B29" s="243" t="s">
        <v>714</v>
      </c>
      <c r="C29" s="240">
        <f>SUM('IV-1 su proj'!D173)</f>
        <v>0</v>
      </c>
      <c r="D29" s="240">
        <f>SUM('3 pr-2'!AK173)</f>
        <v>0</v>
      </c>
      <c r="E29" s="240">
        <f>SUM('3 pr-2'!AL173)</f>
        <v>1050355.1800000002</v>
      </c>
      <c r="F29" s="240">
        <f>SUM('3 pr-2'!AM173)</f>
        <v>626057</v>
      </c>
      <c r="G29" s="240">
        <f>SUM('3 pr-2'!AN173)</f>
        <v>455215.87</v>
      </c>
      <c r="H29" s="240">
        <f>SUM('3 pr-2'!AO173)</f>
        <v>0</v>
      </c>
      <c r="I29" s="203">
        <f t="shared" ref="I29" si="17">SUM(C29:H29)</f>
        <v>2131628.0500000003</v>
      </c>
      <c r="J29" s="203">
        <v>2131629</v>
      </c>
      <c r="K29" s="242">
        <f t="shared" si="3"/>
        <v>0.94999999972060323</v>
      </c>
      <c r="L29" s="242">
        <f>SUM(K29+'ketv. 6 lent'!AG172)</f>
        <v>218433.24999999971</v>
      </c>
    </row>
    <row r="30" spans="1:12" ht="20.25" thickTop="1" thickBot="1" x14ac:dyDescent="0.35">
      <c r="A30" s="1373"/>
      <c r="B30" s="1374"/>
      <c r="C30" s="1375" t="s">
        <v>10</v>
      </c>
      <c r="D30" s="1375" t="s">
        <v>10</v>
      </c>
      <c r="E30" s="1375" t="s">
        <v>10</v>
      </c>
      <c r="F30" s="1375" t="s">
        <v>10</v>
      </c>
      <c r="G30" s="1375" t="s">
        <v>10</v>
      </c>
      <c r="H30" s="1375" t="s">
        <v>10</v>
      </c>
      <c r="I30" s="1376" t="s">
        <v>10</v>
      </c>
      <c r="J30" s="1376" t="s">
        <v>10</v>
      </c>
      <c r="K30" s="1376" t="s">
        <v>10</v>
      </c>
      <c r="L30" s="1376" t="s">
        <v>10</v>
      </c>
    </row>
    <row r="31" spans="1:12" ht="19.5" thickBot="1" x14ac:dyDescent="0.35">
      <c r="A31" s="1377"/>
      <c r="B31" s="1378"/>
      <c r="C31" s="1379">
        <f>SUM(C4:C29)</f>
        <v>0</v>
      </c>
      <c r="D31" s="1379">
        <f t="shared" ref="D31:H31" si="18">SUM(D4:D29)</f>
        <v>5485523.7699999996</v>
      </c>
      <c r="E31" s="1379">
        <f t="shared" si="18"/>
        <v>23631024.329999998</v>
      </c>
      <c r="F31" s="1379">
        <f t="shared" si="18"/>
        <v>15268457.816216215</v>
      </c>
      <c r="G31" s="1379">
        <f t="shared" si="18"/>
        <v>3647309.87</v>
      </c>
      <c r="H31" s="1379">
        <f t="shared" si="18"/>
        <v>0</v>
      </c>
      <c r="I31" s="1380">
        <f>SUM(C31:H31)</f>
        <v>48032315.786216207</v>
      </c>
      <c r="J31" s="1381">
        <f>SUM(J4:J30)</f>
        <v>48652827.010000005</v>
      </c>
      <c r="K31" s="1381">
        <f>SUM(K4:K30)</f>
        <v>620511.2237837835</v>
      </c>
      <c r="L31" s="1381">
        <f>SUM(L4:L30)</f>
        <v>3264080.9037837829</v>
      </c>
    </row>
    <row r="32" spans="1:12" ht="19.5" thickTop="1" x14ac:dyDescent="0.3">
      <c r="A32" s="1382"/>
      <c r="B32" s="1383"/>
      <c r="C32" s="1384"/>
      <c r="D32" s="1384"/>
      <c r="E32" s="1384"/>
      <c r="F32" s="1384"/>
      <c r="G32" s="1384"/>
      <c r="H32" s="1384"/>
      <c r="I32" s="1201"/>
      <c r="J32" s="1201"/>
      <c r="K32" s="1201"/>
      <c r="L32" s="1201"/>
    </row>
    <row r="34" spans="1:10" ht="33" customHeight="1" thickBot="1" x14ac:dyDescent="0.3">
      <c r="A34" s="1700" t="s">
        <v>1673</v>
      </c>
      <c r="B34" s="1701"/>
      <c r="C34" s="1701"/>
      <c r="D34" s="1701"/>
      <c r="E34" s="1701"/>
      <c r="F34" s="1701"/>
      <c r="G34" s="1701"/>
      <c r="H34" s="1701"/>
      <c r="I34" s="1701"/>
    </row>
    <row r="35" spans="1:10" ht="17.25" thickTop="1" thickBot="1" x14ac:dyDescent="0.35">
      <c r="A35" s="1707" t="s">
        <v>1675</v>
      </c>
      <c r="B35" s="1705" t="s">
        <v>1674</v>
      </c>
      <c r="C35" s="1702" t="s">
        <v>715</v>
      </c>
      <c r="D35" s="1703"/>
      <c r="E35" s="1703"/>
      <c r="F35" s="1703"/>
      <c r="G35" s="1703"/>
      <c r="H35" s="1703"/>
      <c r="I35" s="1704"/>
    </row>
    <row r="36" spans="1:10" ht="62.25" customHeight="1" thickTop="1" thickBot="1" x14ac:dyDescent="0.3">
      <c r="A36" s="1708"/>
      <c r="B36" s="1706"/>
      <c r="C36" s="1369">
        <v>2015</v>
      </c>
      <c r="D36" s="1369">
        <v>2016</v>
      </c>
      <c r="E36" s="1369">
        <v>2017</v>
      </c>
      <c r="F36" s="1369">
        <v>2018</v>
      </c>
      <c r="G36" s="1369">
        <v>2019</v>
      </c>
      <c r="H36" s="1369">
        <v>2020</v>
      </c>
      <c r="I36" s="1370" t="s">
        <v>351</v>
      </c>
    </row>
    <row r="37" spans="1:10" ht="48" thickBot="1" x14ac:dyDescent="0.3">
      <c r="A37" s="244" t="s">
        <v>466</v>
      </c>
      <c r="B37" s="244" t="s">
        <v>257</v>
      </c>
      <c r="C37" s="239">
        <f t="shared" ref="C37:C62" si="19">SUM(C4)</f>
        <v>0</v>
      </c>
      <c r="D37" s="239">
        <f t="shared" ref="D37:H46" si="20">SUM(C37+D4)</f>
        <v>0</v>
      </c>
      <c r="E37" s="239">
        <f t="shared" si="20"/>
        <v>0</v>
      </c>
      <c r="F37" s="239">
        <f t="shared" si="20"/>
        <v>2773893</v>
      </c>
      <c r="G37" s="239">
        <f t="shared" si="20"/>
        <v>2773893</v>
      </c>
      <c r="H37" s="239">
        <f t="shared" si="20"/>
        <v>2773893</v>
      </c>
      <c r="I37" s="242">
        <f t="shared" ref="I37:I62" si="21">SUM(I4)</f>
        <v>2773893</v>
      </c>
    </row>
    <row r="38" spans="1:10" ht="32.25" thickBot="1" x14ac:dyDescent="0.3">
      <c r="A38" s="243" t="s">
        <v>146</v>
      </c>
      <c r="B38" s="243" t="s">
        <v>688</v>
      </c>
      <c r="C38" s="240">
        <f t="shared" si="19"/>
        <v>0</v>
      </c>
      <c r="D38" s="240">
        <f t="shared" si="20"/>
        <v>0</v>
      </c>
      <c r="E38" s="240">
        <f t="shared" si="20"/>
        <v>0</v>
      </c>
      <c r="F38" s="240">
        <f t="shared" si="20"/>
        <v>2816453</v>
      </c>
      <c r="G38" s="240">
        <f t="shared" si="20"/>
        <v>2816453</v>
      </c>
      <c r="H38" s="240">
        <f t="shared" si="20"/>
        <v>2816453</v>
      </c>
      <c r="I38" s="203">
        <f t="shared" si="21"/>
        <v>2816453</v>
      </c>
      <c r="J38" s="1371">
        <f>SUM(I38-H38)</f>
        <v>0</v>
      </c>
    </row>
    <row r="39" spans="1:10" ht="26.25" customHeight="1" thickBot="1" x14ac:dyDescent="0.3">
      <c r="A39" s="243" t="s">
        <v>145</v>
      </c>
      <c r="B39" s="243" t="s">
        <v>689</v>
      </c>
      <c r="C39" s="240">
        <f t="shared" si="19"/>
        <v>0</v>
      </c>
      <c r="D39" s="240">
        <f t="shared" si="20"/>
        <v>1289392.2</v>
      </c>
      <c r="E39" s="240">
        <f t="shared" si="20"/>
        <v>2648869.54</v>
      </c>
      <c r="F39" s="240">
        <f t="shared" si="20"/>
        <v>3611595.54</v>
      </c>
      <c r="G39" s="240">
        <f t="shared" si="20"/>
        <v>3611595.54</v>
      </c>
      <c r="H39" s="240">
        <f t="shared" si="20"/>
        <v>3611595.54</v>
      </c>
      <c r="I39" s="203">
        <f t="shared" si="21"/>
        <v>3611595.54</v>
      </c>
      <c r="J39" s="1371">
        <f>SUM(I39-H39)</f>
        <v>0</v>
      </c>
    </row>
    <row r="40" spans="1:10" ht="32.25" thickBot="1" x14ac:dyDescent="0.3">
      <c r="A40" s="243" t="s">
        <v>691</v>
      </c>
      <c r="B40" s="243" t="s">
        <v>690</v>
      </c>
      <c r="C40" s="240">
        <f t="shared" si="19"/>
        <v>0</v>
      </c>
      <c r="D40" s="240">
        <f t="shared" si="20"/>
        <v>575484.89</v>
      </c>
      <c r="E40" s="240">
        <f t="shared" si="20"/>
        <v>575484.89</v>
      </c>
      <c r="F40" s="240">
        <f t="shared" si="20"/>
        <v>575484.89</v>
      </c>
      <c r="G40" s="240">
        <f t="shared" si="20"/>
        <v>575484.89</v>
      </c>
      <c r="H40" s="240">
        <f t="shared" si="20"/>
        <v>575484.89</v>
      </c>
      <c r="I40" s="203">
        <f t="shared" si="21"/>
        <v>575484.89</v>
      </c>
    </row>
    <row r="41" spans="1:10" ht="32.25" thickBot="1" x14ac:dyDescent="0.3">
      <c r="A41" s="243" t="s">
        <v>179</v>
      </c>
      <c r="B41" s="243" t="s">
        <v>692</v>
      </c>
      <c r="C41" s="240">
        <f t="shared" si="19"/>
        <v>0</v>
      </c>
      <c r="D41" s="240">
        <f t="shared" si="20"/>
        <v>1099672.68</v>
      </c>
      <c r="E41" s="240">
        <f t="shared" si="20"/>
        <v>1099672.68</v>
      </c>
      <c r="F41" s="240">
        <f t="shared" si="20"/>
        <v>1099672.68</v>
      </c>
      <c r="G41" s="240">
        <f t="shared" si="20"/>
        <v>1099672.68</v>
      </c>
      <c r="H41" s="240">
        <f t="shared" si="20"/>
        <v>1099672.68</v>
      </c>
      <c r="I41" s="203">
        <f t="shared" si="21"/>
        <v>1099672.68</v>
      </c>
    </row>
    <row r="42" spans="1:10" ht="48" thickBot="1" x14ac:dyDescent="0.3">
      <c r="A42" s="243" t="s">
        <v>144</v>
      </c>
      <c r="B42" s="243" t="s">
        <v>693</v>
      </c>
      <c r="C42" s="240">
        <f t="shared" si="19"/>
        <v>0</v>
      </c>
      <c r="D42" s="240">
        <f t="shared" si="20"/>
        <v>0</v>
      </c>
      <c r="E42" s="240">
        <f t="shared" si="20"/>
        <v>8810673.5099999998</v>
      </c>
      <c r="F42" s="240">
        <f t="shared" si="20"/>
        <v>8810673.5099999998</v>
      </c>
      <c r="G42" s="240">
        <f t="shared" si="20"/>
        <v>8810673.5099999998</v>
      </c>
      <c r="H42" s="240">
        <f t="shared" si="20"/>
        <v>8810673.5099999998</v>
      </c>
      <c r="I42" s="203">
        <f t="shared" si="21"/>
        <v>8810673.5099999998</v>
      </c>
    </row>
    <row r="43" spans="1:10" ht="32.25" thickBot="1" x14ac:dyDescent="0.3">
      <c r="A43" s="243" t="s">
        <v>180</v>
      </c>
      <c r="B43" s="243" t="s">
        <v>694</v>
      </c>
      <c r="C43" s="240">
        <f t="shared" si="19"/>
        <v>0</v>
      </c>
      <c r="D43" s="240">
        <f t="shared" si="20"/>
        <v>0</v>
      </c>
      <c r="E43" s="240">
        <f t="shared" si="20"/>
        <v>2387993.48</v>
      </c>
      <c r="F43" s="240">
        <f t="shared" si="20"/>
        <v>3399493.48</v>
      </c>
      <c r="G43" s="240">
        <f t="shared" si="20"/>
        <v>3399493.48</v>
      </c>
      <c r="H43" s="240">
        <f t="shared" si="20"/>
        <v>3399493.48</v>
      </c>
      <c r="I43" s="203">
        <f t="shared" si="21"/>
        <v>3399493.48</v>
      </c>
    </row>
    <row r="44" spans="1:10" ht="48" thickBot="1" x14ac:dyDescent="0.3">
      <c r="A44" s="243" t="s">
        <v>814</v>
      </c>
      <c r="B44" s="243" t="s">
        <v>695</v>
      </c>
      <c r="C44" s="240">
        <f t="shared" si="19"/>
        <v>0</v>
      </c>
      <c r="D44" s="240">
        <f t="shared" si="20"/>
        <v>0</v>
      </c>
      <c r="E44" s="240">
        <f t="shared" si="20"/>
        <v>421880</v>
      </c>
      <c r="F44" s="240">
        <f t="shared" si="20"/>
        <v>421880</v>
      </c>
      <c r="G44" s="240">
        <f t="shared" si="20"/>
        <v>611420</v>
      </c>
      <c r="H44" s="240">
        <f t="shared" si="20"/>
        <v>611420</v>
      </c>
      <c r="I44" s="203">
        <f t="shared" si="21"/>
        <v>611420</v>
      </c>
    </row>
    <row r="45" spans="1:10" ht="32.25" thickBot="1" x14ac:dyDescent="0.3">
      <c r="A45" s="243" t="s">
        <v>143</v>
      </c>
      <c r="B45" s="243" t="s">
        <v>696</v>
      </c>
      <c r="C45" s="240">
        <f t="shared" si="19"/>
        <v>0</v>
      </c>
      <c r="D45" s="240">
        <f t="shared" si="20"/>
        <v>0</v>
      </c>
      <c r="E45" s="240">
        <f t="shared" si="20"/>
        <v>898622.7</v>
      </c>
      <c r="F45" s="240">
        <f t="shared" si="20"/>
        <v>1198163.7</v>
      </c>
      <c r="G45" s="240">
        <f t="shared" si="20"/>
        <v>1198163.7</v>
      </c>
      <c r="H45" s="240">
        <f t="shared" si="20"/>
        <v>1198163.7</v>
      </c>
      <c r="I45" s="203">
        <f t="shared" si="21"/>
        <v>1198163.7</v>
      </c>
    </row>
    <row r="46" spans="1:10" ht="32.25" thickBot="1" x14ac:dyDescent="0.3">
      <c r="A46" s="243" t="s">
        <v>183</v>
      </c>
      <c r="B46" s="243" t="s">
        <v>697</v>
      </c>
      <c r="C46" s="240">
        <f t="shared" si="19"/>
        <v>0</v>
      </c>
      <c r="D46" s="240">
        <f t="shared" si="20"/>
        <v>0</v>
      </c>
      <c r="E46" s="240">
        <f t="shared" si="20"/>
        <v>0</v>
      </c>
      <c r="F46" s="240">
        <f t="shared" si="20"/>
        <v>1030280</v>
      </c>
      <c r="G46" s="240">
        <f t="shared" si="20"/>
        <v>1030280</v>
      </c>
      <c r="H46" s="240">
        <f t="shared" si="20"/>
        <v>1030280</v>
      </c>
      <c r="I46" s="203">
        <f t="shared" si="21"/>
        <v>1030280</v>
      </c>
    </row>
    <row r="47" spans="1:10" ht="48" thickBot="1" x14ac:dyDescent="0.3">
      <c r="A47" s="243" t="s">
        <v>699</v>
      </c>
      <c r="B47" s="243" t="s">
        <v>698</v>
      </c>
      <c r="C47" s="240">
        <f t="shared" si="19"/>
        <v>0</v>
      </c>
      <c r="D47" s="240">
        <f t="shared" ref="D47:H56" si="22">SUM(C47+D14)</f>
        <v>0</v>
      </c>
      <c r="E47" s="240">
        <f t="shared" si="22"/>
        <v>0</v>
      </c>
      <c r="F47" s="240">
        <f t="shared" si="22"/>
        <v>640846</v>
      </c>
      <c r="G47" s="240">
        <f t="shared" si="22"/>
        <v>1263272</v>
      </c>
      <c r="H47" s="240">
        <f t="shared" si="22"/>
        <v>1263272</v>
      </c>
      <c r="I47" s="203">
        <f t="shared" si="21"/>
        <v>1263272</v>
      </c>
    </row>
    <row r="48" spans="1:10" ht="24" customHeight="1" thickBot="1" x14ac:dyDescent="0.3">
      <c r="A48" s="243" t="s">
        <v>147</v>
      </c>
      <c r="B48" s="243" t="s">
        <v>700</v>
      </c>
      <c r="C48" s="240">
        <f t="shared" si="19"/>
        <v>0</v>
      </c>
      <c r="D48" s="240">
        <f t="shared" si="22"/>
        <v>0</v>
      </c>
      <c r="E48" s="240">
        <f t="shared" si="22"/>
        <v>0</v>
      </c>
      <c r="F48" s="240">
        <f t="shared" si="22"/>
        <v>0</v>
      </c>
      <c r="G48" s="1470">
        <f t="shared" si="22"/>
        <v>1567660</v>
      </c>
      <c r="H48" s="1470">
        <f t="shared" si="22"/>
        <v>1567660</v>
      </c>
      <c r="I48" s="1471">
        <f t="shared" si="21"/>
        <v>1567660</v>
      </c>
    </row>
    <row r="49" spans="1:13" ht="29.25" customHeight="1" thickBot="1" x14ac:dyDescent="0.3">
      <c r="A49" s="243" t="s">
        <v>276</v>
      </c>
      <c r="B49" s="243" t="s">
        <v>701</v>
      </c>
      <c r="C49" s="240">
        <f t="shared" si="19"/>
        <v>0</v>
      </c>
      <c r="D49" s="240">
        <f t="shared" si="22"/>
        <v>0</v>
      </c>
      <c r="E49" s="240">
        <f t="shared" si="22"/>
        <v>43042.3</v>
      </c>
      <c r="F49" s="240">
        <f t="shared" si="22"/>
        <v>43042.3</v>
      </c>
      <c r="G49" s="240">
        <f t="shared" si="22"/>
        <v>43042.3</v>
      </c>
      <c r="H49" s="240">
        <f t="shared" si="22"/>
        <v>43042.3</v>
      </c>
      <c r="I49" s="203">
        <f t="shared" si="21"/>
        <v>43042.3</v>
      </c>
    </row>
    <row r="50" spans="1:13" ht="32.25" thickBot="1" x14ac:dyDescent="0.3">
      <c r="A50" s="243" t="s">
        <v>148</v>
      </c>
      <c r="B50" s="243" t="s">
        <v>702</v>
      </c>
      <c r="C50" s="240">
        <f t="shared" si="19"/>
        <v>0</v>
      </c>
      <c r="D50" s="240">
        <f t="shared" si="22"/>
        <v>0</v>
      </c>
      <c r="E50" s="240">
        <f t="shared" si="22"/>
        <v>187120.56</v>
      </c>
      <c r="F50" s="240">
        <f t="shared" si="22"/>
        <v>415723.56</v>
      </c>
      <c r="G50" s="240">
        <f t="shared" si="22"/>
        <v>415723.56</v>
      </c>
      <c r="H50" s="240">
        <f t="shared" si="22"/>
        <v>415723.56</v>
      </c>
      <c r="I50" s="203">
        <f t="shared" si="21"/>
        <v>415723.56</v>
      </c>
    </row>
    <row r="51" spans="1:13" ht="48" thickBot="1" x14ac:dyDescent="0.3">
      <c r="A51" s="243" t="s">
        <v>703</v>
      </c>
      <c r="B51" s="243" t="s">
        <v>704</v>
      </c>
      <c r="C51" s="240">
        <f t="shared" si="19"/>
        <v>0</v>
      </c>
      <c r="D51" s="240">
        <f t="shared" si="22"/>
        <v>0</v>
      </c>
      <c r="E51" s="240">
        <f t="shared" si="22"/>
        <v>1458082</v>
      </c>
      <c r="F51" s="240">
        <f t="shared" si="22"/>
        <v>2939818</v>
      </c>
      <c r="G51" s="240">
        <f t="shared" si="22"/>
        <v>3052807</v>
      </c>
      <c r="H51" s="240">
        <f t="shared" si="22"/>
        <v>3052807</v>
      </c>
      <c r="I51" s="203">
        <f t="shared" si="21"/>
        <v>3052807</v>
      </c>
    </row>
    <row r="52" spans="1:13" ht="32.25" thickBot="1" x14ac:dyDescent="0.3">
      <c r="A52" s="243" t="s">
        <v>706</v>
      </c>
      <c r="B52" s="243" t="s">
        <v>705</v>
      </c>
      <c r="C52" s="240">
        <f t="shared" si="19"/>
        <v>0</v>
      </c>
      <c r="D52" s="240">
        <f t="shared" si="22"/>
        <v>0</v>
      </c>
      <c r="E52" s="240">
        <f t="shared" si="22"/>
        <v>1142377</v>
      </c>
      <c r="F52" s="240">
        <f t="shared" si="22"/>
        <v>1142377</v>
      </c>
      <c r="G52" s="240">
        <f t="shared" si="22"/>
        <v>1142377</v>
      </c>
      <c r="H52" s="240">
        <f t="shared" si="22"/>
        <v>1142377</v>
      </c>
      <c r="I52" s="203">
        <f t="shared" si="21"/>
        <v>1142377</v>
      </c>
    </row>
    <row r="53" spans="1:13" ht="32.25" thickBot="1" x14ac:dyDescent="0.3">
      <c r="A53" s="243" t="s">
        <v>139</v>
      </c>
      <c r="B53" s="243" t="s">
        <v>707</v>
      </c>
      <c r="C53" s="240">
        <f t="shared" si="19"/>
        <v>0</v>
      </c>
      <c r="D53" s="240">
        <f t="shared" si="22"/>
        <v>0</v>
      </c>
      <c r="E53" s="240">
        <f t="shared" si="22"/>
        <v>1486008</v>
      </c>
      <c r="F53" s="240">
        <f t="shared" si="22"/>
        <v>1486008</v>
      </c>
      <c r="G53" s="240">
        <f t="shared" si="22"/>
        <v>1486008</v>
      </c>
      <c r="H53" s="240">
        <f t="shared" si="22"/>
        <v>1486008</v>
      </c>
      <c r="I53" s="203">
        <f t="shared" si="21"/>
        <v>1486008</v>
      </c>
    </row>
    <row r="54" spans="1:13" ht="32.25" thickBot="1" x14ac:dyDescent="0.3">
      <c r="A54" s="243" t="s">
        <v>140</v>
      </c>
      <c r="B54" s="243" t="s">
        <v>708</v>
      </c>
      <c r="C54" s="240">
        <f t="shared" si="19"/>
        <v>0</v>
      </c>
      <c r="D54" s="240">
        <f t="shared" si="22"/>
        <v>0</v>
      </c>
      <c r="E54" s="240">
        <f t="shared" si="22"/>
        <v>0</v>
      </c>
      <c r="F54" s="240">
        <f t="shared" si="22"/>
        <v>1138588.2162162161</v>
      </c>
      <c r="G54" s="240">
        <f t="shared" si="22"/>
        <v>1138588.2162162161</v>
      </c>
      <c r="H54" s="240">
        <f t="shared" si="22"/>
        <v>1138588.2162162161</v>
      </c>
      <c r="I54" s="203">
        <f t="shared" si="21"/>
        <v>1138588.2162162161</v>
      </c>
    </row>
    <row r="55" spans="1:13" ht="48" thickBot="1" x14ac:dyDescent="0.3">
      <c r="A55" s="243" t="s">
        <v>153</v>
      </c>
      <c r="B55" s="243" t="s">
        <v>709</v>
      </c>
      <c r="C55" s="1470">
        <f t="shared" si="19"/>
        <v>0</v>
      </c>
      <c r="D55" s="1470">
        <f t="shared" si="22"/>
        <v>0</v>
      </c>
      <c r="E55" s="1470">
        <f t="shared" si="22"/>
        <v>0</v>
      </c>
      <c r="F55" s="1470">
        <f t="shared" si="22"/>
        <v>701375</v>
      </c>
      <c r="G55" s="1470">
        <f t="shared" si="22"/>
        <v>1230854</v>
      </c>
      <c r="H55" s="1470">
        <f t="shared" si="22"/>
        <v>1230854</v>
      </c>
      <c r="I55" s="1471">
        <f t="shared" si="21"/>
        <v>1230854</v>
      </c>
    </row>
    <row r="56" spans="1:13" ht="63.75" thickBot="1" x14ac:dyDescent="0.3">
      <c r="A56" s="243" t="s">
        <v>1482</v>
      </c>
      <c r="B56" s="243" t="s">
        <v>1499</v>
      </c>
      <c r="C56" s="240">
        <f t="shared" si="19"/>
        <v>0</v>
      </c>
      <c r="D56" s="240">
        <f t="shared" si="22"/>
        <v>0</v>
      </c>
      <c r="E56" s="240">
        <f t="shared" si="22"/>
        <v>0</v>
      </c>
      <c r="F56" s="240">
        <f t="shared" si="22"/>
        <v>55430.6</v>
      </c>
      <c r="G56" s="240">
        <f t="shared" si="22"/>
        <v>55430.6</v>
      </c>
      <c r="H56" s="240">
        <f t="shared" si="22"/>
        <v>55430.6</v>
      </c>
      <c r="I56" s="203">
        <f t="shared" si="21"/>
        <v>55430.6</v>
      </c>
      <c r="M56" s="1371"/>
    </row>
    <row r="57" spans="1:13" ht="32.25" thickBot="1" x14ac:dyDescent="0.3">
      <c r="A57" s="243" t="str">
        <f>CONCATENATE(A24)</f>
        <v>08.4.2-ESFA-R-630</v>
      </c>
      <c r="B57" s="243" t="str">
        <f>CONCATENATE(B24)</f>
        <v xml:space="preserve"> "Sveikos gyvensenos skatinimas regioniniu lygiu“</v>
      </c>
      <c r="C57" s="240">
        <f t="shared" si="19"/>
        <v>0</v>
      </c>
      <c r="D57" s="240">
        <f t="shared" ref="D57:H57" si="23">SUM(C57+D24)</f>
        <v>0</v>
      </c>
      <c r="E57" s="240">
        <f t="shared" si="23"/>
        <v>0</v>
      </c>
      <c r="F57" s="240">
        <f t="shared" si="23"/>
        <v>845738</v>
      </c>
      <c r="G57" s="240">
        <f t="shared" si="23"/>
        <v>845738</v>
      </c>
      <c r="H57" s="240">
        <f t="shared" si="23"/>
        <v>845738</v>
      </c>
      <c r="I57" s="203">
        <f t="shared" si="21"/>
        <v>845738</v>
      </c>
    </row>
    <row r="58" spans="1:13" ht="32.25" thickBot="1" x14ac:dyDescent="0.3">
      <c r="A58" s="243" t="s">
        <v>710</v>
      </c>
      <c r="B58" s="243" t="s">
        <v>269</v>
      </c>
      <c r="C58" s="240">
        <f t="shared" si="19"/>
        <v>0</v>
      </c>
      <c r="D58" s="240">
        <f t="shared" ref="D58:H62" si="24">SUM(C58+D25)</f>
        <v>0</v>
      </c>
      <c r="E58" s="240">
        <f t="shared" si="24"/>
        <v>885761</v>
      </c>
      <c r="F58" s="240">
        <f t="shared" si="24"/>
        <v>885761</v>
      </c>
      <c r="G58" s="240">
        <f t="shared" si="24"/>
        <v>885761</v>
      </c>
      <c r="H58" s="240">
        <f t="shared" si="24"/>
        <v>885761</v>
      </c>
      <c r="I58" s="203">
        <f t="shared" si="21"/>
        <v>885761</v>
      </c>
    </row>
    <row r="59" spans="1:13" ht="28.5" customHeight="1" thickBot="1" x14ac:dyDescent="0.3">
      <c r="A59" s="243" t="s">
        <v>155</v>
      </c>
      <c r="B59" s="243" t="s">
        <v>711</v>
      </c>
      <c r="C59" s="240">
        <f t="shared" si="19"/>
        <v>0</v>
      </c>
      <c r="D59" s="240">
        <f t="shared" si="24"/>
        <v>2520974</v>
      </c>
      <c r="E59" s="240">
        <f t="shared" si="24"/>
        <v>2520974</v>
      </c>
      <c r="F59" s="240">
        <f t="shared" si="24"/>
        <v>2520974</v>
      </c>
      <c r="G59" s="240">
        <f t="shared" si="24"/>
        <v>2520974</v>
      </c>
      <c r="H59" s="240">
        <f t="shared" si="24"/>
        <v>2520974</v>
      </c>
      <c r="I59" s="203">
        <f t="shared" si="21"/>
        <v>2520974</v>
      </c>
    </row>
    <row r="60" spans="1:13" ht="48" thickBot="1" x14ac:dyDescent="0.3">
      <c r="A60" s="243" t="s">
        <v>1375</v>
      </c>
      <c r="B60" s="243" t="s">
        <v>712</v>
      </c>
      <c r="C60" s="240">
        <f t="shared" si="19"/>
        <v>0</v>
      </c>
      <c r="D60" s="240">
        <f t="shared" si="24"/>
        <v>0</v>
      </c>
      <c r="E60" s="240">
        <f t="shared" si="24"/>
        <v>146823.49</v>
      </c>
      <c r="F60" s="240">
        <f t="shared" si="24"/>
        <v>802514.49</v>
      </c>
      <c r="G60" s="240">
        <f t="shared" si="24"/>
        <v>972514.49</v>
      </c>
      <c r="H60" s="240">
        <f t="shared" si="24"/>
        <v>972514.49</v>
      </c>
      <c r="I60" s="203">
        <f t="shared" si="21"/>
        <v>972514.49</v>
      </c>
    </row>
    <row r="61" spans="1:13" ht="32.25" thickBot="1" x14ac:dyDescent="0.3">
      <c r="A61" s="243" t="s">
        <v>194</v>
      </c>
      <c r="B61" s="243" t="s">
        <v>713</v>
      </c>
      <c r="C61" s="240">
        <f t="shared" si="19"/>
        <v>0</v>
      </c>
      <c r="D61" s="240">
        <f t="shared" si="24"/>
        <v>0</v>
      </c>
      <c r="E61" s="240">
        <f t="shared" si="24"/>
        <v>3352807.77</v>
      </c>
      <c r="F61" s="240">
        <f t="shared" si="24"/>
        <v>3352807.77</v>
      </c>
      <c r="G61" s="240">
        <f t="shared" si="24"/>
        <v>3352807.77</v>
      </c>
      <c r="H61" s="240">
        <f t="shared" si="24"/>
        <v>3352807.77</v>
      </c>
      <c r="I61" s="203">
        <f t="shared" si="21"/>
        <v>3352807.77</v>
      </c>
    </row>
    <row r="62" spans="1:13" ht="30.75" customHeight="1" thickBot="1" x14ac:dyDescent="0.3">
      <c r="A62" s="243" t="s">
        <v>196</v>
      </c>
      <c r="B62" s="243" t="s">
        <v>714</v>
      </c>
      <c r="C62" s="240">
        <f t="shared" si="19"/>
        <v>0</v>
      </c>
      <c r="D62" s="240">
        <f t="shared" si="24"/>
        <v>0</v>
      </c>
      <c r="E62" s="240">
        <f t="shared" si="24"/>
        <v>1050355.1800000002</v>
      </c>
      <c r="F62" s="240">
        <f t="shared" si="24"/>
        <v>1676412.1800000002</v>
      </c>
      <c r="G62" s="1470">
        <f t="shared" si="24"/>
        <v>2131628.0500000003</v>
      </c>
      <c r="H62" s="1470">
        <f t="shared" si="24"/>
        <v>2131628.0500000003</v>
      </c>
      <c r="I62" s="1471">
        <f t="shared" si="21"/>
        <v>2131628.0500000003</v>
      </c>
    </row>
    <row r="63" spans="1:13" ht="19.5" hidden="1" thickBot="1" x14ac:dyDescent="0.35">
      <c r="B63" s="1374"/>
      <c r="C63" s="1375" t="s">
        <v>10</v>
      </c>
      <c r="D63" s="1375" t="s">
        <v>10</v>
      </c>
      <c r="E63" s="1375" t="s">
        <v>10</v>
      </c>
      <c r="F63" s="1375" t="s">
        <v>10</v>
      </c>
      <c r="G63" s="1375" t="s">
        <v>10</v>
      </c>
      <c r="H63" s="1375" t="s">
        <v>10</v>
      </c>
      <c r="I63" s="1376" t="s">
        <v>10</v>
      </c>
    </row>
    <row r="64" spans="1:13" ht="19.5" hidden="1" thickBot="1" x14ac:dyDescent="0.35">
      <c r="B64" s="1378"/>
      <c r="C64" s="1379">
        <f t="shared" ref="C64:G64" si="25">SUM(C37:C62)</f>
        <v>0</v>
      </c>
      <c r="D64" s="1379">
        <f t="shared" si="25"/>
        <v>5485523.7699999996</v>
      </c>
      <c r="E64" s="1379">
        <f t="shared" si="25"/>
        <v>29116548.099999998</v>
      </c>
      <c r="F64" s="1379">
        <f t="shared" si="25"/>
        <v>44385005.916216224</v>
      </c>
      <c r="G64" s="1379">
        <f t="shared" si="25"/>
        <v>48032315.786216214</v>
      </c>
      <c r="H64" s="1379">
        <f>SUM(H37:H62)</f>
        <v>48032315.786216214</v>
      </c>
      <c r="I64" s="1380">
        <f>SUM(I37:I62)</f>
        <v>48032315.786216214</v>
      </c>
    </row>
  </sheetData>
  <mergeCells count="8">
    <mergeCell ref="A1:I1"/>
    <mergeCell ref="C2:I2"/>
    <mergeCell ref="B2:B3"/>
    <mergeCell ref="A2:A3"/>
    <mergeCell ref="C35:I35"/>
    <mergeCell ref="B35:B36"/>
    <mergeCell ref="A35:A36"/>
    <mergeCell ref="A34:I34"/>
  </mergeCells>
  <pageMargins left="0.25" right="0.25" top="0.75" bottom="0.75" header="0.3" footer="0.3"/>
  <pageSetup paperSize="9" scale="96" fitToHeight="0" orientation="landscape" r:id="rId1"/>
  <headerFooter>
    <oddHeader>&amp;C&amp;"Times New Roman,Paprastas"&amp;12Alytaus regiono 2014 – 2020 metų plėtros planas</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39"/>
  <sheetViews>
    <sheetView showGridLines="0" showRuler="0" zoomScaleNormal="100" workbookViewId="0">
      <pane ySplit="2220" activePane="bottomLeft"/>
      <selection sqref="A1:XFD1048576"/>
      <selection pane="bottomLeft" activeCell="I20" sqref="I20"/>
    </sheetView>
  </sheetViews>
  <sheetFormatPr defaultRowHeight="15" x14ac:dyDescent="0.25"/>
  <cols>
    <col min="1" max="1" width="9.140625" style="190"/>
    <col min="2" max="2" width="82.85546875" style="190" customWidth="1"/>
    <col min="3" max="3" width="20" style="190" customWidth="1"/>
    <col min="4" max="4" width="18.28515625" style="190" customWidth="1"/>
    <col min="5" max="5" width="19.42578125" style="190" customWidth="1"/>
    <col min="6" max="7" width="9.140625" style="190"/>
    <col min="8" max="8" width="18.85546875" style="190" customWidth="1"/>
    <col min="9" max="9" width="12" style="190" bestFit="1" customWidth="1"/>
    <col min="10" max="10" width="10.7109375" style="190" customWidth="1"/>
    <col min="11" max="16384" width="9.140625" style="190"/>
  </cols>
  <sheetData>
    <row r="1" spans="1:5" ht="16.5" thickBot="1" x14ac:dyDescent="0.3">
      <c r="A1" s="1225" t="s">
        <v>1676</v>
      </c>
      <c r="B1" s="89"/>
      <c r="C1" s="89"/>
      <c r="D1" s="89"/>
      <c r="E1" s="89"/>
    </row>
    <row r="2" spans="1:5" ht="79.5" thickBot="1" x14ac:dyDescent="0.3">
      <c r="A2" s="1386" t="s">
        <v>393</v>
      </c>
      <c r="B2" s="1387" t="s">
        <v>394</v>
      </c>
      <c r="C2" s="1387" t="s">
        <v>395</v>
      </c>
      <c r="D2" s="1387" t="s">
        <v>396</v>
      </c>
      <c r="E2" s="1387" t="s">
        <v>716</v>
      </c>
    </row>
    <row r="3" spans="1:5" ht="16.5" thickBot="1" x14ac:dyDescent="0.3">
      <c r="A3" s="1388">
        <v>1</v>
      </c>
      <c r="B3" s="1387" t="s">
        <v>397</v>
      </c>
      <c r="C3" s="484"/>
      <c r="D3" s="484"/>
      <c r="E3" s="483"/>
    </row>
    <row r="4" spans="1:5" ht="16.5" thickBot="1" x14ac:dyDescent="0.3">
      <c r="A4" s="1389">
        <v>2</v>
      </c>
      <c r="B4" s="1390" t="s">
        <v>370</v>
      </c>
      <c r="C4" s="484">
        <f>SUM('IV-3'!U11+'IV-3'!U13+'IV-3'!U17+'IV-3'!U64+'IV-3'!U68)</f>
        <v>5</v>
      </c>
      <c r="D4" s="484">
        <v>0</v>
      </c>
      <c r="E4" s="483">
        <v>0</v>
      </c>
    </row>
    <row r="5" spans="1:5" ht="16.5" thickBot="1" x14ac:dyDescent="0.3">
      <c r="A5" s="1389">
        <v>5</v>
      </c>
      <c r="B5" s="1390" t="s">
        <v>391</v>
      </c>
      <c r="C5" s="484">
        <f>SUM('IV-3'!U169)</f>
        <v>1</v>
      </c>
      <c r="D5" s="484">
        <f>SUM('IV-3'!U169)</f>
        <v>1</v>
      </c>
      <c r="E5" s="483">
        <f>SUM('IV-3'!V169)</f>
        <v>4130687.05</v>
      </c>
    </row>
    <row r="6" spans="1:5" ht="16.5" thickBot="1" x14ac:dyDescent="0.3">
      <c r="A6" s="1389">
        <v>6</v>
      </c>
      <c r="B6" s="1390" t="s">
        <v>362</v>
      </c>
      <c r="C6" s="484">
        <f>SUM('IV-3'!U49+'IV-3'!U50+'IV-3'!U51+'IV-3'!U52+'IV-3'!U53)</f>
        <v>5</v>
      </c>
      <c r="D6" s="484">
        <f>SUM('IV-3'!U49+'IV-3'!U50+'IV-3'!U51+'IV-3'!U52+'IV-3'!U53)</f>
        <v>5</v>
      </c>
      <c r="E6" s="483">
        <f>SUM('IV-3'!V49+'IV-3'!V50+'IV-3'!V51+'IV-3'!V52+'IV-3'!V53)</f>
        <v>16427026.24</v>
      </c>
    </row>
    <row r="7" spans="1:5" ht="16.5" thickBot="1" x14ac:dyDescent="0.3">
      <c r="A7" s="1389">
        <v>7</v>
      </c>
      <c r="B7" s="1390" t="s">
        <v>363</v>
      </c>
      <c r="C7" s="484">
        <f>SUM('IV-3'!U49+'IV-3'!U50+'IV-3'!U51+'IV-3'!U52+'IV-3'!U53)</f>
        <v>5</v>
      </c>
      <c r="D7" s="484">
        <v>0</v>
      </c>
      <c r="E7" s="483">
        <v>0</v>
      </c>
    </row>
    <row r="8" spans="1:5" ht="16.5" thickBot="1" x14ac:dyDescent="0.3">
      <c r="A8" s="1389">
        <v>8</v>
      </c>
      <c r="B8" s="1390" t="s">
        <v>364</v>
      </c>
      <c r="C8" s="484">
        <f>SUM('IV-3'!U55)</f>
        <v>1</v>
      </c>
      <c r="D8" s="484">
        <f>SUM('IV-3'!U55)</f>
        <v>1</v>
      </c>
      <c r="E8" s="483">
        <f>SUM('IV-3'!V55)</f>
        <v>3999404.09</v>
      </c>
    </row>
    <row r="9" spans="1:5" ht="16.5" thickBot="1" x14ac:dyDescent="0.3">
      <c r="A9" s="1389">
        <v>9</v>
      </c>
      <c r="B9" s="1390" t="s">
        <v>375</v>
      </c>
      <c r="C9" s="482">
        <f>SUM('IV-3'!U95)</f>
        <v>1</v>
      </c>
      <c r="D9" s="482">
        <v>0</v>
      </c>
      <c r="E9" s="483">
        <v>0</v>
      </c>
    </row>
    <row r="10" spans="1:5" ht="16.5" thickBot="1" x14ac:dyDescent="0.3">
      <c r="A10" s="1389">
        <v>10</v>
      </c>
      <c r="B10" s="1390" t="s">
        <v>372</v>
      </c>
      <c r="C10" s="1432">
        <f>SUM('IV-3'!U73+'IV-3'!U74+'IV-3'!U75+'IV-3'!U76+'IV-3'!U120+'IV-3'!U121+'IV-3'!U123+'IV-3'!U124+'IV-3'!U125+'IV-3'!U128+'IV-3'!U129+'IV-3'!U131+'IV-3'!U126)</f>
        <v>13</v>
      </c>
      <c r="D10" s="484">
        <f>SUM('IV-3'!U73+'IV-3'!U74+'IV-3'!U75+'IV-3'!U76+'IV-3'!U127)</f>
        <v>5</v>
      </c>
      <c r="E10" s="483">
        <f>SUM('IV-3'!V73+'IV-3'!V74+'IV-3'!V75+'IV-3'!V76+'IV-3'!V127)</f>
        <v>1847498.588235294</v>
      </c>
    </row>
    <row r="11" spans="1:5" ht="16.5" thickBot="1" x14ac:dyDescent="0.3">
      <c r="A11" s="1389">
        <v>11</v>
      </c>
      <c r="B11" s="1390" t="s">
        <v>378</v>
      </c>
      <c r="C11" s="484">
        <f>SUM('IV-3'!U92)</f>
        <v>1</v>
      </c>
      <c r="D11" s="484">
        <f>SUM('IV-3'!U92)</f>
        <v>1</v>
      </c>
      <c r="E11" s="483">
        <f>SUM('IV-3'!V92)</f>
        <v>879927.06</v>
      </c>
    </row>
    <row r="12" spans="1:5" ht="16.5" thickBot="1" x14ac:dyDescent="0.3">
      <c r="A12" s="1389">
        <v>12</v>
      </c>
      <c r="B12" s="1390" t="s">
        <v>374</v>
      </c>
      <c r="C12" s="484">
        <f>SUM('IV-3'!U8+'IV-3'!U9+'IV-3'!U10+'IV-3'!U12+'IV-3'!U14+'IV-3'!U15+'IV-3'!U19+'IV-3'!U20+'IV-3'!U21+'IV-3'!U22+'IV-3'!U23+'IV-3'!U24+'IV-3'!U26+'IV-3'!U28+'IV-3'!U29+'IV-3'!U30+'IV-3'!U91+'IV-3'!U95+'IV-3'!U96)</f>
        <v>19</v>
      </c>
      <c r="D12" s="484">
        <f>SUM('IV-3'!U8+'IV-3'!U9+'IV-3'!U10+'IV-3'!U12+'IV-3'!U14+'IV-3'!U15+'IV-3'!U19+'IV-3'!U20+'IV-3'!U21+'IV-3'!U22+'IV-3'!U23+'IV-3'!U24+'IV-3'!U26+'IV-3'!U28+'IV-3'!U29+'IV-3'!U30+'IV-3'!U91+'IV-3'!U95+'IV-3'!U96)</f>
        <v>19</v>
      </c>
      <c r="E12" s="483">
        <f>SUM('IV-3'!V8+'IV-3'!V9+'IV-3'!V10+'IV-3'!V12+'IV-3'!V14+'IV-3'!V15+'IV-3'!V19+'IV-3'!V20+'IV-3'!V21+'IV-3'!V22+'IV-3'!V23+'IV-3'!V24+'IV-3'!V26+'IV-3'!V28+'IV-3'!V29+'IV-3'!V30+'IV-3'!V91+'IV-3'!V95+'IV-3'!V96)</f>
        <v>5610289.2400000002</v>
      </c>
    </row>
    <row r="13" spans="1:5" ht="16.5" thickBot="1" x14ac:dyDescent="0.3">
      <c r="A13" s="1389">
        <v>18</v>
      </c>
      <c r="B13" s="1390" t="s">
        <v>1712</v>
      </c>
      <c r="C13" s="484">
        <f>SUM('IV-3'!U80)</f>
        <v>1</v>
      </c>
      <c r="D13" s="484">
        <v>0</v>
      </c>
      <c r="E13" s="483">
        <v>0</v>
      </c>
    </row>
    <row r="14" spans="1:5" ht="32.25" thickBot="1" x14ac:dyDescent="0.3">
      <c r="A14" s="1389">
        <v>19</v>
      </c>
      <c r="B14" s="1390" t="s">
        <v>717</v>
      </c>
      <c r="C14" s="482">
        <f>SUM('IV-3'!U78+'IV-3'!U79+'IV-3'!U80+'IV-3'!U81+'IV-3'!U85+'IV-3'!U86+'IV-3'!U87+'IV-3'!U89+'IV-3'!U82+'IV-3'!U83)</f>
        <v>10</v>
      </c>
      <c r="D14" s="482">
        <f>SUM('IV-3'!U78+'IV-3'!U79+'IV-3'!U80+'IV-3'!U81+'IV-3'!U85+'IV-3'!U86+'IV-3'!U87+'IV-3'!U89+'IV-3'!U82+'IV-3'!U83)</f>
        <v>10</v>
      </c>
      <c r="E14" s="483">
        <f>SUM('IV-3'!V78+'IV-3'!V79+'IV-3'!V80+'IV-3'!V81+'IV-3'!V85+'IV-3'!V86+'IV-3'!V87+'IV-3'!V89+'IV-3'!V82+'IV-3'!V83)</f>
        <v>2295440.96</v>
      </c>
    </row>
    <row r="15" spans="1:5" ht="16.5" thickBot="1" x14ac:dyDescent="0.3">
      <c r="A15" s="1389">
        <v>22</v>
      </c>
      <c r="B15" s="1390" t="s">
        <v>380</v>
      </c>
      <c r="C15" s="484">
        <f>SUM('IV-3'!U101+'IV-3'!U102+'IV-3'!U103+'IV-3'!U104+'IV-3'!U105)</f>
        <v>5</v>
      </c>
      <c r="D15" s="484">
        <f>SUM('IV-3'!U101+'IV-3'!U102+'IV-3'!U103+'IV-3'!U104+'IV-3'!U105)</f>
        <v>5</v>
      </c>
      <c r="E15" s="483">
        <f>SUM('IV-3'!V101+'IV-3'!V102+'IV-3'!V103+'IV-3'!V104+'IV-3'!V105)</f>
        <v>1343974.82</v>
      </c>
    </row>
    <row r="16" spans="1:5" ht="16.5" thickBot="1" x14ac:dyDescent="0.3">
      <c r="A16" s="1389">
        <v>23</v>
      </c>
      <c r="B16" s="1390" t="s">
        <v>382</v>
      </c>
      <c r="C16" s="484">
        <f>SUM('IV-3'!U113+'IV-3'!U114+'IV-3'!U115+'IV-3'!U116+'IV-3'!U117)</f>
        <v>5</v>
      </c>
      <c r="D16" s="484">
        <f>SUM('IV-3'!U113+'IV-3'!U114+'IV-3'!U115+'IV-3'!U116+'IV-3'!U117)</f>
        <v>5</v>
      </c>
      <c r="E16" s="483">
        <f>SUM('IV-3'!V113+'IV-3'!V114+'IV-3'!V115+'IV-3'!V116+'IV-3'!V117)</f>
        <v>1387789.0699999996</v>
      </c>
    </row>
    <row r="17" spans="1:10" ht="16.5" thickBot="1" x14ac:dyDescent="0.3">
      <c r="A17" s="1389">
        <v>24</v>
      </c>
      <c r="B17" s="1390" t="s">
        <v>381</v>
      </c>
      <c r="C17" s="484">
        <f>SUM('IV-3'!U107+'IV-3'!U108+'IV-3'!U109+'IV-3'!U110+'IV-3'!U111)</f>
        <v>5</v>
      </c>
      <c r="D17" s="484">
        <f>SUM('IV-3'!U107+'IV-3'!U108+'IV-3'!U109+'IV-3'!U110+'IV-3'!U111)</f>
        <v>5</v>
      </c>
      <c r="E17" s="483">
        <f>SUM('IV-3'!V107+'IV-3'!V108+'IV-3'!V109+'IV-3'!V110+'IV-3'!V111)</f>
        <v>1973901.3</v>
      </c>
    </row>
    <row r="18" spans="1:10" ht="16.5" thickBot="1" x14ac:dyDescent="0.3">
      <c r="A18" s="1389">
        <v>25</v>
      </c>
      <c r="B18" s="1390" t="s">
        <v>389</v>
      </c>
      <c r="C18" s="484">
        <f>SUM('IV-3'!U154+'IV-3'!U157)</f>
        <v>2</v>
      </c>
      <c r="D18" s="484">
        <f>SUM('IV-3'!U154+'IV-3'!U157)</f>
        <v>2</v>
      </c>
      <c r="E18" s="483">
        <f>SUM('IV-3'!V154+'IV-3'!V157)</f>
        <v>610488</v>
      </c>
    </row>
    <row r="19" spans="1:10" ht="16.5" thickBot="1" x14ac:dyDescent="0.3">
      <c r="A19" s="1389">
        <v>26</v>
      </c>
      <c r="B19" s="1390" t="s">
        <v>388</v>
      </c>
      <c r="C19" s="484">
        <f>SUM('IV-3'!U153+'IV-3'!U155+'IV-3'!U156+'IV-3'!U157)</f>
        <v>4</v>
      </c>
      <c r="D19" s="484">
        <f>SUM('IV-3'!U153+'IV-3'!U155+'IV-3'!U156)</f>
        <v>3</v>
      </c>
      <c r="E19" s="483">
        <f>SUM('IV-3'!V153+'IV-3'!V155+'IV-3'!V156)</f>
        <v>2355713</v>
      </c>
    </row>
    <row r="20" spans="1:10" ht="16.5" thickBot="1" x14ac:dyDescent="0.3">
      <c r="A20" s="1389">
        <v>27</v>
      </c>
      <c r="B20" s="1390" t="s">
        <v>1739</v>
      </c>
      <c r="C20" s="484">
        <f>SUM('IV-3'!U147+'IV-3'!U148+'IV-3'!U149+'IV-3'!U150+'IV-3'!U151+'IV-3'!U120+'IV-3'!U121+'IV-3'!U122+'IV-3'!U123+'IV-3'!U124+'IV-3'!U126+'IV-3'!U128+'IV-3'!U129+'IV-3'!U130+'IV-3'!U131)</f>
        <v>15</v>
      </c>
      <c r="D20" s="484">
        <f>SUM('IV-3'!U147+'IV-3'!U148+'IV-3'!U149+'IV-3'!U150+'IV-3'!U151+'IV-3'!U120+'IV-3'!U121+'IV-3'!U122+'IV-3'!U123+'IV-3'!U124+'IV-3'!U126+'IV-3'!U128+'IV-3'!U129+'IV-3'!U130+'IV-3'!U131)</f>
        <v>15</v>
      </c>
      <c r="E20" s="1433">
        <f>SUM('IV-3'!V147+'IV-3'!V148+'IV-3'!V149+'IV-3'!V150+'IV-3'!V151+'IV-3'!V120+'IV-3'!V121+'IV-3'!V122+'IV-3'!V123+'IV-3'!V124+'IV-3'!V126+'IV-3'!V128+'IV-3'!V129+'IV-3'!V130+'IV-3'!V131)</f>
        <v>2682575.5499999998</v>
      </c>
    </row>
    <row r="21" spans="1:10" ht="32.25" thickBot="1" x14ac:dyDescent="0.3">
      <c r="A21" s="1389">
        <v>28</v>
      </c>
      <c r="B21" s="1390" t="s">
        <v>359</v>
      </c>
      <c r="C21" s="484">
        <f>SUM('IV-3'!U39+'IV-3'!U41+'IV-3'!U40+'IV-3'!U178)</f>
        <v>4</v>
      </c>
      <c r="D21" s="484">
        <f>SUM('IV-3'!U39+'IV-3'!U41+'IV-3'!U178)</f>
        <v>3</v>
      </c>
      <c r="E21" s="483">
        <f>SUM('IV-3'!V39+'IV-3'!V41+'IV-3'!V178)</f>
        <v>1902254.34</v>
      </c>
    </row>
    <row r="22" spans="1:10" ht="32.25" thickBot="1" x14ac:dyDescent="0.3">
      <c r="A22" s="1389">
        <v>29</v>
      </c>
      <c r="B22" s="1390" t="s">
        <v>354</v>
      </c>
      <c r="C22" s="484">
        <f>SUM('IV-3'!U32+'IV-3'!U33+'IV-3'!U34+'IV-3'!U35+'IV-3'!U36+'IV-3'!U38+'IV-3'!U40+'IV-3'!U43+'IV-3'!U46+'IV-3'!U47+'IV-3'!U21+'IV-3'!U39+'IV-3'!U42)</f>
        <v>13</v>
      </c>
      <c r="D22" s="484">
        <f>SUM('IV-3'!U32+'IV-3'!U33+'IV-3'!U34+'IV-3'!U35+'IV-3'!U36+'IV-3'!U38+'IV-3'!U40+'IV-3'!U43+'IV-3'!U46+'IV-3'!U47)</f>
        <v>10</v>
      </c>
      <c r="E22" s="483">
        <f>SUM('IV-3'!V32+'IV-3'!V33+'IV-3'!V34+'IV-3'!V35+'IV-3'!V36+'IV-3'!V38+'IV-3'!V40+'IV-3'!V43+'IV-3'!V46+'IV-3'!V47)</f>
        <v>6604171</v>
      </c>
    </row>
    <row r="23" spans="1:10" ht="32.25" hidden="1" thickBot="1" x14ac:dyDescent="0.3">
      <c r="A23" s="1389">
        <v>30</v>
      </c>
      <c r="B23" s="1390" t="s">
        <v>353</v>
      </c>
      <c r="C23" s="484">
        <v>0</v>
      </c>
      <c r="D23" s="484">
        <v>0</v>
      </c>
      <c r="E23" s="483">
        <v>0</v>
      </c>
    </row>
    <row r="24" spans="1:10" ht="32.25" thickBot="1" x14ac:dyDescent="0.3">
      <c r="A24" s="1389">
        <v>31</v>
      </c>
      <c r="B24" s="1390" t="s">
        <v>361</v>
      </c>
      <c r="C24" s="484">
        <f>SUM('IV-3'!U45)</f>
        <v>1</v>
      </c>
      <c r="D24" s="484">
        <f>SUM('IV-3'!U45)</f>
        <v>1</v>
      </c>
      <c r="E24" s="483">
        <f>SUM('IV-3'!V45)</f>
        <v>1293732.5699999998</v>
      </c>
    </row>
    <row r="25" spans="1:10" ht="32.25" thickBot="1" x14ac:dyDescent="0.3">
      <c r="A25" s="1389">
        <v>32</v>
      </c>
      <c r="B25" s="1390" t="s">
        <v>384</v>
      </c>
      <c r="C25" s="484">
        <f>SUM('IV-3'!U14+'IV-3'!U15+'IV-3'!U20+'IV-3'!U22+'IV-3'!U23+'IV-3'!U18)</f>
        <v>6</v>
      </c>
      <c r="D25" s="484">
        <f>SUM('IV-3'!U18)</f>
        <v>1</v>
      </c>
      <c r="E25" s="483">
        <f>SUM('IV-3'!V18)</f>
        <v>125000</v>
      </c>
    </row>
    <row r="26" spans="1:10" ht="16.5" thickBot="1" x14ac:dyDescent="0.3">
      <c r="A26" s="1389">
        <v>33</v>
      </c>
      <c r="B26" s="1390" t="s">
        <v>367</v>
      </c>
      <c r="C26" s="484">
        <f>SUM('IV-3'!U11+'IV-3'!U13+'IV-3'!U61+'IV-3'!U62+'IV-3'!U63+'IV-3'!U64)</f>
        <v>6</v>
      </c>
      <c r="D26" s="484">
        <f>SUM('IV-3'!U11+'IV-3'!U13+'IV-3'!U61+'IV-3'!U62+'IV-3'!U63+'IV-3'!U64)</f>
        <v>6</v>
      </c>
      <c r="E26" s="483">
        <f>SUM('IV-3'!V11+'IV-3'!V13+'IV-3'!V61+'IV-3'!V62+'IV-3'!V63+'IV-3'!V64)</f>
        <v>2298835.5100000002</v>
      </c>
    </row>
    <row r="27" spans="1:10" ht="32.25" thickBot="1" x14ac:dyDescent="0.3">
      <c r="A27" s="1389">
        <v>34</v>
      </c>
      <c r="B27" s="1390" t="s">
        <v>355</v>
      </c>
      <c r="C27" s="484">
        <f>SUM('IV-3'!U16+'IV-3'!U17+'IV-3'!U25+'IV-3'!U27+'IV-3'!U32)</f>
        <v>5</v>
      </c>
      <c r="D27" s="484">
        <f>SUM('IV-3'!U16+'IV-3'!U17+'IV-3'!U25+'IV-3'!U27)</f>
        <v>4</v>
      </c>
      <c r="E27" s="483">
        <f>SUM('IV-3'!V16+'IV-3'!V17+'IV-3'!V25+'IV-3'!V27)</f>
        <v>1000000</v>
      </c>
    </row>
    <row r="28" spans="1:10" ht="16.5" thickBot="1" x14ac:dyDescent="0.3">
      <c r="A28" s="1389">
        <v>36</v>
      </c>
      <c r="B28" s="1390" t="s">
        <v>360</v>
      </c>
      <c r="C28" s="484">
        <f>SUM('IV-3'!U42)</f>
        <v>1</v>
      </c>
      <c r="D28" s="484">
        <f>SUM('IV-3'!U42)</f>
        <v>1</v>
      </c>
      <c r="E28" s="483">
        <f>SUM('IV-3'!V42)</f>
        <v>250000</v>
      </c>
    </row>
    <row r="29" spans="1:10" ht="16.5" thickBot="1" x14ac:dyDescent="0.3">
      <c r="A29" s="1389">
        <v>38</v>
      </c>
      <c r="B29" s="1390" t="s">
        <v>392</v>
      </c>
      <c r="C29" s="484">
        <f>SUM('IV-3'!U172+'IV-3'!U173+'IV-3'!U174+'IV-3'!U175+'IV-3'!U176+'IV-3'!U177+'IV-3'!U178+'IV-3'!U179)</f>
        <v>8</v>
      </c>
      <c r="D29" s="484">
        <f>SUM('IV-3'!U172+'IV-3'!U173+'IV-3'!U174+'IV-3'!U175+'IV-3'!U176+'IV-3'!U177+'IV-3'!U179)</f>
        <v>7</v>
      </c>
      <c r="E29" s="483">
        <f>SUM('IV-3'!V172+'IV-3'!V173+'IV-3'!V174+'IV-3'!V175+'IV-3'!V176+'IV-3'!V177+'IV-3'!V179)</f>
        <v>2269481.7870588237</v>
      </c>
    </row>
    <row r="30" spans="1:10" ht="16.5" thickBot="1" x14ac:dyDescent="0.3">
      <c r="A30" s="1389">
        <v>41</v>
      </c>
      <c r="B30" s="1390" t="s">
        <v>377</v>
      </c>
      <c r="C30" s="484">
        <f>SUM('IV-3'!U88)</f>
        <v>1</v>
      </c>
      <c r="D30" s="484">
        <f>SUM('IV-3'!U88)</f>
        <v>1</v>
      </c>
      <c r="E30" s="483">
        <f>SUM('IV-3'!V88)</f>
        <v>110340</v>
      </c>
    </row>
    <row r="31" spans="1:10" ht="16.5" thickBot="1" x14ac:dyDescent="0.3">
      <c r="A31" s="1389">
        <v>42</v>
      </c>
      <c r="B31" s="1390" t="s">
        <v>366</v>
      </c>
      <c r="C31" s="484">
        <f>SUM('IV-3'!U57+'IV-3'!U58+'IV-3'!U59)</f>
        <v>3</v>
      </c>
      <c r="D31" s="484">
        <f>SUM('IV-3'!U57+'IV-3'!U58+'IV-3'!U59)</f>
        <v>3</v>
      </c>
      <c r="E31" s="483">
        <f>SUM('IV-3'!V57+'IV-3'!V58+'IV-3'!V59)</f>
        <v>719317.64705882361</v>
      </c>
      <c r="J31" s="1391"/>
    </row>
    <row r="32" spans="1:10" ht="16.5" thickBot="1" x14ac:dyDescent="0.3">
      <c r="A32" s="1389">
        <v>44</v>
      </c>
      <c r="B32" s="1390" t="s">
        <v>371</v>
      </c>
      <c r="C32" s="484">
        <f>SUM('IV-3'!U66+'IV-3'!U67+'IV-3'!U68+'IV-3'!U69+'IV-3'!U70)</f>
        <v>5</v>
      </c>
      <c r="D32" s="484">
        <f>SUM('IV-3'!U66+'IV-3'!U67+'IV-3'!U68+'IV-3'!U69+'IV-3'!U70)</f>
        <v>5</v>
      </c>
      <c r="E32" s="483">
        <f>SUM('IV-3'!V66+'IV-3'!V67+'IV-3'!V68+'IV-3'!V69+'IV-3'!V70)</f>
        <v>1212868</v>
      </c>
    </row>
    <row r="33" spans="1:5" ht="16.5" thickBot="1" x14ac:dyDescent="0.3">
      <c r="A33" s="1389">
        <v>47</v>
      </c>
      <c r="B33" s="1390" t="s">
        <v>385</v>
      </c>
      <c r="C33" s="1432">
        <f>SUM('IV-3'!U120+'IV-3'!U121+'IV-3'!U122+'IV-3'!U123+'IV-3'!U124+'IV-3'!U125+'IV-3'!U126+'IV-3'!U127+'IV-3'!U128+'IV-3'!U129+'IV-3'!U130+'IV-3'!U131+'IV-3'!U132+'IV-3'!U134+'IV-3'!U135+'IV-3'!U136+'IV-3'!U137+'IV-3'!U138+'IV-3'!U140+'IV-3'!U141+'IV-3'!U142+'IV-3'!U143+'IV-3'!U144)</f>
        <v>23</v>
      </c>
      <c r="D33" s="1432">
        <f>SUM('IV-3'!U125+'IV-3'!U132+'IV-3'!U134+'IV-3'!U135+'IV-3'!U136+'IV-3'!U137+'IV-3'!U138+'IV-3'!U140+'IV-3'!U141+'IV-3'!U142+'IV-3'!U143+'IV-3'!U144)</f>
        <v>12</v>
      </c>
      <c r="E33" s="1433">
        <f>SUM('IV-3'!V125+'IV-3'!V132+'IV-3'!V134+'IV-3'!V135+'IV-3'!V136+'IV-3'!V137+'IV-3'!V138+'IV-3'!V140+'IV-3'!V141+'IV-3'!V142+'IV-3'!V143+'IV-3'!V144)</f>
        <v>1085889.5499999998</v>
      </c>
    </row>
    <row r="34" spans="1:5" ht="16.5" thickBot="1" x14ac:dyDescent="0.3">
      <c r="A34" s="1389">
        <v>48</v>
      </c>
      <c r="B34" s="1390" t="s">
        <v>387</v>
      </c>
      <c r="C34" s="484">
        <f>SUM('IV-3'!U148)</f>
        <v>1</v>
      </c>
      <c r="D34" s="484">
        <v>0</v>
      </c>
      <c r="E34" s="483">
        <v>0</v>
      </c>
    </row>
    <row r="35" spans="1:5" ht="16.5" thickBot="1" x14ac:dyDescent="0.3">
      <c r="A35" s="1389">
        <v>49</v>
      </c>
      <c r="B35" s="1390" t="s">
        <v>390</v>
      </c>
      <c r="C35" s="484">
        <f>SUM('IV-3'!U160+'IV-3'!U161+'IV-3'!U162+'IV-3'!U163+'IV-3'!U164+'IV-3'!U165)</f>
        <v>6</v>
      </c>
      <c r="D35" s="484">
        <f>SUM('IV-3'!U160+'IV-3'!U161+'IV-3'!U162+'IV-3'!U163+'IV-3'!U164+'IV-3'!U165)</f>
        <v>6</v>
      </c>
      <c r="E35" s="483">
        <f>SUM('IV-3'!V160+'IV-3'!V161+'IV-3'!V162+'IV-3'!V163+'IV-3'!V164+'IV-3'!V165)</f>
        <v>1144134.52</v>
      </c>
    </row>
    <row r="36" spans="1:5" ht="16.5" thickBot="1" x14ac:dyDescent="0.3">
      <c r="A36" s="1389">
        <v>50</v>
      </c>
      <c r="B36" s="1390" t="s">
        <v>379</v>
      </c>
      <c r="C36" s="484">
        <f>SUM('IV-3'!U93+'IV-3'!U94+'IV-3'!U97+'IV-3'!U134+'IV-3'!U140)</f>
        <v>5</v>
      </c>
      <c r="D36" s="484">
        <f>SUM('IV-3'!U93+'IV-3'!U97+'IV-3'!U94)</f>
        <v>3</v>
      </c>
      <c r="E36" s="483">
        <f>SUM('IV-3'!V93+'IV-3'!V97+'IV-3'!V94)</f>
        <v>687881.6</v>
      </c>
    </row>
    <row r="38" spans="1:5" ht="16.5" hidden="1" thickBot="1" x14ac:dyDescent="0.3">
      <c r="E38" s="1392">
        <f>SUM(E3:E37)</f>
        <v>66248621.492352933</v>
      </c>
    </row>
    <row r="39" spans="1:5" x14ac:dyDescent="0.25">
      <c r="E39" s="1393"/>
    </row>
  </sheetData>
  <pageMargins left="0.25" right="0.25" top="0.75" bottom="0.75" header="0.3" footer="0.3"/>
  <pageSetup paperSize="9" scale="95" fitToHeight="0" orientation="landscape" r:id="rId1"/>
  <headerFooter>
    <oddHeader>&amp;C&amp;"Times New Roman,Paprastas"&amp;12Alytaus regiono 2014 – 2020 metų plėtros planas</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82"/>
  <sheetViews>
    <sheetView workbookViewId="0">
      <pane ySplit="2955" topLeftCell="A43" activePane="bottomLeft"/>
      <selection activeCell="V1" sqref="V1:Z1048576"/>
      <selection pane="bottomLeft" activeCell="U50" sqref="U50"/>
    </sheetView>
  </sheetViews>
  <sheetFormatPr defaultColWidth="9.140625" defaultRowHeight="15" x14ac:dyDescent="0.25"/>
  <cols>
    <col min="1" max="1" width="9.140625" style="85"/>
    <col min="2" max="2" width="13.7109375" style="85" customWidth="1"/>
    <col min="3" max="3" width="13.7109375" style="85" hidden="1" customWidth="1"/>
    <col min="4" max="4" width="27.5703125" style="85" customWidth="1"/>
    <col min="5" max="5" width="14.5703125" style="85" customWidth="1"/>
    <col min="6" max="6" width="14.42578125" style="85" bestFit="1" customWidth="1"/>
    <col min="7" max="7" width="13.85546875" style="85" bestFit="1" customWidth="1"/>
    <col min="8" max="8" width="16.28515625" style="85" customWidth="1"/>
    <col min="9" max="9" width="4.5703125" style="85" bestFit="1" customWidth="1"/>
    <col min="10" max="10" width="5" style="85" bestFit="1" customWidth="1"/>
    <col min="11" max="11" width="6.42578125" style="85" bestFit="1" customWidth="1"/>
    <col min="12" max="12" width="14.28515625" style="85" bestFit="1" customWidth="1"/>
    <col min="13" max="13" width="12.5703125" style="85" bestFit="1" customWidth="1"/>
    <col min="14" max="14" width="10.5703125" style="85" bestFit="1" customWidth="1"/>
    <col min="15" max="15" width="12.7109375" style="85" bestFit="1" customWidth="1"/>
    <col min="16" max="16" width="9.85546875" style="85" bestFit="1" customWidth="1"/>
    <col min="17" max="17" width="14.28515625" style="85" bestFit="1" customWidth="1"/>
    <col min="18" max="18" width="14.28515625" style="85" hidden="1" customWidth="1"/>
    <col min="19" max="19" width="11.85546875" style="85" customWidth="1"/>
    <col min="20" max="20" width="10.28515625" style="85" customWidth="1"/>
    <col min="21" max="21" width="9.140625" style="85"/>
    <col min="22" max="22" width="10.85546875" style="231" customWidth="1"/>
    <col min="23" max="24" width="18" style="85" customWidth="1"/>
    <col min="25" max="25" width="15" style="85" customWidth="1"/>
    <col min="26" max="16384" width="9.140625" style="85"/>
  </cols>
  <sheetData>
    <row r="1" spans="1:25" ht="15.75" thickBot="1" x14ac:dyDescent="0.3">
      <c r="A1" s="59" t="s">
        <v>73</v>
      </c>
      <c r="B1" s="59"/>
      <c r="C1" s="59"/>
    </row>
    <row r="2" spans="1:25" ht="16.5" thickTop="1" thickBot="1" x14ac:dyDescent="0.3">
      <c r="A2" s="1721" t="s">
        <v>46</v>
      </c>
      <c r="B2" s="1722"/>
      <c r="C2" s="1722"/>
      <c r="D2" s="1722"/>
      <c r="E2" s="1722"/>
      <c r="F2" s="1722"/>
      <c r="G2" s="1722"/>
      <c r="H2" s="1722"/>
      <c r="I2" s="1722"/>
      <c r="J2" s="1722"/>
      <c r="K2" s="1723"/>
      <c r="L2" s="1724" t="s">
        <v>47</v>
      </c>
      <c r="M2" s="1722"/>
      <c r="N2" s="1722"/>
      <c r="O2" s="1722"/>
      <c r="P2" s="1722"/>
      <c r="Q2" s="1723"/>
      <c r="R2" s="1098"/>
      <c r="S2" s="1724" t="s">
        <v>48</v>
      </c>
      <c r="T2" s="1722"/>
      <c r="U2" s="1722"/>
      <c r="V2" s="1725"/>
      <c r="W2" s="1719" t="s">
        <v>117</v>
      </c>
      <c r="X2" s="1719" t="s">
        <v>118</v>
      </c>
      <c r="Y2" s="1719" t="s">
        <v>122</v>
      </c>
    </row>
    <row r="3" spans="1:25" ht="84.75" thickBot="1" x14ac:dyDescent="0.3">
      <c r="A3" s="60" t="s">
        <v>7</v>
      </c>
      <c r="B3" s="61"/>
      <c r="C3" s="61"/>
      <c r="D3" s="61" t="s">
        <v>49</v>
      </c>
      <c r="E3" s="61" t="s">
        <v>50</v>
      </c>
      <c r="F3" s="61" t="s">
        <v>51</v>
      </c>
      <c r="G3" s="61" t="s">
        <v>52</v>
      </c>
      <c r="H3" s="62" t="s">
        <v>53</v>
      </c>
      <c r="I3" s="61" t="s">
        <v>54</v>
      </c>
      <c r="J3" s="61" t="s">
        <v>55</v>
      </c>
      <c r="K3" s="61" t="s">
        <v>56</v>
      </c>
      <c r="L3" s="61" t="s">
        <v>57</v>
      </c>
      <c r="M3" s="61" t="s">
        <v>58</v>
      </c>
      <c r="N3" s="61" t="s">
        <v>59</v>
      </c>
      <c r="O3" s="61" t="s">
        <v>60</v>
      </c>
      <c r="P3" s="61" t="s">
        <v>61</v>
      </c>
      <c r="Q3" s="61" t="s">
        <v>10</v>
      </c>
      <c r="R3" s="1112" t="s">
        <v>1379</v>
      </c>
      <c r="S3" s="61" t="s">
        <v>62</v>
      </c>
      <c r="T3" s="61" t="s">
        <v>63</v>
      </c>
      <c r="U3" s="61" t="s">
        <v>64</v>
      </c>
      <c r="V3" s="232" t="s">
        <v>65</v>
      </c>
      <c r="W3" s="1720"/>
      <c r="X3" s="1720"/>
      <c r="Y3" s="1720"/>
    </row>
    <row r="4" spans="1:25" ht="15.75" thickBot="1" x14ac:dyDescent="0.3">
      <c r="A4" s="44"/>
      <c r="B4" s="41"/>
      <c r="C4" s="41"/>
      <c r="D4" s="41"/>
      <c r="E4" s="41"/>
      <c r="F4" s="41"/>
      <c r="G4" s="41"/>
      <c r="H4" s="41"/>
      <c r="I4" s="41"/>
      <c r="J4" s="41"/>
      <c r="K4" s="41"/>
      <c r="L4" s="41"/>
      <c r="M4" s="41"/>
      <c r="N4" s="41"/>
      <c r="O4" s="41"/>
      <c r="P4" s="41"/>
      <c r="Q4" s="41"/>
      <c r="R4" s="41"/>
      <c r="S4" s="41"/>
      <c r="T4" s="41"/>
      <c r="U4" s="41"/>
      <c r="V4" s="233"/>
      <c r="W4" s="87"/>
      <c r="X4" s="87"/>
      <c r="Y4" s="87"/>
    </row>
    <row r="5" spans="1:25" ht="36" customHeight="1" thickBot="1" x14ac:dyDescent="0.3">
      <c r="A5" s="221" t="s">
        <v>11</v>
      </c>
      <c r="B5" s="1100"/>
      <c r="C5" s="1100"/>
      <c r="D5" s="1671" t="s">
        <v>633</v>
      </c>
      <c r="E5" s="1644"/>
      <c r="F5" s="1644"/>
      <c r="G5" s="1644"/>
      <c r="H5" s="1644"/>
      <c r="I5" s="1644"/>
      <c r="J5" s="1644"/>
      <c r="K5" s="1645"/>
      <c r="L5" s="222">
        <f t="shared" ref="L5:Q5" si="0">SUM(L6+L26)</f>
        <v>15266757.494117647</v>
      </c>
      <c r="M5" s="222">
        <f t="shared" si="0"/>
        <v>710246.39411764708</v>
      </c>
      <c r="N5" s="222">
        <f t="shared" si="0"/>
        <v>449430.76</v>
      </c>
      <c r="O5" s="222">
        <f t="shared" si="0"/>
        <v>3947797.36</v>
      </c>
      <c r="P5" s="222">
        <f t="shared" si="0"/>
        <v>0</v>
      </c>
      <c r="Q5" s="222">
        <f t="shared" si="0"/>
        <v>10143732.470000001</v>
      </c>
      <c r="R5" s="222"/>
      <c r="S5" s="222" t="s">
        <v>66</v>
      </c>
      <c r="T5" s="222" t="s">
        <v>66</v>
      </c>
      <c r="U5" s="222" t="s">
        <v>66</v>
      </c>
      <c r="V5" s="222"/>
      <c r="W5" s="68">
        <f>SUM(W6+W26)</f>
        <v>9054930.977500001</v>
      </c>
      <c r="X5" s="68">
        <f>SUM(X6+X26)</f>
        <v>10865917.173</v>
      </c>
      <c r="Y5" s="68">
        <f>SUM(Y6+Y26)</f>
        <v>-1060209.1924999999</v>
      </c>
    </row>
    <row r="6" spans="1:25" ht="43.5" customHeight="1" thickBot="1" x14ac:dyDescent="0.3">
      <c r="A6" s="220" t="s">
        <v>12</v>
      </c>
      <c r="B6" s="1101"/>
      <c r="C6" s="1101"/>
      <c r="D6" s="1668" t="s">
        <v>634</v>
      </c>
      <c r="E6" s="1717"/>
      <c r="F6" s="1717"/>
      <c r="G6" s="1717"/>
      <c r="H6" s="1717"/>
      <c r="I6" s="1717"/>
      <c r="J6" s="1717"/>
      <c r="K6" s="1718"/>
      <c r="L6" s="219">
        <f t="shared" ref="L6:Q6" si="1">SUM(L7+L9+L11+L13+L15+L17+L19+L22+L24)</f>
        <v>12354347.525882354</v>
      </c>
      <c r="M6" s="219">
        <f t="shared" si="1"/>
        <v>270961.99588235293</v>
      </c>
      <c r="N6" s="219">
        <f t="shared" si="1"/>
        <v>449430.76</v>
      </c>
      <c r="O6" s="219">
        <f t="shared" si="1"/>
        <v>3947797.36</v>
      </c>
      <c r="P6" s="219">
        <f t="shared" si="1"/>
        <v>0</v>
      </c>
      <c r="Q6" s="219">
        <f t="shared" si="1"/>
        <v>7686157.4100000001</v>
      </c>
      <c r="R6" s="219"/>
      <c r="S6" s="219" t="s">
        <v>66</v>
      </c>
      <c r="T6" s="219" t="s">
        <v>66</v>
      </c>
      <c r="U6" s="219" t="s">
        <v>66</v>
      </c>
      <c r="V6" s="219"/>
      <c r="W6" s="69">
        <f>SUM(W7+W9+W11+W13+W15+W17+W19+W22+W24)</f>
        <v>6733465.4175000004</v>
      </c>
      <c r="X6" s="69">
        <f>SUM(X7+X9+X11+X13+X15+X17+X19+X22+X24)</f>
        <v>8080158.5010000002</v>
      </c>
      <c r="Y6" s="69">
        <f>SUM(Y7+Y9+Y11+Y13+Y15+Y17+Y19+Y22+Y24)</f>
        <v>-952691.99249999993</v>
      </c>
    </row>
    <row r="7" spans="1:25" ht="32.25" customHeight="1" thickBot="1" x14ac:dyDescent="0.3">
      <c r="A7" s="498" t="s">
        <v>67</v>
      </c>
      <c r="B7" s="1102"/>
      <c r="C7" s="1102"/>
      <c r="D7" s="1651" t="s">
        <v>635</v>
      </c>
      <c r="E7" s="1660"/>
      <c r="F7" s="1660"/>
      <c r="G7" s="1660"/>
      <c r="H7" s="1660"/>
      <c r="I7" s="1660"/>
      <c r="J7" s="1660"/>
      <c r="K7" s="1661"/>
      <c r="L7" s="500">
        <v>0</v>
      </c>
      <c r="M7" s="500">
        <v>0</v>
      </c>
      <c r="N7" s="500">
        <v>0</v>
      </c>
      <c r="O7" s="500">
        <v>0</v>
      </c>
      <c r="P7" s="500">
        <v>0</v>
      </c>
      <c r="Q7" s="500">
        <v>0</v>
      </c>
      <c r="R7" s="148"/>
      <c r="S7" s="500" t="s">
        <v>66</v>
      </c>
      <c r="T7" s="500"/>
      <c r="U7" s="500"/>
      <c r="V7" s="500"/>
      <c r="W7" s="77">
        <v>0</v>
      </c>
      <c r="X7" s="77">
        <f>SUM(W7*120/100)</f>
        <v>0</v>
      </c>
      <c r="Y7" s="77">
        <f>SUM(W7-Q7)</f>
        <v>0</v>
      </c>
    </row>
    <row r="8" spans="1:25" ht="15.75" thickBot="1" x14ac:dyDescent="0.3">
      <c r="A8" s="32"/>
      <c r="B8" s="39"/>
      <c r="C8" s="39"/>
      <c r="D8" s="41"/>
      <c r="E8" s="41"/>
      <c r="F8" s="41"/>
      <c r="G8" s="41"/>
      <c r="H8" s="41"/>
      <c r="I8" s="36"/>
      <c r="J8" s="36"/>
      <c r="K8" s="36"/>
      <c r="L8" s="36"/>
      <c r="M8" s="36"/>
      <c r="N8" s="36"/>
      <c r="O8" s="36"/>
      <c r="P8" s="36"/>
      <c r="Q8" s="36"/>
      <c r="R8" s="36"/>
      <c r="S8" s="36"/>
      <c r="T8" s="36"/>
      <c r="U8" s="36"/>
      <c r="V8" s="234"/>
      <c r="W8" s="67"/>
      <c r="X8" s="67"/>
      <c r="Y8" s="87"/>
    </row>
    <row r="9" spans="1:25" ht="38.25" customHeight="1" thickBot="1" x14ac:dyDescent="0.3">
      <c r="A9" s="498" t="s">
        <v>14</v>
      </c>
      <c r="B9" s="1102"/>
      <c r="C9" s="1102"/>
      <c r="D9" s="1651" t="s">
        <v>636</v>
      </c>
      <c r="E9" s="1660"/>
      <c r="F9" s="1660"/>
      <c r="G9" s="1660"/>
      <c r="H9" s="1660"/>
      <c r="I9" s="1660"/>
      <c r="J9" s="1660"/>
      <c r="K9" s="1661"/>
      <c r="L9" s="500">
        <v>0</v>
      </c>
      <c r="M9" s="500">
        <v>0</v>
      </c>
      <c r="N9" s="500">
        <v>0</v>
      </c>
      <c r="O9" s="500">
        <v>0</v>
      </c>
      <c r="P9" s="500">
        <v>0</v>
      </c>
      <c r="Q9" s="500">
        <v>0</v>
      </c>
      <c r="R9" s="148"/>
      <c r="S9" s="500"/>
      <c r="T9" s="500"/>
      <c r="U9" s="500"/>
      <c r="V9" s="500"/>
      <c r="W9" s="77">
        <v>0</v>
      </c>
      <c r="X9" s="77">
        <f>SUM(W9*120/100)</f>
        <v>0</v>
      </c>
      <c r="Y9" s="77">
        <f>SUM(W9-Q9)</f>
        <v>0</v>
      </c>
    </row>
    <row r="10" spans="1:25" ht="15.75" thickBot="1" x14ac:dyDescent="0.3">
      <c r="A10" s="32"/>
      <c r="B10" s="39"/>
      <c r="C10" s="39"/>
      <c r="D10" s="41"/>
      <c r="E10" s="41"/>
      <c r="F10" s="41"/>
      <c r="G10" s="41"/>
      <c r="H10" s="41"/>
      <c r="I10" s="36"/>
      <c r="J10" s="36"/>
      <c r="K10" s="36"/>
      <c r="L10" s="36"/>
      <c r="M10" s="36"/>
      <c r="N10" s="36"/>
      <c r="O10" s="36"/>
      <c r="P10" s="36"/>
      <c r="Q10" s="36"/>
      <c r="R10" s="36"/>
      <c r="S10" s="36"/>
      <c r="T10" s="36"/>
      <c r="U10" s="36"/>
      <c r="V10" s="234"/>
      <c r="W10" s="67"/>
      <c r="X10" s="67"/>
      <c r="Y10" s="87"/>
    </row>
    <row r="11" spans="1:25" ht="30" customHeight="1" thickBot="1" x14ac:dyDescent="0.3">
      <c r="A11" s="498" t="s">
        <v>70</v>
      </c>
      <c r="B11" s="1102"/>
      <c r="C11" s="1102"/>
      <c r="D11" s="1651" t="s">
        <v>645</v>
      </c>
      <c r="E11" s="1660"/>
      <c r="F11" s="1660"/>
      <c r="G11" s="1660"/>
      <c r="H11" s="1660"/>
      <c r="I11" s="1660"/>
      <c r="J11" s="1660"/>
      <c r="K11" s="1661"/>
      <c r="L11" s="500">
        <v>0</v>
      </c>
      <c r="M11" s="500">
        <v>0</v>
      </c>
      <c r="N11" s="500">
        <v>0</v>
      </c>
      <c r="O11" s="500">
        <f>SUM(O12:O14)</f>
        <v>0</v>
      </c>
      <c r="P11" s="500">
        <f>SUM(P12:P14)</f>
        <v>0</v>
      </c>
      <c r="Q11" s="500">
        <v>0</v>
      </c>
      <c r="R11" s="148"/>
      <c r="S11" s="500"/>
      <c r="T11" s="500"/>
      <c r="U11" s="500"/>
      <c r="V11" s="500"/>
      <c r="W11" s="77">
        <v>0</v>
      </c>
      <c r="X11" s="77">
        <f>SUM(W11*120/100)</f>
        <v>0</v>
      </c>
      <c r="Y11" s="77">
        <f>SUM(W11-Q11)</f>
        <v>0</v>
      </c>
    </row>
    <row r="12" spans="1:25" ht="15.75" customHeight="1" thickBot="1" x14ac:dyDescent="0.3">
      <c r="A12" s="32"/>
      <c r="B12" s="39"/>
      <c r="C12" s="39"/>
      <c r="D12" s="41"/>
      <c r="E12" s="41"/>
      <c r="F12" s="41"/>
      <c r="G12" s="41"/>
      <c r="H12" s="41"/>
      <c r="I12" s="36"/>
      <c r="J12" s="36"/>
      <c r="K12" s="36"/>
      <c r="L12" s="36"/>
      <c r="M12" s="36"/>
      <c r="N12" s="36"/>
      <c r="O12" s="36"/>
      <c r="P12" s="36"/>
      <c r="Q12" s="36"/>
      <c r="R12" s="36"/>
      <c r="S12" s="36"/>
      <c r="T12" s="36"/>
      <c r="U12" s="36"/>
      <c r="V12" s="234"/>
      <c r="W12" s="67"/>
      <c r="X12" s="67"/>
      <c r="Y12" s="87"/>
    </row>
    <row r="13" spans="1:25" ht="34.5" customHeight="1" thickBot="1" x14ac:dyDescent="0.3">
      <c r="A13" s="498" t="s">
        <v>16</v>
      </c>
      <c r="B13" s="1102"/>
      <c r="C13" s="1102"/>
      <c r="D13" s="1651" t="s">
        <v>646</v>
      </c>
      <c r="E13" s="1660"/>
      <c r="F13" s="1660"/>
      <c r="G13" s="1660"/>
      <c r="H13" s="1660"/>
      <c r="I13" s="1660"/>
      <c r="J13" s="1660"/>
      <c r="K13" s="1661"/>
      <c r="L13" s="500">
        <f t="shared" ref="L13:Q13" si="2">SUM(L14:L14)</f>
        <v>1293732.5699999998</v>
      </c>
      <c r="M13" s="500">
        <f t="shared" si="2"/>
        <v>97029.95</v>
      </c>
      <c r="N13" s="500">
        <f t="shared" si="2"/>
        <v>97029.94</v>
      </c>
      <c r="O13" s="500">
        <f t="shared" si="2"/>
        <v>0</v>
      </c>
      <c r="P13" s="500">
        <f t="shared" si="2"/>
        <v>0</v>
      </c>
      <c r="Q13" s="500">
        <f t="shared" si="2"/>
        <v>1099672.68</v>
      </c>
      <c r="R13" s="148"/>
      <c r="S13" s="500"/>
      <c r="T13" s="500"/>
      <c r="U13" s="500"/>
      <c r="V13" s="500"/>
      <c r="W13" s="70">
        <v>1158480</v>
      </c>
      <c r="X13" s="70">
        <f>SUM(W13*120/100)</f>
        <v>1390176</v>
      </c>
      <c r="Y13" s="70">
        <f>SUM(W13-Q13)</f>
        <v>58807.320000000065</v>
      </c>
    </row>
    <row r="14" spans="1:25" ht="48.75" thickBot="1" x14ac:dyDescent="0.3">
      <c r="A14" s="189" t="str">
        <f>CONCATENATE('3 pr-2'!A47)</f>
        <v>1.1.1.4.1</v>
      </c>
      <c r="B14" s="189" t="str">
        <f>CONCATENATE('3 pr-2'!B47)</f>
        <v>R01-9902-310000-1141</v>
      </c>
      <c r="C14" s="1133" t="str">
        <f>CONCATENATE('3 pr-2'!C47)</f>
        <v>07.1.1-CPVA-V-902-01-0008</v>
      </c>
      <c r="D14" s="189" t="s">
        <v>333</v>
      </c>
      <c r="E14" s="189" t="s">
        <v>368</v>
      </c>
      <c r="F14" s="189" t="s">
        <v>75</v>
      </c>
      <c r="G14" s="189" t="s">
        <v>163</v>
      </c>
      <c r="H14" s="189" t="s">
        <v>179</v>
      </c>
      <c r="I14" s="590" t="s">
        <v>162</v>
      </c>
      <c r="J14" s="590" t="s">
        <v>168</v>
      </c>
      <c r="K14" s="590" t="s">
        <v>66</v>
      </c>
      <c r="L14" s="1142">
        <f>SUM(M14:Q14)</f>
        <v>1293732.5699999998</v>
      </c>
      <c r="M14" s="1142">
        <v>97029.95</v>
      </c>
      <c r="N14" s="1142">
        <v>97029.94</v>
      </c>
      <c r="O14" s="1142">
        <v>0</v>
      </c>
      <c r="P14" s="1142">
        <v>0</v>
      </c>
      <c r="Q14" s="1142">
        <v>1099672.68</v>
      </c>
      <c r="R14" s="1111">
        <v>42246</v>
      </c>
      <c r="S14" s="1111">
        <v>42338</v>
      </c>
      <c r="T14" s="1111">
        <v>42674</v>
      </c>
      <c r="U14" s="1111">
        <v>42735</v>
      </c>
      <c r="V14" s="1143">
        <v>43281</v>
      </c>
      <c r="W14" s="67"/>
      <c r="X14" s="67"/>
      <c r="Y14" s="87"/>
    </row>
    <row r="15" spans="1:25" ht="30.75" customHeight="1" thickBot="1" x14ac:dyDescent="0.3">
      <c r="A15" s="498" t="s">
        <v>76</v>
      </c>
      <c r="B15" s="1102"/>
      <c r="C15" s="1102"/>
      <c r="D15" s="1651" t="s">
        <v>647</v>
      </c>
      <c r="E15" s="1660"/>
      <c r="F15" s="1660"/>
      <c r="G15" s="1660"/>
      <c r="H15" s="1660"/>
      <c r="I15" s="1660"/>
      <c r="J15" s="1660"/>
      <c r="K15" s="1661"/>
      <c r="L15" s="500">
        <f>SUM(L16)</f>
        <v>5993883</v>
      </c>
      <c r="M15" s="500">
        <f t="shared" ref="M15:Q15" si="3">SUM(M16)</f>
        <v>0</v>
      </c>
      <c r="N15" s="500">
        <f t="shared" si="3"/>
        <v>0</v>
      </c>
      <c r="O15" s="500">
        <f t="shared" si="3"/>
        <v>3347886.75</v>
      </c>
      <c r="P15" s="500">
        <f t="shared" si="3"/>
        <v>0</v>
      </c>
      <c r="Q15" s="500">
        <f t="shared" si="3"/>
        <v>2645996.25</v>
      </c>
      <c r="R15" s="148"/>
      <c r="S15" s="500"/>
      <c r="T15" s="500"/>
      <c r="U15" s="500"/>
      <c r="V15" s="500"/>
      <c r="W15" s="70">
        <v>2645996.25</v>
      </c>
      <c r="X15" s="70">
        <f>SUM(W15*120/100)</f>
        <v>3175195.5</v>
      </c>
      <c r="Y15" s="71">
        <f>SUM(W15-Q15)</f>
        <v>0</v>
      </c>
    </row>
    <row r="16" spans="1:25" ht="48.75" thickBot="1" x14ac:dyDescent="0.3">
      <c r="A16" s="189" t="str">
        <f>CONCATENATE('3 pr-2'!A52)</f>
        <v>1.1.1.5.2.</v>
      </c>
      <c r="B16" s="189" t="str">
        <f>CONCATENATE('3 pr-2'!B52)</f>
        <v>R01-0014-060700-1152</v>
      </c>
      <c r="C16" s="1133" t="str">
        <f>CONCATENATE('3 pr-2'!C52)</f>
        <v>05.3.2-APVA-R-014-11-0002</v>
      </c>
      <c r="D16" s="189" t="s">
        <v>415</v>
      </c>
      <c r="E16" s="189" t="s">
        <v>307</v>
      </c>
      <c r="F16" s="189" t="s">
        <v>77</v>
      </c>
      <c r="G16" s="189" t="s">
        <v>225</v>
      </c>
      <c r="H16" s="189" t="s">
        <v>897</v>
      </c>
      <c r="I16" s="590" t="s">
        <v>119</v>
      </c>
      <c r="J16" s="590" t="s">
        <v>168</v>
      </c>
      <c r="K16" s="590" t="s">
        <v>66</v>
      </c>
      <c r="L16" s="468">
        <f>SUM(M16:Q16)</f>
        <v>5993883</v>
      </c>
      <c r="M16" s="468">
        <v>0</v>
      </c>
      <c r="N16" s="468">
        <v>0</v>
      </c>
      <c r="O16" s="468">
        <v>3347886.75</v>
      </c>
      <c r="P16" s="468">
        <v>0</v>
      </c>
      <c r="Q16" s="468">
        <v>2645996.25</v>
      </c>
      <c r="R16" s="1111">
        <v>42451</v>
      </c>
      <c r="S16" s="1111">
        <v>42551</v>
      </c>
      <c r="T16" s="1111">
        <v>42704</v>
      </c>
      <c r="U16" s="1111">
        <v>42736</v>
      </c>
      <c r="V16" s="1143">
        <v>44012</v>
      </c>
      <c r="W16" s="67"/>
      <c r="X16" s="67"/>
      <c r="Y16" s="67"/>
    </row>
    <row r="17" spans="1:27" ht="27" customHeight="1" thickBot="1" x14ac:dyDescent="0.3">
      <c r="A17" s="498" t="s">
        <v>79</v>
      </c>
      <c r="B17" s="1102"/>
      <c r="C17" s="1102"/>
      <c r="D17" s="1651" t="s">
        <v>648</v>
      </c>
      <c r="E17" s="1660"/>
      <c r="F17" s="1660"/>
      <c r="G17" s="1660"/>
      <c r="H17" s="1660"/>
      <c r="I17" s="1660"/>
      <c r="J17" s="1660"/>
      <c r="K17" s="1661"/>
      <c r="L17" s="500">
        <f t="shared" ref="L17:Q17" si="4">SUM(L18:L18)</f>
        <v>3999404.09</v>
      </c>
      <c r="M17" s="500">
        <f t="shared" si="4"/>
        <v>0</v>
      </c>
      <c r="N17" s="500">
        <f t="shared" si="4"/>
        <v>0</v>
      </c>
      <c r="O17" s="500">
        <f t="shared" si="4"/>
        <v>599910.61</v>
      </c>
      <c r="P17" s="500">
        <f t="shared" si="4"/>
        <v>0</v>
      </c>
      <c r="Q17" s="500">
        <f t="shared" si="4"/>
        <v>3399493.48</v>
      </c>
      <c r="R17" s="148"/>
      <c r="S17" s="500"/>
      <c r="T17" s="500"/>
      <c r="U17" s="500"/>
      <c r="V17" s="500"/>
      <c r="W17" s="70">
        <v>2387993.48</v>
      </c>
      <c r="X17" s="70">
        <f>SUM(W17*120/100)</f>
        <v>2865592.1760000004</v>
      </c>
      <c r="Y17" s="71">
        <f>SUM(W17-Q17)</f>
        <v>-1011500</v>
      </c>
    </row>
    <row r="18" spans="1:27" ht="48.75" thickBot="1" x14ac:dyDescent="0.3">
      <c r="A18" s="147" t="str">
        <f>CONCATENATE('3 pr-2'!A57)</f>
        <v>1.1.1.6.1</v>
      </c>
      <c r="B18" s="147" t="str">
        <f>CONCATENATE('3 pr-2'!B57)</f>
        <v>R01-0007-080000-1161</v>
      </c>
      <c r="C18" s="1133" t="str">
        <f>CONCATENATE('3 pr-2'!C57)</f>
        <v>05.1.1-APVA-R-007-11-0001</v>
      </c>
      <c r="D18" s="147" t="s">
        <v>319</v>
      </c>
      <c r="E18" s="147" t="s">
        <v>307</v>
      </c>
      <c r="F18" s="147" t="s">
        <v>77</v>
      </c>
      <c r="G18" s="147" t="s">
        <v>329</v>
      </c>
      <c r="H18" s="147" t="s">
        <v>180</v>
      </c>
      <c r="I18" s="40" t="s">
        <v>119</v>
      </c>
      <c r="J18" s="40" t="s">
        <v>66</v>
      </c>
      <c r="K18" s="40" t="s">
        <v>671</v>
      </c>
      <c r="L18" s="468">
        <f t="shared" ref="L18" si="5">SUM(M18:Q18)</f>
        <v>3999404.09</v>
      </c>
      <c r="M18" s="468">
        <v>0</v>
      </c>
      <c r="N18" s="468">
        <v>0</v>
      </c>
      <c r="O18" s="468">
        <v>599910.61</v>
      </c>
      <c r="P18" s="468">
        <v>0</v>
      </c>
      <c r="Q18" s="468">
        <v>3399493.48</v>
      </c>
      <c r="R18" s="788">
        <v>42475</v>
      </c>
      <c r="S18" s="1111">
        <v>42551</v>
      </c>
      <c r="T18" s="1111">
        <v>42726</v>
      </c>
      <c r="U18" s="1111">
        <v>42825</v>
      </c>
      <c r="V18" s="1111">
        <v>44196</v>
      </c>
      <c r="W18" s="67"/>
      <c r="X18" s="67"/>
      <c r="Y18" s="87"/>
    </row>
    <row r="19" spans="1:27" ht="28.5" customHeight="1" thickBot="1" x14ac:dyDescent="0.3">
      <c r="A19" s="498" t="s">
        <v>81</v>
      </c>
      <c r="B19" s="1102"/>
      <c r="C19" s="1102"/>
      <c r="D19" s="1651" t="s">
        <v>649</v>
      </c>
      <c r="E19" s="1660"/>
      <c r="F19" s="1660"/>
      <c r="G19" s="1660"/>
      <c r="H19" s="1660"/>
      <c r="I19" s="1660"/>
      <c r="J19" s="1660"/>
      <c r="K19" s="1661"/>
      <c r="L19" s="500">
        <f>SUM(L20:L21)</f>
        <v>41644.705882352944</v>
      </c>
      <c r="M19" s="500">
        <f t="shared" ref="M19:Q19" si="6">SUM(M20:M21)</f>
        <v>6246.7058823529414</v>
      </c>
      <c r="N19" s="500">
        <f t="shared" si="6"/>
        <v>0</v>
      </c>
      <c r="O19" s="500">
        <f t="shared" si="6"/>
        <v>0</v>
      </c>
      <c r="P19" s="500">
        <f t="shared" si="6"/>
        <v>0</v>
      </c>
      <c r="Q19" s="500">
        <f t="shared" si="6"/>
        <v>35398</v>
      </c>
      <c r="R19" s="148"/>
      <c r="S19" s="500"/>
      <c r="T19" s="500"/>
      <c r="U19" s="500"/>
      <c r="V19" s="500"/>
      <c r="W19" s="70">
        <v>35398</v>
      </c>
      <c r="X19" s="70">
        <f>SUM(W19*120/100)</f>
        <v>42477.599999999999</v>
      </c>
      <c r="Y19" s="70">
        <f>SUM(W19-Q19)</f>
        <v>0</v>
      </c>
    </row>
    <row r="20" spans="1:27" ht="36.75" thickBot="1" x14ac:dyDescent="0.3">
      <c r="A20" s="147" t="str">
        <f>CONCATENATE('3 pr-2'!A59)</f>
        <v>1.1.1.7.1</v>
      </c>
      <c r="B20" s="147" t="str">
        <f>CONCATENATE('3 pr-2'!B59)</f>
        <v>R01-8821-420000-1171</v>
      </c>
      <c r="C20" s="1133" t="str">
        <f>CONCATENATE('3 pr-2'!C59)</f>
        <v>05.4.1-LVPA-R-821-11-0002</v>
      </c>
      <c r="D20" s="147" t="s">
        <v>278</v>
      </c>
      <c r="E20" s="147" t="s">
        <v>368</v>
      </c>
      <c r="F20" s="147" t="s">
        <v>82</v>
      </c>
      <c r="G20" s="147" t="s">
        <v>187</v>
      </c>
      <c r="H20" s="324" t="s">
        <v>814</v>
      </c>
      <c r="I20" s="40" t="s">
        <v>119</v>
      </c>
      <c r="J20" s="40" t="s">
        <v>66</v>
      </c>
      <c r="K20" s="42" t="s">
        <v>66</v>
      </c>
      <c r="L20" s="42">
        <f>SUM(M20:Q20)</f>
        <v>41644.705882352944</v>
      </c>
      <c r="M20" s="42">
        <v>6246.7058823529414</v>
      </c>
      <c r="N20" s="42">
        <v>0</v>
      </c>
      <c r="O20" s="42">
        <v>0</v>
      </c>
      <c r="P20" s="42">
        <v>0</v>
      </c>
      <c r="Q20" s="42">
        <v>35398</v>
      </c>
      <c r="R20" s="788">
        <v>42604</v>
      </c>
      <c r="S20" s="550">
        <v>42635</v>
      </c>
      <c r="T20" s="550">
        <v>42755</v>
      </c>
      <c r="U20" s="550">
        <v>42855</v>
      </c>
      <c r="V20" s="550">
        <v>43830</v>
      </c>
      <c r="W20" s="67"/>
      <c r="X20" s="67"/>
      <c r="Y20" s="87"/>
    </row>
    <row r="21" spans="1:27" ht="15.75" thickBot="1" x14ac:dyDescent="0.3">
      <c r="A21" s="44"/>
      <c r="B21" s="41"/>
      <c r="C21" s="41"/>
      <c r="D21" s="41"/>
      <c r="E21" s="41"/>
      <c r="F21" s="41"/>
      <c r="G21" s="41"/>
      <c r="H21" s="41"/>
      <c r="I21" s="36"/>
      <c r="J21" s="36"/>
      <c r="K21" s="36"/>
      <c r="L21" s="36"/>
      <c r="M21" s="36"/>
      <c r="N21" s="36"/>
      <c r="O21" s="36"/>
      <c r="P21" s="36"/>
      <c r="Q21" s="36"/>
      <c r="R21" s="36"/>
      <c r="S21" s="36"/>
      <c r="T21" s="36"/>
      <c r="U21" s="36"/>
      <c r="V21" s="234"/>
      <c r="W21" s="67"/>
      <c r="X21" s="67"/>
      <c r="Y21" s="87"/>
    </row>
    <row r="22" spans="1:27" ht="30" customHeight="1" thickBot="1" x14ac:dyDescent="0.3">
      <c r="A22" s="498" t="s">
        <v>84</v>
      </c>
      <c r="B22" s="1102"/>
      <c r="C22" s="1102"/>
      <c r="D22" s="1651" t="s">
        <v>650</v>
      </c>
      <c r="E22" s="1660"/>
      <c r="F22" s="1660"/>
      <c r="G22" s="1660"/>
      <c r="H22" s="1660"/>
      <c r="I22" s="1660"/>
      <c r="J22" s="1660"/>
      <c r="K22" s="1661"/>
      <c r="L22" s="500">
        <f t="shared" ref="L22:Q22" si="7">SUM(L23:L23)</f>
        <v>783264.16</v>
      </c>
      <c r="M22" s="500">
        <f t="shared" si="7"/>
        <v>131322.34</v>
      </c>
      <c r="N22" s="500">
        <f t="shared" si="7"/>
        <v>352400.82</v>
      </c>
      <c r="O22" s="500">
        <f t="shared" si="7"/>
        <v>0</v>
      </c>
      <c r="P22" s="500">
        <f t="shared" si="7"/>
        <v>0</v>
      </c>
      <c r="Q22" s="500">
        <f t="shared" si="7"/>
        <v>299541</v>
      </c>
      <c r="R22" s="148"/>
      <c r="S22" s="500"/>
      <c r="T22" s="500"/>
      <c r="U22" s="500"/>
      <c r="V22" s="500"/>
      <c r="W22" s="70">
        <v>299541.3775</v>
      </c>
      <c r="X22" s="70">
        <f>SUM(W22*120/100)</f>
        <v>359449.65299999999</v>
      </c>
      <c r="Y22" s="70">
        <f>SUM(W22-Q22)</f>
        <v>0.37750000000232831</v>
      </c>
    </row>
    <row r="23" spans="1:27" ht="48.75" thickBot="1" x14ac:dyDescent="0.3">
      <c r="A23" s="189" t="str">
        <f>CONCATENATE('3 pr-2'!A64)</f>
        <v>1.1.1.8.2</v>
      </c>
      <c r="B23" s="189" t="str">
        <f>CONCATENATE('3 pr-2'!B64)</f>
        <v>R01-3305-330000-1182</v>
      </c>
      <c r="C23" s="1133" t="str">
        <f>CONCATENATE('3 pr-2'!C64)</f>
        <v>07.1.1-CPVA-R-305-11-0002</v>
      </c>
      <c r="D23" s="189" t="s">
        <v>334</v>
      </c>
      <c r="E23" s="189" t="s">
        <v>368</v>
      </c>
      <c r="F23" s="189" t="s">
        <v>116</v>
      </c>
      <c r="G23" s="189" t="s">
        <v>225</v>
      </c>
      <c r="H23" s="525" t="s">
        <v>143</v>
      </c>
      <c r="I23" s="590" t="s">
        <v>119</v>
      </c>
      <c r="J23" s="590" t="s">
        <v>168</v>
      </c>
      <c r="K23" s="468" t="s">
        <v>66</v>
      </c>
      <c r="L23" s="468">
        <f>SUM(M23:Q23)</f>
        <v>783264.16</v>
      </c>
      <c r="M23" s="468">
        <v>131322.34</v>
      </c>
      <c r="N23" s="468">
        <v>352400.82</v>
      </c>
      <c r="O23" s="468">
        <v>0</v>
      </c>
      <c r="P23" s="468">
        <v>0</v>
      </c>
      <c r="Q23" s="468">
        <v>299541</v>
      </c>
      <c r="R23" s="1111">
        <v>42614</v>
      </c>
      <c r="S23" s="1111">
        <v>42703</v>
      </c>
      <c r="T23" s="1111">
        <v>42762</v>
      </c>
      <c r="U23" s="1111">
        <v>42855</v>
      </c>
      <c r="V23" s="1144">
        <v>43465</v>
      </c>
      <c r="W23" s="67"/>
      <c r="X23" s="67"/>
      <c r="Y23" s="87"/>
    </row>
    <row r="24" spans="1:27" ht="33" customHeight="1" thickBot="1" x14ac:dyDescent="0.3">
      <c r="A24" s="498" t="s">
        <v>86</v>
      </c>
      <c r="B24" s="1102"/>
      <c r="C24" s="1102"/>
      <c r="D24" s="1651" t="s">
        <v>651</v>
      </c>
      <c r="E24" s="1660"/>
      <c r="F24" s="1660"/>
      <c r="G24" s="1660"/>
      <c r="H24" s="1660"/>
      <c r="I24" s="1660"/>
      <c r="J24" s="1660"/>
      <c r="K24" s="1661"/>
      <c r="L24" s="500">
        <f t="shared" ref="L24:Q24" si="8">SUM(L25:L25)</f>
        <v>242419</v>
      </c>
      <c r="M24" s="500">
        <f t="shared" si="8"/>
        <v>36363</v>
      </c>
      <c r="N24" s="500">
        <f t="shared" si="8"/>
        <v>0</v>
      </c>
      <c r="O24" s="500">
        <f t="shared" si="8"/>
        <v>0</v>
      </c>
      <c r="P24" s="500">
        <f t="shared" si="8"/>
        <v>0</v>
      </c>
      <c r="Q24" s="500">
        <f t="shared" si="8"/>
        <v>206056</v>
      </c>
      <c r="R24" s="148"/>
      <c r="S24" s="500"/>
      <c r="T24" s="500"/>
      <c r="U24" s="500"/>
      <c r="V24" s="500"/>
      <c r="W24" s="70">
        <v>206056.31</v>
      </c>
      <c r="X24" s="70">
        <f>SUM(W24*120/100)</f>
        <v>247267.57199999999</v>
      </c>
      <c r="Y24" s="70">
        <f>SUM(W24-Q24)</f>
        <v>0.30999999999767169</v>
      </c>
    </row>
    <row r="25" spans="1:27" ht="36.75" thickBot="1" x14ac:dyDescent="0.3">
      <c r="A25" s="217" t="str">
        <f>CONCATENATE('3 pr-2'!A68)</f>
        <v>1.1.1.9.1</v>
      </c>
      <c r="B25" s="217" t="str">
        <f>CONCATENATE('3 pr-2'!B68)</f>
        <v>R01-3302-440000-1191</v>
      </c>
      <c r="C25" s="1134" t="str">
        <f>CONCATENATE('3 pr-2'!C68)</f>
        <v/>
      </c>
      <c r="D25" s="147" t="s">
        <v>672</v>
      </c>
      <c r="E25" s="147" t="s">
        <v>368</v>
      </c>
      <c r="F25" s="147" t="s">
        <v>116</v>
      </c>
      <c r="G25" s="147" t="s">
        <v>329</v>
      </c>
      <c r="H25" s="324" t="s">
        <v>183</v>
      </c>
      <c r="I25" s="40" t="s">
        <v>119</v>
      </c>
      <c r="J25" s="40" t="s">
        <v>168</v>
      </c>
      <c r="K25" s="42" t="s">
        <v>671</v>
      </c>
      <c r="L25" s="468">
        <f>SUM(M25:Q25)</f>
        <v>242419</v>
      </c>
      <c r="M25" s="468">
        <v>36363</v>
      </c>
      <c r="N25" s="42">
        <v>0</v>
      </c>
      <c r="O25" s="42">
        <v>0</v>
      </c>
      <c r="P25" s="42">
        <v>0</v>
      </c>
      <c r="Q25" s="42">
        <v>206056</v>
      </c>
      <c r="R25" s="788">
        <v>42667</v>
      </c>
      <c r="S25" s="550">
        <v>42794</v>
      </c>
      <c r="T25" s="550">
        <v>43220</v>
      </c>
      <c r="U25" s="550">
        <v>43281</v>
      </c>
      <c r="V25" s="1111">
        <v>44196</v>
      </c>
      <c r="W25" s="67"/>
      <c r="X25" s="67"/>
      <c r="Y25" s="87"/>
    </row>
    <row r="26" spans="1:27" ht="37.5" customHeight="1" thickBot="1" x14ac:dyDescent="0.3">
      <c r="A26" s="216" t="s">
        <v>22</v>
      </c>
      <c r="B26" s="1106"/>
      <c r="C26" s="1106"/>
      <c r="D26" s="1643" t="s">
        <v>652</v>
      </c>
      <c r="E26" s="1658"/>
      <c r="F26" s="1658"/>
      <c r="G26" s="1658"/>
      <c r="H26" s="1658"/>
      <c r="I26" s="1658"/>
      <c r="J26" s="1658"/>
      <c r="K26" s="1659"/>
      <c r="L26" s="196">
        <f t="shared" ref="L26:Q26" si="9">SUM(L27+L29+L32+L34)</f>
        <v>2912409.9682352943</v>
      </c>
      <c r="M26" s="196">
        <f t="shared" si="9"/>
        <v>439284.39823529415</v>
      </c>
      <c r="N26" s="196">
        <f t="shared" si="9"/>
        <v>0</v>
      </c>
      <c r="O26" s="196">
        <f t="shared" si="9"/>
        <v>0</v>
      </c>
      <c r="P26" s="196">
        <f t="shared" si="9"/>
        <v>0</v>
      </c>
      <c r="Q26" s="196">
        <f t="shared" si="9"/>
        <v>2457575.06</v>
      </c>
      <c r="R26" s="196"/>
      <c r="S26" s="584"/>
      <c r="T26" s="584"/>
      <c r="U26" s="584"/>
      <c r="V26" s="586"/>
      <c r="W26" s="69">
        <f>SUM(W27+W29+W32+W34)</f>
        <v>2321465.56</v>
      </c>
      <c r="X26" s="69">
        <f>SUM(X27+X29+X32+X34)</f>
        <v>2785758.6720000003</v>
      </c>
      <c r="Y26" s="69">
        <f>SUM(Y27+Y29+Y32+Y34)</f>
        <v>-107517.19999999995</v>
      </c>
    </row>
    <row r="27" spans="1:27" ht="31.5" customHeight="1" thickBot="1" x14ac:dyDescent="0.3">
      <c r="A27" s="498" t="s">
        <v>88</v>
      </c>
      <c r="B27" s="1102"/>
      <c r="C27" s="1102"/>
      <c r="D27" s="1651" t="s">
        <v>653</v>
      </c>
      <c r="E27" s="1660"/>
      <c r="F27" s="1660"/>
      <c r="G27" s="1660"/>
      <c r="H27" s="1660"/>
      <c r="I27" s="1660"/>
      <c r="J27" s="1660"/>
      <c r="K27" s="1661"/>
      <c r="L27" s="500">
        <f t="shared" ref="L27:Q27" si="10">SUM(L28:L28)</f>
        <v>406090.5882352941</v>
      </c>
      <c r="M27" s="500">
        <f t="shared" si="10"/>
        <v>60913.588235294119</v>
      </c>
      <c r="N27" s="500">
        <f t="shared" si="10"/>
        <v>0</v>
      </c>
      <c r="O27" s="500">
        <f t="shared" si="10"/>
        <v>0</v>
      </c>
      <c r="P27" s="500">
        <f t="shared" si="10"/>
        <v>0</v>
      </c>
      <c r="Q27" s="500">
        <f t="shared" si="10"/>
        <v>345177</v>
      </c>
      <c r="R27" s="148"/>
      <c r="S27" s="500"/>
      <c r="T27" s="500"/>
      <c r="U27" s="500"/>
      <c r="V27" s="500"/>
      <c r="W27" s="70">
        <v>345177</v>
      </c>
      <c r="X27" s="70">
        <f>SUM(W27*120/100)</f>
        <v>414212.4</v>
      </c>
      <c r="Y27" s="70">
        <f>SUM(W27-Q27)</f>
        <v>0</v>
      </c>
    </row>
    <row r="28" spans="1:27" ht="48.75" thickBot="1" x14ac:dyDescent="0.3">
      <c r="A28" s="848" t="str">
        <f>CONCATENATE('3 pr-2'!A75)</f>
        <v>1.1.2.1.1</v>
      </c>
      <c r="B28" s="848" t="str">
        <f>CONCATENATE('3 pr-2'!B75)</f>
        <v>R01-5518-100000-1211</v>
      </c>
      <c r="C28" s="1135" t="str">
        <f>CONCATENATE('3 pr-2'!C75)</f>
        <v/>
      </c>
      <c r="D28" s="848" t="s">
        <v>336</v>
      </c>
      <c r="E28" s="848" t="s">
        <v>368</v>
      </c>
      <c r="F28" s="848" t="s">
        <v>115</v>
      </c>
      <c r="G28" s="848" t="s">
        <v>329</v>
      </c>
      <c r="H28" s="851" t="s">
        <v>135</v>
      </c>
      <c r="I28" s="850" t="s">
        <v>119</v>
      </c>
      <c r="J28" s="850" t="s">
        <v>168</v>
      </c>
      <c r="K28" s="849" t="s">
        <v>66</v>
      </c>
      <c r="L28" s="849">
        <f>SUM(M28:Q28)</f>
        <v>406090.5882352941</v>
      </c>
      <c r="M28" s="849">
        <f>SUM(Q28*15/85)</f>
        <v>60913.588235294119</v>
      </c>
      <c r="N28" s="849" t="s">
        <v>66</v>
      </c>
      <c r="O28" s="849">
        <v>0</v>
      </c>
      <c r="P28" s="849">
        <v>0</v>
      </c>
      <c r="Q28" s="849">
        <v>345177</v>
      </c>
      <c r="R28" s="1118">
        <v>42877</v>
      </c>
      <c r="S28" s="245">
        <v>43281</v>
      </c>
      <c r="T28" s="245">
        <v>43455</v>
      </c>
      <c r="U28" s="245">
        <v>43554</v>
      </c>
      <c r="V28" s="245">
        <v>43920</v>
      </c>
      <c r="W28" s="67"/>
      <c r="X28" s="67"/>
      <c r="Y28" s="87"/>
      <c r="Z28" s="85">
        <f>SUM(365/12)</f>
        <v>30.416666666666668</v>
      </c>
      <c r="AA28" s="85">
        <f>SUM(V28-U28)/Z28</f>
        <v>12.032876712328767</v>
      </c>
    </row>
    <row r="29" spans="1:27" ht="30" customHeight="1" thickBot="1" x14ac:dyDescent="0.3">
      <c r="A29" s="498" t="s">
        <v>90</v>
      </c>
      <c r="B29" s="1102"/>
      <c r="C29" s="1102"/>
      <c r="D29" s="1651" t="s">
        <v>654</v>
      </c>
      <c r="E29" s="1660"/>
      <c r="F29" s="1660"/>
      <c r="G29" s="1660"/>
      <c r="H29" s="1660"/>
      <c r="I29" s="1660"/>
      <c r="J29" s="1660"/>
      <c r="K29" s="1661"/>
      <c r="L29" s="500">
        <f t="shared" ref="L29:Q29" si="11">SUM(L30:L31)</f>
        <v>1177107.6499999999</v>
      </c>
      <c r="M29" s="500">
        <f t="shared" si="11"/>
        <v>176566.15000000002</v>
      </c>
      <c r="N29" s="500">
        <f t="shared" si="11"/>
        <v>0</v>
      </c>
      <c r="O29" s="500">
        <f t="shared" si="11"/>
        <v>0</v>
      </c>
      <c r="P29" s="500">
        <f t="shared" si="11"/>
        <v>0</v>
      </c>
      <c r="Q29" s="500">
        <f t="shared" si="11"/>
        <v>1000541.5</v>
      </c>
      <c r="R29" s="148"/>
      <c r="S29" s="500"/>
      <c r="T29" s="500"/>
      <c r="U29" s="500"/>
      <c r="V29" s="500"/>
      <c r="W29" s="70">
        <v>864432</v>
      </c>
      <c r="X29" s="70">
        <f>SUM(W29*120/100)</f>
        <v>1037318.4</v>
      </c>
      <c r="Y29" s="71">
        <f>SUM(W29-(Q29-Q31))</f>
        <v>-107517.19999999995</v>
      </c>
    </row>
    <row r="30" spans="1:27" s="89" customFormat="1" ht="48.75" thickBot="1" x14ac:dyDescent="0.3">
      <c r="A30" s="217" t="str">
        <f>CONCATENATE('3 pr-2'!A80)</f>
        <v>1.1.2.2.1</v>
      </c>
      <c r="B30" s="217" t="str">
        <f>CONCATENATE('3 pr-2'!B80)</f>
        <v>R01-5514-190000-1221</v>
      </c>
      <c r="C30" s="1134" t="str">
        <f>CONCATENATE('3 pr-2'!C80)</f>
        <v/>
      </c>
      <c r="D30" s="147" t="s">
        <v>414</v>
      </c>
      <c r="E30" s="147" t="s">
        <v>368</v>
      </c>
      <c r="F30" s="147" t="s">
        <v>115</v>
      </c>
      <c r="G30" s="147" t="s">
        <v>329</v>
      </c>
      <c r="H30" s="324" t="s">
        <v>147</v>
      </c>
      <c r="I30" s="40" t="s">
        <v>119</v>
      </c>
      <c r="J30" s="40" t="s">
        <v>66</v>
      </c>
      <c r="K30" s="40" t="s">
        <v>66</v>
      </c>
      <c r="L30" s="1200">
        <f>SUM(M30:Q30)</f>
        <v>1143469.6499999999</v>
      </c>
      <c r="M30" s="1200">
        <v>171520.45</v>
      </c>
      <c r="N30" s="1110">
        <v>0</v>
      </c>
      <c r="O30" s="1110">
        <v>0</v>
      </c>
      <c r="P30" s="1110">
        <v>0</v>
      </c>
      <c r="Q30" s="1200">
        <v>971949.2</v>
      </c>
      <c r="R30" s="788">
        <v>43130</v>
      </c>
      <c r="S30" s="1117">
        <v>43358</v>
      </c>
      <c r="T30" s="1117">
        <v>43449</v>
      </c>
      <c r="U30" s="1117">
        <v>43539</v>
      </c>
      <c r="V30" s="1117">
        <v>44195</v>
      </c>
      <c r="W30" s="88"/>
      <c r="X30" s="88"/>
      <c r="Y30" s="88"/>
    </row>
    <row r="31" spans="1:27" s="89" customFormat="1" ht="48.75" thickBot="1" x14ac:dyDescent="0.3">
      <c r="A31" s="786" t="str">
        <f>CONCATENATE('3 pr-2'!A81)</f>
        <v>1.1.2.2.2</v>
      </c>
      <c r="B31" s="786" t="str">
        <f>CONCATENATE('3 pr-2'!B81)</f>
        <v>R01-5514-190000-1222</v>
      </c>
      <c r="C31" s="1134" t="str">
        <f>CONCATENATE('3 pr-2'!C81)</f>
        <v>04.5.1-TID-V-513-01-0015</v>
      </c>
      <c r="D31" s="189" t="s">
        <v>673</v>
      </c>
      <c r="E31" s="189" t="s">
        <v>368</v>
      </c>
      <c r="F31" s="189" t="s">
        <v>115</v>
      </c>
      <c r="G31" s="189" t="s">
        <v>329</v>
      </c>
      <c r="H31" s="525" t="s">
        <v>276</v>
      </c>
      <c r="I31" s="590" t="s">
        <v>162</v>
      </c>
      <c r="J31" s="590" t="s">
        <v>168</v>
      </c>
      <c r="K31" s="590" t="s">
        <v>66</v>
      </c>
      <c r="L31" s="468">
        <f>SUM(M31:Q31)</f>
        <v>33638</v>
      </c>
      <c r="M31" s="468">
        <v>5045.7</v>
      </c>
      <c r="N31" s="468">
        <v>0</v>
      </c>
      <c r="O31" s="468">
        <v>0</v>
      </c>
      <c r="P31" s="468">
        <v>0</v>
      </c>
      <c r="Q31" s="468">
        <v>28592.3</v>
      </c>
      <c r="R31" s="1111">
        <v>42643</v>
      </c>
      <c r="S31" s="1114">
        <v>42674</v>
      </c>
      <c r="T31" s="1114">
        <v>42855</v>
      </c>
      <c r="U31" s="1114">
        <v>42947</v>
      </c>
      <c r="V31" s="789">
        <v>43281</v>
      </c>
      <c r="W31" s="787"/>
      <c r="X31" s="787"/>
      <c r="Y31" s="787"/>
    </row>
    <row r="32" spans="1:27" ht="27.75" customHeight="1" thickBot="1" x14ac:dyDescent="0.3">
      <c r="A32" s="498" t="s">
        <v>92</v>
      </c>
      <c r="B32" s="1102"/>
      <c r="C32" s="1102"/>
      <c r="D32" s="1651" t="s">
        <v>655</v>
      </c>
      <c r="E32" s="1660"/>
      <c r="F32" s="1660"/>
      <c r="G32" s="1660"/>
      <c r="H32" s="1660"/>
      <c r="I32" s="1660"/>
      <c r="J32" s="1660"/>
      <c r="K32" s="1661"/>
      <c r="L32" s="500">
        <f>SUM(L33:L33)</f>
        <v>133670.07</v>
      </c>
      <c r="M32" s="500">
        <v>4500</v>
      </c>
      <c r="N32" s="500">
        <f>SUM(N33:N33)</f>
        <v>0</v>
      </c>
      <c r="O32" s="500">
        <f>SUM(O33:O33)</f>
        <v>0</v>
      </c>
      <c r="P32" s="500">
        <f>SUM(P33:P33)</f>
        <v>0</v>
      </c>
      <c r="Q32" s="500">
        <f>SUM(Q33:Q33)</f>
        <v>113619.56</v>
      </c>
      <c r="R32" s="148"/>
      <c r="S32" s="500"/>
      <c r="T32" s="500"/>
      <c r="U32" s="500"/>
      <c r="V32" s="500"/>
      <c r="W32" s="70">
        <v>113619.56</v>
      </c>
      <c r="X32" s="70">
        <f>SUM(W32*120/100)</f>
        <v>136343.47199999998</v>
      </c>
      <c r="Y32" s="70">
        <f>SUM(W32-Q32)</f>
        <v>0</v>
      </c>
    </row>
    <row r="33" spans="1:25" s="89" customFormat="1" ht="48.75" thickBot="1" x14ac:dyDescent="0.3">
      <c r="A33" s="189" t="str">
        <f>CONCATENATE('3 pr-2'!A88)</f>
        <v>1.1.2.3.2</v>
      </c>
      <c r="B33" s="189" t="str">
        <f>CONCATENATE('3 pr-2'!B88)</f>
        <v>R01-5516-190000-1232</v>
      </c>
      <c r="C33" s="1133" t="str">
        <f>CONCATENATE('3 pr-2'!C88)</f>
        <v>04.5.1-TID-R-516-11-0001</v>
      </c>
      <c r="D33" s="189" t="s">
        <v>674</v>
      </c>
      <c r="E33" s="189" t="s">
        <v>368</v>
      </c>
      <c r="F33" s="189" t="s">
        <v>115</v>
      </c>
      <c r="G33" s="189" t="s">
        <v>329</v>
      </c>
      <c r="H33" s="525" t="s">
        <v>148</v>
      </c>
      <c r="I33" s="590" t="s">
        <v>119</v>
      </c>
      <c r="J33" s="590" t="s">
        <v>168</v>
      </c>
      <c r="K33" s="468" t="s">
        <v>66</v>
      </c>
      <c r="L33" s="468">
        <f>SUM(M33:Q33)</f>
        <v>133670.07</v>
      </c>
      <c r="M33" s="468">
        <v>20050.509999999998</v>
      </c>
      <c r="N33" s="468">
        <v>0</v>
      </c>
      <c r="O33" s="468">
        <v>0</v>
      </c>
      <c r="P33" s="468">
        <v>0</v>
      </c>
      <c r="Q33" s="468">
        <v>113619.56</v>
      </c>
      <c r="R33" s="1111">
        <v>42660</v>
      </c>
      <c r="S33" s="1111">
        <v>42643</v>
      </c>
      <c r="T33" s="1111">
        <v>42916</v>
      </c>
      <c r="U33" s="1111">
        <v>42978</v>
      </c>
      <c r="V33" s="1111">
        <v>43465</v>
      </c>
      <c r="W33" s="88"/>
      <c r="X33" s="88"/>
      <c r="Y33" s="592"/>
    </row>
    <row r="34" spans="1:25" ht="29.25" customHeight="1" thickBot="1" x14ac:dyDescent="0.3">
      <c r="A34" s="498" t="s">
        <v>94</v>
      </c>
      <c r="B34" s="1102"/>
      <c r="C34" s="1102"/>
      <c r="D34" s="1651" t="s">
        <v>656</v>
      </c>
      <c r="E34" s="1660"/>
      <c r="F34" s="1660"/>
      <c r="G34" s="1660"/>
      <c r="H34" s="1660"/>
      <c r="I34" s="1660"/>
      <c r="J34" s="1660"/>
      <c r="K34" s="1661"/>
      <c r="L34" s="500">
        <f t="shared" ref="L34:Q34" si="12">SUM(L35:L36)</f>
        <v>1195541.6600000001</v>
      </c>
      <c r="M34" s="500">
        <f t="shared" si="12"/>
        <v>197304.66</v>
      </c>
      <c r="N34" s="500">
        <f t="shared" si="12"/>
        <v>0</v>
      </c>
      <c r="O34" s="500">
        <f t="shared" si="12"/>
        <v>0</v>
      </c>
      <c r="P34" s="500">
        <f t="shared" si="12"/>
        <v>0</v>
      </c>
      <c r="Q34" s="500">
        <f t="shared" si="12"/>
        <v>998237</v>
      </c>
      <c r="R34" s="148"/>
      <c r="S34" s="500"/>
      <c r="T34" s="500"/>
      <c r="U34" s="500"/>
      <c r="V34" s="500"/>
      <c r="W34" s="70">
        <v>998237</v>
      </c>
      <c r="X34" s="70">
        <f>SUM(W34*120/100)</f>
        <v>1197884.3999999999</v>
      </c>
      <c r="Y34" s="70">
        <f>SUM(W34-Q34)</f>
        <v>0</v>
      </c>
    </row>
    <row r="35" spans="1:25" s="89" customFormat="1" ht="48.75" customHeight="1" thickBot="1" x14ac:dyDescent="0.3">
      <c r="A35" s="189" t="str">
        <f>CONCATENATE('3 pr-2'!A94)</f>
        <v>1.1.2.4.2</v>
      </c>
      <c r="B35" s="189" t="str">
        <f>CONCATENATE('3 pr-2'!B94)</f>
        <v>R01-5511-110000-1242</v>
      </c>
      <c r="C35" s="1133" t="str">
        <f>CONCATENATE('3 pr-2'!C94)</f>
        <v>06.2.1-TID-R-511-11-0001</v>
      </c>
      <c r="D35" s="189" t="s">
        <v>675</v>
      </c>
      <c r="E35" s="189" t="s">
        <v>368</v>
      </c>
      <c r="F35" s="189" t="s">
        <v>115</v>
      </c>
      <c r="G35" s="189" t="s">
        <v>329</v>
      </c>
      <c r="H35" s="525" t="s">
        <v>141</v>
      </c>
      <c r="I35" s="590" t="s">
        <v>119</v>
      </c>
      <c r="J35" s="590" t="s">
        <v>168</v>
      </c>
      <c r="K35" s="468" t="s">
        <v>66</v>
      </c>
      <c r="L35" s="468">
        <f>SUM(M35:Q35)</f>
        <v>879927.06</v>
      </c>
      <c r="M35" s="468">
        <v>131989.06</v>
      </c>
      <c r="N35" s="468">
        <v>0</v>
      </c>
      <c r="O35" s="468">
        <v>0</v>
      </c>
      <c r="P35" s="468">
        <v>0</v>
      </c>
      <c r="Q35" s="468">
        <v>747938</v>
      </c>
      <c r="R35" s="1111">
        <v>42639</v>
      </c>
      <c r="S35" s="1111">
        <v>42732</v>
      </c>
      <c r="T35" s="1111">
        <v>42855</v>
      </c>
      <c r="U35" s="1111">
        <v>42947</v>
      </c>
      <c r="V35" s="1144">
        <v>43465</v>
      </c>
      <c r="W35" s="88"/>
      <c r="X35" s="88"/>
      <c r="Y35" s="592"/>
    </row>
    <row r="36" spans="1:25" ht="48.75" thickBot="1" x14ac:dyDescent="0.3">
      <c r="A36" s="147" t="str">
        <f>CONCATENATE('3 pr-2'!A95)</f>
        <v>1.1.2.4.3.</v>
      </c>
      <c r="B36" s="147" t="str">
        <f>CONCATENATE('3 pr-2'!B95)</f>
        <v>R01-5511-500000-1243</v>
      </c>
      <c r="C36" s="1133" t="str">
        <f>CONCATENATE('3 pr-2'!C95)</f>
        <v/>
      </c>
      <c r="D36" s="147" t="s">
        <v>285</v>
      </c>
      <c r="E36" s="147" t="s">
        <v>368</v>
      </c>
      <c r="F36" s="147" t="s">
        <v>115</v>
      </c>
      <c r="G36" s="147" t="s">
        <v>329</v>
      </c>
      <c r="H36" s="324" t="s">
        <v>141</v>
      </c>
      <c r="I36" s="40" t="s">
        <v>119</v>
      </c>
      <c r="J36" s="42" t="s">
        <v>66</v>
      </c>
      <c r="K36" s="42" t="s">
        <v>66</v>
      </c>
      <c r="L36" s="42">
        <f>SUM(M36:Q36)</f>
        <v>315614.59999999998</v>
      </c>
      <c r="M36" s="42">
        <v>65315.6</v>
      </c>
      <c r="N36" s="42">
        <v>0</v>
      </c>
      <c r="O36" s="42">
        <v>0</v>
      </c>
      <c r="P36" s="42">
        <v>0</v>
      </c>
      <c r="Q36" s="42">
        <v>250299</v>
      </c>
      <c r="R36" s="788">
        <v>42639</v>
      </c>
      <c r="S36" s="550">
        <v>42732</v>
      </c>
      <c r="T36" s="886">
        <v>43342</v>
      </c>
      <c r="U36" s="886">
        <v>43434</v>
      </c>
      <c r="V36" s="1111">
        <v>43829</v>
      </c>
      <c r="W36" s="67"/>
      <c r="X36" s="67"/>
      <c r="Y36" s="87"/>
    </row>
    <row r="37" spans="1:25" ht="41.25" customHeight="1" thickBot="1" x14ac:dyDescent="0.3">
      <c r="A37" s="224" t="s">
        <v>27</v>
      </c>
      <c r="B37" s="1107"/>
      <c r="C37" s="1107"/>
      <c r="D37" s="1663" t="s">
        <v>657</v>
      </c>
      <c r="E37" s="1664"/>
      <c r="F37" s="1664"/>
      <c r="G37" s="1664"/>
      <c r="H37" s="1664"/>
      <c r="I37" s="1664"/>
      <c r="J37" s="1664"/>
      <c r="K37" s="1665"/>
      <c r="L37" s="218">
        <f t="shared" ref="L37:Q37" si="13">SUM(L38+L45+L60+L65)</f>
        <v>4052989.91</v>
      </c>
      <c r="M37" s="218">
        <f t="shared" si="13"/>
        <v>667401.43000000005</v>
      </c>
      <c r="N37" s="218">
        <f t="shared" si="13"/>
        <v>126835.88</v>
      </c>
      <c r="O37" s="218">
        <f t="shared" si="13"/>
        <v>9566</v>
      </c>
      <c r="P37" s="218">
        <f t="shared" si="13"/>
        <v>0</v>
      </c>
      <c r="Q37" s="218">
        <f t="shared" si="13"/>
        <v>3249186.6</v>
      </c>
      <c r="R37" s="218"/>
      <c r="S37" s="225"/>
      <c r="T37" s="225"/>
      <c r="U37" s="225"/>
      <c r="V37" s="236"/>
      <c r="W37" s="68">
        <f>SUM(W38+W45+W60+W65)</f>
        <v>3269394.4765073806</v>
      </c>
      <c r="X37" s="68">
        <f>SUM(X38+X45+X60+X65)</f>
        <v>3923273.3718088567</v>
      </c>
      <c r="Y37" s="68">
        <f>SUM(Y38+Y45+Y60+Y65)</f>
        <v>34692.876507380279</v>
      </c>
    </row>
    <row r="38" spans="1:25" ht="48.75" customHeight="1" thickBot="1" x14ac:dyDescent="0.3">
      <c r="A38" s="216" t="s">
        <v>28</v>
      </c>
      <c r="B38" s="1106"/>
      <c r="C38" s="1106"/>
      <c r="D38" s="1653" t="s">
        <v>658</v>
      </c>
      <c r="E38" s="1666"/>
      <c r="F38" s="1666"/>
      <c r="G38" s="1666"/>
      <c r="H38" s="1666"/>
      <c r="I38" s="1666"/>
      <c r="J38" s="1666"/>
      <c r="K38" s="1667"/>
      <c r="L38" s="196">
        <f t="shared" ref="L38:Q38" si="14">SUM(L39+L41+L43)</f>
        <v>1236385</v>
      </c>
      <c r="M38" s="196">
        <f t="shared" si="14"/>
        <v>122533</v>
      </c>
      <c r="N38" s="196">
        <f t="shared" si="14"/>
        <v>62926</v>
      </c>
      <c r="O38" s="196">
        <f t="shared" si="14"/>
        <v>0</v>
      </c>
      <c r="P38" s="196">
        <f t="shared" si="14"/>
        <v>0</v>
      </c>
      <c r="Q38" s="196">
        <f t="shared" si="14"/>
        <v>1050926</v>
      </c>
      <c r="R38" s="196"/>
      <c r="S38" s="197"/>
      <c r="T38" s="197"/>
      <c r="U38" s="197"/>
      <c r="V38" s="237"/>
      <c r="W38" s="69">
        <f>SUM(W39+W41+W43)</f>
        <v>1076765.1324731898</v>
      </c>
      <c r="X38" s="69">
        <f>SUM(X39+X41+X43)</f>
        <v>1292118.1589678279</v>
      </c>
      <c r="Y38" s="69">
        <f>SUM(Y39+Y41+Y43)</f>
        <v>25839.132473189879</v>
      </c>
    </row>
    <row r="39" spans="1:25" ht="39.75" customHeight="1" thickBot="1" x14ac:dyDescent="0.3">
      <c r="A39" s="498" t="s">
        <v>96</v>
      </c>
      <c r="B39" s="1102"/>
      <c r="C39" s="1102"/>
      <c r="D39" s="1651" t="s">
        <v>659</v>
      </c>
      <c r="E39" s="1660"/>
      <c r="F39" s="1660"/>
      <c r="G39" s="1660"/>
      <c r="H39" s="1660"/>
      <c r="I39" s="1660"/>
      <c r="J39" s="1660"/>
      <c r="K39" s="1661"/>
      <c r="L39" s="500">
        <f t="shared" ref="L39:Q39" si="15">SUM(L40:L40)</f>
        <v>657021</v>
      </c>
      <c r="M39" s="500">
        <f t="shared" si="15"/>
        <v>49277</v>
      </c>
      <c r="N39" s="500">
        <f t="shared" si="15"/>
        <v>49277</v>
      </c>
      <c r="O39" s="500">
        <f t="shared" si="15"/>
        <v>0</v>
      </c>
      <c r="P39" s="500">
        <f t="shared" si="15"/>
        <v>0</v>
      </c>
      <c r="Q39" s="500">
        <f t="shared" si="15"/>
        <v>558467</v>
      </c>
      <c r="R39" s="148"/>
      <c r="S39" s="500"/>
      <c r="T39" s="500"/>
      <c r="U39" s="500"/>
      <c r="V39" s="500"/>
      <c r="W39" s="70">
        <v>558467</v>
      </c>
      <c r="X39" s="70">
        <f>SUM(W39*120/100)</f>
        <v>670160.4</v>
      </c>
      <c r="Y39" s="70">
        <f>SUM(W39-Q39)</f>
        <v>0</v>
      </c>
    </row>
    <row r="40" spans="1:25" ht="48.75" thickBot="1" x14ac:dyDescent="0.3">
      <c r="A40" s="147" t="str">
        <f>CONCATENATE('3 pr-2'!A105)</f>
        <v>2.1.1.1.3</v>
      </c>
      <c r="B40" s="147" t="str">
        <f>CONCATENATE('3 pr-2'!B105)</f>
        <v>R01-7724-220000-2113</v>
      </c>
      <c r="C40" s="1133" t="str">
        <f>CONCATENATE('3 pr-2'!C105)</f>
        <v xml:space="preserve">09.1.3-CPVA-R-724-11-0002 </v>
      </c>
      <c r="D40" s="147" t="s">
        <v>676</v>
      </c>
      <c r="E40" s="147" t="s">
        <v>368</v>
      </c>
      <c r="F40" s="147" t="s">
        <v>97</v>
      </c>
      <c r="G40" s="147" t="s">
        <v>329</v>
      </c>
      <c r="H40" s="324" t="s">
        <v>136</v>
      </c>
      <c r="I40" s="40" t="s">
        <v>119</v>
      </c>
      <c r="J40" s="40" t="s">
        <v>66</v>
      </c>
      <c r="K40" s="42" t="s">
        <v>66</v>
      </c>
      <c r="L40" s="42">
        <f>SUM(M40:Q40)</f>
        <v>657021</v>
      </c>
      <c r="M40" s="42">
        <v>49277</v>
      </c>
      <c r="N40" s="42">
        <v>49277</v>
      </c>
      <c r="O40" s="42">
        <v>0</v>
      </c>
      <c r="P40" s="42">
        <v>0</v>
      </c>
      <c r="Q40" s="42">
        <v>558467</v>
      </c>
      <c r="R40" s="788">
        <v>42877</v>
      </c>
      <c r="S40" s="550">
        <v>42947</v>
      </c>
      <c r="T40" s="550">
        <v>42992</v>
      </c>
      <c r="U40" s="550">
        <v>43100</v>
      </c>
      <c r="V40" s="799">
        <f>SUM('IV-1 su proj'!CH104)</f>
        <v>44012</v>
      </c>
      <c r="W40" s="67"/>
      <c r="X40" s="67"/>
      <c r="Y40" s="67"/>
    </row>
    <row r="41" spans="1:25" ht="29.25" customHeight="1" thickBot="1" x14ac:dyDescent="0.3">
      <c r="A41" s="498" t="s">
        <v>99</v>
      </c>
      <c r="B41" s="1102"/>
      <c r="C41" s="1102"/>
      <c r="D41" s="1651" t="s">
        <v>660</v>
      </c>
      <c r="E41" s="1660"/>
      <c r="F41" s="1660"/>
      <c r="G41" s="1660"/>
      <c r="H41" s="1660"/>
      <c r="I41" s="1660"/>
      <c r="J41" s="1660"/>
      <c r="K41" s="1661"/>
      <c r="L41" s="500">
        <f t="shared" ref="L41:Q41" si="16">SUM(L42:L42)</f>
        <v>397378</v>
      </c>
      <c r="M41" s="500">
        <f t="shared" si="16"/>
        <v>59607</v>
      </c>
      <c r="N41" s="500">
        <f t="shared" si="16"/>
        <v>0</v>
      </c>
      <c r="O41" s="500">
        <f t="shared" si="16"/>
        <v>0</v>
      </c>
      <c r="P41" s="500">
        <f t="shared" si="16"/>
        <v>0</v>
      </c>
      <c r="Q41" s="500">
        <f t="shared" si="16"/>
        <v>337771</v>
      </c>
      <c r="R41" s="148"/>
      <c r="S41" s="500"/>
      <c r="T41" s="500"/>
      <c r="U41" s="500"/>
      <c r="V41" s="500"/>
      <c r="W41" s="70">
        <v>337771</v>
      </c>
      <c r="X41" s="70">
        <f>SUM(W41*120/100)</f>
        <v>405325.2</v>
      </c>
      <c r="Y41" s="70">
        <f>SUM(W41-Q41)</f>
        <v>0</v>
      </c>
    </row>
    <row r="42" spans="1:25" ht="48.75" thickBot="1" x14ac:dyDescent="0.3">
      <c r="A42" s="147" t="str">
        <f>CONCATENATE('3 pr-2'!A111)</f>
        <v>2.1.1.2.3</v>
      </c>
      <c r="B42" s="147" t="str">
        <f>CONCATENATE('3 pr-2'!B111)</f>
        <v>R01-7725-240000-2123</v>
      </c>
      <c r="C42" s="1133" t="str">
        <f>CONCATENATE('3 pr-2'!C111)</f>
        <v>09.1.3-CPVA-R-725-11-0004</v>
      </c>
      <c r="D42" s="147" t="s">
        <v>219</v>
      </c>
      <c r="E42" s="147" t="s">
        <v>368</v>
      </c>
      <c r="F42" s="147" t="s">
        <v>97</v>
      </c>
      <c r="G42" s="147" t="s">
        <v>329</v>
      </c>
      <c r="H42" s="324" t="s">
        <v>139</v>
      </c>
      <c r="I42" s="40" t="s">
        <v>119</v>
      </c>
      <c r="J42" s="40" t="s">
        <v>66</v>
      </c>
      <c r="K42" s="42" t="s">
        <v>66</v>
      </c>
      <c r="L42" s="42">
        <f>SUM(M42:Q42)</f>
        <v>397378</v>
      </c>
      <c r="M42" s="42">
        <v>59607</v>
      </c>
      <c r="N42" s="42">
        <v>0</v>
      </c>
      <c r="O42" s="42">
        <v>0</v>
      </c>
      <c r="P42" s="42">
        <v>0</v>
      </c>
      <c r="Q42" s="42">
        <v>337771</v>
      </c>
      <c r="R42" s="788">
        <v>42870</v>
      </c>
      <c r="S42" s="550">
        <v>42916</v>
      </c>
      <c r="T42" s="550">
        <v>43007</v>
      </c>
      <c r="U42" s="550">
        <v>43100</v>
      </c>
      <c r="V42" s="799">
        <f>SUM('IV-1 su proj'!CH110)</f>
        <v>43832</v>
      </c>
      <c r="W42" s="67"/>
      <c r="X42" s="67"/>
      <c r="Y42" s="67"/>
    </row>
    <row r="43" spans="1:25" ht="34.5" customHeight="1" thickBot="1" x14ac:dyDescent="0.3">
      <c r="A43" s="498" t="s">
        <v>101</v>
      </c>
      <c r="B43" s="1102"/>
      <c r="C43" s="1102"/>
      <c r="D43" s="1651" t="s">
        <v>1685</v>
      </c>
      <c r="E43" s="1660"/>
      <c r="F43" s="1660"/>
      <c r="G43" s="1660"/>
      <c r="H43" s="1660"/>
      <c r="I43" s="1660"/>
      <c r="J43" s="1660"/>
      <c r="K43" s="1661"/>
      <c r="L43" s="500">
        <f t="shared" ref="L43:Q43" si="17">SUM(L44:L44)</f>
        <v>181986</v>
      </c>
      <c r="M43" s="500">
        <f t="shared" si="17"/>
        <v>13649</v>
      </c>
      <c r="N43" s="500">
        <f t="shared" si="17"/>
        <v>13649</v>
      </c>
      <c r="O43" s="500">
        <f t="shared" si="17"/>
        <v>0</v>
      </c>
      <c r="P43" s="500">
        <f t="shared" si="17"/>
        <v>0</v>
      </c>
      <c r="Q43" s="500">
        <f t="shared" si="17"/>
        <v>154688</v>
      </c>
      <c r="R43" s="148"/>
      <c r="S43" s="500"/>
      <c r="T43" s="500"/>
      <c r="U43" s="500"/>
      <c r="V43" s="500"/>
      <c r="W43" s="70">
        <v>180527.13247318988</v>
      </c>
      <c r="X43" s="70">
        <f>SUM(W43*120/100)</f>
        <v>216632.55896782785</v>
      </c>
      <c r="Y43" s="70">
        <f>SUM(W43-Q43)</f>
        <v>25839.132473189879</v>
      </c>
    </row>
    <row r="44" spans="1:25" ht="48.75" thickBot="1" x14ac:dyDescent="0.3">
      <c r="A44" s="147" t="str">
        <f>CONCATENATE('3 pr-2'!A117)</f>
        <v>2.1.1.3.3</v>
      </c>
      <c r="B44" s="147" t="str">
        <f>CONCATENATE('3 pr-2'!B117)</f>
        <v>R01-7705-230000-2133</v>
      </c>
      <c r="C44" s="1133" t="str">
        <f>CONCATENATE('3 pr-2'!C117)</f>
        <v>09.1.3-CPVA-R-705-11-0001</v>
      </c>
      <c r="D44" s="147" t="s">
        <v>816</v>
      </c>
      <c r="E44" s="147" t="s">
        <v>368</v>
      </c>
      <c r="F44" s="147" t="s">
        <v>97</v>
      </c>
      <c r="G44" s="147" t="s">
        <v>329</v>
      </c>
      <c r="H44" s="324" t="s">
        <v>140</v>
      </c>
      <c r="I44" s="40" t="s">
        <v>119</v>
      </c>
      <c r="J44" s="40" t="s">
        <v>66</v>
      </c>
      <c r="K44" s="42" t="s">
        <v>66</v>
      </c>
      <c r="L44" s="42">
        <f>SUM(M44:Q44)</f>
        <v>181986</v>
      </c>
      <c r="M44" s="42">
        <v>13649</v>
      </c>
      <c r="N44" s="42">
        <v>13649</v>
      </c>
      <c r="O44" s="42">
        <v>0</v>
      </c>
      <c r="P44" s="42">
        <v>0</v>
      </c>
      <c r="Q44" s="42">
        <v>154688</v>
      </c>
      <c r="R44" s="788">
        <v>42966</v>
      </c>
      <c r="S44" s="550">
        <v>43039</v>
      </c>
      <c r="T44" s="550">
        <v>43080</v>
      </c>
      <c r="U44" s="550">
        <v>43159</v>
      </c>
      <c r="V44" s="799">
        <f>SUM('IV-1 su proj'!CH116)</f>
        <v>43739.5</v>
      </c>
      <c r="W44" s="67"/>
      <c r="X44" s="67"/>
      <c r="Y44" s="67"/>
    </row>
    <row r="45" spans="1:25" ht="60.75" customHeight="1" thickBot="1" x14ac:dyDescent="0.3">
      <c r="A45" s="216" t="s">
        <v>32</v>
      </c>
      <c r="B45" s="1106"/>
      <c r="C45" s="1106"/>
      <c r="D45" s="1653" t="s">
        <v>661</v>
      </c>
      <c r="E45" s="1654"/>
      <c r="F45" s="1654"/>
      <c r="G45" s="1654"/>
      <c r="H45" s="1654"/>
      <c r="I45" s="1654"/>
      <c r="J45" s="1654"/>
      <c r="K45" s="1655"/>
      <c r="L45" s="196">
        <f>SUM(L46+L51+L58)</f>
        <v>852136.36</v>
      </c>
      <c r="M45" s="196">
        <f t="shared" ref="M45:Q45" si="18">SUM(M46+M51+M58)</f>
        <v>54343.88</v>
      </c>
      <c r="N45" s="196">
        <f t="shared" si="18"/>
        <v>63909.88</v>
      </c>
      <c r="O45" s="196">
        <f t="shared" si="18"/>
        <v>9566</v>
      </c>
      <c r="P45" s="196">
        <f t="shared" si="18"/>
        <v>0</v>
      </c>
      <c r="Q45" s="196">
        <f t="shared" si="18"/>
        <v>724316.6</v>
      </c>
      <c r="R45" s="196"/>
      <c r="S45" s="197"/>
      <c r="T45" s="197"/>
      <c r="U45" s="197"/>
      <c r="V45" s="237"/>
      <c r="W45" s="69">
        <f>SUM(W46+W51)</f>
        <v>718684</v>
      </c>
      <c r="X45" s="69">
        <f>SUM(X46+X51)</f>
        <v>862420.8</v>
      </c>
      <c r="Y45" s="69">
        <f>SUM(Y46+Y51)</f>
        <v>8852.3999999999942</v>
      </c>
    </row>
    <row r="46" spans="1:25" ht="28.5" customHeight="1" thickBot="1" x14ac:dyDescent="0.3">
      <c r="A46" s="498" t="s">
        <v>33</v>
      </c>
      <c r="B46" s="1102"/>
      <c r="C46" s="1102"/>
      <c r="D46" s="1651" t="s">
        <v>662</v>
      </c>
      <c r="E46" s="1660"/>
      <c r="F46" s="1660"/>
      <c r="G46" s="1660"/>
      <c r="H46" s="1660"/>
      <c r="I46" s="1660"/>
      <c r="J46" s="1660"/>
      <c r="K46" s="1661"/>
      <c r="L46" s="500">
        <f t="shared" ref="L46:P46" si="19">SUM(L47:L50)</f>
        <v>636098</v>
      </c>
      <c r="M46" s="500">
        <f t="shared" si="19"/>
        <v>38141</v>
      </c>
      <c r="N46" s="500">
        <f t="shared" si="19"/>
        <v>47707</v>
      </c>
      <c r="O46" s="500">
        <f t="shared" si="19"/>
        <v>9566</v>
      </c>
      <c r="P46" s="500">
        <f t="shared" si="19"/>
        <v>0</v>
      </c>
      <c r="Q46" s="500">
        <f>SUM(Q47:Q50)</f>
        <v>540684</v>
      </c>
      <c r="R46" s="148"/>
      <c r="S46" s="500"/>
      <c r="T46" s="500"/>
      <c r="U46" s="500"/>
      <c r="V46" s="500"/>
      <c r="W46" s="70">
        <v>540684</v>
      </c>
      <c r="X46" s="70">
        <f>SUM(W46*120/100)</f>
        <v>648820.80000000005</v>
      </c>
      <c r="Y46" s="70">
        <f>SUM(W46-Q46)</f>
        <v>0</v>
      </c>
    </row>
    <row r="47" spans="1:25" ht="48.75" thickBot="1" x14ac:dyDescent="0.3">
      <c r="A47" s="848" t="str">
        <f>CONCATENATE('3 pr-2'!A122)</f>
        <v>2.1.2.1.1</v>
      </c>
      <c r="B47" s="848" t="str">
        <f>CONCATENATE('3 pr-2'!B122)</f>
        <v>R01-6609-274710-2211</v>
      </c>
      <c r="C47" s="1133" t="str">
        <f>CONCATENATE('3 pr-2'!C125)</f>
        <v/>
      </c>
      <c r="D47" s="848" t="s">
        <v>1717</v>
      </c>
      <c r="E47" s="848" t="s">
        <v>1718</v>
      </c>
      <c r="F47" s="848" t="s">
        <v>103</v>
      </c>
      <c r="G47" s="848" t="s">
        <v>329</v>
      </c>
      <c r="H47" s="851" t="s">
        <v>153</v>
      </c>
      <c r="I47" s="850" t="s">
        <v>119</v>
      </c>
      <c r="J47" s="850" t="s">
        <v>66</v>
      </c>
      <c r="K47" s="849" t="s">
        <v>66</v>
      </c>
      <c r="L47" s="849">
        <f>SUM(M47:Q47)</f>
        <v>458183</v>
      </c>
      <c r="M47" s="849">
        <v>34364</v>
      </c>
      <c r="N47" s="849">
        <v>34363</v>
      </c>
      <c r="O47" s="849">
        <v>0</v>
      </c>
      <c r="P47" s="849">
        <v>0</v>
      </c>
      <c r="Q47" s="849">
        <v>389456</v>
      </c>
      <c r="R47" s="788">
        <v>43250</v>
      </c>
      <c r="S47" s="886">
        <v>43312</v>
      </c>
      <c r="T47" s="886">
        <v>43363</v>
      </c>
      <c r="U47" s="886">
        <v>43464</v>
      </c>
      <c r="V47" s="1448">
        <v>44367</v>
      </c>
      <c r="W47" s="67"/>
      <c r="X47" s="67"/>
      <c r="Y47" s="67"/>
    </row>
    <row r="48" spans="1:25" ht="48.75" thickBot="1" x14ac:dyDescent="0.3">
      <c r="A48" s="848" t="str">
        <f>CONCATENATE('3 pr-2'!A123)</f>
        <v>2.1.2.1.2</v>
      </c>
      <c r="B48" s="848" t="str">
        <f>CONCATENATE('3 pr-2'!B123)</f>
        <v>R01-6609-274710-2212</v>
      </c>
      <c r="C48" s="1133" t="str">
        <f>CONCATENATE('3 pr-2'!C126)</f>
        <v/>
      </c>
      <c r="D48" s="848" t="s">
        <v>1719</v>
      </c>
      <c r="E48" s="848" t="s">
        <v>1720</v>
      </c>
      <c r="F48" s="848" t="s">
        <v>103</v>
      </c>
      <c r="G48" s="848" t="s">
        <v>329</v>
      </c>
      <c r="H48" s="851" t="s">
        <v>153</v>
      </c>
      <c r="I48" s="850" t="s">
        <v>119</v>
      </c>
      <c r="J48" s="850" t="s">
        <v>66</v>
      </c>
      <c r="K48" s="849" t="s">
        <v>66</v>
      </c>
      <c r="L48" s="849">
        <f>SUM(M48:Q48)</f>
        <v>50356</v>
      </c>
      <c r="M48" s="849">
        <v>3777</v>
      </c>
      <c r="N48" s="849">
        <v>3777</v>
      </c>
      <c r="O48" s="849">
        <v>0</v>
      </c>
      <c r="P48" s="849">
        <v>0</v>
      </c>
      <c r="Q48" s="849">
        <v>42802</v>
      </c>
      <c r="R48" s="788">
        <v>43250</v>
      </c>
      <c r="S48" s="886">
        <v>43312</v>
      </c>
      <c r="T48" s="886">
        <v>43373</v>
      </c>
      <c r="U48" s="886">
        <v>43465</v>
      </c>
      <c r="V48" s="1448">
        <v>44196</v>
      </c>
      <c r="W48" s="67">
        <f>SUM(Q46+Q51)</f>
        <v>709831.6</v>
      </c>
      <c r="X48" s="67"/>
      <c r="Y48" s="67"/>
    </row>
    <row r="49" spans="1:25" ht="48.75" thickBot="1" x14ac:dyDescent="0.3">
      <c r="A49" s="848" t="str">
        <f>CONCATENATE('3 pr-2'!A124)</f>
        <v>2.1.2.1.3</v>
      </c>
      <c r="B49" s="848" t="str">
        <f>CONCATENATE('3 pr-2'!B124)</f>
        <v>R01-6609-274700-2213</v>
      </c>
      <c r="C49" s="1133" t="str">
        <f>CONCATENATE('3 pr-2'!C127)</f>
        <v/>
      </c>
      <c r="D49" s="848" t="s">
        <v>1721</v>
      </c>
      <c r="E49" s="848" t="s">
        <v>1722</v>
      </c>
      <c r="F49" s="848" t="s">
        <v>103</v>
      </c>
      <c r="G49" s="848" t="s">
        <v>329</v>
      </c>
      <c r="H49" s="851" t="s">
        <v>153</v>
      </c>
      <c r="I49" s="850" t="s">
        <v>119</v>
      </c>
      <c r="J49" s="850" t="s">
        <v>66</v>
      </c>
      <c r="K49" s="849" t="s">
        <v>66</v>
      </c>
      <c r="L49" s="849">
        <f>SUM(M49:Q49)</f>
        <v>83468</v>
      </c>
      <c r="M49" s="849">
        <v>0</v>
      </c>
      <c r="N49" s="849">
        <v>6260</v>
      </c>
      <c r="O49" s="849">
        <v>6260</v>
      </c>
      <c r="P49" s="849"/>
      <c r="Q49" s="849">
        <v>70948</v>
      </c>
      <c r="R49" s="788">
        <v>43250</v>
      </c>
      <c r="S49" s="886">
        <v>43312</v>
      </c>
      <c r="T49" s="886">
        <v>43373</v>
      </c>
      <c r="U49" s="886">
        <v>43465</v>
      </c>
      <c r="V49" s="1448">
        <v>44196</v>
      </c>
      <c r="W49" s="67"/>
      <c r="X49" s="67"/>
      <c r="Y49" s="67"/>
    </row>
    <row r="50" spans="1:25" ht="48.75" thickBot="1" x14ac:dyDescent="0.3">
      <c r="A50" s="848" t="str">
        <f>CONCATENATE('3 pr-2'!A125)</f>
        <v>2.1.2.1.4</v>
      </c>
      <c r="B50" s="848" t="str">
        <f>CONCATENATE('3 pr-2'!B125)</f>
        <v>R01-6609-274710-2214</v>
      </c>
      <c r="C50" s="1133" t="str">
        <f>CONCATENATE('3 pr-2'!C128)</f>
        <v/>
      </c>
      <c r="D50" s="848" t="s">
        <v>1723</v>
      </c>
      <c r="E50" s="848" t="s">
        <v>1724</v>
      </c>
      <c r="F50" s="848" t="s">
        <v>103</v>
      </c>
      <c r="G50" s="848" t="s">
        <v>329</v>
      </c>
      <c r="H50" s="851" t="s">
        <v>153</v>
      </c>
      <c r="I50" s="850" t="s">
        <v>119</v>
      </c>
      <c r="J50" s="850" t="s">
        <v>66</v>
      </c>
      <c r="K50" s="849" t="s">
        <v>66</v>
      </c>
      <c r="L50" s="849">
        <f>SUM(M50:Q50)</f>
        <v>44091</v>
      </c>
      <c r="M50" s="849">
        <v>0</v>
      </c>
      <c r="N50" s="849">
        <v>3307</v>
      </c>
      <c r="O50" s="849">
        <v>3306</v>
      </c>
      <c r="P50" s="849">
        <v>0</v>
      </c>
      <c r="Q50" s="849">
        <v>37478</v>
      </c>
      <c r="R50" s="788"/>
      <c r="S50" s="886">
        <v>43312</v>
      </c>
      <c r="T50" s="886">
        <v>43373</v>
      </c>
      <c r="U50" s="886">
        <v>43465</v>
      </c>
      <c r="V50" s="1448">
        <v>44561</v>
      </c>
      <c r="W50" s="67"/>
      <c r="X50" s="67"/>
      <c r="Y50" s="67"/>
    </row>
    <row r="51" spans="1:25" ht="32.25" customHeight="1" thickBot="1" x14ac:dyDescent="0.3">
      <c r="A51" s="498" t="s">
        <v>34</v>
      </c>
      <c r="B51" s="1102"/>
      <c r="C51" s="1102"/>
      <c r="D51" s="1651" t="str">
        <f>CONCATENATE('3 pr-2'!D135)</f>
        <v/>
      </c>
      <c r="E51" s="1709"/>
      <c r="F51" s="1709"/>
      <c r="G51" s="1709"/>
      <c r="H51" s="1709"/>
      <c r="I51" s="1709"/>
      <c r="J51" s="1709"/>
      <c r="K51" s="1710"/>
      <c r="L51" s="500">
        <f t="shared" ref="L51:Q51" si="20">SUM(L52:L57)</f>
        <v>198997.18</v>
      </c>
      <c r="M51" s="500">
        <f t="shared" si="20"/>
        <v>14924.79</v>
      </c>
      <c r="N51" s="500">
        <f t="shared" si="20"/>
        <v>14924.79</v>
      </c>
      <c r="O51" s="500">
        <f t="shared" si="20"/>
        <v>0</v>
      </c>
      <c r="P51" s="500">
        <f t="shared" si="20"/>
        <v>0</v>
      </c>
      <c r="Q51" s="500">
        <f t="shared" si="20"/>
        <v>169147.6</v>
      </c>
      <c r="R51" s="148"/>
      <c r="S51" s="500"/>
      <c r="T51" s="500"/>
      <c r="U51" s="500"/>
      <c r="V51" s="500"/>
      <c r="W51" s="70">
        <v>178000</v>
      </c>
      <c r="X51" s="70">
        <f>SUM(W51*120/100)</f>
        <v>213600</v>
      </c>
      <c r="Y51" s="70">
        <f>SUM(W51-Q51)</f>
        <v>8852.3999999999942</v>
      </c>
    </row>
    <row r="52" spans="1:25" ht="64.5" thickBot="1" x14ac:dyDescent="0.3">
      <c r="A52" s="147" t="str">
        <f>CONCATENATE('3 pr-2'!A137)</f>
        <v>2.1.2.2.2</v>
      </c>
      <c r="B52" s="147" t="str">
        <f>CONCATENATE('3 pr-2'!B137)</f>
        <v>R01-6630-470000-2222</v>
      </c>
      <c r="C52" s="1133" t="str">
        <f>CONCATENATE('3 pr-2'!C137)</f>
        <v/>
      </c>
      <c r="D52" s="1115" t="s">
        <v>1466</v>
      </c>
      <c r="E52" s="1115" t="s">
        <v>368</v>
      </c>
      <c r="F52" s="1115" t="s">
        <v>103</v>
      </c>
      <c r="G52" s="1115" t="s">
        <v>329</v>
      </c>
      <c r="H52" s="1116" t="s">
        <v>1467</v>
      </c>
      <c r="I52" s="1116" t="s">
        <v>119</v>
      </c>
      <c r="J52" s="1116" t="s">
        <v>66</v>
      </c>
      <c r="K52" s="1116" t="s">
        <v>66</v>
      </c>
      <c r="L52" s="42">
        <v>198997.18</v>
      </c>
      <c r="M52" s="42">
        <v>14924.79</v>
      </c>
      <c r="N52" s="42">
        <v>14924.79</v>
      </c>
      <c r="O52" s="42">
        <v>0</v>
      </c>
      <c r="P52" s="42">
        <v>0</v>
      </c>
      <c r="Q52" s="42">
        <v>169147.6</v>
      </c>
      <c r="R52" s="42"/>
      <c r="S52" s="246">
        <v>43189</v>
      </c>
      <c r="T52" s="246">
        <v>43251</v>
      </c>
      <c r="U52" s="246">
        <v>43343</v>
      </c>
      <c r="V52" s="799">
        <v>44196</v>
      </c>
      <c r="W52" s="88"/>
      <c r="X52" s="88"/>
      <c r="Y52" s="88"/>
    </row>
    <row r="53" spans="1:25" ht="15.75" hidden="1" customHeight="1" thickBot="1" x14ac:dyDescent="0.3">
      <c r="A53" s="147"/>
      <c r="B53" s="147"/>
      <c r="C53" s="147"/>
      <c r="D53" s="147"/>
      <c r="E53" s="147"/>
      <c r="F53" s="147"/>
      <c r="G53" s="147"/>
      <c r="H53" s="324"/>
      <c r="I53" s="40"/>
      <c r="J53" s="40"/>
      <c r="K53" s="42"/>
      <c r="L53" s="42"/>
      <c r="M53" s="42"/>
      <c r="N53" s="42"/>
      <c r="O53" s="42"/>
      <c r="P53" s="42"/>
      <c r="Q53" s="42"/>
      <c r="R53" s="42"/>
      <c r="S53" s="550"/>
      <c r="T53" s="550"/>
      <c r="U53" s="550"/>
      <c r="V53" s="247"/>
      <c r="W53" s="88"/>
      <c r="X53" s="88"/>
      <c r="Y53" s="88"/>
    </row>
    <row r="54" spans="1:25" ht="15.75" hidden="1" customHeight="1" thickBot="1" x14ac:dyDescent="0.3">
      <c r="A54" s="147"/>
      <c r="B54" s="147"/>
      <c r="C54" s="147"/>
      <c r="D54" s="147"/>
      <c r="E54" s="147"/>
      <c r="F54" s="147"/>
      <c r="G54" s="147"/>
      <c r="H54" s="324"/>
      <c r="I54" s="40"/>
      <c r="J54" s="40"/>
      <c r="K54" s="42"/>
      <c r="L54" s="42"/>
      <c r="M54" s="42"/>
      <c r="N54" s="42"/>
      <c r="O54" s="42"/>
      <c r="P54" s="42"/>
      <c r="Q54" s="42"/>
      <c r="R54" s="42"/>
      <c r="S54" s="550"/>
      <c r="T54" s="550"/>
      <c r="U54" s="550"/>
      <c r="V54" s="247"/>
      <c r="W54" s="88"/>
      <c r="X54" s="88"/>
      <c r="Y54" s="88"/>
    </row>
    <row r="55" spans="1:25" ht="15.75" hidden="1" customHeight="1" thickBot="1" x14ac:dyDescent="0.3">
      <c r="A55" s="147"/>
      <c r="B55" s="147"/>
      <c r="C55" s="147"/>
      <c r="D55" s="147"/>
      <c r="E55" s="147"/>
      <c r="F55" s="147"/>
      <c r="G55" s="147"/>
      <c r="H55" s="324"/>
      <c r="I55" s="40"/>
      <c r="J55" s="40"/>
      <c r="K55" s="42"/>
      <c r="L55" s="42"/>
      <c r="M55" s="42"/>
      <c r="N55" s="42"/>
      <c r="O55" s="42"/>
      <c r="P55" s="42"/>
      <c r="Q55" s="42"/>
      <c r="R55" s="42"/>
      <c r="S55" s="550"/>
      <c r="T55" s="550"/>
      <c r="U55" s="550"/>
      <c r="V55" s="247"/>
      <c r="W55" s="88"/>
      <c r="X55" s="88"/>
      <c r="Y55" s="88"/>
    </row>
    <row r="56" spans="1:25" ht="15.75" hidden="1" customHeight="1" thickBot="1" x14ac:dyDescent="0.3">
      <c r="A56" s="147"/>
      <c r="B56" s="147"/>
      <c r="C56" s="147"/>
      <c r="D56" s="147"/>
      <c r="E56" s="147"/>
      <c r="F56" s="147"/>
      <c r="G56" s="147"/>
      <c r="H56" s="324"/>
      <c r="I56" s="40"/>
      <c r="J56" s="40"/>
      <c r="K56" s="42"/>
      <c r="L56" s="42"/>
      <c r="M56" s="42"/>
      <c r="N56" s="42"/>
      <c r="O56" s="42"/>
      <c r="P56" s="42"/>
      <c r="Q56" s="42"/>
      <c r="R56" s="42"/>
      <c r="S56" s="550"/>
      <c r="T56" s="550"/>
      <c r="U56" s="550"/>
      <c r="V56" s="247"/>
      <c r="W56" s="88"/>
      <c r="X56" s="88"/>
      <c r="Y56" s="88"/>
    </row>
    <row r="57" spans="1:25" ht="15.75" hidden="1" customHeight="1" thickBot="1" x14ac:dyDescent="0.3">
      <c r="A57" s="147"/>
      <c r="B57" s="147"/>
      <c r="C57" s="147"/>
      <c r="D57" s="147"/>
      <c r="E57" s="147"/>
      <c r="F57" s="147"/>
      <c r="G57" s="147"/>
      <c r="H57" s="324"/>
      <c r="I57" s="40"/>
      <c r="J57" s="40"/>
      <c r="K57" s="42"/>
      <c r="L57" s="42"/>
      <c r="M57" s="42"/>
      <c r="N57" s="42"/>
      <c r="O57" s="42"/>
      <c r="P57" s="42"/>
      <c r="Q57" s="42"/>
      <c r="R57" s="42"/>
      <c r="S57" s="550"/>
      <c r="T57" s="550"/>
      <c r="U57" s="550"/>
      <c r="V57" s="247"/>
      <c r="W57" s="88"/>
      <c r="X57" s="88"/>
      <c r="Y57" s="88"/>
    </row>
    <row r="58" spans="1:25" ht="45" customHeight="1" thickBot="1" x14ac:dyDescent="0.3">
      <c r="A58" s="498" t="s">
        <v>1476</v>
      </c>
      <c r="B58" s="1102"/>
      <c r="C58" s="1102"/>
      <c r="D58" s="1651" t="str">
        <f>CONCATENATE('3 pr-2'!D141)</f>
        <v/>
      </c>
      <c r="E58" s="1709"/>
      <c r="F58" s="1709"/>
      <c r="G58" s="1709"/>
      <c r="H58" s="1709"/>
      <c r="I58" s="1709"/>
      <c r="J58" s="1709"/>
      <c r="K58" s="1710"/>
      <c r="L58" s="500">
        <f>SUM(L59)</f>
        <v>17041.18</v>
      </c>
      <c r="M58" s="500">
        <f t="shared" ref="M58:Q58" si="21">SUM(M59)</f>
        <v>1278.0899999999999</v>
      </c>
      <c r="N58" s="500">
        <f t="shared" si="21"/>
        <v>1278.0899999999999</v>
      </c>
      <c r="O58" s="500">
        <f t="shared" si="21"/>
        <v>0</v>
      </c>
      <c r="P58" s="500">
        <f t="shared" si="21"/>
        <v>0</v>
      </c>
      <c r="Q58" s="500">
        <f t="shared" si="21"/>
        <v>14485</v>
      </c>
      <c r="R58" s="148"/>
      <c r="S58" s="500"/>
      <c r="T58" s="500"/>
      <c r="U58" s="500"/>
      <c r="V58" s="500"/>
      <c r="W58" s="70">
        <v>178000</v>
      </c>
      <c r="X58" s="70">
        <f>SUM(W58*120/100)</f>
        <v>213600</v>
      </c>
      <c r="Y58" s="70">
        <f>SUM(W58-Q58)</f>
        <v>163515</v>
      </c>
    </row>
    <row r="59" spans="1:25" ht="64.5" thickBot="1" x14ac:dyDescent="0.3">
      <c r="A59" s="147" t="str">
        <f>CONCATENATE('3 pr-2'!A143)</f>
        <v>2.1.2.3.2</v>
      </c>
      <c r="B59" s="147" t="str">
        <f>CONCATENATE('3 pr-2'!B143)</f>
        <v>R01-6615-470000-2232</v>
      </c>
      <c r="C59" s="1133" t="str">
        <f>CONCATENATE('3 pr-2'!C143)</f>
        <v/>
      </c>
      <c r="D59" s="1115" t="s">
        <v>1481</v>
      </c>
      <c r="E59" s="1115" t="s">
        <v>368</v>
      </c>
      <c r="F59" s="1115" t="s">
        <v>103</v>
      </c>
      <c r="G59" s="1115" t="s">
        <v>329</v>
      </c>
      <c r="H59" s="1116" t="s">
        <v>1482</v>
      </c>
      <c r="I59" s="1116" t="s">
        <v>119</v>
      </c>
      <c r="J59" s="1116" t="s">
        <v>66</v>
      </c>
      <c r="K59" s="1116" t="s">
        <v>66</v>
      </c>
      <c r="L59" s="42">
        <v>17041.18</v>
      </c>
      <c r="M59" s="42">
        <v>1278.0899999999999</v>
      </c>
      <c r="N59" s="42">
        <v>1278.0899999999999</v>
      </c>
      <c r="O59" s="42">
        <v>0</v>
      </c>
      <c r="P59" s="42">
        <v>0</v>
      </c>
      <c r="Q59" s="42">
        <v>14485</v>
      </c>
      <c r="R59" s="42"/>
      <c r="S59" s="246">
        <v>43189</v>
      </c>
      <c r="T59" s="246">
        <v>43281</v>
      </c>
      <c r="U59" s="246">
        <v>43373</v>
      </c>
      <c r="V59" s="799">
        <v>44196</v>
      </c>
      <c r="W59" s="88"/>
      <c r="X59" s="88"/>
      <c r="Y59" s="88"/>
    </row>
    <row r="60" spans="1:25" ht="60.75" customHeight="1" thickBot="1" x14ac:dyDescent="0.3">
      <c r="A60" s="216" t="s">
        <v>35</v>
      </c>
      <c r="B60" s="1106"/>
      <c r="C60" s="1106"/>
      <c r="D60" s="1653" t="s">
        <v>667</v>
      </c>
      <c r="E60" s="1711"/>
      <c r="F60" s="1711"/>
      <c r="G60" s="1711"/>
      <c r="H60" s="1711"/>
      <c r="I60" s="1711"/>
      <c r="J60" s="1711"/>
      <c r="K60" s="1712"/>
      <c r="L60" s="196">
        <f t="shared" ref="L60:Q60" si="22">SUM(L61+L63)</f>
        <v>1529641.55</v>
      </c>
      <c r="M60" s="196">
        <f t="shared" si="22"/>
        <v>425300.55000000005</v>
      </c>
      <c r="N60" s="196">
        <f t="shared" si="22"/>
        <v>0</v>
      </c>
      <c r="O60" s="196">
        <f t="shared" si="22"/>
        <v>0</v>
      </c>
      <c r="P60" s="196">
        <f t="shared" si="22"/>
        <v>0</v>
      </c>
      <c r="Q60" s="196">
        <f t="shared" si="22"/>
        <v>1104341</v>
      </c>
      <c r="R60" s="196"/>
      <c r="S60" s="197"/>
      <c r="T60" s="197"/>
      <c r="U60" s="197"/>
      <c r="V60" s="237"/>
      <c r="W60" s="69">
        <f>SUM(W61+W63)</f>
        <v>1104341.7933271548</v>
      </c>
      <c r="X60" s="69">
        <f>SUM(X61+X63)</f>
        <v>1325210.1519925857</v>
      </c>
      <c r="Y60" s="69">
        <f>SUM(Y61+Y63)</f>
        <v>0.79332715476630256</v>
      </c>
    </row>
    <row r="61" spans="1:25" ht="36.75" customHeight="1" thickBot="1" x14ac:dyDescent="0.3">
      <c r="A61" s="498" t="s">
        <v>36</v>
      </c>
      <c r="B61" s="1102"/>
      <c r="C61" s="1102"/>
      <c r="D61" s="1651" t="s">
        <v>663</v>
      </c>
      <c r="E61" s="1709"/>
      <c r="F61" s="1709"/>
      <c r="G61" s="1709"/>
      <c r="H61" s="1709"/>
      <c r="I61" s="1709"/>
      <c r="J61" s="1709"/>
      <c r="K61" s="1710"/>
      <c r="L61" s="500">
        <f t="shared" ref="L61:Q61" si="23">SUM(L62:L62)</f>
        <v>637900.55000000005</v>
      </c>
      <c r="M61" s="500">
        <f t="shared" si="23"/>
        <v>291539.55000000005</v>
      </c>
      <c r="N61" s="500">
        <f t="shared" si="23"/>
        <v>0</v>
      </c>
      <c r="O61" s="500">
        <f t="shared" si="23"/>
        <v>0</v>
      </c>
      <c r="P61" s="500">
        <f t="shared" si="23"/>
        <v>0</v>
      </c>
      <c r="Q61" s="500">
        <f t="shared" si="23"/>
        <v>346361</v>
      </c>
      <c r="R61" s="148"/>
      <c r="S61" s="500"/>
      <c r="T61" s="500"/>
      <c r="U61" s="500"/>
      <c r="V61" s="500"/>
      <c r="W61" s="70">
        <v>346361.79332715477</v>
      </c>
      <c r="X61" s="70">
        <f>SUM(W61*120/100)</f>
        <v>415634.15199258574</v>
      </c>
      <c r="Y61" s="70">
        <f>SUM(W61-Q61)</f>
        <v>0.79332715476630256</v>
      </c>
    </row>
    <row r="62" spans="1:25" s="89" customFormat="1" ht="48.75" thickBot="1" x14ac:dyDescent="0.3">
      <c r="A62" s="189" t="str">
        <f>CONCATENATE('3 pr-2'!A151)</f>
        <v>2.1.3.1.3</v>
      </c>
      <c r="B62" s="189" t="str">
        <f>CONCATENATE('3 pr-2'!B151)</f>
        <v>R01-4407-270000-2313</v>
      </c>
      <c r="C62" s="1133" t="str">
        <f>CONCATENATE('3 pr-2'!C151)</f>
        <v>08.1.1-CPVA-R-407-11-0005</v>
      </c>
      <c r="D62" s="189" t="s">
        <v>221</v>
      </c>
      <c r="E62" s="189" t="s">
        <v>368</v>
      </c>
      <c r="F62" s="189" t="s">
        <v>106</v>
      </c>
      <c r="G62" s="189" t="s">
        <v>329</v>
      </c>
      <c r="H62" s="525" t="s">
        <v>154</v>
      </c>
      <c r="I62" s="590" t="s">
        <v>119</v>
      </c>
      <c r="J62" s="590" t="s">
        <v>66</v>
      </c>
      <c r="K62" s="468" t="s">
        <v>66</v>
      </c>
      <c r="L62" s="468">
        <f>SUM(M62:Q62)</f>
        <v>637900.55000000005</v>
      </c>
      <c r="M62" s="468">
        <v>291539.55000000005</v>
      </c>
      <c r="N62" s="468">
        <v>0</v>
      </c>
      <c r="O62" s="468">
        <v>0</v>
      </c>
      <c r="P62" s="468">
        <v>0</v>
      </c>
      <c r="Q62" s="468">
        <v>346361</v>
      </c>
      <c r="R62" s="1111">
        <v>42653</v>
      </c>
      <c r="S62" s="1111">
        <v>42735</v>
      </c>
      <c r="T62" s="1111">
        <v>42766</v>
      </c>
      <c r="U62" s="1111">
        <v>42855</v>
      </c>
      <c r="V62" s="1113">
        <f>SUM('IV-1 su proj'!CH150)</f>
        <v>43646</v>
      </c>
      <c r="W62" s="88"/>
      <c r="X62" s="88"/>
      <c r="Y62" s="88"/>
    </row>
    <row r="63" spans="1:25" ht="32.25" customHeight="1" thickBot="1" x14ac:dyDescent="0.3">
      <c r="A63" s="498" t="s">
        <v>37</v>
      </c>
      <c r="B63" s="1102"/>
      <c r="C63" s="1102"/>
      <c r="D63" s="1651" t="s">
        <v>664</v>
      </c>
      <c r="E63" s="1709"/>
      <c r="F63" s="1709"/>
      <c r="G63" s="1709"/>
      <c r="H63" s="1709"/>
      <c r="I63" s="1709"/>
      <c r="J63" s="1709"/>
      <c r="K63" s="1710"/>
      <c r="L63" s="500">
        <f t="shared" ref="L63:Q63" si="24">SUM(L64:L64)</f>
        <v>891741</v>
      </c>
      <c r="M63" s="500">
        <f t="shared" si="24"/>
        <v>133761</v>
      </c>
      <c r="N63" s="500">
        <f t="shared" si="24"/>
        <v>0</v>
      </c>
      <c r="O63" s="500">
        <f t="shared" si="24"/>
        <v>0</v>
      </c>
      <c r="P63" s="500">
        <f t="shared" si="24"/>
        <v>0</v>
      </c>
      <c r="Q63" s="500">
        <f t="shared" si="24"/>
        <v>757980</v>
      </c>
      <c r="R63" s="148"/>
      <c r="S63" s="500"/>
      <c r="T63" s="500"/>
      <c r="U63" s="500"/>
      <c r="V63" s="500"/>
      <c r="W63" s="70">
        <v>757980</v>
      </c>
      <c r="X63" s="70">
        <f>SUM(W63*120/100)</f>
        <v>909576</v>
      </c>
      <c r="Y63" s="70">
        <f>SUM(W63-Q63)</f>
        <v>0</v>
      </c>
    </row>
    <row r="64" spans="1:25" ht="48.75" thickBot="1" x14ac:dyDescent="0.3">
      <c r="A64" s="147" t="str">
        <f>CONCATENATE('3 pr-2'!A157)</f>
        <v>2.1.3.1.3</v>
      </c>
      <c r="B64" s="147" t="str">
        <f>CONCATENATE('3 pr-2'!B157)</f>
        <v>R01-4408-260000-2323</v>
      </c>
      <c r="C64" s="1133" t="str">
        <f>CONCATENATE('3 pr-2'!C157)</f>
        <v>08.1.2-CPVA-R-408-11-0002</v>
      </c>
      <c r="D64" s="147" t="s">
        <v>223</v>
      </c>
      <c r="E64" s="147" t="s">
        <v>368</v>
      </c>
      <c r="F64" s="147" t="s">
        <v>106</v>
      </c>
      <c r="G64" s="147" t="s">
        <v>225</v>
      </c>
      <c r="H64" s="324" t="s">
        <v>155</v>
      </c>
      <c r="I64" s="40" t="s">
        <v>119</v>
      </c>
      <c r="J64" s="40" t="s">
        <v>66</v>
      </c>
      <c r="K64" s="42" t="s">
        <v>66</v>
      </c>
      <c r="L64" s="42">
        <f>SUM(M64:Q64)</f>
        <v>891741</v>
      </c>
      <c r="M64" s="42">
        <v>133761</v>
      </c>
      <c r="N64" s="42">
        <v>0</v>
      </c>
      <c r="O64" s="42">
        <v>0</v>
      </c>
      <c r="P64" s="42">
        <v>0</v>
      </c>
      <c r="Q64" s="42">
        <v>757980</v>
      </c>
      <c r="R64" s="788">
        <v>42401</v>
      </c>
      <c r="S64" s="550">
        <v>42464</v>
      </c>
      <c r="T64" s="550">
        <v>42674</v>
      </c>
      <c r="U64" s="550">
        <v>42735</v>
      </c>
      <c r="V64" s="799">
        <v>43464</v>
      </c>
      <c r="W64" s="67"/>
      <c r="X64" s="67"/>
      <c r="Y64" s="67"/>
    </row>
    <row r="65" spans="1:25" ht="60.75" customHeight="1" thickBot="1" x14ac:dyDescent="0.3">
      <c r="A65" s="216" t="s">
        <v>38</v>
      </c>
      <c r="B65" s="1106"/>
      <c r="C65" s="1106"/>
      <c r="D65" s="1653" t="s">
        <v>665</v>
      </c>
      <c r="E65" s="1711"/>
      <c r="F65" s="1711"/>
      <c r="G65" s="1711"/>
      <c r="H65" s="1711"/>
      <c r="I65" s="1711"/>
      <c r="J65" s="1711"/>
      <c r="K65" s="1712"/>
      <c r="L65" s="196">
        <f t="shared" ref="L65:Q65" si="25">SUM(L66)</f>
        <v>434827</v>
      </c>
      <c r="M65" s="196">
        <f t="shared" si="25"/>
        <v>65224</v>
      </c>
      <c r="N65" s="196">
        <f t="shared" si="25"/>
        <v>0</v>
      </c>
      <c r="O65" s="196">
        <f t="shared" si="25"/>
        <v>0</v>
      </c>
      <c r="P65" s="196">
        <f t="shared" si="25"/>
        <v>0</v>
      </c>
      <c r="Q65" s="196">
        <f t="shared" si="25"/>
        <v>369603</v>
      </c>
      <c r="R65" s="196"/>
      <c r="S65" s="197"/>
      <c r="T65" s="197"/>
      <c r="U65" s="197"/>
      <c r="V65" s="237"/>
      <c r="W65" s="69">
        <f>SUM(W66)</f>
        <v>369603.55070703564</v>
      </c>
      <c r="X65" s="69">
        <f>SUM(X66)</f>
        <v>443524.26084844279</v>
      </c>
      <c r="Y65" s="69">
        <f>SUM(Y66)</f>
        <v>0.55070703563978896</v>
      </c>
    </row>
    <row r="66" spans="1:25" ht="29.25" customHeight="1" thickBot="1" x14ac:dyDescent="0.3">
      <c r="A66" s="498" t="s">
        <v>109</v>
      </c>
      <c r="B66" s="1102"/>
      <c r="C66" s="1102"/>
      <c r="D66" s="1651" t="s">
        <v>666</v>
      </c>
      <c r="E66" s="1709"/>
      <c r="F66" s="1709"/>
      <c r="G66" s="1709"/>
      <c r="H66" s="1709"/>
      <c r="I66" s="1709"/>
      <c r="J66" s="1709"/>
      <c r="K66" s="1710"/>
      <c r="L66" s="500">
        <f>SUM(L67:L68)</f>
        <v>434827</v>
      </c>
      <c r="M66" s="500">
        <f t="shared" ref="M66:Q66" si="26">SUM(M67:M68)</f>
        <v>65224</v>
      </c>
      <c r="N66" s="500">
        <f t="shared" si="26"/>
        <v>0</v>
      </c>
      <c r="O66" s="500">
        <f t="shared" si="26"/>
        <v>0</v>
      </c>
      <c r="P66" s="500">
        <f t="shared" si="26"/>
        <v>0</v>
      </c>
      <c r="Q66" s="500">
        <f t="shared" si="26"/>
        <v>369603</v>
      </c>
      <c r="R66" s="148"/>
      <c r="S66" s="500"/>
      <c r="T66" s="500"/>
      <c r="U66" s="500"/>
      <c r="V66" s="500"/>
      <c r="W66" s="70">
        <v>369603.55070703564</v>
      </c>
      <c r="X66" s="70">
        <f>SUM(W66*120/100)</f>
        <v>443524.26084844279</v>
      </c>
      <c r="Y66" s="70">
        <f>SUM(W66-Q66)</f>
        <v>0.55070703563978896</v>
      </c>
    </row>
    <row r="67" spans="1:25" s="89" customFormat="1" ht="60.75" thickBot="1" x14ac:dyDescent="0.3">
      <c r="A67" s="189" t="str">
        <f>CONCATENATE('3 pr-2'!A165)</f>
        <v>2.1.4.1.4</v>
      </c>
      <c r="B67" s="189" t="str">
        <f>CONCATENATE('3 pr-2'!B165)</f>
        <v>R01-9920-490000-2414</v>
      </c>
      <c r="C67" s="1133" t="str">
        <f>CONCATENATE('3 pr-2'!C165)</f>
        <v/>
      </c>
      <c r="D67" s="189" t="s">
        <v>851</v>
      </c>
      <c r="E67" s="189" t="s">
        <v>368</v>
      </c>
      <c r="F67" s="189" t="s">
        <v>75</v>
      </c>
      <c r="G67" s="189" t="s">
        <v>225</v>
      </c>
      <c r="H67" s="525" t="s">
        <v>1375</v>
      </c>
      <c r="I67" s="590" t="s">
        <v>119</v>
      </c>
      <c r="J67" s="590" t="s">
        <v>66</v>
      </c>
      <c r="K67" s="468" t="s">
        <v>66</v>
      </c>
      <c r="L67" s="468">
        <f>SUM(M67:Q67)</f>
        <v>234827</v>
      </c>
      <c r="M67" s="468">
        <v>35224</v>
      </c>
      <c r="N67" s="468">
        <v>0</v>
      </c>
      <c r="O67" s="468">
        <v>0</v>
      </c>
      <c r="P67" s="468">
        <v>0</v>
      </c>
      <c r="Q67" s="468">
        <v>199603</v>
      </c>
      <c r="R67" s="1111">
        <v>43017</v>
      </c>
      <c r="S67" s="1111">
        <v>43100</v>
      </c>
      <c r="T67" s="1111">
        <v>43159</v>
      </c>
      <c r="U67" s="1111">
        <v>43220</v>
      </c>
      <c r="V67" s="1111">
        <v>43830</v>
      </c>
      <c r="W67" s="88"/>
      <c r="X67" s="88"/>
      <c r="Y67" s="88"/>
    </row>
    <row r="68" spans="1:25" s="89" customFormat="1" ht="60.75" thickBot="1" x14ac:dyDescent="0.3">
      <c r="A68" s="189" t="str">
        <f>CONCATENATE('3 pr-2'!A167)</f>
        <v>2.1.4.1.6</v>
      </c>
      <c r="B68" s="189" t="str">
        <f>CONCATENATE('3 pr-2'!B167)</f>
        <v>R01-9920-490000-2416</v>
      </c>
      <c r="C68" s="1133" t="str">
        <f>CONCATENATE('3 pr-2'!C167)</f>
        <v/>
      </c>
      <c r="D68" s="189" t="s">
        <v>853</v>
      </c>
      <c r="E68" s="189" t="s">
        <v>368</v>
      </c>
      <c r="F68" s="189" t="s">
        <v>75</v>
      </c>
      <c r="G68" s="189" t="s">
        <v>225</v>
      </c>
      <c r="H68" s="525" t="s">
        <v>1375</v>
      </c>
      <c r="I68" s="590" t="s">
        <v>119</v>
      </c>
      <c r="J68" s="590" t="s">
        <v>66</v>
      </c>
      <c r="K68" s="468" t="s">
        <v>66</v>
      </c>
      <c r="L68" s="468">
        <f>SUM(M68:Q68)</f>
        <v>200000</v>
      </c>
      <c r="M68" s="468">
        <v>30000</v>
      </c>
      <c r="N68" s="468">
        <v>0</v>
      </c>
      <c r="O68" s="468">
        <v>0</v>
      </c>
      <c r="P68" s="468">
        <v>0</v>
      </c>
      <c r="Q68" s="468">
        <v>170000</v>
      </c>
      <c r="R68" s="1111">
        <v>43434</v>
      </c>
      <c r="S68" s="1111">
        <v>43465</v>
      </c>
      <c r="T68" s="1111">
        <v>43524</v>
      </c>
      <c r="U68" s="1111">
        <v>43616</v>
      </c>
      <c r="V68" s="1111">
        <v>44196</v>
      </c>
      <c r="W68" s="88"/>
      <c r="X68" s="88"/>
      <c r="Y68" s="88"/>
    </row>
    <row r="69" spans="1:25" ht="40.5" customHeight="1" thickBot="1" x14ac:dyDescent="0.3">
      <c r="A69" s="214" t="s">
        <v>40</v>
      </c>
      <c r="B69" s="1108"/>
      <c r="C69" s="1108"/>
      <c r="D69" s="1652" t="s">
        <v>638</v>
      </c>
      <c r="E69" s="1715"/>
      <c r="F69" s="1715"/>
      <c r="G69" s="1715"/>
      <c r="H69" s="1715"/>
      <c r="I69" s="1715"/>
      <c r="J69" s="1715"/>
      <c r="K69" s="1716"/>
      <c r="L69" s="218">
        <f t="shared" ref="L69:Q69" si="27">SUM(L70+L73)</f>
        <v>1557490.3361502308</v>
      </c>
      <c r="M69" s="218">
        <f t="shared" si="27"/>
        <v>293149.16615023086</v>
      </c>
      <c r="N69" s="218">
        <f t="shared" si="27"/>
        <v>0</v>
      </c>
      <c r="O69" s="218">
        <f t="shared" si="27"/>
        <v>0</v>
      </c>
      <c r="P69" s="218">
        <f t="shared" si="27"/>
        <v>0</v>
      </c>
      <c r="Q69" s="218">
        <f t="shared" si="27"/>
        <v>1264341.1700000002</v>
      </c>
      <c r="R69" s="218"/>
      <c r="S69" s="215"/>
      <c r="T69" s="215"/>
      <c r="U69" s="215"/>
      <c r="V69" s="238"/>
      <c r="W69" s="582">
        <f>SUM(W70+W73)</f>
        <v>1276664.0984113035</v>
      </c>
      <c r="X69" s="583">
        <f>SUM(X70+X73)</f>
        <v>1531996.918093564</v>
      </c>
      <c r="Y69" s="583">
        <f>SUM(Y70+Y73)</f>
        <v>12322.928411303306</v>
      </c>
    </row>
    <row r="70" spans="1:25" ht="60.75" customHeight="1" thickBot="1" x14ac:dyDescent="0.3">
      <c r="A70" s="216" t="s">
        <v>41</v>
      </c>
      <c r="B70" s="1106"/>
      <c r="C70" s="1106"/>
      <c r="D70" s="1643" t="s">
        <v>639</v>
      </c>
      <c r="E70" s="1713"/>
      <c r="F70" s="1713"/>
      <c r="G70" s="1713"/>
      <c r="H70" s="1713"/>
      <c r="I70" s="1713"/>
      <c r="J70" s="1713"/>
      <c r="K70" s="1714"/>
      <c r="L70" s="196">
        <f>SUM(L71)</f>
        <v>1553497.3361502308</v>
      </c>
      <c r="M70" s="196">
        <f>SUM(M71)</f>
        <v>292550.21615023084</v>
      </c>
      <c r="N70" s="196">
        <f t="shared" ref="N70:Q70" si="28">SUM(N71)</f>
        <v>0</v>
      </c>
      <c r="O70" s="196">
        <f t="shared" si="28"/>
        <v>0</v>
      </c>
      <c r="P70" s="196">
        <f t="shared" si="28"/>
        <v>0</v>
      </c>
      <c r="Q70" s="196">
        <f t="shared" si="28"/>
        <v>1260947.1200000001</v>
      </c>
      <c r="R70" s="196"/>
      <c r="S70" s="197"/>
      <c r="T70" s="197"/>
      <c r="U70" s="197"/>
      <c r="V70" s="237"/>
      <c r="W70" s="69">
        <f>SUM(W71)</f>
        <v>1260947.1200000001</v>
      </c>
      <c r="X70" s="69">
        <f>SUM(X71)</f>
        <v>1513136.544</v>
      </c>
      <c r="Y70" s="69">
        <f>SUM(Y71)</f>
        <v>0</v>
      </c>
    </row>
    <row r="71" spans="1:25" ht="33" customHeight="1" thickBot="1" x14ac:dyDescent="0.3">
      <c r="A71" s="498" t="s">
        <v>42</v>
      </c>
      <c r="B71" s="1102"/>
      <c r="C71" s="1102"/>
      <c r="D71" s="1651" t="s">
        <v>637</v>
      </c>
      <c r="E71" s="1709"/>
      <c r="F71" s="1709"/>
      <c r="G71" s="1709"/>
      <c r="H71" s="1709"/>
      <c r="I71" s="1709"/>
      <c r="J71" s="1709"/>
      <c r="K71" s="1710"/>
      <c r="L71" s="500">
        <f t="shared" ref="L71:Q71" si="29">SUM(L72:L72)</f>
        <v>1553497.3361502308</v>
      </c>
      <c r="M71" s="500">
        <f t="shared" si="29"/>
        <v>292550.21615023084</v>
      </c>
      <c r="N71" s="500">
        <f t="shared" si="29"/>
        <v>0</v>
      </c>
      <c r="O71" s="500">
        <f t="shared" si="29"/>
        <v>0</v>
      </c>
      <c r="P71" s="500">
        <f t="shared" si="29"/>
        <v>0</v>
      </c>
      <c r="Q71" s="500">
        <f t="shared" si="29"/>
        <v>1260947.1200000001</v>
      </c>
      <c r="R71" s="148"/>
      <c r="S71" s="500"/>
      <c r="T71" s="500"/>
      <c r="U71" s="500"/>
      <c r="V71" s="500"/>
      <c r="W71" s="70">
        <v>1260947.1200000001</v>
      </c>
      <c r="X71" s="70">
        <f>SUM(W71*120/100)</f>
        <v>1513136.544</v>
      </c>
      <c r="Y71" s="70">
        <f>SUM(W71-Q71)</f>
        <v>0</v>
      </c>
    </row>
    <row r="72" spans="1:25" s="89" customFormat="1" ht="48" customHeight="1" thickBot="1" x14ac:dyDescent="0.3">
      <c r="A72" s="189" t="str">
        <f>CONCATENATE('3 pr-2'!A171)</f>
        <v>3.1.1.1.1</v>
      </c>
      <c r="B72" s="189" t="str">
        <f>CONCATENATE('3 pr-2'!B171)</f>
        <v>R01-0008-050000-3111</v>
      </c>
      <c r="C72" s="1133" t="str">
        <f>CONCATENATE('3 pr-2'!C171)</f>
        <v>05.2.1-APVA-R-008-11-0001</v>
      </c>
      <c r="D72" s="189" t="s">
        <v>323</v>
      </c>
      <c r="E72" s="189" t="s">
        <v>193</v>
      </c>
      <c r="F72" s="189" t="s">
        <v>77</v>
      </c>
      <c r="G72" s="189" t="s">
        <v>324</v>
      </c>
      <c r="H72" s="525" t="s">
        <v>194</v>
      </c>
      <c r="I72" s="590" t="s">
        <v>119</v>
      </c>
      <c r="J72" s="590" t="s">
        <v>66</v>
      </c>
      <c r="K72" s="468" t="s">
        <v>66</v>
      </c>
      <c r="L72" s="468">
        <f>SUM(M72:Q72)</f>
        <v>1553497.3361502308</v>
      </c>
      <c r="M72" s="468">
        <v>292550.21615023084</v>
      </c>
      <c r="N72" s="468">
        <v>0</v>
      </c>
      <c r="O72" s="468">
        <v>0</v>
      </c>
      <c r="P72" s="468">
        <v>0</v>
      </c>
      <c r="Q72" s="468">
        <v>1260947.1200000001</v>
      </c>
      <c r="R72" s="1111">
        <v>42590</v>
      </c>
      <c r="S72" s="1111">
        <v>42754</v>
      </c>
      <c r="T72" s="1111">
        <v>42916</v>
      </c>
      <c r="U72" s="1111">
        <v>43008</v>
      </c>
      <c r="V72" s="1111">
        <v>43830</v>
      </c>
      <c r="W72" s="88">
        <v>2019</v>
      </c>
      <c r="X72" s="88"/>
      <c r="Y72" s="88"/>
    </row>
    <row r="73" spans="1:25" ht="60.75" customHeight="1" thickBot="1" x14ac:dyDescent="0.3">
      <c r="A73" s="216" t="s">
        <v>43</v>
      </c>
      <c r="B73" s="1106"/>
      <c r="C73" s="1106"/>
      <c r="D73" s="1643" t="s">
        <v>640</v>
      </c>
      <c r="E73" s="1644"/>
      <c r="F73" s="1644"/>
      <c r="G73" s="1644"/>
      <c r="H73" s="1644"/>
      <c r="I73" s="1644"/>
      <c r="J73" s="1644"/>
      <c r="K73" s="1645"/>
      <c r="L73" s="196">
        <f>SUM(L74)</f>
        <v>3993</v>
      </c>
      <c r="M73" s="196">
        <f t="shared" ref="M73:Q73" si="30">SUM(M74)</f>
        <v>598.95000000000005</v>
      </c>
      <c r="N73" s="196">
        <f t="shared" si="30"/>
        <v>0</v>
      </c>
      <c r="O73" s="196">
        <f t="shared" si="30"/>
        <v>0</v>
      </c>
      <c r="P73" s="196">
        <f t="shared" si="30"/>
        <v>0</v>
      </c>
      <c r="Q73" s="196">
        <f t="shared" si="30"/>
        <v>3394.05</v>
      </c>
      <c r="R73" s="196"/>
      <c r="S73" s="197"/>
      <c r="T73" s="197"/>
      <c r="U73" s="197"/>
      <c r="V73" s="237"/>
      <c r="W73" s="69">
        <f>SUM(W74)</f>
        <v>15716.978411303307</v>
      </c>
      <c r="X73" s="69">
        <f>SUM(X74)</f>
        <v>18860.374093563969</v>
      </c>
      <c r="Y73" s="69">
        <f>SUM(Y74)</f>
        <v>12322.928411303306</v>
      </c>
    </row>
    <row r="74" spans="1:25" ht="27.75" customHeight="1" thickBot="1" x14ac:dyDescent="0.3">
      <c r="A74" s="498" t="s">
        <v>113</v>
      </c>
      <c r="B74" s="1102"/>
      <c r="C74" s="1102"/>
      <c r="D74" s="1651" t="s">
        <v>641</v>
      </c>
      <c r="E74" s="1660"/>
      <c r="F74" s="1660"/>
      <c r="G74" s="1660"/>
      <c r="H74" s="1660"/>
      <c r="I74" s="1660"/>
      <c r="J74" s="1660"/>
      <c r="K74" s="1661"/>
      <c r="L74" s="500">
        <f t="shared" ref="L74:Q74" si="31">SUM(L75:L75)</f>
        <v>3993</v>
      </c>
      <c r="M74" s="500">
        <f t="shared" si="31"/>
        <v>598.95000000000005</v>
      </c>
      <c r="N74" s="500">
        <f t="shared" si="31"/>
        <v>0</v>
      </c>
      <c r="O74" s="500">
        <f t="shared" si="31"/>
        <v>0</v>
      </c>
      <c r="P74" s="500">
        <f t="shared" si="31"/>
        <v>0</v>
      </c>
      <c r="Q74" s="500">
        <f t="shared" si="31"/>
        <v>3394.05</v>
      </c>
      <c r="R74" s="148"/>
      <c r="S74" s="500"/>
      <c r="T74" s="500"/>
      <c r="U74" s="500"/>
      <c r="V74" s="500"/>
      <c r="W74" s="70">
        <v>15716.978411303307</v>
      </c>
      <c r="X74" s="70">
        <f>SUM(W74*120/100)</f>
        <v>18860.374093563969</v>
      </c>
      <c r="Y74" s="70">
        <f>SUM(W74-Q74)</f>
        <v>12322.928411303306</v>
      </c>
    </row>
    <row r="75" spans="1:25" ht="48.75" thickBot="1" x14ac:dyDescent="0.3">
      <c r="A75" s="147" t="str">
        <f>CONCATENATE('3 pr-2'!A177)</f>
        <v>3.1.2.1.4</v>
      </c>
      <c r="B75" s="147" t="str">
        <f>CONCATENATE('3 pr-2'!B177)</f>
        <v>R01-0019-380000-3214</v>
      </c>
      <c r="C75" s="1133" t="str">
        <f>CONCATENATE('3 pr-2'!C177)</f>
        <v>05.5.1-APVA-R-019-11-0004</v>
      </c>
      <c r="D75" s="147" t="s">
        <v>416</v>
      </c>
      <c r="E75" s="147" t="s">
        <v>368</v>
      </c>
      <c r="F75" s="147" t="s">
        <v>77</v>
      </c>
      <c r="G75" s="147" t="s">
        <v>225</v>
      </c>
      <c r="H75" s="324" t="s">
        <v>196</v>
      </c>
      <c r="I75" s="40" t="s">
        <v>119</v>
      </c>
      <c r="J75" s="40"/>
      <c r="K75" s="40" t="s">
        <v>66</v>
      </c>
      <c r="L75" s="1110">
        <f>SUM(M75:Q75)</f>
        <v>3993</v>
      </c>
      <c r="M75" s="1110">
        <v>598.95000000000005</v>
      </c>
      <c r="N75" s="1110">
        <v>0</v>
      </c>
      <c r="O75" s="1110">
        <v>0</v>
      </c>
      <c r="P75" s="1110">
        <v>0</v>
      </c>
      <c r="Q75" s="1110">
        <v>3394.05</v>
      </c>
      <c r="R75" s="788">
        <v>42598</v>
      </c>
      <c r="S75" s="550">
        <v>42632</v>
      </c>
      <c r="T75" s="550">
        <v>42874</v>
      </c>
      <c r="U75" s="550">
        <v>42916</v>
      </c>
      <c r="V75" s="1111">
        <v>43465</v>
      </c>
      <c r="W75" s="67"/>
      <c r="X75" s="67"/>
      <c r="Y75" s="67"/>
    </row>
    <row r="76" spans="1:25" ht="15.75" thickBot="1" x14ac:dyDescent="0.3">
      <c r="A76" s="92"/>
      <c r="B76" s="93"/>
      <c r="C76" s="93"/>
      <c r="D76" s="93"/>
      <c r="E76" s="93"/>
      <c r="F76" s="93"/>
      <c r="G76" s="93"/>
      <c r="H76" s="93"/>
      <c r="I76" s="94"/>
      <c r="J76" s="94"/>
      <c r="K76" s="94"/>
      <c r="L76" s="84">
        <f t="shared" ref="L76:Q76" si="32">SUM(L5+L37+L69)</f>
        <v>20877237.74026788</v>
      </c>
      <c r="M76" s="84">
        <f t="shared" si="32"/>
        <v>1670796.9902678779</v>
      </c>
      <c r="N76" s="84">
        <f t="shared" si="32"/>
        <v>576266.64</v>
      </c>
      <c r="O76" s="84">
        <f t="shared" si="32"/>
        <v>3957363.36</v>
      </c>
      <c r="P76" s="84">
        <f t="shared" si="32"/>
        <v>0</v>
      </c>
      <c r="Q76" s="84">
        <f t="shared" si="32"/>
        <v>14657260.24</v>
      </c>
      <c r="R76" s="579"/>
      <c r="S76" s="94"/>
      <c r="T76" s="94"/>
      <c r="U76" s="94"/>
      <c r="V76" s="235"/>
      <c r="W76" s="84">
        <f>SUM(W5+W37+W69)</f>
        <v>13600989.552418685</v>
      </c>
      <c r="X76" s="97">
        <f>SUM(X5+X37+X69)</f>
        <v>16321187.462902421</v>
      </c>
      <c r="Y76" s="98">
        <f>SUM(Y5+Y37+Y69)</f>
        <v>-1013193.3875813163</v>
      </c>
    </row>
    <row r="77" spans="1:25" ht="15.75" thickTop="1" x14ac:dyDescent="0.25"/>
    <row r="78" spans="1:25" x14ac:dyDescent="0.25">
      <c r="M78" s="96"/>
      <c r="O78" s="96"/>
      <c r="Q78" s="96"/>
      <c r="R78" s="96"/>
    </row>
    <row r="80" spans="1:25" x14ac:dyDescent="0.25">
      <c r="M80" s="103"/>
    </row>
    <row r="82" spans="13:14" x14ac:dyDescent="0.25">
      <c r="M82" s="103"/>
      <c r="N82" s="103"/>
    </row>
  </sheetData>
  <mergeCells count="41">
    <mergeCell ref="Y2:Y3"/>
    <mergeCell ref="A2:K2"/>
    <mergeCell ref="L2:Q2"/>
    <mergeCell ref="S2:V2"/>
    <mergeCell ref="W2:W3"/>
    <mergeCell ref="X2:X3"/>
    <mergeCell ref="D5:K5"/>
    <mergeCell ref="D6:K6"/>
    <mergeCell ref="D7:K7"/>
    <mergeCell ref="D9:K9"/>
    <mergeCell ref="D11:K11"/>
    <mergeCell ref="D13:K13"/>
    <mergeCell ref="D15:K15"/>
    <mergeCell ref="D17:K17"/>
    <mergeCell ref="D19:K19"/>
    <mergeCell ref="D22:K22"/>
    <mergeCell ref="D24:K24"/>
    <mergeCell ref="D26:K26"/>
    <mergeCell ref="D27:K27"/>
    <mergeCell ref="D29:K29"/>
    <mergeCell ref="D32:K32"/>
    <mergeCell ref="D34:K34"/>
    <mergeCell ref="D37:K37"/>
    <mergeCell ref="D38:K38"/>
    <mergeCell ref="D39:K39"/>
    <mergeCell ref="D41:K41"/>
    <mergeCell ref="D43:K43"/>
    <mergeCell ref="D46:K46"/>
    <mergeCell ref="D51:K51"/>
    <mergeCell ref="D61:K61"/>
    <mergeCell ref="D63:K63"/>
    <mergeCell ref="D58:K58"/>
    <mergeCell ref="D66:K66"/>
    <mergeCell ref="D71:K71"/>
    <mergeCell ref="D74:K74"/>
    <mergeCell ref="D45:K45"/>
    <mergeCell ref="D60:K60"/>
    <mergeCell ref="D70:K70"/>
    <mergeCell ref="D73:K73"/>
    <mergeCell ref="D65:K65"/>
    <mergeCell ref="D69:K69"/>
  </mergeCells>
  <pageMargins left="0.7" right="0.7" top="0" bottom="0"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Darbalapiai</vt:lpstr>
      </vt:variant>
      <vt:variant>
        <vt:i4>30</vt:i4>
      </vt:variant>
    </vt:vector>
  </HeadingPairs>
  <TitlesOfParts>
    <vt:vector size="30" baseType="lpstr">
      <vt:lpstr>3 pr-1</vt:lpstr>
      <vt:lpstr>IV-1 su proj</vt:lpstr>
      <vt:lpstr>3 pr-2</vt:lpstr>
      <vt:lpstr>IV-3</vt:lpstr>
      <vt:lpstr>3 pr-3</vt:lpstr>
      <vt:lpstr>3 pr-4</vt:lpstr>
      <vt:lpstr>3 pr-(5-6)</vt:lpstr>
      <vt:lpstr>3 pr-7</vt:lpstr>
      <vt:lpstr>IV-2 amsa</vt:lpstr>
      <vt:lpstr>IV-2 arsa</vt:lpstr>
      <vt:lpstr>IV-2 dsa</vt:lpstr>
      <vt:lpstr>IV-2 lrsa</vt:lpstr>
      <vt:lpstr>IV-2 vrsa</vt:lpstr>
      <vt:lpstr>Lęšos priemonės</vt:lpstr>
      <vt:lpstr>4 pr-(1-2)</vt:lpstr>
      <vt:lpstr>4 pr-3</vt:lpstr>
      <vt:lpstr>4pr-(4-5)</vt:lpstr>
      <vt:lpstr>4 pr-6</vt:lpstr>
      <vt:lpstr>4 pr-7</vt:lpstr>
      <vt:lpstr>ketv. 1lent</vt:lpstr>
      <vt:lpstr>ketv. 2lent</vt:lpstr>
      <vt:lpstr>PP pateikimas</vt:lpstr>
      <vt:lpstr>ketv. 3lent</vt:lpstr>
      <vt:lpstr>ketv. 4 lent</vt:lpstr>
      <vt:lpstr>ketv. 5 lent</vt:lpstr>
      <vt:lpstr>ketv. 6 lent</vt:lpstr>
      <vt:lpstr>ketv. 7 lent</vt:lpstr>
      <vt:lpstr>ketv. 8 lent</vt:lpstr>
      <vt:lpstr>ketv. 9 lent.</vt:lpstr>
      <vt:lpstr>ketv. 10 lent</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2017-07-11T07:12:31Z</dcterms:created>
  <dcterms:modified xsi:type="dcterms:W3CDTF">2018-05-29T15:42:49Z</dcterms:modified>
</cp:coreProperties>
</file>